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560" activeTab="3"/>
  </bookViews>
  <sheets>
    <sheet name="BP ev+JSC" sheetId="1" r:id="rId1"/>
    <sheet name="Début BP" sheetId="4" r:id="rId2"/>
    <sheet name="Structure des flux" sheetId="5" r:id="rId3"/>
    <sheet name="DECOUPAGE POUR PREZ" sheetId="2" r:id="rId4"/>
    <sheet name="Feuil3" sheetId="3" r:id="rId5"/>
  </sheets>
  <definedNames>
    <definedName name="_xlnm.Print_Area" localSheetId="1">'Début BP'!$A$1:$G$58</definedName>
  </definedNames>
  <calcPr calcId="145621"/>
</workbook>
</file>

<file path=xl/calcChain.xml><?xml version="1.0" encoding="utf-8"?>
<calcChain xmlns="http://schemas.openxmlformats.org/spreadsheetml/2006/main">
  <c r="B60" i="2" l="1"/>
  <c r="K59" i="2"/>
  <c r="H56" i="2"/>
  <c r="G56" i="2"/>
  <c r="F56" i="2"/>
  <c r="E56" i="2"/>
  <c r="D56" i="2"/>
  <c r="C56" i="2"/>
  <c r="C60" i="2" s="1"/>
  <c r="D60" i="2" s="1"/>
  <c r="K54" i="2"/>
  <c r="H52" i="2"/>
  <c r="G52" i="2"/>
  <c r="F52" i="2"/>
  <c r="E52" i="2"/>
  <c r="D52" i="2"/>
  <c r="C52" i="2"/>
  <c r="H51" i="2"/>
  <c r="G51" i="2"/>
  <c r="F51" i="2"/>
  <c r="E51" i="2"/>
  <c r="D51" i="2"/>
  <c r="C51" i="2"/>
  <c r="E18" i="2"/>
  <c r="G14" i="2"/>
  <c r="D14" i="2"/>
  <c r="D6" i="2"/>
  <c r="E6" i="2" s="1"/>
  <c r="G6" i="2" s="1"/>
  <c r="D10" i="2" s="1"/>
  <c r="F10" i="2" s="1"/>
  <c r="A1" i="2"/>
  <c r="A3" i="2" s="1"/>
  <c r="E60" i="2" l="1"/>
  <c r="F60" i="2" s="1"/>
  <c r="G60" i="2" s="1"/>
  <c r="H60" i="2" s="1"/>
  <c r="D25" i="1"/>
  <c r="E25" i="1"/>
  <c r="F25" i="1"/>
  <c r="G25" i="1"/>
  <c r="H25" i="1"/>
  <c r="B24" i="1"/>
  <c r="C24" i="1" s="1"/>
  <c r="C25" i="1" s="1"/>
  <c r="K35" i="1"/>
  <c r="K40" i="1"/>
  <c r="E19" i="1" l="1"/>
  <c r="G19" i="1" s="1"/>
  <c r="H19" i="1" s="1"/>
  <c r="F18" i="1"/>
  <c r="I6" i="1"/>
  <c r="C8" i="1"/>
  <c r="D66" i="1"/>
  <c r="D48" i="1" s="1"/>
  <c r="E52" i="1"/>
  <c r="E53" i="1"/>
  <c r="E54" i="1"/>
  <c r="F54" i="1" s="1"/>
  <c r="G54" i="1" s="1"/>
  <c r="H54" i="1" s="1"/>
  <c r="E55" i="1"/>
  <c r="F55" i="1"/>
  <c r="G55" i="1"/>
  <c r="H55" i="1"/>
  <c r="E46" i="1"/>
  <c r="F46" i="1" s="1"/>
  <c r="G46" i="1" s="1"/>
  <c r="H46" i="1" s="1"/>
  <c r="E47" i="1"/>
  <c r="F47" i="1"/>
  <c r="G47" i="1"/>
  <c r="H47" i="1"/>
  <c r="D54" i="1"/>
  <c r="D55" i="1"/>
  <c r="D46" i="1"/>
  <c r="D47" i="1"/>
  <c r="D52" i="1"/>
  <c r="D53" i="1"/>
  <c r="E22" i="1"/>
  <c r="E23" i="1"/>
  <c r="D22" i="1"/>
  <c r="D23" i="1"/>
  <c r="C52" i="1"/>
  <c r="C22" i="1"/>
  <c r="C54" i="1"/>
  <c r="C55" i="1"/>
  <c r="C47" i="1"/>
  <c r="D62" i="1"/>
  <c r="E62" i="1"/>
  <c r="F62" i="1"/>
  <c r="G62" i="1"/>
  <c r="H62" i="1"/>
  <c r="C62" i="1"/>
  <c r="C46" i="1"/>
  <c r="B44" i="1"/>
  <c r="B54" i="1"/>
  <c r="B52" i="1"/>
  <c r="B41" i="1"/>
  <c r="B58" i="1" s="1"/>
  <c r="B45" i="1"/>
  <c r="B50" i="1" s="1"/>
  <c r="D43" i="1"/>
  <c r="E43" i="1"/>
  <c r="F43" i="1"/>
  <c r="G43" i="1"/>
  <c r="H43" i="1"/>
  <c r="C43" i="1"/>
  <c r="F17" i="1"/>
  <c r="G17" i="1"/>
  <c r="H17" i="1"/>
  <c r="F20" i="1"/>
  <c r="G20" i="1"/>
  <c r="H20" i="1" s="1"/>
  <c r="F21" i="1"/>
  <c r="G21" i="1"/>
  <c r="H21" i="1"/>
  <c r="D21" i="1"/>
  <c r="D20" i="1"/>
  <c r="E20" i="1" s="1"/>
  <c r="E21" i="1"/>
  <c r="E18" i="1"/>
  <c r="E17" i="1"/>
  <c r="E13" i="1"/>
  <c r="F13" i="1"/>
  <c r="G13" i="1"/>
  <c r="H13" i="1"/>
  <c r="E14" i="1"/>
  <c r="F14" i="1"/>
  <c r="G14" i="1"/>
  <c r="H14" i="1"/>
  <c r="D14" i="1"/>
  <c r="D13" i="1"/>
  <c r="D12" i="1"/>
  <c r="E12" i="1" s="1"/>
  <c r="F12" i="1" s="1"/>
  <c r="G12" i="1" s="1"/>
  <c r="H12" i="1" s="1"/>
  <c r="C45" i="1" l="1"/>
  <c r="D45" i="1" s="1"/>
  <c r="E45" i="1" s="1"/>
  <c r="F45" i="1" s="1"/>
  <c r="G45" i="1" s="1"/>
  <c r="H45" i="1" s="1"/>
  <c r="G18" i="1"/>
  <c r="F66" i="1"/>
  <c r="F48" i="1" s="1"/>
  <c r="E66" i="1"/>
  <c r="E48" i="1" s="1"/>
  <c r="F23" i="1"/>
  <c r="F53" i="1" s="1"/>
  <c r="F22" i="1"/>
  <c r="F52" i="1" s="1"/>
  <c r="B59" i="1"/>
  <c r="B60" i="1" s="1"/>
  <c r="C32" i="1"/>
  <c r="C17" i="1"/>
  <c r="C66" i="1" s="1"/>
  <c r="C15" i="1"/>
  <c r="D15" i="1" s="1"/>
  <c r="E15" i="1" s="1"/>
  <c r="F15" i="1" s="1"/>
  <c r="G15" i="1" s="1"/>
  <c r="H15" i="1" s="1"/>
  <c r="E16" i="1"/>
  <c r="F16" i="1" s="1"/>
  <c r="G16" i="1" s="1"/>
  <c r="H16" i="1" s="1"/>
  <c r="C11" i="1"/>
  <c r="D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C64" i="1" s="1"/>
  <c r="C56" i="1" s="1"/>
  <c r="D4" i="1"/>
  <c r="D32" i="1" s="1"/>
  <c r="A1" i="1"/>
  <c r="A3" i="1" s="1"/>
  <c r="H18" i="1" l="1"/>
  <c r="H66" i="1" s="1"/>
  <c r="H48" i="1" s="1"/>
  <c r="G66" i="1"/>
  <c r="G48" i="1" s="1"/>
  <c r="G22" i="1"/>
  <c r="G52" i="1" s="1"/>
  <c r="G53" i="1"/>
  <c r="G23" i="1"/>
  <c r="C48" i="1"/>
  <c r="C67" i="1"/>
  <c r="E11" i="1"/>
  <c r="E4" i="1"/>
  <c r="C48" i="4"/>
  <c r="C50" i="4" s="1"/>
  <c r="C53" i="4" s="1"/>
  <c r="E53" i="4" s="1"/>
  <c r="F48" i="4"/>
  <c r="F50" i="4"/>
  <c r="D6" i="1"/>
  <c r="H22" i="1" l="1"/>
  <c r="H52" i="1" s="1"/>
  <c r="H53" i="1"/>
  <c r="H23" i="1"/>
  <c r="C68" i="1"/>
  <c r="C37" i="1" s="1"/>
  <c r="C26" i="1"/>
  <c r="C29" i="1"/>
  <c r="C30" i="1" s="1"/>
  <c r="C33" i="1" s="1"/>
  <c r="F11" i="1"/>
  <c r="E6" i="1"/>
  <c r="D10" i="1"/>
  <c r="E32" i="1"/>
  <c r="F4" i="1"/>
  <c r="C54" i="4"/>
  <c r="D64" i="1" l="1"/>
  <c r="C41" i="1"/>
  <c r="C44" i="1"/>
  <c r="G11" i="1"/>
  <c r="F6" i="1"/>
  <c r="E10" i="1"/>
  <c r="F32" i="1"/>
  <c r="G4" i="1"/>
  <c r="C55" i="4"/>
  <c r="E54" i="4"/>
  <c r="D67" i="1" l="1"/>
  <c r="D56" i="1"/>
  <c r="C50" i="1"/>
  <c r="E64" i="1"/>
  <c r="D26" i="1"/>
  <c r="D29" i="1"/>
  <c r="D30" i="1" s="1"/>
  <c r="D33" i="1" s="1"/>
  <c r="C58" i="1"/>
  <c r="H11" i="1"/>
  <c r="G32" i="1"/>
  <c r="H4" i="1"/>
  <c r="H32" i="1" s="1"/>
  <c r="G6" i="1"/>
  <c r="F10" i="1"/>
  <c r="E55" i="4"/>
  <c r="C56" i="4"/>
  <c r="E56" i="1" l="1"/>
  <c r="E67" i="1"/>
  <c r="D68" i="1"/>
  <c r="D37" i="1" s="1"/>
  <c r="D41" i="1" s="1"/>
  <c r="D44" i="1"/>
  <c r="F64" i="1"/>
  <c r="E29" i="1"/>
  <c r="E30" i="1" s="1"/>
  <c r="E33" i="1" s="1"/>
  <c r="E26" i="1"/>
  <c r="H6" i="1"/>
  <c r="H10" i="1" s="1"/>
  <c r="H64" i="1" s="1"/>
  <c r="G10" i="1"/>
  <c r="C57" i="4"/>
  <c r="E57" i="4" s="1"/>
  <c r="E56" i="4"/>
  <c r="D58" i="1" l="1"/>
  <c r="D59" i="1" s="1"/>
  <c r="H56" i="1"/>
  <c r="H67" i="1"/>
  <c r="F56" i="1"/>
  <c r="F67" i="1"/>
  <c r="F68" i="1" s="1"/>
  <c r="F37" i="1" s="1"/>
  <c r="E44" i="1"/>
  <c r="D50" i="1"/>
  <c r="G64" i="1"/>
  <c r="F29" i="1"/>
  <c r="F30" i="1" s="1"/>
  <c r="F33" i="1" s="1"/>
  <c r="F26" i="1"/>
  <c r="E68" i="1"/>
  <c r="E37" i="1" s="1"/>
  <c r="E41" i="1" s="1"/>
  <c r="E58" i="1" s="1"/>
  <c r="E59" i="1" s="1"/>
  <c r="C53" i="1"/>
  <c r="C59" i="1"/>
  <c r="C60" i="1" s="1"/>
  <c r="D60" i="1" l="1"/>
  <c r="G29" i="1"/>
  <c r="G30" i="1" s="1"/>
  <c r="G33" i="1" s="1"/>
  <c r="G26" i="1"/>
  <c r="E50" i="1"/>
  <c r="E60" i="1" s="1"/>
  <c r="F44" i="1"/>
  <c r="G56" i="1"/>
  <c r="G67" i="1"/>
  <c r="H68" i="1" s="1"/>
  <c r="H37" i="1" s="1"/>
  <c r="H29" i="1"/>
  <c r="H30" i="1" s="1"/>
  <c r="H33" i="1" s="1"/>
  <c r="H26" i="1"/>
  <c r="F41" i="1"/>
  <c r="F50" i="1" l="1"/>
  <c r="G44" i="1"/>
  <c r="F58" i="1"/>
  <c r="F59" i="1" s="1"/>
  <c r="G68" i="1"/>
  <c r="G37" i="1" s="1"/>
  <c r="G41" i="1" s="1"/>
  <c r="H41" i="1" l="1"/>
  <c r="H58" i="1" s="1"/>
  <c r="H59" i="1" s="1"/>
  <c r="G58" i="1"/>
  <c r="G59" i="1" s="1"/>
  <c r="F60" i="1"/>
  <c r="G50" i="1"/>
  <c r="H44" i="1"/>
  <c r="H50" i="1" s="1"/>
  <c r="H60" i="1" l="1"/>
  <c r="G60" i="1"/>
</calcChain>
</file>

<file path=xl/sharedStrings.xml><?xml version="1.0" encoding="utf-8"?>
<sst xmlns="http://schemas.openxmlformats.org/spreadsheetml/2006/main" count="355" uniqueCount="210">
  <si>
    <t>15M</t>
  </si>
  <si>
    <t>MAD cabines</t>
  </si>
  <si>
    <t>Comm sur CA thera</t>
  </si>
  <si>
    <t>CA propre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</si>
  <si>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</si>
  <si>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</si>
  <si>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</si>
  <si>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</si>
  <si>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</si>
  <si>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</si>
  <si>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</si>
  <si>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</si>
  <si>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</si>
  <si>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</si>
  <si>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</si>
  <si>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</si>
  <si>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</si>
  <si>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</si>
  <si>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</si>
  <si>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</si>
  <si>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</si>
  <si>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</si>
  <si>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</si>
  <si>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</si>
  <si>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</si>
  <si>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</si>
  <si>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</si>
  <si>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</si>
  <si>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</si>
  <si>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</si>
  <si>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</si>
  <si>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</si>
  <si>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</si>
  <si>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</si>
  <si>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</si>
  <si>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</si>
  <si>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</si>
  <si>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</si>
  <si>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</si>
  <si>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</si>
  <si>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</si>
  <si>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</si>
  <si>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</si>
  <si>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</si>
  <si>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</si>
  <si>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</si>
  <si>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</si>
  <si>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</si>
  <si>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</si>
  <si>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</si>
  <si>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</si>
  <si>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</si>
  <si>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</si>
  <si>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</si>
  <si>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</si>
  <si>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</si>
  <si>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</si>
  <si>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</si>
  <si>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</si>
  <si>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</si>
  <si>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</si>
  <si>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</si>
  <si>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</si>
  <si>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</si>
  <si>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</si>
  <si>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</si>
  <si>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</si>
  <si>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</si>
  <si>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</si>
  <si>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</si>
  <si>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</si>
  <si>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</si>
  <si>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</si>
  <si>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</si>
  <si>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</si>
  <si>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</si>
  <si>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</si>
  <si>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</si>
  <si>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</si>
  <si>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</si>
  <si>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</si>
  <si>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</si>
  <si>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</si>
  <si>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</si>
  <si>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</si>
  <si>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</si>
  <si>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</si>
  <si>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</si>
  <si>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</si>
  <si>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</si>
  <si>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</si>
  <si>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</si>
  <si>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</si>
  <si>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</si>
  <si>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</si>
  <si>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</si>
  <si>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</si>
  <si>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</si>
  <si>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</si>
  <si>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</si>
  <si>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</si>
  <si>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</si>
  <si>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</si>
  <si>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</si>
  <si>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</si>
  <si>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</si>
  <si>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</si>
  <si>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</si>
  <si>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</si>
  <si>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</si>
  <si>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</si>
  <si>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</si>
  <si>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</si>
  <si>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</si>
  <si>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</si>
  <si>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</si>
  <si>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</si>
  <si>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</si>
  <si>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</si>
  <si>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</si>
  <si>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</si>
  <si>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</si>
  <si>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</si>
  <si>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</si>
  <si>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</si>
  <si>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</si>
  <si>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</si>
  <si>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</si>
  <si>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</si>
  <si>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</si>
  <si>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</si>
  <si>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</si>
  <si>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</si>
  <si>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</si>
  <si>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</si>
  <si>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</si>
  <si>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</si>
  <si>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</si>
  <si>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</si>
  <si>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</si>
  <si>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</si>
  <si>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</si>
  <si>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</si>
  <si>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</si>
  <si>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</si>
  <si>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</si>
  <si>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</si>
  <si>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</si>
  <si>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</si>
  <si>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</si>
  <si>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</si>
  <si>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</si>
  <si>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</si>
  <si>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</si>
  <si>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</si>
  <si>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</si>
  <si>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</si>
  <si>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</si>
  <si>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</si>
  <si>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</si>
  <si>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</si>
  <si>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</si>
  <si>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</si>
  <si>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</si>
  <si>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Capropres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</si>
  <si>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</si>
  <si>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</si>
  <si>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</si>
  <si>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</si>
  <si>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</si>
  <si>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</si>
  <si>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</si>
  <si>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</si>
  <si>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</si>
  <si>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</si>
  <si>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</si>
  <si>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</si>
  <si>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</si>
  <si>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</si>
  <si>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</si>
  <si>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</si>
  <si>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</si>
  <si>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</si>
  <si>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</si>
  <si>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</si>
  <si>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</si>
  <si>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</si>
  <si>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</si>
  <si>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</si>
  <si>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</si>
  <si>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</si>
  <si>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MAXI</t>
  </si>
  <si>
    <t>Tx rempl</t>
  </si>
  <si>
    <t>Hôtesses</t>
  </si>
  <si>
    <t>Informaticien</t>
  </si>
  <si>
    <t>BUSINESS PLAN KHEPRI DEVELOPPEMENT</t>
  </si>
  <si>
    <t>EVELYNE</t>
  </si>
  <si>
    <t>AUTRES</t>
  </si>
  <si>
    <t>CAPITAL</t>
  </si>
  <si>
    <t>Evelyne</t>
  </si>
  <si>
    <t>Autres</t>
  </si>
  <si>
    <t>total</t>
  </si>
  <si>
    <t>Crowd Funding</t>
  </si>
  <si>
    <t>DIAPOVENTES</t>
  </si>
  <si>
    <t>DIAPO CPTE EXPL</t>
  </si>
  <si>
    <t>DIAPO FINANCEMENTS</t>
  </si>
  <si>
    <t>Cptes financement</t>
  </si>
  <si>
    <t>DIAPO BILANS</t>
  </si>
  <si>
    <t>DIAPO BFR</t>
  </si>
  <si>
    <t>CPTES EXPLOITATION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</si>
</sst>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Border="1"/>
    <xf numFmtId="9" fontId="4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9" fontId="0" fillId="0" borderId="1" xfId="1" applyFont="1" applyFill="1" applyBorder="1"/>
    <xf numFmtId="9" fontId="0" fillId="0" borderId="0" xfId="0" applyNumberFormat="1" applyFill="1" applyBorder="1"/>
    <xf numFmtId="0" fontId="4" fillId="0" borderId="0" xfId="0" applyFont="1" applyFill="1" applyBorder="1"/>
    <xf numFmtId="165" fontId="4" fillId="0" borderId="0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34</xdr:row>
      <xdr:rowOff>123825</xdr:rowOff>
    </xdr:from>
    <xdr:to>
      <xdr:col>8</xdr:col>
      <xdr:colOff>485775</xdr:colOff>
      <xdr:row>36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31</xdr:row>
      <xdr:rowOff>142875</xdr:rowOff>
    </xdr:from>
    <xdr:to>
      <xdr:col>8</xdr:col>
      <xdr:colOff>466725</xdr:colOff>
      <xdr:row>33</xdr:row>
      <xdr:rowOff>114301</xdr:rowOff>
    </xdr:to>
    <xdr:cxnSp macro="">
      <xdr:nvCxnSpPr>
        <xdr:cNvPr id="5" name="Connecteur droit avec flèche 4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123825</xdr:rowOff>
    </xdr:from>
    <xdr:to>
      <xdr:col>8</xdr:col>
      <xdr:colOff>485775</xdr:colOff>
      <xdr:row>55</xdr:row>
      <xdr:rowOff>114300</xdr:rowOff>
    </xdr:to>
    <xdr:cxnSp macro="">
      <xdr:nvCxnSpPr>
        <xdr:cNvPr id="2" name="Connecteur droit avec flèche 1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50</xdr:row>
      <xdr:rowOff>142875</xdr:rowOff>
    </xdr:from>
    <xdr:to>
      <xdr:col>8</xdr:col>
      <xdr:colOff>466725</xdr:colOff>
      <xdr:row>52</xdr:row>
      <xdr:rowOff>114301</xdr:rowOff>
    </xdr:to>
    <xdr:cxnSp macro="">
      <xdr:nvCxnSpPr>
        <xdr:cNvPr id="3" name="Connecteur droit avec flèche 2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Normal="100" workbookViewId="0">
      <selection activeCell="D3" sqref="D3"/>
    </sheetView>
  </sheetViews>
  <sheetFormatPr baseColWidth="10" defaultColWidth="8.28515625" defaultRowHeight="15" x14ac:dyDescent="0.2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10" t="s">
        <v>195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A4" s="96" t="s">
        <v>209</v>
      </c>
      <c r="B4" s="97"/>
      <c r="C4" s="12">
        <v>2015</v>
      </c>
      <c r="D4" s="12">
        <f>C4+1</f>
        <v>2016</v>
      </c>
      <c r="E4" s="12">
        <f t="shared" ref="E4:H4" si="0">D4+1</f>
        <v>2017</v>
      </c>
      <c r="F4" s="12">
        <f t="shared" si="0"/>
        <v>2018</v>
      </c>
      <c r="G4" s="12">
        <f t="shared" si="0"/>
        <v>2019</v>
      </c>
      <c r="H4" s="12">
        <f t="shared" si="0"/>
        <v>2020</v>
      </c>
      <c r="K4" t="s">
        <v>17</v>
      </c>
    </row>
    <row r="5" spans="1:15" x14ac:dyDescent="0.25">
      <c r="A5" s="98"/>
      <c r="B5" s="99"/>
      <c r="C5" s="13" t="s">
        <v>0</v>
      </c>
      <c r="D5" s="13" t="s">
        <v>24</v>
      </c>
      <c r="E5" s="12"/>
      <c r="F5" s="12"/>
      <c r="G5" s="12"/>
      <c r="H5" s="12"/>
      <c r="I5" s="3" t="s">
        <v>192</v>
      </c>
      <c r="K5" s="2" t="s">
        <v>8</v>
      </c>
      <c r="L5" s="2" t="s">
        <v>6</v>
      </c>
      <c r="M5" s="2" t="s">
        <v>7</v>
      </c>
      <c r="N5" s="2" t="s">
        <v>5</v>
      </c>
      <c r="O5" s="2" t="s">
        <v>13</v>
      </c>
    </row>
    <row r="6" spans="1:15" x14ac:dyDescent="0.25">
      <c r="A6" s="11" t="s">
        <v>1</v>
      </c>
      <c r="B6" s="4">
        <v>0.2</v>
      </c>
      <c r="C6" s="83">
        <f>N10</f>
        <v>141.38181818181818</v>
      </c>
      <c r="D6" s="83">
        <f>C6*(1+$B$6)</f>
        <v>169.65818181818182</v>
      </c>
      <c r="E6" s="83">
        <f t="shared" ref="E6:H6" si="1">D6*(1+$B$6)</f>
        <v>203.58981818181817</v>
      </c>
      <c r="F6" s="83">
        <f t="shared" si="1"/>
        <v>244.30778181818181</v>
      </c>
      <c r="G6" s="83">
        <f t="shared" si="1"/>
        <v>293.16933818181815</v>
      </c>
      <c r="H6" s="83">
        <f t="shared" si="1"/>
        <v>351.80320581818177</v>
      </c>
      <c r="I6" s="89">
        <f>+H6/O10</f>
        <v>0.74692825014475961</v>
      </c>
      <c r="K6" s="5">
        <v>10</v>
      </c>
      <c r="L6" s="5">
        <f>12*360</f>
        <v>4320</v>
      </c>
      <c r="M6" s="3">
        <f>L6*K6</f>
        <v>43200</v>
      </c>
      <c r="N6" s="6">
        <v>0.3</v>
      </c>
      <c r="O6" s="3">
        <f>N6*M6</f>
        <v>12960</v>
      </c>
    </row>
    <row r="7" spans="1:15" x14ac:dyDescent="0.25">
      <c r="A7" s="11" t="s">
        <v>15</v>
      </c>
      <c r="B7" s="4">
        <v>0.15</v>
      </c>
      <c r="C7" s="83">
        <f>O14/1000</f>
        <v>21.6</v>
      </c>
      <c r="D7" s="83">
        <f>C7*(1+$B$7)</f>
        <v>24.84</v>
      </c>
      <c r="E7" s="83">
        <f t="shared" ref="E7:H7" si="2">D7*(1+$B$7)</f>
        <v>28.565999999999999</v>
      </c>
      <c r="F7" s="83">
        <f t="shared" si="2"/>
        <v>32.850899999999996</v>
      </c>
      <c r="G7" s="83">
        <f t="shared" si="2"/>
        <v>37.778534999999991</v>
      </c>
      <c r="H7" s="83">
        <f t="shared" si="2"/>
        <v>43.445315249999986</v>
      </c>
    </row>
    <row r="8" spans="1:15" x14ac:dyDescent="0.25">
      <c r="A8" s="11" t="s">
        <v>2</v>
      </c>
      <c r="B8" s="4">
        <v>0.2</v>
      </c>
      <c r="C8" s="87">
        <f>M18/2000</f>
        <v>10</v>
      </c>
      <c r="D8" s="83">
        <f>+C8*(1+$B$8)</f>
        <v>12</v>
      </c>
      <c r="E8" s="83">
        <f t="shared" ref="E8:H8" si="3">+D8*(1+$B$8)</f>
        <v>14.399999999999999</v>
      </c>
      <c r="F8" s="83">
        <f t="shared" si="3"/>
        <v>17.279999999999998</v>
      </c>
      <c r="G8" s="83">
        <f t="shared" si="3"/>
        <v>20.735999999999997</v>
      </c>
      <c r="H8" s="83">
        <f t="shared" si="3"/>
        <v>24.883199999999995</v>
      </c>
      <c r="K8" t="s">
        <v>9</v>
      </c>
    </row>
    <row r="9" spans="1:15" x14ac:dyDescent="0.25">
      <c r="A9" s="11" t="s">
        <v>3</v>
      </c>
      <c r="B9" s="3"/>
      <c r="C9" s="84">
        <v>25</v>
      </c>
      <c r="D9" s="84">
        <v>25</v>
      </c>
      <c r="E9" s="84">
        <v>25</v>
      </c>
      <c r="F9" s="84">
        <v>15</v>
      </c>
      <c r="G9" s="84">
        <v>10</v>
      </c>
      <c r="H9" s="84">
        <v>0</v>
      </c>
      <c r="K9" s="2" t="s">
        <v>10</v>
      </c>
      <c r="L9" s="2" t="s">
        <v>11</v>
      </c>
      <c r="M9" s="2" t="s">
        <v>12</v>
      </c>
      <c r="N9" s="2" t="s">
        <v>14</v>
      </c>
      <c r="O9" s="88" t="s">
        <v>191</v>
      </c>
    </row>
    <row r="10" spans="1:15" x14ac:dyDescent="0.25">
      <c r="A10" s="16" t="s">
        <v>4</v>
      </c>
      <c r="B10" s="12"/>
      <c r="C10" s="86">
        <f>C6+C7+C8+C9</f>
        <v>197.98181818181817</v>
      </c>
      <c r="D10" s="86">
        <f t="shared" ref="D10:H10" si="4">D6+D7+D8+D9</f>
        <v>231.49818181818182</v>
      </c>
      <c r="E10" s="86">
        <f t="shared" si="4"/>
        <v>271.55581818181815</v>
      </c>
      <c r="F10" s="86">
        <f t="shared" si="4"/>
        <v>309.43868181818175</v>
      </c>
      <c r="G10" s="86">
        <f t="shared" si="4"/>
        <v>361.68387318181811</v>
      </c>
      <c r="H10" s="86">
        <f t="shared" si="4"/>
        <v>420.13172106818172</v>
      </c>
      <c r="K10" s="15">
        <v>220</v>
      </c>
      <c r="L10" s="14">
        <f>O6/K10</f>
        <v>58.909090909090907</v>
      </c>
      <c r="M10" s="15">
        <v>2400</v>
      </c>
      <c r="N10" s="14">
        <f>M10*L10/1000</f>
        <v>141.38181818181818</v>
      </c>
      <c r="O10" s="5">
        <v>471</v>
      </c>
    </row>
    <row r="11" spans="1:15" x14ac:dyDescent="0.25">
      <c r="A11" s="78" t="s">
        <v>25</v>
      </c>
      <c r="B11" s="4">
        <v>0.02</v>
      </c>
      <c r="C11" s="87">
        <f>('Structure des flux'!A16+'Structure des flux'!A17+'Structure des flux'!A18+'Structure des flux'!A19)/12*15/1000</f>
        <v>55.583750000000002</v>
      </c>
      <c r="D11" s="83">
        <f>C11*(1+$B$11)</f>
        <v>56.695425</v>
      </c>
      <c r="E11" s="83">
        <f t="shared" ref="E11:H11" si="5">D11*(1+$B$11)</f>
        <v>57.829333500000004</v>
      </c>
      <c r="F11" s="83">
        <f t="shared" si="5"/>
        <v>58.985920170000007</v>
      </c>
      <c r="G11" s="83">
        <f t="shared" si="5"/>
        <v>60.16563857340001</v>
      </c>
      <c r="H11" s="83">
        <f t="shared" si="5"/>
        <v>61.368951344868009</v>
      </c>
    </row>
    <row r="12" spans="1:15" x14ac:dyDescent="0.25">
      <c r="A12" s="78" t="s">
        <v>154</v>
      </c>
      <c r="B12" s="4">
        <v>0.02</v>
      </c>
      <c r="C12" s="84">
        <v>5</v>
      </c>
      <c r="D12" s="83">
        <f>C12*(1+$B$12)</f>
        <v>5.0999999999999996</v>
      </c>
      <c r="E12" s="83">
        <f t="shared" ref="E12:H12" si="6">D12*(1+$B$12)</f>
        <v>5.202</v>
      </c>
      <c r="F12" s="83">
        <f t="shared" si="6"/>
        <v>5.3060400000000003</v>
      </c>
      <c r="G12" s="83">
        <f t="shared" si="6"/>
        <v>5.4121608000000005</v>
      </c>
      <c r="H12" s="83">
        <f t="shared" si="6"/>
        <v>5.5204040160000005</v>
      </c>
      <c r="K12" t="s">
        <v>16</v>
      </c>
    </row>
    <row r="13" spans="1:15" x14ac:dyDescent="0.25">
      <c r="A13" s="78" t="s">
        <v>155</v>
      </c>
      <c r="B13" s="3"/>
      <c r="C13" s="84">
        <v>3</v>
      </c>
      <c r="D13" s="83">
        <f>C13*(1+$B$13)</f>
        <v>3</v>
      </c>
      <c r="E13" s="83">
        <f t="shared" ref="E13:H13" si="7">D13*(1+$B$13)</f>
        <v>3</v>
      </c>
      <c r="F13" s="83">
        <f t="shared" si="7"/>
        <v>3</v>
      </c>
      <c r="G13" s="83">
        <f t="shared" si="7"/>
        <v>3</v>
      </c>
      <c r="H13" s="83">
        <f t="shared" si="7"/>
        <v>3</v>
      </c>
      <c r="K13" s="2" t="s">
        <v>18</v>
      </c>
      <c r="L13" s="2" t="s">
        <v>7</v>
      </c>
      <c r="M13" s="2" t="s">
        <v>5</v>
      </c>
      <c r="N13" s="2" t="s">
        <v>19</v>
      </c>
      <c r="O13" s="2" t="s">
        <v>20</v>
      </c>
    </row>
    <row r="14" spans="1:15" x14ac:dyDescent="0.25">
      <c r="A14" s="78" t="s">
        <v>156</v>
      </c>
      <c r="B14" s="3"/>
      <c r="C14" s="84">
        <v>2</v>
      </c>
      <c r="D14" s="83">
        <f>C14*(1+$B$14)</f>
        <v>2</v>
      </c>
      <c r="E14" s="83">
        <f t="shared" ref="E14:H14" si="8">D14*(1+$B$14)</f>
        <v>2</v>
      </c>
      <c r="F14" s="83">
        <f t="shared" si="8"/>
        <v>2</v>
      </c>
      <c r="G14" s="83">
        <f t="shared" si="8"/>
        <v>2</v>
      </c>
      <c r="H14" s="83">
        <f t="shared" si="8"/>
        <v>2</v>
      </c>
      <c r="K14" s="5">
        <v>2</v>
      </c>
      <c r="L14" s="5">
        <f>9*200*K14</f>
        <v>3600</v>
      </c>
      <c r="M14" s="6">
        <v>0.3</v>
      </c>
      <c r="N14" s="5">
        <v>20</v>
      </c>
      <c r="O14" s="3">
        <f>N14*M14*L14</f>
        <v>21600</v>
      </c>
    </row>
    <row r="15" spans="1:15" x14ac:dyDescent="0.25">
      <c r="A15" s="78" t="s">
        <v>144</v>
      </c>
      <c r="B15" s="4">
        <v>0.02</v>
      </c>
      <c r="C15" s="83">
        <f>SUM('Structure des flux'!A6:A10)/12*15/1000+'Structure des flux'!A28/1000</f>
        <v>9.8042500000000015</v>
      </c>
      <c r="D15" s="83">
        <f>C15*(1+$B$15)</f>
        <v>10.000335000000002</v>
      </c>
      <c r="E15" s="83">
        <f t="shared" ref="E15:H15" si="9">D15*(1+$B$15)</f>
        <v>10.200341700000001</v>
      </c>
      <c r="F15" s="83">
        <f t="shared" si="9"/>
        <v>10.404348534</v>
      </c>
      <c r="G15" s="83">
        <f t="shared" si="9"/>
        <v>10.612435504680001</v>
      </c>
      <c r="H15" s="83">
        <f t="shared" si="9"/>
        <v>10.824684214773601</v>
      </c>
    </row>
    <row r="16" spans="1:15" x14ac:dyDescent="0.25">
      <c r="A16" s="78" t="s">
        <v>93</v>
      </c>
      <c r="B16" s="4">
        <v>0.02</v>
      </c>
      <c r="C16" s="84">
        <v>15</v>
      </c>
      <c r="D16" s="84">
        <v>5</v>
      </c>
      <c r="E16" s="83">
        <f t="shared" ref="E16:H16" si="10">D16*(1+$B$16)</f>
        <v>5.0999999999999996</v>
      </c>
      <c r="F16" s="83">
        <f t="shared" si="10"/>
        <v>5.202</v>
      </c>
      <c r="G16" s="83">
        <f t="shared" si="10"/>
        <v>5.3060400000000003</v>
      </c>
      <c r="H16" s="83">
        <f t="shared" si="10"/>
        <v>5.4121608000000005</v>
      </c>
      <c r="K16" t="s">
        <v>21</v>
      </c>
    </row>
    <row r="17" spans="1:13" x14ac:dyDescent="0.25">
      <c r="A17" s="78" t="s">
        <v>146</v>
      </c>
      <c r="B17" s="4">
        <v>0.02</v>
      </c>
      <c r="C17" s="87">
        <f>'Structure des flux'!A48/1000</f>
        <v>80</v>
      </c>
      <c r="D17" s="84">
        <v>100</v>
      </c>
      <c r="E17" s="83">
        <f>D17*(1+$B$17)</f>
        <v>102</v>
      </c>
      <c r="F17" s="83">
        <f t="shared" ref="F17:H17" si="11">E17*(1+$B$17)</f>
        <v>104.04</v>
      </c>
      <c r="G17" s="83">
        <f t="shared" si="11"/>
        <v>106.1208</v>
      </c>
      <c r="H17" s="83">
        <f t="shared" si="11"/>
        <v>108.243216</v>
      </c>
      <c r="K17" s="2" t="s">
        <v>5</v>
      </c>
      <c r="L17" s="2" t="s">
        <v>22</v>
      </c>
      <c r="M17" s="2" t="s">
        <v>23</v>
      </c>
    </row>
    <row r="18" spans="1:13" x14ac:dyDescent="0.25">
      <c r="A18" s="78" t="s">
        <v>193</v>
      </c>
      <c r="B18" s="4">
        <v>0.02</v>
      </c>
      <c r="C18" s="84">
        <v>12</v>
      </c>
      <c r="D18" s="84">
        <v>25</v>
      </c>
      <c r="E18" s="83">
        <f>D18*(1+$B$18)</f>
        <v>25.5</v>
      </c>
      <c r="F18" s="84">
        <f>E18*2</f>
        <v>51</v>
      </c>
      <c r="G18" s="83">
        <f t="shared" ref="G18:H18" si="12">F18*(1+$B$18)</f>
        <v>52.02</v>
      </c>
      <c r="H18" s="83">
        <f t="shared" si="12"/>
        <v>53.060400000000001</v>
      </c>
      <c r="K18" s="6">
        <v>0.05</v>
      </c>
      <c r="L18" s="5">
        <v>400000</v>
      </c>
      <c r="M18" s="3">
        <f>L18*K18</f>
        <v>20000</v>
      </c>
    </row>
    <row r="19" spans="1:13" x14ac:dyDescent="0.25">
      <c r="A19" s="78" t="s">
        <v>194</v>
      </c>
      <c r="B19" s="4">
        <v>0.02</v>
      </c>
      <c r="C19" s="84">
        <v>10</v>
      </c>
      <c r="D19" s="84">
        <v>15</v>
      </c>
      <c r="E19" s="87">
        <f t="shared" ref="E19:H19" si="13">+D19*(1+$B$19)</f>
        <v>15.3</v>
      </c>
      <c r="F19" s="84">
        <v>40</v>
      </c>
      <c r="G19" s="87">
        <f t="shared" si="13"/>
        <v>40.799999999999997</v>
      </c>
      <c r="H19" s="87">
        <f t="shared" si="13"/>
        <v>41.616</v>
      </c>
      <c r="K19" s="90"/>
      <c r="L19" s="80"/>
      <c r="M19" s="81"/>
    </row>
    <row r="20" spans="1:13" x14ac:dyDescent="0.25">
      <c r="A20" s="78" t="s">
        <v>153</v>
      </c>
      <c r="B20" s="4">
        <v>0.02</v>
      </c>
      <c r="C20" s="84">
        <v>5</v>
      </c>
      <c r="D20" s="83">
        <f>C20*(1+$B$20)</f>
        <v>5.0999999999999996</v>
      </c>
      <c r="E20" s="83">
        <f>D20*(1+$B$20)</f>
        <v>5.202</v>
      </c>
      <c r="F20" s="83">
        <f t="shared" ref="F20:H20" si="14">E20*(1+$B$20)</f>
        <v>5.3060400000000003</v>
      </c>
      <c r="G20" s="83">
        <f t="shared" si="14"/>
        <v>5.4121608000000005</v>
      </c>
      <c r="H20" s="83">
        <f t="shared" si="14"/>
        <v>5.5204040160000005</v>
      </c>
    </row>
    <row r="21" spans="1:13" x14ac:dyDescent="0.25">
      <c r="A21" s="78" t="s">
        <v>147</v>
      </c>
      <c r="B21" s="4">
        <v>0.02</v>
      </c>
      <c r="C21" s="84">
        <v>15</v>
      </c>
      <c r="D21" s="83">
        <f>C21*(1+$B$21)</f>
        <v>15.3</v>
      </c>
      <c r="E21" s="83">
        <f>D21*(1+$B$21)</f>
        <v>15.606000000000002</v>
      </c>
      <c r="F21" s="83">
        <f t="shared" ref="F21:H21" si="15">E21*(1+$B$21)</f>
        <v>15.918120000000002</v>
      </c>
      <c r="G21" s="83">
        <f t="shared" si="15"/>
        <v>16.236482400000003</v>
      </c>
      <c r="H21" s="83">
        <f t="shared" si="15"/>
        <v>16.561212048000005</v>
      </c>
    </row>
    <row r="22" spans="1:13" x14ac:dyDescent="0.25">
      <c r="A22" s="78" t="s">
        <v>189</v>
      </c>
      <c r="B22" s="5">
        <v>5</v>
      </c>
      <c r="C22" s="83">
        <f>B52/$B$22</f>
        <v>1.4</v>
      </c>
      <c r="D22" s="83">
        <f>C52/$B$22</f>
        <v>1.1199999999999999</v>
      </c>
      <c r="E22" s="83">
        <f t="shared" ref="E22:H22" si="16">D52/$B$22</f>
        <v>0.89599999999999991</v>
      </c>
      <c r="F22" s="83">
        <f t="shared" si="16"/>
        <v>0.71679999999999988</v>
      </c>
      <c r="G22" s="83">
        <f t="shared" si="16"/>
        <v>0.57343999999999995</v>
      </c>
      <c r="H22" s="83">
        <f t="shared" si="16"/>
        <v>0.45875199999999994</v>
      </c>
    </row>
    <row r="23" spans="1:13" x14ac:dyDescent="0.25">
      <c r="A23" s="78" t="s">
        <v>190</v>
      </c>
      <c r="B23" s="5">
        <v>5</v>
      </c>
      <c r="C23" s="83">
        <v>0</v>
      </c>
      <c r="D23" s="83">
        <f>C53/$B$23</f>
        <v>6</v>
      </c>
      <c r="E23" s="83">
        <f t="shared" ref="E23:H23" si="17">D53/$B$23</f>
        <v>4.8</v>
      </c>
      <c r="F23" s="83">
        <f t="shared" si="17"/>
        <v>3.84</v>
      </c>
      <c r="G23" s="83">
        <f t="shared" si="17"/>
        <v>3.0720000000000001</v>
      </c>
      <c r="H23" s="83">
        <f t="shared" si="17"/>
        <v>2.4576000000000002</v>
      </c>
    </row>
    <row r="24" spans="1:13" x14ac:dyDescent="0.25">
      <c r="A24" s="78" t="s">
        <v>202</v>
      </c>
      <c r="B24" s="83">
        <f>10%*(K39+K34)</f>
        <v>3.5</v>
      </c>
      <c r="C24" s="85">
        <f>+B24</f>
        <v>3.5</v>
      </c>
      <c r="D24" s="83"/>
      <c r="E24" s="83"/>
      <c r="F24" s="83"/>
      <c r="G24" s="83"/>
      <c r="H24" s="83"/>
    </row>
    <row r="25" spans="1:13" x14ac:dyDescent="0.25">
      <c r="A25" s="79" t="s">
        <v>148</v>
      </c>
      <c r="B25" s="12"/>
      <c r="C25" s="86">
        <f>+C10-SUM(C11:C24)</f>
        <v>-19.306181818181841</v>
      </c>
      <c r="D25" s="86">
        <f t="shared" ref="D25:H25" si="18">+D10-SUM(D11:D24)</f>
        <v>-17.817578181818192</v>
      </c>
      <c r="E25" s="86">
        <f t="shared" si="18"/>
        <v>18.920142981818145</v>
      </c>
      <c r="F25" s="86">
        <f t="shared" si="18"/>
        <v>3.7194131141818048</v>
      </c>
      <c r="G25" s="86">
        <f t="shared" si="18"/>
        <v>50.952715103738115</v>
      </c>
      <c r="H25" s="86">
        <f t="shared" si="18"/>
        <v>104.08793662854009</v>
      </c>
    </row>
    <row r="26" spans="1:13" x14ac:dyDescent="0.25">
      <c r="A26" s="79" t="s">
        <v>163</v>
      </c>
      <c r="B26" s="12"/>
      <c r="C26" s="82">
        <f>C25/C10</f>
        <v>-9.7514923317109134E-2</v>
      </c>
      <c r="D26" s="82">
        <f t="shared" ref="D26:H26" si="19">D25/D10</f>
        <v>-7.6966384970626162E-2</v>
      </c>
      <c r="E26" s="82">
        <f t="shared" si="19"/>
        <v>6.9673126904430033E-2</v>
      </c>
      <c r="F26" s="82">
        <f t="shared" si="19"/>
        <v>1.2019871246631139E-2</v>
      </c>
      <c r="G26" s="82">
        <f t="shared" si="19"/>
        <v>0.14087638095526653</v>
      </c>
      <c r="H26" s="82">
        <f t="shared" si="19"/>
        <v>0.2477507205690094</v>
      </c>
    </row>
    <row r="27" spans="1:13" x14ac:dyDescent="0.25">
      <c r="A27" s="78" t="s">
        <v>149</v>
      </c>
      <c r="B27" s="3"/>
      <c r="C27" s="83"/>
      <c r="D27" s="83"/>
      <c r="E27" s="83"/>
      <c r="F27" s="83"/>
      <c r="G27" s="83"/>
      <c r="H27" s="83"/>
    </row>
    <row r="28" spans="1:13" x14ac:dyDescent="0.25">
      <c r="A28" s="78" t="s">
        <v>150</v>
      </c>
      <c r="B28" s="3"/>
      <c r="C28" s="83"/>
      <c r="D28" s="83"/>
      <c r="E28" s="83"/>
      <c r="F28" s="83"/>
      <c r="G28" s="83"/>
      <c r="H28" s="83"/>
    </row>
    <row r="29" spans="1:13" x14ac:dyDescent="0.25">
      <c r="A29" s="78" t="s">
        <v>151</v>
      </c>
      <c r="B29" s="4">
        <v>0.25</v>
      </c>
      <c r="C29" s="83">
        <f>-(C25+C27+C28)*$B$29</f>
        <v>4.8265454545454602</v>
      </c>
      <c r="D29" s="83">
        <f t="shared" ref="D29:H29" si="20">-(D25+D27+D28)*$B$29</f>
        <v>4.4543945454545479</v>
      </c>
      <c r="E29" s="83">
        <f t="shared" si="20"/>
        <v>-4.7300357454545363</v>
      </c>
      <c r="F29" s="83">
        <f t="shared" si="20"/>
        <v>-0.92985327854545119</v>
      </c>
      <c r="G29" s="83">
        <f t="shared" si="20"/>
        <v>-12.738178775934529</v>
      </c>
      <c r="H29" s="83">
        <f t="shared" si="20"/>
        <v>-26.021984157135023</v>
      </c>
    </row>
    <row r="30" spans="1:13" x14ac:dyDescent="0.25">
      <c r="A30" s="79" t="s">
        <v>152</v>
      </c>
      <c r="B30" s="12"/>
      <c r="C30" s="86">
        <f>C25+C27+C28+C29</f>
        <v>-14.479636363636381</v>
      </c>
      <c r="D30" s="86">
        <f t="shared" ref="D30:H30" si="21">D25+D27+D28+D29</f>
        <v>-13.363183636363644</v>
      </c>
      <c r="E30" s="86">
        <f t="shared" si="21"/>
        <v>14.190107236363609</v>
      </c>
      <c r="F30" s="86">
        <f t="shared" si="21"/>
        <v>2.7895598356363536</v>
      </c>
      <c r="G30" s="86">
        <f t="shared" si="21"/>
        <v>38.214536327803586</v>
      </c>
      <c r="H30" s="86">
        <f t="shared" si="21"/>
        <v>78.065952471405069</v>
      </c>
    </row>
    <row r="32" spans="1:13" x14ac:dyDescent="0.25">
      <c r="A32" s="12" t="s">
        <v>206</v>
      </c>
      <c r="B32" s="3"/>
      <c r="C32" s="17">
        <f t="shared" ref="C32:H32" si="22">+C4</f>
        <v>2015</v>
      </c>
      <c r="D32" s="17">
        <f t="shared" si="22"/>
        <v>2016</v>
      </c>
      <c r="E32" s="17">
        <f t="shared" si="22"/>
        <v>2017</v>
      </c>
      <c r="F32" s="17">
        <f t="shared" si="22"/>
        <v>2018</v>
      </c>
      <c r="G32" s="17">
        <f t="shared" si="22"/>
        <v>2019</v>
      </c>
      <c r="H32" s="17">
        <f t="shared" si="22"/>
        <v>2020</v>
      </c>
      <c r="J32" s="93" t="s">
        <v>165</v>
      </c>
      <c r="K32" s="93"/>
    </row>
    <row r="33" spans="1:11" x14ac:dyDescent="0.25">
      <c r="A33" s="3" t="s">
        <v>157</v>
      </c>
      <c r="B33" s="83"/>
      <c r="C33" s="83">
        <f>C30+C22+C23</f>
        <v>-13.07963636363638</v>
      </c>
      <c r="D33" s="83">
        <f t="shared" ref="D33:H33" si="23">D30+D22+D23</f>
        <v>-6.2431836363636446</v>
      </c>
      <c r="E33" s="83">
        <f t="shared" si="23"/>
        <v>19.88610723636361</v>
      </c>
      <c r="F33" s="83">
        <f t="shared" si="23"/>
        <v>7.3463598356363535</v>
      </c>
      <c r="G33" s="83">
        <f t="shared" si="23"/>
        <v>41.859976327803587</v>
      </c>
      <c r="H33" s="83">
        <f t="shared" si="23"/>
        <v>80.982304471405072</v>
      </c>
      <c r="J33" s="3" t="s">
        <v>199</v>
      </c>
      <c r="K33" s="3">
        <v>10</v>
      </c>
    </row>
    <row r="34" spans="1:11" x14ac:dyDescent="0.25">
      <c r="A34" s="78" t="s">
        <v>162</v>
      </c>
      <c r="B34" s="84">
        <v>20</v>
      </c>
      <c r="C34" s="83"/>
      <c r="D34" s="84">
        <v>-5</v>
      </c>
      <c r="E34" s="84">
        <v>-20</v>
      </c>
      <c r="F34" s="84"/>
      <c r="G34" s="83"/>
      <c r="H34" s="83"/>
      <c r="J34" s="3" t="s">
        <v>200</v>
      </c>
      <c r="K34" s="3">
        <v>10</v>
      </c>
    </row>
    <row r="35" spans="1:11" x14ac:dyDescent="0.25">
      <c r="A35" s="78" t="s">
        <v>158</v>
      </c>
      <c r="B35" s="84">
        <v>50</v>
      </c>
      <c r="C35" s="83"/>
      <c r="D35" s="83"/>
      <c r="E35" s="83"/>
      <c r="F35" s="83"/>
      <c r="G35" s="83"/>
      <c r="H35" s="83"/>
      <c r="J35" s="3" t="s">
        <v>201</v>
      </c>
      <c r="K35" s="3">
        <f>+K33+K34</f>
        <v>20</v>
      </c>
    </row>
    <row r="36" spans="1:11" x14ac:dyDescent="0.25">
      <c r="A36" s="78" t="s">
        <v>159</v>
      </c>
      <c r="B36" s="83"/>
      <c r="C36" s="83"/>
      <c r="D36" s="83"/>
      <c r="E36" s="83"/>
      <c r="F36" s="83"/>
      <c r="G36" s="83"/>
      <c r="H36" s="83"/>
    </row>
    <row r="37" spans="1:11" x14ac:dyDescent="0.25">
      <c r="A37" s="78" t="s">
        <v>160</v>
      </c>
      <c r="B37" s="83"/>
      <c r="C37" s="83">
        <f>C68</f>
        <v>4.4121710253217108</v>
      </c>
      <c r="D37" s="83">
        <f t="shared" ref="D37:H37" si="24">D68</f>
        <v>2.1990460772104603</v>
      </c>
      <c r="E37" s="83">
        <f t="shared" si="24"/>
        <v>-0.45014836031548366</v>
      </c>
      <c r="F37" s="83">
        <f t="shared" si="24"/>
        <v>1.6722679950186832</v>
      </c>
      <c r="G37" s="83">
        <f t="shared" si="24"/>
        <v>-0.60042506351183178</v>
      </c>
      <c r="H37" s="83">
        <f t="shared" si="24"/>
        <v>-0.69721854059775801</v>
      </c>
      <c r="J37" s="94" t="s">
        <v>198</v>
      </c>
      <c r="K37" s="95"/>
    </row>
    <row r="38" spans="1:11" x14ac:dyDescent="0.25">
      <c r="A38" s="78" t="s">
        <v>171</v>
      </c>
      <c r="B38" s="83">
        <v>-7</v>
      </c>
      <c r="C38" s="83"/>
      <c r="D38" s="83"/>
      <c r="E38" s="83"/>
      <c r="F38" s="83"/>
      <c r="G38" s="83"/>
      <c r="H38" s="83"/>
      <c r="J38" s="3" t="s">
        <v>196</v>
      </c>
      <c r="K38" s="3">
        <v>25</v>
      </c>
    </row>
    <row r="39" spans="1:11" x14ac:dyDescent="0.25">
      <c r="A39" s="78" t="s">
        <v>173</v>
      </c>
      <c r="B39" s="83"/>
      <c r="C39" s="84">
        <v>-30</v>
      </c>
      <c r="D39" s="83"/>
      <c r="E39" s="83"/>
      <c r="F39" s="83"/>
      <c r="G39" s="83"/>
      <c r="H39" s="83"/>
      <c r="J39" s="3" t="s">
        <v>197</v>
      </c>
      <c r="K39" s="3">
        <v>25</v>
      </c>
    </row>
    <row r="40" spans="1:11" x14ac:dyDescent="0.25">
      <c r="A40" s="78" t="s">
        <v>178</v>
      </c>
      <c r="B40" s="83">
        <v>-8</v>
      </c>
      <c r="C40" s="83"/>
      <c r="D40" s="83"/>
      <c r="E40" s="83"/>
      <c r="F40" s="83"/>
      <c r="G40" s="83"/>
      <c r="H40" s="83"/>
      <c r="J40" s="3" t="s">
        <v>201</v>
      </c>
      <c r="K40" s="3">
        <f>+K38+K39</f>
        <v>50</v>
      </c>
    </row>
    <row r="41" spans="1:11" x14ac:dyDescent="0.25">
      <c r="A41" s="79" t="s">
        <v>161</v>
      </c>
      <c r="B41" s="86">
        <f>SUM(B33:B40)</f>
        <v>55</v>
      </c>
      <c r="C41" s="86">
        <f>B41+SUM(C33:C40)</f>
        <v>16.33253466168533</v>
      </c>
      <c r="D41" s="86">
        <f>C41+SUM(D33:D40)</f>
        <v>7.2883971025321443</v>
      </c>
      <c r="E41" s="86">
        <f t="shared" ref="E41:H41" si="25">D41+SUM(E33:E40)</f>
        <v>6.7243559785802711</v>
      </c>
      <c r="F41" s="86">
        <f t="shared" si="25"/>
        <v>15.742983809235309</v>
      </c>
      <c r="G41" s="86">
        <f t="shared" si="25"/>
        <v>57.002535073527071</v>
      </c>
      <c r="H41" s="86">
        <f t="shared" si="25"/>
        <v>137.28762100433437</v>
      </c>
    </row>
    <row r="43" spans="1:11" x14ac:dyDescent="0.25">
      <c r="A43" s="12" t="s">
        <v>181</v>
      </c>
      <c r="B43" s="3"/>
      <c r="C43" s="17">
        <f>C32</f>
        <v>2015</v>
      </c>
      <c r="D43" s="17">
        <f t="shared" ref="D43:H43" si="26">D32</f>
        <v>2016</v>
      </c>
      <c r="E43" s="17">
        <f t="shared" si="26"/>
        <v>2017</v>
      </c>
      <c r="F43" s="17">
        <f t="shared" si="26"/>
        <v>2018</v>
      </c>
      <c r="G43" s="17">
        <f t="shared" si="26"/>
        <v>2019</v>
      </c>
      <c r="H43" s="17">
        <f t="shared" si="26"/>
        <v>2020</v>
      </c>
    </row>
    <row r="44" spans="1:11" x14ac:dyDescent="0.25">
      <c r="A44" s="3" t="s">
        <v>164</v>
      </c>
      <c r="B44" s="83">
        <f>+B35</f>
        <v>50</v>
      </c>
      <c r="C44" s="83">
        <f>B44+C35+C30</f>
        <v>35.520363636363619</v>
      </c>
      <c r="D44" s="83">
        <f>C44+D35+D30</f>
        <v>22.157179999999975</v>
      </c>
      <c r="E44" s="83">
        <f t="shared" ref="E44:H44" si="27">D44+E35+E30</f>
        <v>36.347287236363584</v>
      </c>
      <c r="F44" s="83">
        <f t="shared" si="27"/>
        <v>39.136847071999938</v>
      </c>
      <c r="G44" s="83">
        <f t="shared" si="27"/>
        <v>77.351383399803524</v>
      </c>
      <c r="H44" s="83">
        <f t="shared" si="27"/>
        <v>155.41733587120859</v>
      </c>
    </row>
    <row r="45" spans="1:11" x14ac:dyDescent="0.25">
      <c r="A45" s="3" t="s">
        <v>165</v>
      </c>
      <c r="B45" s="83">
        <f>+B34</f>
        <v>20</v>
      </c>
      <c r="C45" s="83">
        <f>+B45+C34</f>
        <v>20</v>
      </c>
      <c r="D45" s="83">
        <f>+C45+D34</f>
        <v>15</v>
      </c>
      <c r="E45" s="83">
        <f t="shared" ref="E45:H45" si="28">+D45+E34</f>
        <v>-5</v>
      </c>
      <c r="F45" s="83">
        <f t="shared" si="28"/>
        <v>-5</v>
      </c>
      <c r="G45" s="83">
        <f t="shared" si="28"/>
        <v>-5</v>
      </c>
      <c r="H45" s="83">
        <f t="shared" si="28"/>
        <v>-5</v>
      </c>
    </row>
    <row r="46" spans="1:11" x14ac:dyDescent="0.25">
      <c r="A46" s="3" t="s">
        <v>166</v>
      </c>
      <c r="B46" s="83"/>
      <c r="C46" s="83">
        <f>+B46+C36</f>
        <v>0</v>
      </c>
      <c r="D46" s="83">
        <f>+C46+D36</f>
        <v>0</v>
      </c>
      <c r="E46" s="83">
        <f t="shared" ref="E46:H46" si="29">+D46+E36</f>
        <v>0</v>
      </c>
      <c r="F46" s="83">
        <f t="shared" si="29"/>
        <v>0</v>
      </c>
      <c r="G46" s="83">
        <f t="shared" si="29"/>
        <v>0</v>
      </c>
      <c r="H46" s="83">
        <f t="shared" si="29"/>
        <v>0</v>
      </c>
    </row>
    <row r="47" spans="1:11" x14ac:dyDescent="0.25">
      <c r="A47" s="3" t="s">
        <v>167</v>
      </c>
      <c r="B47" s="83"/>
      <c r="C47" s="83">
        <f>C65</f>
        <v>0</v>
      </c>
      <c r="D47" s="83">
        <f>D65</f>
        <v>0</v>
      </c>
      <c r="E47" s="83">
        <f t="shared" ref="E47:H47" si="30">E65</f>
        <v>0</v>
      </c>
      <c r="F47" s="83">
        <f t="shared" si="30"/>
        <v>0</v>
      </c>
      <c r="G47" s="83">
        <f t="shared" si="30"/>
        <v>0</v>
      </c>
      <c r="H47" s="83">
        <f t="shared" si="30"/>
        <v>0</v>
      </c>
    </row>
    <row r="48" spans="1:11" x14ac:dyDescent="0.25">
      <c r="A48" s="78" t="s">
        <v>168</v>
      </c>
      <c r="B48" s="83"/>
      <c r="C48" s="83">
        <f>C66</f>
        <v>7.666666666666667</v>
      </c>
      <c r="D48" s="83">
        <f>D66</f>
        <v>10.416666666666666</v>
      </c>
      <c r="E48" s="83">
        <f t="shared" ref="E48:H48" si="31">E66</f>
        <v>10.625</v>
      </c>
      <c r="F48" s="83">
        <f t="shared" si="31"/>
        <v>12.920000000000002</v>
      </c>
      <c r="G48" s="83">
        <f t="shared" si="31"/>
        <v>13.178400000000002</v>
      </c>
      <c r="H48" s="83">
        <f t="shared" si="31"/>
        <v>13.441968000000001</v>
      </c>
    </row>
    <row r="49" spans="1:8" x14ac:dyDescent="0.25">
      <c r="A49" s="78" t="s">
        <v>169</v>
      </c>
      <c r="B49" s="83"/>
      <c r="C49" s="83"/>
      <c r="D49" s="83"/>
      <c r="E49" s="83"/>
      <c r="F49" s="83"/>
      <c r="G49" s="83"/>
      <c r="H49" s="83"/>
    </row>
    <row r="50" spans="1:8" x14ac:dyDescent="0.25">
      <c r="A50" s="78" t="s">
        <v>170</v>
      </c>
      <c r="B50" s="83">
        <f>+SUM(B44:B49)</f>
        <v>70</v>
      </c>
      <c r="C50" s="83">
        <f>+SUM(C44:C49)</f>
        <v>63.187030303030284</v>
      </c>
      <c r="D50" s="83">
        <f>+SUM(D44:D49)</f>
        <v>47.57384666666664</v>
      </c>
      <c r="E50" s="83">
        <f t="shared" ref="E50:H50" si="32">+SUM(E44:E49)</f>
        <v>41.972287236363584</v>
      </c>
      <c r="F50" s="83">
        <f t="shared" si="32"/>
        <v>47.05684707199994</v>
      </c>
      <c r="G50" s="83">
        <f t="shared" si="32"/>
        <v>85.52978339980352</v>
      </c>
      <c r="H50" s="83">
        <f t="shared" si="32"/>
        <v>163.8593038712086</v>
      </c>
    </row>
    <row r="51" spans="1:8" x14ac:dyDescent="0.25">
      <c r="B51" s="85"/>
      <c r="C51" s="85"/>
      <c r="D51" s="85"/>
      <c r="E51" s="85"/>
      <c r="F51" s="85"/>
      <c r="G51" s="85"/>
      <c r="H51" s="85"/>
    </row>
    <row r="52" spans="1:8" x14ac:dyDescent="0.25">
      <c r="A52" s="3" t="s">
        <v>171</v>
      </c>
      <c r="B52" s="83">
        <f>-B38</f>
        <v>7</v>
      </c>
      <c r="C52" s="83">
        <f>B52-C38-C22</f>
        <v>5.6</v>
      </c>
      <c r="D52" s="83">
        <f>C52-D38-D22</f>
        <v>4.4799999999999995</v>
      </c>
      <c r="E52" s="83">
        <f t="shared" ref="E52:H52" si="33">D52-E38-E22</f>
        <v>3.5839999999999996</v>
      </c>
      <c r="F52" s="83">
        <f t="shared" si="33"/>
        <v>2.8671999999999995</v>
      </c>
      <c r="G52" s="83">
        <f t="shared" si="33"/>
        <v>2.2937599999999998</v>
      </c>
      <c r="H52" s="83">
        <f t="shared" si="33"/>
        <v>1.8350079999999998</v>
      </c>
    </row>
    <row r="53" spans="1:8" x14ac:dyDescent="0.25">
      <c r="A53" s="3" t="s">
        <v>173</v>
      </c>
      <c r="B53" s="83"/>
      <c r="C53" s="83">
        <f>B53-C39-C23</f>
        <v>30</v>
      </c>
      <c r="D53" s="83">
        <f>C53-D39-D23</f>
        <v>24</v>
      </c>
      <c r="E53" s="83">
        <f t="shared" ref="E53:H53" si="34">D53-E39-E23</f>
        <v>19.2</v>
      </c>
      <c r="F53" s="83">
        <f t="shared" si="34"/>
        <v>15.36</v>
      </c>
      <c r="G53" s="83">
        <f t="shared" si="34"/>
        <v>12.288</v>
      </c>
      <c r="H53" s="83">
        <f t="shared" si="34"/>
        <v>9.8304000000000009</v>
      </c>
    </row>
    <row r="54" spans="1:8" x14ac:dyDescent="0.25">
      <c r="A54" s="3" t="s">
        <v>172</v>
      </c>
      <c r="B54" s="83">
        <f>-B40</f>
        <v>8</v>
      </c>
      <c r="C54" s="83">
        <f>B54-C40</f>
        <v>8</v>
      </c>
      <c r="D54" s="83">
        <f>C54-D40</f>
        <v>8</v>
      </c>
      <c r="E54" s="83">
        <f t="shared" ref="E54:H54" si="35">D54-E40</f>
        <v>8</v>
      </c>
      <c r="F54" s="83">
        <f t="shared" si="35"/>
        <v>8</v>
      </c>
      <c r="G54" s="83">
        <f t="shared" si="35"/>
        <v>8</v>
      </c>
      <c r="H54" s="83">
        <f t="shared" si="35"/>
        <v>8</v>
      </c>
    </row>
    <row r="55" spans="1:8" x14ac:dyDescent="0.25">
      <c r="A55" s="3" t="s">
        <v>174</v>
      </c>
      <c r="B55" s="83"/>
      <c r="C55" s="83">
        <f>C63</f>
        <v>0</v>
      </c>
      <c r="D55" s="83">
        <f>D63</f>
        <v>0</v>
      </c>
      <c r="E55" s="83">
        <f t="shared" ref="E55:H55" si="36">E63</f>
        <v>0</v>
      </c>
      <c r="F55" s="83">
        <f t="shared" si="36"/>
        <v>0</v>
      </c>
      <c r="G55" s="83">
        <f t="shared" si="36"/>
        <v>0</v>
      </c>
      <c r="H55" s="83">
        <f t="shared" si="36"/>
        <v>0</v>
      </c>
    </row>
    <row r="56" spans="1:8" x14ac:dyDescent="0.25">
      <c r="A56" s="3" t="s">
        <v>175</v>
      </c>
      <c r="B56" s="83"/>
      <c r="C56" s="83">
        <f>C64</f>
        <v>3.2544956413449562</v>
      </c>
      <c r="D56" s="83">
        <f>D64</f>
        <v>3.8054495641344954</v>
      </c>
      <c r="E56" s="83">
        <f t="shared" ref="E56:H56" si="37">E64</f>
        <v>4.4639312577833126</v>
      </c>
      <c r="F56" s="83">
        <f t="shared" si="37"/>
        <v>5.0866632627646311</v>
      </c>
      <c r="G56" s="83">
        <f t="shared" si="37"/>
        <v>5.9454883262764628</v>
      </c>
      <c r="H56" s="83">
        <f t="shared" si="37"/>
        <v>6.9062748668742202</v>
      </c>
    </row>
    <row r="57" spans="1:8" x14ac:dyDescent="0.25">
      <c r="A57" s="3" t="s">
        <v>176</v>
      </c>
      <c r="B57" s="83"/>
      <c r="C57" s="83"/>
      <c r="D57" s="83"/>
      <c r="E57" s="83"/>
      <c r="F57" s="83"/>
      <c r="G57" s="83"/>
      <c r="H57" s="83"/>
    </row>
    <row r="58" spans="1:8" x14ac:dyDescent="0.25">
      <c r="A58" s="3" t="s">
        <v>177</v>
      </c>
      <c r="B58" s="83">
        <f>B41</f>
        <v>55</v>
      </c>
      <c r="C58" s="83">
        <f>C41</f>
        <v>16.33253466168533</v>
      </c>
      <c r="D58" s="83">
        <f>D41</f>
        <v>7.2883971025321443</v>
      </c>
      <c r="E58" s="83">
        <f t="shared" ref="E58:H58" si="38">E41</f>
        <v>6.7243559785802711</v>
      </c>
      <c r="F58" s="83">
        <f t="shared" si="38"/>
        <v>15.742983809235309</v>
      </c>
      <c r="G58" s="83">
        <f t="shared" si="38"/>
        <v>57.002535073527071</v>
      </c>
      <c r="H58" s="83">
        <f t="shared" si="38"/>
        <v>137.28762100433437</v>
      </c>
    </row>
    <row r="59" spans="1:8" x14ac:dyDescent="0.25">
      <c r="A59" s="78" t="s">
        <v>179</v>
      </c>
      <c r="B59" s="83">
        <f>SUM(B52:B58)</f>
        <v>70</v>
      </c>
      <c r="C59" s="83">
        <f>SUM(C52:C58)</f>
        <v>63.187030303030284</v>
      </c>
      <c r="D59" s="83">
        <f>SUM(D52:D58)</f>
        <v>47.573846666666647</v>
      </c>
      <c r="E59" s="83">
        <f t="shared" ref="E59:H59" si="39">SUM(E52:E58)</f>
        <v>41.972287236363584</v>
      </c>
      <c r="F59" s="83">
        <f t="shared" si="39"/>
        <v>47.05684707199994</v>
      </c>
      <c r="G59" s="83">
        <f t="shared" si="39"/>
        <v>85.529783399803534</v>
      </c>
      <c r="H59" s="83">
        <f t="shared" si="39"/>
        <v>163.8593038712086</v>
      </c>
    </row>
    <row r="60" spans="1:8" x14ac:dyDescent="0.25">
      <c r="A60" s="79" t="s">
        <v>180</v>
      </c>
      <c r="B60" s="86">
        <f>B59-B50</f>
        <v>0</v>
      </c>
      <c r="C60" s="86">
        <f t="shared" ref="C60:H60" si="40">C59-C50</f>
        <v>0</v>
      </c>
      <c r="D60" s="86">
        <f t="shared" si="40"/>
        <v>0</v>
      </c>
      <c r="E60" s="86">
        <f t="shared" si="40"/>
        <v>0</v>
      </c>
      <c r="F60" s="86">
        <f t="shared" si="40"/>
        <v>0</v>
      </c>
      <c r="G60" s="86">
        <f t="shared" si="40"/>
        <v>0</v>
      </c>
      <c r="H60" s="86">
        <f t="shared" si="40"/>
        <v>0</v>
      </c>
    </row>
    <row r="62" spans="1:8" x14ac:dyDescent="0.25">
      <c r="A62" s="12" t="s">
        <v>99</v>
      </c>
      <c r="B62" s="3"/>
      <c r="C62" s="17">
        <f>+C43</f>
        <v>2015</v>
      </c>
      <c r="D62" s="17">
        <f t="shared" ref="D62:H62" si="41">+D43</f>
        <v>2016</v>
      </c>
      <c r="E62" s="17">
        <f t="shared" si="41"/>
        <v>2017</v>
      </c>
      <c r="F62" s="17">
        <f t="shared" si="41"/>
        <v>2018</v>
      </c>
      <c r="G62" s="17">
        <f t="shared" si="41"/>
        <v>2019</v>
      </c>
      <c r="H62" s="17">
        <f t="shared" si="41"/>
        <v>2020</v>
      </c>
    </row>
    <row r="63" spans="1:8" x14ac:dyDescent="0.25">
      <c r="A63" s="3" t="s">
        <v>174</v>
      </c>
      <c r="B63" s="3"/>
      <c r="C63" s="83"/>
      <c r="D63" s="83"/>
      <c r="E63" s="83"/>
      <c r="F63" s="83"/>
      <c r="G63" s="83"/>
      <c r="H63" s="83"/>
    </row>
    <row r="64" spans="1:8" x14ac:dyDescent="0.25">
      <c r="A64" s="3" t="s">
        <v>182</v>
      </c>
      <c r="B64" s="3"/>
      <c r="C64" s="83">
        <f>C10*(1+C72)/365*C70</f>
        <v>3.2544956413449562</v>
      </c>
      <c r="D64" s="83">
        <f t="shared" ref="D64:H64" si="42">D10*(1+D72)/365*D70</f>
        <v>3.8054495641344954</v>
      </c>
      <c r="E64" s="83">
        <f t="shared" si="42"/>
        <v>4.4639312577833126</v>
      </c>
      <c r="F64" s="83">
        <f t="shared" si="42"/>
        <v>5.0866632627646311</v>
      </c>
      <c r="G64" s="83">
        <f t="shared" si="42"/>
        <v>5.9454883262764628</v>
      </c>
      <c r="H64" s="83">
        <f t="shared" si="42"/>
        <v>6.9062748668742202</v>
      </c>
    </row>
    <row r="65" spans="1:8" x14ac:dyDescent="0.25">
      <c r="A65" s="3" t="s">
        <v>183</v>
      </c>
      <c r="B65" s="3"/>
      <c r="C65" s="83"/>
      <c r="D65" s="83"/>
      <c r="E65" s="83"/>
      <c r="F65" s="83"/>
      <c r="G65" s="83"/>
      <c r="H65" s="83"/>
    </row>
    <row r="66" spans="1:8" x14ac:dyDescent="0.25">
      <c r="A66" s="3" t="s">
        <v>168</v>
      </c>
      <c r="B66" s="3"/>
      <c r="C66" s="83">
        <f>(C18+C17)/12</f>
        <v>7.666666666666667</v>
      </c>
      <c r="D66" s="83">
        <f>(D18+D17)/12</f>
        <v>10.416666666666666</v>
      </c>
      <c r="E66" s="83">
        <f t="shared" ref="E66:H66" si="43">(E18+E17)/12</f>
        <v>10.625</v>
      </c>
      <c r="F66" s="83">
        <f t="shared" si="43"/>
        <v>12.920000000000002</v>
      </c>
      <c r="G66" s="83">
        <f t="shared" si="43"/>
        <v>13.178400000000002</v>
      </c>
      <c r="H66" s="83">
        <f t="shared" si="43"/>
        <v>13.441968000000001</v>
      </c>
    </row>
    <row r="67" spans="1:8" x14ac:dyDescent="0.25">
      <c r="A67" s="3" t="s">
        <v>99</v>
      </c>
      <c r="B67" s="3"/>
      <c r="C67" s="83">
        <f>C63+C64-C65-C66</f>
        <v>-4.4121710253217108</v>
      </c>
      <c r="D67" s="83">
        <f t="shared" ref="D67:H67" si="44">D63+D64-D65-D66</f>
        <v>-6.6112171025321711</v>
      </c>
      <c r="E67" s="83">
        <f t="shared" si="44"/>
        <v>-6.1610687422166874</v>
      </c>
      <c r="F67" s="83">
        <f t="shared" si="44"/>
        <v>-7.8333367372353706</v>
      </c>
      <c r="G67" s="83">
        <f t="shared" si="44"/>
        <v>-7.2329116737235388</v>
      </c>
      <c r="H67" s="83">
        <f t="shared" si="44"/>
        <v>-6.5356931331257808</v>
      </c>
    </row>
    <row r="68" spans="1:8" x14ac:dyDescent="0.25">
      <c r="A68" s="3" t="s">
        <v>184</v>
      </c>
      <c r="B68" s="3"/>
      <c r="C68" s="83">
        <f>B67-C67</f>
        <v>4.4121710253217108</v>
      </c>
      <c r="D68" s="83">
        <f t="shared" ref="D68:H68" si="45">C67-D67</f>
        <v>2.1990460772104603</v>
      </c>
      <c r="E68" s="83">
        <f t="shared" si="45"/>
        <v>-0.45014836031548366</v>
      </c>
      <c r="F68" s="83">
        <f t="shared" si="45"/>
        <v>1.6722679950186832</v>
      </c>
      <c r="G68" s="83">
        <f t="shared" si="45"/>
        <v>-0.60042506351183178</v>
      </c>
      <c r="H68" s="83">
        <f t="shared" si="45"/>
        <v>-0.69721854059775801</v>
      </c>
    </row>
    <row r="69" spans="1:8" x14ac:dyDescent="0.25">
      <c r="A69" s="78" t="s">
        <v>185</v>
      </c>
      <c r="B69" s="3"/>
      <c r="C69" s="84"/>
      <c r="D69" s="84"/>
      <c r="E69" s="84"/>
      <c r="F69" s="84"/>
      <c r="G69" s="84"/>
      <c r="H69" s="84"/>
    </row>
    <row r="70" spans="1:8" x14ac:dyDescent="0.25">
      <c r="A70" s="78" t="s">
        <v>186</v>
      </c>
      <c r="B70" s="3"/>
      <c r="C70" s="84">
        <v>5</v>
      </c>
      <c r="D70" s="84">
        <v>5</v>
      </c>
      <c r="E70" s="84">
        <v>5</v>
      </c>
      <c r="F70" s="84">
        <v>5</v>
      </c>
      <c r="G70" s="84">
        <v>5</v>
      </c>
      <c r="H70" s="84">
        <v>5</v>
      </c>
    </row>
    <row r="71" spans="1:8" x14ac:dyDescent="0.25">
      <c r="A71" s="78" t="s">
        <v>187</v>
      </c>
      <c r="B71" s="3"/>
      <c r="C71" s="84"/>
      <c r="D71" s="84"/>
      <c r="E71" s="84"/>
      <c r="F71" s="84"/>
      <c r="G71" s="84"/>
      <c r="H71" s="84"/>
    </row>
    <row r="72" spans="1:8" x14ac:dyDescent="0.25">
      <c r="A72" s="78" t="s">
        <v>188</v>
      </c>
      <c r="B72" s="3"/>
      <c r="C72" s="4">
        <v>0.2</v>
      </c>
      <c r="D72" s="4">
        <v>0.2</v>
      </c>
      <c r="E72" s="4">
        <v>0.2</v>
      </c>
      <c r="F72" s="4">
        <v>0.2</v>
      </c>
      <c r="G72" s="4">
        <v>0.2</v>
      </c>
      <c r="H72" s="4">
        <v>0.2</v>
      </c>
    </row>
  </sheetData>
  <mergeCells count="3">
    <mergeCell ref="J32:K32"/>
    <mergeCell ref="J37:K37"/>
    <mergeCell ref="A4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1" customWidth="1"/>
    <col min="2" max="2" width="22.140625" style="21" customWidth="1"/>
    <col min="3" max="3" width="10.85546875" style="21"/>
    <col min="4" max="4" width="1.85546875" style="35" customWidth="1"/>
    <col min="5" max="5" width="23.28515625" style="21" customWidth="1"/>
    <col min="6" max="6" width="10.85546875" style="21"/>
    <col min="7" max="7" width="2.140625" style="20" customWidth="1"/>
    <col min="8" max="8" width="24" style="21" customWidth="1"/>
    <col min="9" max="16384" width="10.85546875" style="21"/>
  </cols>
  <sheetData>
    <row r="1" spans="1:6" ht="19.5" thickBot="1" x14ac:dyDescent="0.35">
      <c r="A1" s="18" t="s">
        <v>26</v>
      </c>
      <c r="B1" s="100" t="s">
        <v>27</v>
      </c>
      <c r="C1" s="100"/>
      <c r="D1" s="19"/>
      <c r="E1" s="100" t="s">
        <v>28</v>
      </c>
      <c r="F1" s="100"/>
    </row>
    <row r="2" spans="1:6" x14ac:dyDescent="0.25">
      <c r="A2" s="21" t="s">
        <v>29</v>
      </c>
      <c r="B2" s="22"/>
      <c r="C2" s="23" t="s">
        <v>30</v>
      </c>
      <c r="D2" s="24"/>
      <c r="E2" s="23"/>
      <c r="F2" s="25" t="s">
        <v>30</v>
      </c>
    </row>
    <row r="3" spans="1:6" x14ac:dyDescent="0.25">
      <c r="B3" s="26" t="s">
        <v>31</v>
      </c>
      <c r="C3" s="27">
        <v>32200</v>
      </c>
      <c r="D3" s="28"/>
      <c r="E3" s="27" t="s">
        <v>31</v>
      </c>
      <c r="F3" s="29">
        <v>32200</v>
      </c>
    </row>
    <row r="4" spans="1:6" x14ac:dyDescent="0.25">
      <c r="B4" s="26" t="s">
        <v>32</v>
      </c>
      <c r="C4" s="27">
        <v>1300</v>
      </c>
      <c r="D4" s="28"/>
      <c r="E4" s="27" t="s">
        <v>32</v>
      </c>
      <c r="F4" s="29">
        <v>1300</v>
      </c>
    </row>
    <row r="5" spans="1:6" x14ac:dyDescent="0.25">
      <c r="B5" s="26" t="s">
        <v>33</v>
      </c>
      <c r="C5" s="27">
        <v>5223</v>
      </c>
      <c r="D5" s="28"/>
      <c r="E5" s="27" t="s">
        <v>33</v>
      </c>
      <c r="F5" s="29">
        <v>5223</v>
      </c>
    </row>
    <row r="6" spans="1:6" x14ac:dyDescent="0.25">
      <c r="B6" s="26" t="s">
        <v>34</v>
      </c>
      <c r="C6" s="27">
        <v>1824</v>
      </c>
      <c r="D6" s="28"/>
      <c r="E6" s="27" t="s">
        <v>34</v>
      </c>
      <c r="F6" s="29">
        <v>1824</v>
      </c>
    </row>
    <row r="7" spans="1:6" x14ac:dyDescent="0.25">
      <c r="B7" s="26" t="s">
        <v>35</v>
      </c>
      <c r="C7" s="27">
        <f>C17</f>
        <v>37050</v>
      </c>
      <c r="D7" s="28"/>
      <c r="E7" s="27"/>
      <c r="F7" s="29"/>
    </row>
    <row r="8" spans="1:6" ht="15.75" thickBot="1" x14ac:dyDescent="0.3">
      <c r="B8" s="30" t="s">
        <v>36</v>
      </c>
      <c r="C8" s="31">
        <f>SUM(C3:C7)</f>
        <v>77597</v>
      </c>
      <c r="D8" s="32"/>
      <c r="E8" s="33" t="s">
        <v>36</v>
      </c>
      <c r="F8" s="34">
        <f>SUM(F3:F6)</f>
        <v>40547</v>
      </c>
    </row>
    <row r="9" spans="1:6" ht="15.75" thickBot="1" x14ac:dyDescent="0.3"/>
    <row r="10" spans="1:6" ht="18.75" x14ac:dyDescent="0.3">
      <c r="B10" s="101" t="s">
        <v>37</v>
      </c>
      <c r="C10" s="102"/>
    </row>
    <row r="11" spans="1:6" x14ac:dyDescent="0.25">
      <c r="B11" s="26" t="s">
        <v>38</v>
      </c>
      <c r="C11" s="29"/>
    </row>
    <row r="12" spans="1:6" x14ac:dyDescent="0.25">
      <c r="B12" s="26" t="s">
        <v>39</v>
      </c>
      <c r="C12" s="36">
        <f>C3/4</f>
        <v>8050</v>
      </c>
    </row>
    <row r="13" spans="1:6" x14ac:dyDescent="0.25">
      <c r="B13" s="26" t="s">
        <v>40</v>
      </c>
      <c r="C13" s="29">
        <v>6000</v>
      </c>
    </row>
    <row r="14" spans="1:6" x14ac:dyDescent="0.25">
      <c r="B14" s="26" t="s">
        <v>41</v>
      </c>
      <c r="C14" s="29">
        <v>20000</v>
      </c>
    </row>
    <row r="15" spans="1:6" x14ac:dyDescent="0.25">
      <c r="B15" s="26" t="s">
        <v>42</v>
      </c>
      <c r="C15" s="29">
        <v>3000</v>
      </c>
    </row>
    <row r="16" spans="1:6" x14ac:dyDescent="0.25">
      <c r="B16" s="26"/>
      <c r="C16" s="29"/>
    </row>
    <row r="17" spans="1:6" ht="15.75" thickBot="1" x14ac:dyDescent="0.3">
      <c r="B17" s="30" t="s">
        <v>43</v>
      </c>
      <c r="C17" s="34">
        <f>SUM(C12:C15)</f>
        <v>37050</v>
      </c>
    </row>
    <row r="18" spans="1:6" ht="15.75" thickBot="1" x14ac:dyDescent="0.3"/>
    <row r="19" spans="1:6" x14ac:dyDescent="0.25">
      <c r="A19" s="21" t="s">
        <v>44</v>
      </c>
      <c r="B19" s="22"/>
      <c r="C19" s="23" t="s">
        <v>30</v>
      </c>
      <c r="D19" s="24"/>
      <c r="E19" s="23"/>
      <c r="F19" s="25" t="s">
        <v>30</v>
      </c>
    </row>
    <row r="20" spans="1:6" x14ac:dyDescent="0.25">
      <c r="B20" s="26" t="s">
        <v>45</v>
      </c>
      <c r="C20" s="27">
        <v>75000</v>
      </c>
      <c r="D20" s="28"/>
      <c r="E20" s="27" t="s">
        <v>45</v>
      </c>
      <c r="F20" s="29">
        <v>75000</v>
      </c>
    </row>
    <row r="21" spans="1:6" x14ac:dyDescent="0.25">
      <c r="B21" s="26" t="s">
        <v>46</v>
      </c>
      <c r="C21" s="27">
        <v>400</v>
      </c>
      <c r="D21" s="28"/>
      <c r="E21" s="27" t="s">
        <v>46</v>
      </c>
      <c r="F21" s="29">
        <v>400</v>
      </c>
    </row>
    <row r="22" spans="1:6" x14ac:dyDescent="0.25">
      <c r="B22" s="26" t="s">
        <v>47</v>
      </c>
      <c r="C22" s="27">
        <v>3000</v>
      </c>
      <c r="D22" s="28"/>
      <c r="E22" s="27" t="s">
        <v>47</v>
      </c>
      <c r="F22" s="29">
        <v>3000</v>
      </c>
    </row>
    <row r="23" spans="1:6" x14ac:dyDescent="0.25">
      <c r="B23" s="26" t="s">
        <v>48</v>
      </c>
      <c r="C23" s="27">
        <v>500</v>
      </c>
      <c r="D23" s="28"/>
      <c r="E23" s="27" t="s">
        <v>48</v>
      </c>
      <c r="F23" s="29">
        <v>500</v>
      </c>
    </row>
    <row r="24" spans="1:6" x14ac:dyDescent="0.25">
      <c r="B24" s="26" t="s">
        <v>49</v>
      </c>
      <c r="C24" s="27">
        <f>21*200</f>
        <v>4200</v>
      </c>
      <c r="D24" s="28"/>
      <c r="E24" s="27" t="s">
        <v>49</v>
      </c>
      <c r="F24" s="29">
        <f>21*200</f>
        <v>4200</v>
      </c>
    </row>
    <row r="25" spans="1:6" x14ac:dyDescent="0.25">
      <c r="B25" s="26" t="s">
        <v>50</v>
      </c>
      <c r="C25" s="37">
        <f>SUM(C20:C24)</f>
        <v>83100</v>
      </c>
      <c r="D25" s="28"/>
      <c r="E25" s="27" t="s">
        <v>50</v>
      </c>
      <c r="F25" s="38">
        <f>SUM(F20:F24)</f>
        <v>83100</v>
      </c>
    </row>
    <row r="26" spans="1:6" x14ac:dyDescent="0.25">
      <c r="B26" s="26"/>
      <c r="C26" s="27"/>
      <c r="D26" s="28"/>
      <c r="E26" s="27"/>
      <c r="F26" s="29"/>
    </row>
    <row r="27" spans="1:6" ht="15.75" thickBot="1" x14ac:dyDescent="0.3">
      <c r="B27" s="30" t="s">
        <v>51</v>
      </c>
      <c r="C27" s="31">
        <f>C8+C25</f>
        <v>160697</v>
      </c>
      <c r="D27" s="32"/>
      <c r="E27" s="33" t="s">
        <v>51</v>
      </c>
      <c r="F27" s="34">
        <f>F8+F25</f>
        <v>123647</v>
      </c>
    </row>
    <row r="28" spans="1:6" ht="15.75" thickBot="1" x14ac:dyDescent="0.3"/>
    <row r="29" spans="1:6" x14ac:dyDescent="0.25">
      <c r="A29" s="21" t="s">
        <v>52</v>
      </c>
      <c r="B29" s="22" t="s">
        <v>27</v>
      </c>
      <c r="C29" s="23"/>
      <c r="D29" s="24"/>
      <c r="E29" s="23" t="s">
        <v>28</v>
      </c>
      <c r="F29" s="25"/>
    </row>
    <row r="30" spans="1:6" x14ac:dyDescent="0.25">
      <c r="A30" s="21" t="s">
        <v>53</v>
      </c>
      <c r="B30" s="26" t="s">
        <v>54</v>
      </c>
      <c r="C30" s="27">
        <v>11</v>
      </c>
      <c r="D30" s="28"/>
      <c r="E30" s="27" t="s">
        <v>54</v>
      </c>
      <c r="F30" s="29">
        <v>11</v>
      </c>
    </row>
    <row r="31" spans="1:6" x14ac:dyDescent="0.25">
      <c r="B31" s="26" t="s">
        <v>55</v>
      </c>
      <c r="C31" s="39">
        <v>17</v>
      </c>
      <c r="D31" s="28"/>
      <c r="E31" s="27" t="s">
        <v>55</v>
      </c>
      <c r="F31" s="36">
        <v>17</v>
      </c>
    </row>
    <row r="32" spans="1:6" x14ac:dyDescent="0.25">
      <c r="B32" s="26" t="s">
        <v>56</v>
      </c>
      <c r="C32" s="39">
        <v>15</v>
      </c>
      <c r="D32" s="28"/>
      <c r="E32" s="27" t="s">
        <v>56</v>
      </c>
      <c r="F32" s="36">
        <v>15</v>
      </c>
    </row>
    <row r="33" spans="1:6" x14ac:dyDescent="0.25">
      <c r="B33" s="26" t="s">
        <v>57</v>
      </c>
      <c r="C33" s="39">
        <v>65</v>
      </c>
      <c r="D33" s="28"/>
      <c r="E33" s="27" t="s">
        <v>57</v>
      </c>
      <c r="F33" s="36">
        <v>65</v>
      </c>
    </row>
    <row r="34" spans="1:6" x14ac:dyDescent="0.25">
      <c r="B34" s="26" t="s">
        <v>58</v>
      </c>
      <c r="C34" s="27">
        <f>0.01*(C33*C31+(100-65)*C32)</f>
        <v>16.3</v>
      </c>
      <c r="D34" s="28"/>
      <c r="E34" s="27" t="s">
        <v>58</v>
      </c>
      <c r="F34" s="29">
        <f>0.01*(F33*F31+(100-65)*F32)</f>
        <v>16.3</v>
      </c>
    </row>
    <row r="35" spans="1:6" x14ac:dyDescent="0.25">
      <c r="B35" s="26" t="s">
        <v>59</v>
      </c>
      <c r="C35" s="39">
        <v>3</v>
      </c>
      <c r="D35" s="28"/>
      <c r="E35" s="27" t="s">
        <v>59</v>
      </c>
      <c r="F35" s="36">
        <v>6</v>
      </c>
    </row>
    <row r="36" spans="1:6" x14ac:dyDescent="0.25">
      <c r="B36" s="26" t="s">
        <v>60</v>
      </c>
      <c r="C36" s="39">
        <v>4</v>
      </c>
      <c r="D36" s="28"/>
      <c r="E36" s="27" t="s">
        <v>60</v>
      </c>
      <c r="F36" s="36">
        <v>5</v>
      </c>
    </row>
    <row r="37" spans="1:6" x14ac:dyDescent="0.25">
      <c r="B37" s="26" t="s">
        <v>61</v>
      </c>
      <c r="C37" s="39">
        <v>48</v>
      </c>
      <c r="D37" s="28"/>
      <c r="E37" s="27" t="s">
        <v>61</v>
      </c>
      <c r="F37" s="36">
        <v>48</v>
      </c>
    </row>
    <row r="38" spans="1:6" ht="15.75" thickBot="1" x14ac:dyDescent="0.3">
      <c r="B38" s="30" t="s">
        <v>62</v>
      </c>
      <c r="C38" s="31">
        <f>C30*C34*C35*C36*C37</f>
        <v>103276.80000000002</v>
      </c>
      <c r="D38" s="32"/>
      <c r="E38" s="33" t="s">
        <v>62</v>
      </c>
      <c r="F38" s="34">
        <f>F30*F34*F35*F36*F37</f>
        <v>258192.00000000006</v>
      </c>
    </row>
    <row r="39" spans="1:6" ht="15.75" thickBot="1" x14ac:dyDescent="0.3"/>
    <row r="40" spans="1:6" x14ac:dyDescent="0.25">
      <c r="A40" s="21" t="s">
        <v>63</v>
      </c>
      <c r="B40" s="22" t="s">
        <v>64</v>
      </c>
      <c r="C40" s="23">
        <v>1</v>
      </c>
      <c r="D40" s="24"/>
      <c r="E40" s="23" t="s">
        <v>64</v>
      </c>
      <c r="F40" s="25">
        <v>1</v>
      </c>
    </row>
    <row r="41" spans="1:6" x14ac:dyDescent="0.25">
      <c r="B41" s="26" t="s">
        <v>65</v>
      </c>
      <c r="C41" s="39">
        <v>25</v>
      </c>
      <c r="D41" s="28"/>
      <c r="E41" s="27" t="s">
        <v>65</v>
      </c>
      <c r="F41" s="36">
        <v>25</v>
      </c>
    </row>
    <row r="42" spans="1:6" x14ac:dyDescent="0.25">
      <c r="B42" s="26" t="s">
        <v>66</v>
      </c>
      <c r="C42" s="39">
        <v>2</v>
      </c>
      <c r="D42" s="28"/>
      <c r="E42" s="27" t="s">
        <v>66</v>
      </c>
      <c r="F42" s="36">
        <v>2</v>
      </c>
    </row>
    <row r="43" spans="1:6" x14ac:dyDescent="0.25">
      <c r="B43" s="26" t="s">
        <v>60</v>
      </c>
      <c r="C43" s="39">
        <v>6</v>
      </c>
      <c r="D43" s="28"/>
      <c r="E43" s="27" t="s">
        <v>60</v>
      </c>
      <c r="F43" s="36">
        <v>6</v>
      </c>
    </row>
    <row r="44" spans="1:6" x14ac:dyDescent="0.25">
      <c r="B44" s="26" t="s">
        <v>61</v>
      </c>
      <c r="C44" s="39">
        <v>48</v>
      </c>
      <c r="D44" s="28"/>
      <c r="E44" s="27" t="s">
        <v>61</v>
      </c>
      <c r="F44" s="36">
        <v>48</v>
      </c>
    </row>
    <row r="45" spans="1:6" ht="15.75" thickBot="1" x14ac:dyDescent="0.3">
      <c r="B45" s="30" t="s">
        <v>67</v>
      </c>
      <c r="C45" s="31">
        <f>C40*C41*C42*C43*C44</f>
        <v>14400</v>
      </c>
      <c r="D45" s="32"/>
      <c r="E45" s="33" t="s">
        <v>67</v>
      </c>
      <c r="F45" s="34">
        <f>F40*F41*F42*F43*F44</f>
        <v>14400</v>
      </c>
    </row>
    <row r="46" spans="1:6" ht="15.75" thickBot="1" x14ac:dyDescent="0.3"/>
    <row r="47" spans="1:6" ht="18.75" x14ac:dyDescent="0.25">
      <c r="A47" s="40" t="s">
        <v>68</v>
      </c>
      <c r="B47" s="41" t="s">
        <v>27</v>
      </c>
      <c r="C47" s="42"/>
      <c r="D47" s="43"/>
      <c r="E47" s="42" t="s">
        <v>28</v>
      </c>
      <c r="F47" s="44"/>
    </row>
    <row r="48" spans="1:6" x14ac:dyDescent="0.25">
      <c r="B48" s="26" t="s">
        <v>69</v>
      </c>
      <c r="C48" s="45">
        <f>C27</f>
        <v>160697</v>
      </c>
      <c r="D48" s="28"/>
      <c r="E48" s="27"/>
      <c r="F48" s="46">
        <f>C27</f>
        <v>160697</v>
      </c>
    </row>
    <row r="49" spans="1:6" x14ac:dyDescent="0.25">
      <c r="B49" s="26" t="s">
        <v>70</v>
      </c>
      <c r="C49" s="27">
        <f>C38+C45</f>
        <v>117676.80000000002</v>
      </c>
      <c r="D49" s="28"/>
      <c r="E49" s="27"/>
      <c r="F49" s="29">
        <f>F38+F45</f>
        <v>272592.00000000006</v>
      </c>
    </row>
    <row r="50" spans="1:6" ht="15.75" thickBot="1" x14ac:dyDescent="0.3">
      <c r="B50" s="30" t="s">
        <v>71</v>
      </c>
      <c r="C50" s="47">
        <f>C49-C48</f>
        <v>-43020.199999999983</v>
      </c>
      <c r="D50" s="48"/>
      <c r="E50" s="33"/>
      <c r="F50" s="49">
        <f>F49-F48</f>
        <v>111895.00000000006</v>
      </c>
    </row>
    <row r="51" spans="1:6" ht="15.75" thickBot="1" x14ac:dyDescent="0.3"/>
    <row r="52" spans="1:6" x14ac:dyDescent="0.25">
      <c r="A52" s="40" t="s">
        <v>72</v>
      </c>
      <c r="B52" s="50" t="s">
        <v>73</v>
      </c>
      <c r="C52" s="23" t="s">
        <v>74</v>
      </c>
      <c r="D52" s="24"/>
      <c r="E52" s="25" t="s">
        <v>75</v>
      </c>
    </row>
    <row r="53" spans="1:6" x14ac:dyDescent="0.25">
      <c r="B53" s="26">
        <v>1</v>
      </c>
      <c r="C53" s="51">
        <f>C50</f>
        <v>-43020.199999999983</v>
      </c>
      <c r="D53" s="52"/>
      <c r="E53" s="53">
        <f>C53/B53</f>
        <v>-43020.199999999983</v>
      </c>
    </row>
    <row r="54" spans="1:6" x14ac:dyDescent="0.25">
      <c r="B54" s="26">
        <v>2</v>
      </c>
      <c r="C54" s="51">
        <f>F50+C53</f>
        <v>68874.800000000076</v>
      </c>
      <c r="D54" s="52"/>
      <c r="E54" s="53">
        <f t="shared" ref="E54:E57" si="0">C54/B54</f>
        <v>34437.400000000038</v>
      </c>
    </row>
    <row r="55" spans="1:6" x14ac:dyDescent="0.25">
      <c r="B55" s="26">
        <v>3</v>
      </c>
      <c r="C55" s="51">
        <f>C54+$F$50</f>
        <v>180769.80000000013</v>
      </c>
      <c r="D55" s="52"/>
      <c r="E55" s="53">
        <f t="shared" si="0"/>
        <v>60256.600000000042</v>
      </c>
    </row>
    <row r="56" spans="1:6" x14ac:dyDescent="0.25">
      <c r="B56" s="26">
        <v>4</v>
      </c>
      <c r="C56" s="51">
        <f t="shared" ref="C56:C57" si="1">C55+$F$50</f>
        <v>292664.80000000016</v>
      </c>
      <c r="D56" s="52"/>
      <c r="E56" s="53">
        <f t="shared" si="0"/>
        <v>73166.200000000041</v>
      </c>
    </row>
    <row r="57" spans="1:6" ht="15.75" thickBot="1" x14ac:dyDescent="0.3">
      <c r="B57" s="30">
        <v>5</v>
      </c>
      <c r="C57" s="54">
        <f t="shared" si="1"/>
        <v>404559.80000000022</v>
      </c>
      <c r="D57" s="55"/>
      <c r="E57" s="56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0" t="s">
        <v>76</v>
      </c>
    </row>
    <row r="3" spans="1:2" x14ac:dyDescent="0.25">
      <c r="B3" s="10" t="s">
        <v>77</v>
      </c>
    </row>
    <row r="4" spans="1:2" x14ac:dyDescent="0.25">
      <c r="A4" s="57">
        <v>7265</v>
      </c>
      <c r="B4" s="58" t="s">
        <v>78</v>
      </c>
    </row>
    <row r="5" spans="1:2" x14ac:dyDescent="0.25">
      <c r="A5" s="57"/>
      <c r="B5" s="59" t="s">
        <v>79</v>
      </c>
    </row>
    <row r="6" spans="1:2" x14ac:dyDescent="0.25">
      <c r="A6" s="8">
        <f>89+58</f>
        <v>147</v>
      </c>
      <c r="B6" t="s">
        <v>80</v>
      </c>
    </row>
    <row r="7" spans="1:2" x14ac:dyDescent="0.25">
      <c r="A7" s="8">
        <v>278</v>
      </c>
      <c r="B7" t="s">
        <v>81</v>
      </c>
    </row>
    <row r="8" spans="1:2" x14ac:dyDescent="0.25">
      <c r="A8" s="8">
        <v>1336</v>
      </c>
      <c r="B8" t="s">
        <v>82</v>
      </c>
    </row>
    <row r="9" spans="1:2" x14ac:dyDescent="0.25">
      <c r="A9" s="8">
        <v>3720</v>
      </c>
      <c r="B9" t="s">
        <v>83</v>
      </c>
    </row>
    <row r="10" spans="1:2" x14ac:dyDescent="0.25">
      <c r="A10" s="8">
        <f>520+600+900</f>
        <v>2020</v>
      </c>
      <c r="B10" t="s">
        <v>84</v>
      </c>
    </row>
    <row r="12" spans="1:2" x14ac:dyDescent="0.25">
      <c r="B12" s="10" t="s">
        <v>85</v>
      </c>
    </row>
    <row r="13" spans="1:2" x14ac:dyDescent="0.25">
      <c r="B13" s="10" t="s">
        <v>86</v>
      </c>
    </row>
    <row r="14" spans="1:2" x14ac:dyDescent="0.25">
      <c r="A14" s="7">
        <v>8055</v>
      </c>
      <c r="B14" t="s">
        <v>87</v>
      </c>
    </row>
    <row r="15" spans="1:2" x14ac:dyDescent="0.25">
      <c r="A15" s="7">
        <v>6444</v>
      </c>
      <c r="B15" t="s">
        <v>88</v>
      </c>
    </row>
    <row r="16" spans="1:2" x14ac:dyDescent="0.25">
      <c r="A16" s="8">
        <v>32220</v>
      </c>
      <c r="B16" t="s">
        <v>89</v>
      </c>
    </row>
    <row r="17" spans="1:2" x14ac:dyDescent="0.25">
      <c r="A17" s="8">
        <v>5200</v>
      </c>
      <c r="B17" t="s">
        <v>90</v>
      </c>
    </row>
    <row r="18" spans="1:2" x14ac:dyDescent="0.25">
      <c r="A18" s="8">
        <v>5223</v>
      </c>
      <c r="B18" t="s">
        <v>91</v>
      </c>
    </row>
    <row r="19" spans="1:2" x14ac:dyDescent="0.25">
      <c r="A19" s="8">
        <v>1824</v>
      </c>
      <c r="B19" t="s">
        <v>92</v>
      </c>
    </row>
    <row r="21" spans="1:2" x14ac:dyDescent="0.25">
      <c r="B21" s="10" t="s">
        <v>93</v>
      </c>
    </row>
    <row r="22" spans="1:2" x14ac:dyDescent="0.25">
      <c r="A22" s="8">
        <v>5000</v>
      </c>
      <c r="B22" t="s">
        <v>94</v>
      </c>
    </row>
    <row r="24" spans="1:2" x14ac:dyDescent="0.25">
      <c r="B24" s="10" t="s">
        <v>95</v>
      </c>
    </row>
    <row r="25" spans="1:2" x14ac:dyDescent="0.25">
      <c r="A25" s="7">
        <v>1900</v>
      </c>
      <c r="B25" t="s">
        <v>96</v>
      </c>
    </row>
    <row r="26" spans="1:2" x14ac:dyDescent="0.25">
      <c r="A26" s="60">
        <v>20000</v>
      </c>
      <c r="B26" t="s">
        <v>97</v>
      </c>
    </row>
    <row r="28" spans="1:2" x14ac:dyDescent="0.25">
      <c r="A28" s="7">
        <v>428</v>
      </c>
      <c r="B28" t="s">
        <v>98</v>
      </c>
    </row>
    <row r="29" spans="1:2" x14ac:dyDescent="0.25">
      <c r="A29" s="57">
        <f>SUM(A6:A28)</f>
        <v>93795</v>
      </c>
      <c r="B29" t="s">
        <v>99</v>
      </c>
    </row>
    <row r="30" spans="1:2" x14ac:dyDescent="0.25">
      <c r="B30" s="10" t="s">
        <v>100</v>
      </c>
    </row>
    <row r="31" spans="1:2" x14ac:dyDescent="0.25">
      <c r="A31" s="61">
        <v>250000</v>
      </c>
      <c r="B31" t="s">
        <v>101</v>
      </c>
    </row>
    <row r="32" spans="1:2" x14ac:dyDescent="0.25">
      <c r="A32" s="9">
        <v>40000</v>
      </c>
      <c r="B32" t="s">
        <v>102</v>
      </c>
    </row>
    <row r="33" spans="1:6" x14ac:dyDescent="0.25">
      <c r="A33" s="61">
        <v>20000</v>
      </c>
      <c r="B33" t="s">
        <v>103</v>
      </c>
    </row>
    <row r="34" spans="1:6" x14ac:dyDescent="0.25">
      <c r="A34" s="61">
        <v>60000</v>
      </c>
      <c r="B34" t="s">
        <v>104</v>
      </c>
    </row>
    <row r="35" spans="1:6" x14ac:dyDescent="0.25">
      <c r="A35" s="61">
        <v>20000</v>
      </c>
      <c r="B35" t="s">
        <v>105</v>
      </c>
    </row>
    <row r="36" spans="1:6" x14ac:dyDescent="0.25">
      <c r="A36" s="61">
        <v>10000</v>
      </c>
      <c r="B36" t="s">
        <v>106</v>
      </c>
    </row>
    <row r="37" spans="1:6" x14ac:dyDescent="0.25">
      <c r="A37" s="61">
        <v>10000</v>
      </c>
      <c r="B37" t="s">
        <v>107</v>
      </c>
    </row>
    <row r="38" spans="1:6" x14ac:dyDescent="0.25">
      <c r="A38" s="61">
        <v>5000</v>
      </c>
      <c r="B38" t="s">
        <v>108</v>
      </c>
    </row>
    <row r="39" spans="1:6" x14ac:dyDescent="0.25">
      <c r="A39" s="62">
        <f>SUM(A31:A38)</f>
        <v>415000</v>
      </c>
      <c r="B39" s="10" t="s">
        <v>109</v>
      </c>
    </row>
    <row r="41" spans="1:6" x14ac:dyDescent="0.25">
      <c r="A41" s="63">
        <f>A29-14499</f>
        <v>79296</v>
      </c>
      <c r="B41" t="s">
        <v>110</v>
      </c>
      <c r="C41" s="57">
        <f>8055+6444</f>
        <v>14499</v>
      </c>
      <c r="D41" t="s">
        <v>111</v>
      </c>
    </row>
    <row r="43" spans="1:6" x14ac:dyDescent="0.25">
      <c r="B43" s="10" t="s">
        <v>112</v>
      </c>
      <c r="C43" s="10"/>
      <c r="D43" s="10"/>
      <c r="E43" s="10"/>
      <c r="F43" s="10"/>
    </row>
    <row r="44" spans="1:6" x14ac:dyDescent="0.25">
      <c r="B44" s="10" t="s">
        <v>113</v>
      </c>
      <c r="C44" s="10"/>
      <c r="D44" s="10"/>
      <c r="E44" s="10"/>
      <c r="F44" s="10"/>
    </row>
    <row r="45" spans="1:6" x14ac:dyDescent="0.25">
      <c r="B45" s="10" t="s">
        <v>114</v>
      </c>
      <c r="C45" s="10"/>
      <c r="D45" s="10"/>
      <c r="E45" s="10"/>
      <c r="F45" s="10"/>
    </row>
    <row r="46" spans="1:6" x14ac:dyDescent="0.25">
      <c r="B46" s="10" t="s">
        <v>115</v>
      </c>
    </row>
    <row r="48" spans="1:6" x14ac:dyDescent="0.25">
      <c r="A48" s="77">
        <v>80000</v>
      </c>
      <c r="B48" s="10" t="s">
        <v>145</v>
      </c>
    </row>
    <row r="50" spans="1:2" x14ac:dyDescent="0.25">
      <c r="A50" s="1"/>
      <c r="B50" s="10" t="s">
        <v>116</v>
      </c>
    </row>
    <row r="52" spans="1:2" x14ac:dyDescent="0.25">
      <c r="B52" s="10" t="s">
        <v>117</v>
      </c>
    </row>
    <row r="53" spans="1:2" x14ac:dyDescent="0.25">
      <c r="B53" s="64" t="s">
        <v>118</v>
      </c>
    </row>
    <row r="54" spans="1:2" x14ac:dyDescent="0.25">
      <c r="B54" s="65" t="s">
        <v>119</v>
      </c>
    </row>
    <row r="55" spans="1:2" x14ac:dyDescent="0.25">
      <c r="B55" s="65" t="s">
        <v>120</v>
      </c>
    </row>
    <row r="56" spans="1:2" x14ac:dyDescent="0.25">
      <c r="B56" s="65" t="s">
        <v>121</v>
      </c>
    </row>
    <row r="57" spans="1:2" x14ac:dyDescent="0.25">
      <c r="B57" s="65" t="s">
        <v>122</v>
      </c>
    </row>
    <row r="58" spans="1:2" x14ac:dyDescent="0.25">
      <c r="B58" s="65" t="s">
        <v>123</v>
      </c>
    </row>
    <row r="59" spans="1:2" x14ac:dyDescent="0.25">
      <c r="B59" s="65" t="s">
        <v>124</v>
      </c>
    </row>
    <row r="61" spans="1:2" x14ac:dyDescent="0.25">
      <c r="B61" s="64" t="s">
        <v>125</v>
      </c>
    </row>
    <row r="62" spans="1:2" x14ac:dyDescent="0.25">
      <c r="B62" s="66" t="s">
        <v>126</v>
      </c>
    </row>
    <row r="63" spans="1:2" x14ac:dyDescent="0.25">
      <c r="B63" s="66" t="s">
        <v>127</v>
      </c>
    </row>
    <row r="64" spans="1:2" x14ac:dyDescent="0.25">
      <c r="B64" s="66" t="s">
        <v>128</v>
      </c>
    </row>
    <row r="65" spans="1:5" ht="21.75" customHeight="1" x14ac:dyDescent="0.25">
      <c r="A65" s="67"/>
      <c r="B65" s="68" t="s">
        <v>129</v>
      </c>
      <c r="C65" s="69" t="s">
        <v>130</v>
      </c>
    </row>
    <row r="66" spans="1:5" ht="18.75" customHeight="1" x14ac:dyDescent="0.25">
      <c r="A66" s="67"/>
      <c r="B66" s="70" t="s">
        <v>131</v>
      </c>
      <c r="C66" s="71" t="s">
        <v>132</v>
      </c>
      <c r="E66" s="72" t="s">
        <v>133</v>
      </c>
    </row>
    <row r="67" spans="1:5" ht="16.5" customHeight="1" x14ac:dyDescent="0.25">
      <c r="A67" s="67"/>
      <c r="B67" s="73" t="s">
        <v>134</v>
      </c>
      <c r="C67" s="74" t="s">
        <v>135</v>
      </c>
    </row>
    <row r="68" spans="1:5" ht="15.75" customHeight="1" x14ac:dyDescent="0.25">
      <c r="A68" s="67"/>
      <c r="B68" s="70" t="s">
        <v>136</v>
      </c>
      <c r="C68" s="71" t="s">
        <v>137</v>
      </c>
    </row>
    <row r="69" spans="1:5" ht="18.75" customHeight="1" x14ac:dyDescent="0.25">
      <c r="A69" s="67"/>
      <c r="B69" s="73" t="s">
        <v>138</v>
      </c>
      <c r="C69" s="74" t="s">
        <v>139</v>
      </c>
    </row>
    <row r="70" spans="1:5" ht="17.25" customHeight="1" x14ac:dyDescent="0.25">
      <c r="A70" s="67"/>
      <c r="B70" s="70" t="s">
        <v>140</v>
      </c>
      <c r="C70" s="71" t="s">
        <v>141</v>
      </c>
    </row>
    <row r="71" spans="1:5" ht="18" customHeight="1" x14ac:dyDescent="0.25">
      <c r="A71" s="67"/>
      <c r="B71" s="75" t="s">
        <v>142</v>
      </c>
      <c r="C71" s="76" t="s">
        <v>143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topLeftCell="A21" zoomScale="130" zoomScaleNormal="130" workbookViewId="0">
      <selection activeCell="M93" sqref="M93"/>
    </sheetView>
  </sheetViews>
  <sheetFormatPr baseColWidth="10" defaultColWidth="8.28515625" defaultRowHeight="15" x14ac:dyDescent="0.25"/>
  <cols>
    <col min="1" max="1" width="18.85546875" customWidth="1"/>
    <col min="3" max="7" width="11" customWidth="1"/>
  </cols>
  <sheetData>
    <row r="1" spans="1: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7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7" x14ac:dyDescent="0.25">
      <c r="A4" t="s">
        <v>203</v>
      </c>
      <c r="C4" t="s">
        <v>17</v>
      </c>
    </row>
    <row r="5" spans="1:7" x14ac:dyDescent="0.25">
      <c r="C5" s="2" t="s">
        <v>8</v>
      </c>
      <c r="D5" s="2" t="s">
        <v>6</v>
      </c>
      <c r="E5" s="2" t="s">
        <v>7</v>
      </c>
      <c r="F5" s="2" t="s">
        <v>5</v>
      </c>
      <c r="G5" s="2" t="s">
        <v>13</v>
      </c>
    </row>
    <row r="6" spans="1:7" x14ac:dyDescent="0.25">
      <c r="C6" s="5">
        <v>10</v>
      </c>
      <c r="D6" s="5">
        <f>12*360</f>
        <v>4320</v>
      </c>
      <c r="E6" s="3">
        <f>D6*C6</f>
        <v>43200</v>
      </c>
      <c r="F6" s="6">
        <v>0.3</v>
      </c>
      <c r="G6" s="3">
        <f>F6*E6</f>
        <v>12960</v>
      </c>
    </row>
    <row r="8" spans="1:7" x14ac:dyDescent="0.25">
      <c r="C8" t="s">
        <v>9</v>
      </c>
    </row>
    <row r="9" spans="1:7" x14ac:dyDescent="0.25">
      <c r="C9" s="2" t="s">
        <v>10</v>
      </c>
      <c r="D9" s="2" t="s">
        <v>11</v>
      </c>
      <c r="E9" s="2" t="s">
        <v>12</v>
      </c>
      <c r="F9" s="2" t="s">
        <v>14</v>
      </c>
      <c r="G9" s="88" t="s">
        <v>191</v>
      </c>
    </row>
    <row r="10" spans="1:7" x14ac:dyDescent="0.25">
      <c r="C10" s="15">
        <v>220</v>
      </c>
      <c r="D10" s="14">
        <f>G6/C10</f>
        <v>58.909090909090907</v>
      </c>
      <c r="E10" s="15">
        <v>2400</v>
      </c>
      <c r="F10" s="14">
        <f>E10*D10/1000</f>
        <v>141.38181818181818</v>
      </c>
      <c r="G10" s="5">
        <v>471</v>
      </c>
    </row>
    <row r="12" spans="1:7" x14ac:dyDescent="0.25">
      <c r="C12" t="s">
        <v>16</v>
      </c>
    </row>
    <row r="13" spans="1:7" x14ac:dyDescent="0.25">
      <c r="C13" s="2" t="s">
        <v>18</v>
      </c>
      <c r="D13" s="2" t="s">
        <v>7</v>
      </c>
      <c r="E13" s="2" t="s">
        <v>5</v>
      </c>
      <c r="F13" s="2" t="s">
        <v>19</v>
      </c>
      <c r="G13" s="2" t="s">
        <v>20</v>
      </c>
    </row>
    <row r="14" spans="1:7" x14ac:dyDescent="0.25">
      <c r="C14" s="5">
        <v>2</v>
      </c>
      <c r="D14" s="5">
        <f>9*200*C14</f>
        <v>3600</v>
      </c>
      <c r="E14" s="6">
        <v>0.3</v>
      </c>
      <c r="F14" s="5">
        <v>20</v>
      </c>
      <c r="G14" s="3">
        <f>F14*E14*D14</f>
        <v>21600</v>
      </c>
    </row>
    <row r="16" spans="1:7" x14ac:dyDescent="0.25">
      <c r="C16" t="s">
        <v>21</v>
      </c>
    </row>
    <row r="17" spans="1:9" x14ac:dyDescent="0.25">
      <c r="C17" s="2" t="s">
        <v>5</v>
      </c>
      <c r="D17" s="2" t="s">
        <v>22</v>
      </c>
      <c r="E17" s="2" t="s">
        <v>23</v>
      </c>
    </row>
    <row r="18" spans="1:9" x14ac:dyDescent="0.25">
      <c r="C18" s="6">
        <v>0.05</v>
      </c>
      <c r="D18" s="5">
        <v>400000</v>
      </c>
      <c r="E18" s="3">
        <f>D18*C18</f>
        <v>20000</v>
      </c>
    </row>
    <row r="20" spans="1:9" x14ac:dyDescent="0.25">
      <c r="A20" s="10" t="s">
        <v>204</v>
      </c>
    </row>
    <row r="21" spans="1:9" x14ac:dyDescent="0.25">
      <c r="A21" s="103" t="s">
        <v>209</v>
      </c>
      <c r="B21" s="3"/>
      <c r="C21" s="12">
        <v>2015</v>
      </c>
      <c r="D21" s="12">
        <v>2016</v>
      </c>
      <c r="E21" s="12">
        <v>2017</v>
      </c>
      <c r="F21" s="12">
        <v>2018</v>
      </c>
      <c r="G21" s="12">
        <v>2019</v>
      </c>
      <c r="H21" s="12">
        <v>2020</v>
      </c>
    </row>
    <row r="22" spans="1:9" x14ac:dyDescent="0.25">
      <c r="A22" s="103"/>
      <c r="B22" s="3"/>
      <c r="C22" s="13" t="s">
        <v>0</v>
      </c>
      <c r="D22" s="13" t="s">
        <v>24</v>
      </c>
      <c r="E22" s="12"/>
      <c r="F22" s="12"/>
      <c r="G22" s="12"/>
      <c r="H22" s="12"/>
      <c r="I22" s="3" t="s">
        <v>192</v>
      </c>
    </row>
    <row r="23" spans="1:9" x14ac:dyDescent="0.25">
      <c r="A23" s="11" t="s">
        <v>1</v>
      </c>
      <c r="B23" s="4">
        <v>0.2</v>
      </c>
      <c r="C23" s="83">
        <v>141.38181818181818</v>
      </c>
      <c r="D23" s="83">
        <v>169.65818181818182</v>
      </c>
      <c r="E23" s="83">
        <v>203.58981818181817</v>
      </c>
      <c r="F23" s="83">
        <v>244.30778181818181</v>
      </c>
      <c r="G23" s="83">
        <v>293.16933818181815</v>
      </c>
      <c r="H23" s="83">
        <v>351.80320581818177</v>
      </c>
      <c r="I23" s="89">
        <v>0.74692825014475961</v>
      </c>
    </row>
    <row r="24" spans="1:9" x14ac:dyDescent="0.25">
      <c r="A24" s="11" t="s">
        <v>15</v>
      </c>
      <c r="B24" s="4">
        <v>0.15</v>
      </c>
      <c r="C24" s="83">
        <v>21.6</v>
      </c>
      <c r="D24" s="83">
        <v>24.84</v>
      </c>
      <c r="E24" s="83">
        <v>28.565999999999999</v>
      </c>
      <c r="F24" s="83">
        <v>32.850899999999996</v>
      </c>
      <c r="G24" s="83">
        <v>37.778534999999991</v>
      </c>
      <c r="H24" s="83">
        <v>43.445315249999986</v>
      </c>
    </row>
    <row r="25" spans="1:9" x14ac:dyDescent="0.25">
      <c r="A25" s="11" t="s">
        <v>2</v>
      </c>
      <c r="B25" s="4">
        <v>0.2</v>
      </c>
      <c r="C25" s="87">
        <v>10</v>
      </c>
      <c r="D25" s="83">
        <v>12</v>
      </c>
      <c r="E25" s="83">
        <v>14.399999999999999</v>
      </c>
      <c r="F25" s="83">
        <v>17.279999999999998</v>
      </c>
      <c r="G25" s="83">
        <v>20.735999999999997</v>
      </c>
      <c r="H25" s="83">
        <v>24.883199999999995</v>
      </c>
    </row>
    <row r="26" spans="1:9" x14ac:dyDescent="0.25">
      <c r="A26" s="11" t="s">
        <v>3</v>
      </c>
      <c r="B26" s="3"/>
      <c r="C26" s="84">
        <v>25</v>
      </c>
      <c r="D26" s="84">
        <v>25</v>
      </c>
      <c r="E26" s="84">
        <v>25</v>
      </c>
      <c r="F26" s="84">
        <v>15</v>
      </c>
      <c r="G26" s="84">
        <v>10</v>
      </c>
      <c r="H26" s="84">
        <v>0</v>
      </c>
    </row>
    <row r="27" spans="1:9" x14ac:dyDescent="0.25">
      <c r="A27" s="16" t="s">
        <v>4</v>
      </c>
      <c r="B27" s="12"/>
      <c r="C27" s="86">
        <v>197.98181818181817</v>
      </c>
      <c r="D27" s="86">
        <v>231.49818181818182</v>
      </c>
      <c r="E27" s="86">
        <v>271.55581818181815</v>
      </c>
      <c r="F27" s="86">
        <v>309.43868181818175</v>
      </c>
      <c r="G27" s="86">
        <v>361.68387318181811</v>
      </c>
      <c r="H27" s="86">
        <v>420.13172106818172</v>
      </c>
    </row>
    <row r="28" spans="1:9" x14ac:dyDescent="0.25">
      <c r="A28" s="78" t="s">
        <v>25</v>
      </c>
      <c r="B28" s="4">
        <v>0.02</v>
      </c>
      <c r="C28" s="87">
        <v>55.583750000000002</v>
      </c>
      <c r="D28" s="83">
        <v>56.695425</v>
      </c>
      <c r="E28" s="83">
        <v>57.829333500000004</v>
      </c>
      <c r="F28" s="83">
        <v>58.985920170000007</v>
      </c>
      <c r="G28" s="83">
        <v>60.16563857340001</v>
      </c>
      <c r="H28" s="83">
        <v>61.368951344868009</v>
      </c>
    </row>
    <row r="29" spans="1:9" x14ac:dyDescent="0.25">
      <c r="A29" s="78" t="s">
        <v>154</v>
      </c>
      <c r="B29" s="4">
        <v>0.02</v>
      </c>
      <c r="C29" s="84">
        <v>5</v>
      </c>
      <c r="D29" s="83">
        <v>5.0999999999999996</v>
      </c>
      <c r="E29" s="83">
        <v>5.202</v>
      </c>
      <c r="F29" s="83">
        <v>5.3060400000000003</v>
      </c>
      <c r="G29" s="83">
        <v>5.4121608000000005</v>
      </c>
      <c r="H29" s="83">
        <v>5.5204040160000005</v>
      </c>
    </row>
    <row r="30" spans="1:9" x14ac:dyDescent="0.25">
      <c r="A30" s="78" t="s">
        <v>155</v>
      </c>
      <c r="B30" s="3"/>
      <c r="C30" s="84">
        <v>3</v>
      </c>
      <c r="D30" s="83">
        <v>3</v>
      </c>
      <c r="E30" s="83">
        <v>3</v>
      </c>
      <c r="F30" s="83">
        <v>3</v>
      </c>
      <c r="G30" s="83">
        <v>3</v>
      </c>
      <c r="H30" s="83">
        <v>3</v>
      </c>
    </row>
    <row r="31" spans="1:9" x14ac:dyDescent="0.25">
      <c r="A31" s="78" t="s">
        <v>156</v>
      </c>
      <c r="B31" s="3"/>
      <c r="C31" s="84">
        <v>2</v>
      </c>
      <c r="D31" s="83">
        <v>2</v>
      </c>
      <c r="E31" s="83">
        <v>2</v>
      </c>
      <c r="F31" s="83">
        <v>2</v>
      </c>
      <c r="G31" s="83">
        <v>2</v>
      </c>
      <c r="H31" s="83">
        <v>2</v>
      </c>
    </row>
    <row r="32" spans="1:9" x14ac:dyDescent="0.25">
      <c r="A32" s="78" t="s">
        <v>144</v>
      </c>
      <c r="B32" s="4">
        <v>0.02</v>
      </c>
      <c r="C32" s="83">
        <v>9.8042500000000015</v>
      </c>
      <c r="D32" s="83">
        <v>10.000335000000002</v>
      </c>
      <c r="E32" s="83">
        <v>10.200341700000001</v>
      </c>
      <c r="F32" s="83">
        <v>10.404348534</v>
      </c>
      <c r="G32" s="83">
        <v>10.612435504680001</v>
      </c>
      <c r="H32" s="83">
        <v>10.824684214773601</v>
      </c>
    </row>
    <row r="33" spans="1:8" x14ac:dyDescent="0.25">
      <c r="A33" s="78" t="s">
        <v>93</v>
      </c>
      <c r="B33" s="4">
        <v>0.02</v>
      </c>
      <c r="C33" s="84">
        <v>15</v>
      </c>
      <c r="D33" s="84">
        <v>5</v>
      </c>
      <c r="E33" s="83">
        <v>5.0999999999999996</v>
      </c>
      <c r="F33" s="83">
        <v>5.202</v>
      </c>
      <c r="G33" s="83">
        <v>5.3060400000000003</v>
      </c>
      <c r="H33" s="83">
        <v>5.4121608000000005</v>
      </c>
    </row>
    <row r="34" spans="1:8" x14ac:dyDescent="0.25">
      <c r="A34" s="78" t="s">
        <v>146</v>
      </c>
      <c r="B34" s="4">
        <v>0.02</v>
      </c>
      <c r="C34" s="87">
        <v>80</v>
      </c>
      <c r="D34" s="84">
        <v>100</v>
      </c>
      <c r="E34" s="83">
        <v>102</v>
      </c>
      <c r="F34" s="83">
        <v>104.04</v>
      </c>
      <c r="G34" s="83">
        <v>106.1208</v>
      </c>
      <c r="H34" s="83">
        <v>108.243216</v>
      </c>
    </row>
    <row r="35" spans="1:8" x14ac:dyDescent="0.25">
      <c r="A35" s="78" t="s">
        <v>193</v>
      </c>
      <c r="B35" s="4">
        <v>0.02</v>
      </c>
      <c r="C35" s="84">
        <v>12</v>
      </c>
      <c r="D35" s="84">
        <v>25</v>
      </c>
      <c r="E35" s="83">
        <v>25.5</v>
      </c>
      <c r="F35" s="84">
        <v>51</v>
      </c>
      <c r="G35" s="83">
        <v>52.02</v>
      </c>
      <c r="H35" s="83">
        <v>53.060400000000001</v>
      </c>
    </row>
    <row r="36" spans="1:8" x14ac:dyDescent="0.25">
      <c r="A36" s="78" t="s">
        <v>194</v>
      </c>
      <c r="B36" s="4">
        <v>0.02</v>
      </c>
      <c r="C36" s="84">
        <v>10</v>
      </c>
      <c r="D36" s="84">
        <v>15</v>
      </c>
      <c r="E36" s="87">
        <v>15.3</v>
      </c>
      <c r="F36" s="84">
        <v>40</v>
      </c>
      <c r="G36" s="87">
        <v>40.799999999999997</v>
      </c>
      <c r="H36" s="87">
        <v>41.616</v>
      </c>
    </row>
    <row r="37" spans="1:8" x14ac:dyDescent="0.25">
      <c r="A37" s="78" t="s">
        <v>153</v>
      </c>
      <c r="B37" s="4">
        <v>0.02</v>
      </c>
      <c r="C37" s="84">
        <v>5</v>
      </c>
      <c r="D37" s="83">
        <v>5.0999999999999996</v>
      </c>
      <c r="E37" s="83">
        <v>5.202</v>
      </c>
      <c r="F37" s="83">
        <v>5.3060400000000003</v>
      </c>
      <c r="G37" s="83">
        <v>5.4121608000000005</v>
      </c>
      <c r="H37" s="83">
        <v>5.5204040160000005</v>
      </c>
    </row>
    <row r="38" spans="1:8" x14ac:dyDescent="0.25">
      <c r="A38" s="78" t="s">
        <v>147</v>
      </c>
      <c r="B38" s="4">
        <v>0.02</v>
      </c>
      <c r="C38" s="84">
        <v>15</v>
      </c>
      <c r="D38" s="83">
        <v>15.3</v>
      </c>
      <c r="E38" s="83">
        <v>15.606000000000002</v>
      </c>
      <c r="F38" s="83">
        <v>15.918120000000002</v>
      </c>
      <c r="G38" s="83">
        <v>16.236482400000003</v>
      </c>
      <c r="H38" s="83">
        <v>16.561212048000005</v>
      </c>
    </row>
    <row r="39" spans="1:8" x14ac:dyDescent="0.25">
      <c r="A39" s="78" t="s">
        <v>189</v>
      </c>
      <c r="B39" s="5">
        <v>5</v>
      </c>
      <c r="C39" s="83">
        <v>1.4</v>
      </c>
      <c r="D39" s="83">
        <v>1.1199999999999999</v>
      </c>
      <c r="E39" s="83">
        <v>0.89599999999999991</v>
      </c>
      <c r="F39" s="83">
        <v>0.71679999999999988</v>
      </c>
      <c r="G39" s="83">
        <v>0.57343999999999995</v>
      </c>
      <c r="H39" s="83">
        <v>0.45875199999999994</v>
      </c>
    </row>
    <row r="40" spans="1:8" x14ac:dyDescent="0.25">
      <c r="A40" s="78" t="s">
        <v>190</v>
      </c>
      <c r="B40" s="5">
        <v>5</v>
      </c>
      <c r="C40" s="83">
        <v>0</v>
      </c>
      <c r="D40" s="83">
        <v>6</v>
      </c>
      <c r="E40" s="83">
        <v>4.8</v>
      </c>
      <c r="F40" s="83">
        <v>3.84</v>
      </c>
      <c r="G40" s="83">
        <v>3.0720000000000001</v>
      </c>
      <c r="H40" s="83">
        <v>2.4576000000000002</v>
      </c>
    </row>
    <row r="41" spans="1:8" x14ac:dyDescent="0.25">
      <c r="A41" s="78" t="s">
        <v>202</v>
      </c>
      <c r="B41" s="83">
        <v>3.5</v>
      </c>
      <c r="C41" s="85">
        <v>3.5</v>
      </c>
      <c r="D41" s="83"/>
      <c r="E41" s="83"/>
      <c r="F41" s="83"/>
      <c r="G41" s="83"/>
      <c r="H41" s="83"/>
    </row>
    <row r="42" spans="1:8" x14ac:dyDescent="0.25">
      <c r="A42" s="79" t="s">
        <v>148</v>
      </c>
      <c r="B42" s="12"/>
      <c r="C42" s="86">
        <v>-19.306181818181841</v>
      </c>
      <c r="D42" s="86">
        <v>-17.817578181818192</v>
      </c>
      <c r="E42" s="86">
        <v>18.920142981818145</v>
      </c>
      <c r="F42" s="86">
        <v>3.7194131141818048</v>
      </c>
      <c r="G42" s="86">
        <v>50.952715103738115</v>
      </c>
      <c r="H42" s="86">
        <v>104.08793662854009</v>
      </c>
    </row>
    <row r="43" spans="1:8" x14ac:dyDescent="0.25">
      <c r="A43" s="79" t="s">
        <v>163</v>
      </c>
      <c r="B43" s="12"/>
      <c r="C43" s="82">
        <v>-9.7514923317109134E-2</v>
      </c>
      <c r="D43" s="82">
        <v>-7.6966384970626162E-2</v>
      </c>
      <c r="E43" s="82">
        <v>6.9673126904430033E-2</v>
      </c>
      <c r="F43" s="82">
        <v>1.2019871246631139E-2</v>
      </c>
      <c r="G43" s="82">
        <v>0.14087638095526653</v>
      </c>
      <c r="H43" s="82">
        <v>0.2477507205690094</v>
      </c>
    </row>
    <row r="44" spans="1:8" x14ac:dyDescent="0.25">
      <c r="A44" s="78" t="s">
        <v>149</v>
      </c>
      <c r="B44" s="3"/>
      <c r="C44" s="83"/>
      <c r="D44" s="83"/>
      <c r="E44" s="83"/>
      <c r="F44" s="83"/>
      <c r="G44" s="83"/>
      <c r="H44" s="83"/>
    </row>
    <row r="45" spans="1:8" x14ac:dyDescent="0.25">
      <c r="A45" s="78" t="s">
        <v>150</v>
      </c>
      <c r="B45" s="3"/>
      <c r="C45" s="83"/>
      <c r="D45" s="83"/>
      <c r="E45" s="83"/>
      <c r="F45" s="83"/>
      <c r="G45" s="83"/>
      <c r="H45" s="83"/>
    </row>
    <row r="46" spans="1:8" x14ac:dyDescent="0.25">
      <c r="A46" s="78" t="s">
        <v>151</v>
      </c>
      <c r="B46" s="4">
        <v>0.25</v>
      </c>
      <c r="C46" s="83">
        <v>4.8265454545454602</v>
      </c>
      <c r="D46" s="83">
        <v>4.4543945454545479</v>
      </c>
      <c r="E46" s="83">
        <v>-4.7300357454545363</v>
      </c>
      <c r="F46" s="83">
        <v>-0.92985327854545119</v>
      </c>
      <c r="G46" s="83">
        <v>-12.738178775934529</v>
      </c>
      <c r="H46" s="83">
        <v>-26.021984157135023</v>
      </c>
    </row>
    <row r="47" spans="1:8" x14ac:dyDescent="0.25">
      <c r="A47" s="79" t="s">
        <v>152</v>
      </c>
      <c r="B47" s="12"/>
      <c r="C47" s="86">
        <v>-14.479636363636381</v>
      </c>
      <c r="D47" s="86">
        <v>-13.363183636363644</v>
      </c>
      <c r="E47" s="86">
        <v>14.190107236363609</v>
      </c>
      <c r="F47" s="86">
        <v>2.7895598356363536</v>
      </c>
      <c r="G47" s="86">
        <v>38.214536327803586</v>
      </c>
      <c r="H47" s="86">
        <v>78.065952471405069</v>
      </c>
    </row>
    <row r="50" spans="1:11" x14ac:dyDescent="0.25">
      <c r="A50" s="10" t="s">
        <v>205</v>
      </c>
    </row>
    <row r="51" spans="1:11" x14ac:dyDescent="0.25">
      <c r="A51" s="12" t="s">
        <v>206</v>
      </c>
      <c r="B51" s="3"/>
      <c r="C51" s="17">
        <f t="shared" ref="C51:H51" si="0">+C23</f>
        <v>141.38181818181818</v>
      </c>
      <c r="D51" s="17">
        <f t="shared" si="0"/>
        <v>169.65818181818182</v>
      </c>
      <c r="E51" s="17">
        <f t="shared" si="0"/>
        <v>203.58981818181817</v>
      </c>
      <c r="F51" s="17">
        <f t="shared" si="0"/>
        <v>244.30778181818181</v>
      </c>
      <c r="G51" s="17">
        <f t="shared" si="0"/>
        <v>293.16933818181815</v>
      </c>
      <c r="H51" s="17">
        <f t="shared" si="0"/>
        <v>351.80320581818177</v>
      </c>
      <c r="J51" s="93" t="s">
        <v>165</v>
      </c>
      <c r="K51" s="93"/>
    </row>
    <row r="52" spans="1:11" x14ac:dyDescent="0.25">
      <c r="A52" s="3" t="s">
        <v>157</v>
      </c>
      <c r="B52" s="83"/>
      <c r="C52" s="83">
        <f>C49+C41+C42</f>
        <v>-15.806181818181841</v>
      </c>
      <c r="D52" s="83">
        <f t="shared" ref="D52:H52" si="1">D49+D41+D42</f>
        <v>-17.817578181818192</v>
      </c>
      <c r="E52" s="83">
        <f t="shared" si="1"/>
        <v>18.920142981818145</v>
      </c>
      <c r="F52" s="83">
        <f t="shared" si="1"/>
        <v>3.7194131141818048</v>
      </c>
      <c r="G52" s="83">
        <f t="shared" si="1"/>
        <v>50.952715103738115</v>
      </c>
      <c r="H52" s="83">
        <f t="shared" si="1"/>
        <v>104.08793662854009</v>
      </c>
      <c r="J52" s="3" t="s">
        <v>199</v>
      </c>
      <c r="K52" s="3">
        <v>10</v>
      </c>
    </row>
    <row r="53" spans="1:11" x14ac:dyDescent="0.25">
      <c r="A53" s="78" t="s">
        <v>162</v>
      </c>
      <c r="B53" s="84">
        <v>20</v>
      </c>
      <c r="C53" s="83"/>
      <c r="D53" s="84">
        <v>-5</v>
      </c>
      <c r="E53" s="84">
        <v>-20</v>
      </c>
      <c r="F53" s="84"/>
      <c r="G53" s="83"/>
      <c r="H53" s="83"/>
      <c r="J53" s="3" t="s">
        <v>200</v>
      </c>
      <c r="K53" s="3">
        <v>10</v>
      </c>
    </row>
    <row r="54" spans="1:11" x14ac:dyDescent="0.25">
      <c r="A54" s="78" t="s">
        <v>158</v>
      </c>
      <c r="B54" s="84">
        <v>50</v>
      </c>
      <c r="C54" s="83"/>
      <c r="D54" s="83"/>
      <c r="E54" s="83"/>
      <c r="F54" s="83"/>
      <c r="G54" s="83"/>
      <c r="H54" s="83"/>
      <c r="J54" s="3" t="s">
        <v>201</v>
      </c>
      <c r="K54" s="3">
        <f>+K52+K53</f>
        <v>20</v>
      </c>
    </row>
    <row r="55" spans="1:11" x14ac:dyDescent="0.25">
      <c r="A55" s="78" t="s">
        <v>159</v>
      </c>
      <c r="B55" s="83"/>
      <c r="C55" s="83"/>
      <c r="D55" s="83"/>
      <c r="E55" s="83"/>
      <c r="F55" s="83"/>
      <c r="G55" s="83"/>
      <c r="H55" s="83"/>
    </row>
    <row r="56" spans="1:11" x14ac:dyDescent="0.25">
      <c r="A56" s="78" t="s">
        <v>160</v>
      </c>
      <c r="B56" s="83"/>
      <c r="C56" s="83">
        <f>C89</f>
        <v>0</v>
      </c>
      <c r="D56" s="83">
        <f t="shared" ref="D56:H56" si="2">D89</f>
        <v>0</v>
      </c>
      <c r="E56" s="83">
        <f t="shared" si="2"/>
        <v>0</v>
      </c>
      <c r="F56" s="83">
        <f t="shared" si="2"/>
        <v>0</v>
      </c>
      <c r="G56" s="83">
        <f t="shared" si="2"/>
        <v>0</v>
      </c>
      <c r="H56" s="83">
        <f t="shared" si="2"/>
        <v>0</v>
      </c>
      <c r="J56" s="94" t="s">
        <v>198</v>
      </c>
      <c r="K56" s="95"/>
    </row>
    <row r="57" spans="1:11" x14ac:dyDescent="0.25">
      <c r="A57" s="78" t="s">
        <v>171</v>
      </c>
      <c r="B57" s="83">
        <v>-7</v>
      </c>
      <c r="C57" s="83"/>
      <c r="D57" s="83"/>
      <c r="E57" s="83"/>
      <c r="F57" s="83"/>
      <c r="G57" s="83"/>
      <c r="H57" s="83"/>
      <c r="J57" s="3" t="s">
        <v>196</v>
      </c>
      <c r="K57" s="3">
        <v>25</v>
      </c>
    </row>
    <row r="58" spans="1:11" x14ac:dyDescent="0.25">
      <c r="A58" s="78" t="s">
        <v>173</v>
      </c>
      <c r="B58" s="83"/>
      <c r="C58" s="84">
        <v>-30</v>
      </c>
      <c r="D58" s="83"/>
      <c r="E58" s="83"/>
      <c r="F58" s="83"/>
      <c r="G58" s="83"/>
      <c r="H58" s="83"/>
      <c r="J58" s="3" t="s">
        <v>197</v>
      </c>
      <c r="K58" s="3">
        <v>25</v>
      </c>
    </row>
    <row r="59" spans="1:11" x14ac:dyDescent="0.25">
      <c r="A59" s="78" t="s">
        <v>178</v>
      </c>
      <c r="B59" s="83">
        <v>-8</v>
      </c>
      <c r="C59" s="83"/>
      <c r="D59" s="83"/>
      <c r="E59" s="83"/>
      <c r="F59" s="83"/>
      <c r="G59" s="83"/>
      <c r="H59" s="83"/>
      <c r="J59" s="3" t="s">
        <v>201</v>
      </c>
      <c r="K59" s="3">
        <f>+K57+K58</f>
        <v>50</v>
      </c>
    </row>
    <row r="60" spans="1:11" x14ac:dyDescent="0.25">
      <c r="A60" s="79" t="s">
        <v>161</v>
      </c>
      <c r="B60" s="86">
        <f>SUM(B52:B59)</f>
        <v>55</v>
      </c>
      <c r="C60" s="86">
        <f>B60+SUM(C52:C59)</f>
        <v>9.193818181818159</v>
      </c>
      <c r="D60" s="86">
        <f>C60+SUM(D52:D59)</f>
        <v>-13.623760000000033</v>
      </c>
      <c r="E60" s="86">
        <f t="shared" ref="E60:H60" si="3">D60+SUM(E52:E59)</f>
        <v>-14.703617018181887</v>
      </c>
      <c r="F60" s="86">
        <f t="shared" si="3"/>
        <v>-10.984203904000083</v>
      </c>
      <c r="G60" s="86">
        <f t="shared" si="3"/>
        <v>39.968511199738032</v>
      </c>
      <c r="H60" s="86">
        <f t="shared" si="3"/>
        <v>144.05644782827812</v>
      </c>
    </row>
    <row r="64" spans="1:11" x14ac:dyDescent="0.25">
      <c r="A64" s="10" t="s">
        <v>207</v>
      </c>
    </row>
    <row r="65" spans="1:8" x14ac:dyDescent="0.25">
      <c r="A65" s="12" t="s">
        <v>181</v>
      </c>
      <c r="B65" s="3"/>
      <c r="C65" s="17">
        <v>2015</v>
      </c>
      <c r="D65" s="17">
        <v>2016</v>
      </c>
      <c r="E65" s="17">
        <v>2017</v>
      </c>
      <c r="F65" s="17">
        <v>2018</v>
      </c>
      <c r="G65" s="17">
        <v>2019</v>
      </c>
      <c r="H65" s="17">
        <v>2020</v>
      </c>
    </row>
    <row r="66" spans="1:8" x14ac:dyDescent="0.25">
      <c r="A66" s="3" t="s">
        <v>164</v>
      </c>
      <c r="B66" s="83">
        <v>50</v>
      </c>
      <c r="C66" s="83">
        <v>35.520363636363619</v>
      </c>
      <c r="D66" s="83">
        <v>22.157179999999975</v>
      </c>
      <c r="E66" s="83">
        <v>36.347287236363584</v>
      </c>
      <c r="F66" s="83">
        <v>39.136847071999938</v>
      </c>
      <c r="G66" s="83">
        <v>77.351383399803524</v>
      </c>
      <c r="H66" s="83">
        <v>155.41733587120859</v>
      </c>
    </row>
    <row r="67" spans="1:8" x14ac:dyDescent="0.25">
      <c r="A67" s="3" t="s">
        <v>165</v>
      </c>
      <c r="B67" s="83">
        <v>20</v>
      </c>
      <c r="C67" s="83">
        <v>20</v>
      </c>
      <c r="D67" s="83">
        <v>15</v>
      </c>
      <c r="E67" s="83">
        <v>-5</v>
      </c>
      <c r="F67" s="83">
        <v>-5</v>
      </c>
      <c r="G67" s="83">
        <v>-5</v>
      </c>
      <c r="H67" s="83">
        <v>-5</v>
      </c>
    </row>
    <row r="68" spans="1:8" x14ac:dyDescent="0.25">
      <c r="A68" s="3" t="s">
        <v>166</v>
      </c>
      <c r="B68" s="83"/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</row>
    <row r="69" spans="1:8" x14ac:dyDescent="0.25">
      <c r="A69" s="3" t="s">
        <v>167</v>
      </c>
      <c r="B69" s="83"/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</row>
    <row r="70" spans="1:8" x14ac:dyDescent="0.25">
      <c r="A70" s="78" t="s">
        <v>168</v>
      </c>
      <c r="B70" s="83"/>
      <c r="C70" s="83">
        <v>7.666666666666667</v>
      </c>
      <c r="D70" s="83">
        <v>10.416666666666666</v>
      </c>
      <c r="E70" s="83">
        <v>10.625</v>
      </c>
      <c r="F70" s="83">
        <v>12.920000000000002</v>
      </c>
      <c r="G70" s="83">
        <v>13.178400000000002</v>
      </c>
      <c r="H70" s="83">
        <v>13.441968000000001</v>
      </c>
    </row>
    <row r="71" spans="1:8" x14ac:dyDescent="0.25">
      <c r="A71" s="78" t="s">
        <v>169</v>
      </c>
      <c r="B71" s="83"/>
      <c r="C71" s="83"/>
      <c r="D71" s="83"/>
      <c r="E71" s="83"/>
      <c r="F71" s="83"/>
      <c r="G71" s="83"/>
      <c r="H71" s="83"/>
    </row>
    <row r="72" spans="1:8" x14ac:dyDescent="0.25">
      <c r="A72" s="78" t="s">
        <v>170</v>
      </c>
      <c r="B72" s="83">
        <v>70</v>
      </c>
      <c r="C72" s="83">
        <v>63.187030303030284</v>
      </c>
      <c r="D72" s="83">
        <v>47.57384666666664</v>
      </c>
      <c r="E72" s="83">
        <v>41.972287236363584</v>
      </c>
      <c r="F72" s="83">
        <v>47.05684707199994</v>
      </c>
      <c r="G72" s="83">
        <v>85.52978339980352</v>
      </c>
      <c r="H72" s="83">
        <v>163.8593038712086</v>
      </c>
    </row>
    <row r="73" spans="1:8" x14ac:dyDescent="0.25">
      <c r="B73" s="85"/>
      <c r="C73" s="85"/>
      <c r="D73" s="85"/>
      <c r="E73" s="85"/>
      <c r="F73" s="85"/>
      <c r="G73" s="85"/>
      <c r="H73" s="85"/>
    </row>
    <row r="74" spans="1:8" x14ac:dyDescent="0.25">
      <c r="A74" s="3" t="s">
        <v>171</v>
      </c>
      <c r="B74" s="83">
        <v>7</v>
      </c>
      <c r="C74" s="83">
        <v>5.6</v>
      </c>
      <c r="D74" s="83">
        <v>4.4799999999999995</v>
      </c>
      <c r="E74" s="83">
        <v>3.5839999999999996</v>
      </c>
      <c r="F74" s="83">
        <v>2.8671999999999995</v>
      </c>
      <c r="G74" s="83">
        <v>2.2937599999999998</v>
      </c>
      <c r="H74" s="83">
        <v>1.8350079999999998</v>
      </c>
    </row>
    <row r="75" spans="1:8" x14ac:dyDescent="0.25">
      <c r="A75" s="3" t="s">
        <v>173</v>
      </c>
      <c r="B75" s="83"/>
      <c r="C75" s="83">
        <v>30</v>
      </c>
      <c r="D75" s="83">
        <v>24</v>
      </c>
      <c r="E75" s="83">
        <v>19.2</v>
      </c>
      <c r="F75" s="83">
        <v>15.36</v>
      </c>
      <c r="G75" s="83">
        <v>12.288</v>
      </c>
      <c r="H75" s="83">
        <v>9.8304000000000009</v>
      </c>
    </row>
    <row r="76" spans="1:8" x14ac:dyDescent="0.25">
      <c r="A76" s="3" t="s">
        <v>172</v>
      </c>
      <c r="B76" s="83">
        <v>8</v>
      </c>
      <c r="C76" s="83">
        <v>8</v>
      </c>
      <c r="D76" s="83">
        <v>8</v>
      </c>
      <c r="E76" s="83">
        <v>8</v>
      </c>
      <c r="F76" s="83">
        <v>8</v>
      </c>
      <c r="G76" s="83">
        <v>8</v>
      </c>
      <c r="H76" s="83">
        <v>8</v>
      </c>
    </row>
    <row r="77" spans="1:8" x14ac:dyDescent="0.25">
      <c r="A77" s="3" t="s">
        <v>174</v>
      </c>
      <c r="B77" s="83"/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</row>
    <row r="78" spans="1:8" x14ac:dyDescent="0.25">
      <c r="A78" s="3" t="s">
        <v>175</v>
      </c>
      <c r="B78" s="83"/>
      <c r="C78" s="83">
        <v>3.2544956413449562</v>
      </c>
      <c r="D78" s="83">
        <v>3.8054495641344954</v>
      </c>
      <c r="E78" s="83">
        <v>4.4639312577833126</v>
      </c>
      <c r="F78" s="83">
        <v>5.0866632627646311</v>
      </c>
      <c r="G78" s="83">
        <v>5.9454883262764628</v>
      </c>
      <c r="H78" s="83">
        <v>6.9062748668742202</v>
      </c>
    </row>
    <row r="79" spans="1:8" x14ac:dyDescent="0.25">
      <c r="A79" s="3" t="s">
        <v>176</v>
      </c>
      <c r="B79" s="83"/>
      <c r="C79" s="83"/>
      <c r="D79" s="83"/>
      <c r="E79" s="83"/>
      <c r="F79" s="83"/>
      <c r="G79" s="83"/>
      <c r="H79" s="83"/>
    </row>
    <row r="80" spans="1:8" x14ac:dyDescent="0.25">
      <c r="A80" s="3" t="s">
        <v>177</v>
      </c>
      <c r="B80" s="83">
        <v>55</v>
      </c>
      <c r="C80" s="83">
        <v>16.33253466168533</v>
      </c>
      <c r="D80" s="83">
        <v>7.2883971025321443</v>
      </c>
      <c r="E80" s="83">
        <v>6.7243559785802711</v>
      </c>
      <c r="F80" s="83">
        <v>15.742983809235309</v>
      </c>
      <c r="G80" s="83">
        <v>57.002535073527071</v>
      </c>
      <c r="H80" s="83">
        <v>137.28762100433437</v>
      </c>
    </row>
    <row r="81" spans="1:8" x14ac:dyDescent="0.25">
      <c r="A81" s="78" t="s">
        <v>179</v>
      </c>
      <c r="B81" s="83">
        <v>70</v>
      </c>
      <c r="C81" s="83">
        <v>63.187030303030284</v>
      </c>
      <c r="D81" s="83">
        <v>47.573846666666647</v>
      </c>
      <c r="E81" s="83">
        <v>41.972287236363584</v>
      </c>
      <c r="F81" s="83">
        <v>47.05684707199994</v>
      </c>
      <c r="G81" s="83">
        <v>85.529783399803534</v>
      </c>
      <c r="H81" s="83">
        <v>163.8593038712086</v>
      </c>
    </row>
    <row r="82" spans="1:8" x14ac:dyDescent="0.25">
      <c r="A82" s="79" t="s">
        <v>180</v>
      </c>
      <c r="B82" s="86">
        <v>0</v>
      </c>
      <c r="C82" s="86">
        <v>0</v>
      </c>
      <c r="D82" s="86">
        <v>0</v>
      </c>
      <c r="E82" s="86">
        <v>0</v>
      </c>
      <c r="F82" s="86">
        <v>0</v>
      </c>
      <c r="G82" s="86">
        <v>0</v>
      </c>
      <c r="H82" s="86">
        <v>0</v>
      </c>
    </row>
    <row r="83" spans="1:8" x14ac:dyDescent="0.25">
      <c r="A83" s="91"/>
      <c r="B83" s="92"/>
      <c r="C83" s="92"/>
      <c r="D83" s="92"/>
      <c r="E83" s="92"/>
      <c r="F83" s="92"/>
      <c r="G83" s="92"/>
      <c r="H83" s="92"/>
    </row>
    <row r="84" spans="1:8" x14ac:dyDescent="0.25">
      <c r="A84" s="91"/>
      <c r="B84" s="92"/>
      <c r="C84" s="92"/>
      <c r="D84" s="92"/>
      <c r="E84" s="92"/>
      <c r="F84" s="92"/>
      <c r="G84" s="92"/>
      <c r="H84" s="92"/>
    </row>
    <row r="85" spans="1:8" x14ac:dyDescent="0.25">
      <c r="A85" s="91" t="s">
        <v>208</v>
      </c>
    </row>
    <row r="86" spans="1:8" x14ac:dyDescent="0.25">
      <c r="A86" s="12" t="s">
        <v>99</v>
      </c>
      <c r="B86" s="3"/>
      <c r="C86" s="17">
        <v>2015</v>
      </c>
      <c r="D86" s="17">
        <v>2016</v>
      </c>
      <c r="E86" s="17">
        <v>2017</v>
      </c>
      <c r="F86" s="17">
        <v>2018</v>
      </c>
      <c r="G86" s="17">
        <v>2019</v>
      </c>
      <c r="H86" s="17">
        <v>2020</v>
      </c>
    </row>
    <row r="87" spans="1:8" x14ac:dyDescent="0.25">
      <c r="A87" s="3" t="s">
        <v>174</v>
      </c>
      <c r="B87" s="3"/>
      <c r="C87" s="83"/>
      <c r="D87" s="83"/>
      <c r="E87" s="83"/>
      <c r="F87" s="83"/>
      <c r="G87" s="83"/>
      <c r="H87" s="83"/>
    </row>
    <row r="88" spans="1:8" x14ac:dyDescent="0.25">
      <c r="A88" s="3" t="s">
        <v>175</v>
      </c>
      <c r="B88" s="3"/>
      <c r="C88" s="83">
        <v>3.2544956413449562</v>
      </c>
      <c r="D88" s="83">
        <v>3.8054495641344954</v>
      </c>
      <c r="E88" s="83">
        <v>4.4639312577833126</v>
      </c>
      <c r="F88" s="83">
        <v>5.0866632627646311</v>
      </c>
      <c r="G88" s="83">
        <v>5.9454883262764628</v>
      </c>
      <c r="H88" s="83">
        <v>6.9062748668742202</v>
      </c>
    </row>
    <row r="89" spans="1:8" x14ac:dyDescent="0.25">
      <c r="A89" s="3" t="s">
        <v>183</v>
      </c>
      <c r="B89" s="3"/>
      <c r="C89" s="83"/>
      <c r="D89" s="83"/>
      <c r="E89" s="83"/>
      <c r="F89" s="83"/>
      <c r="G89" s="83"/>
      <c r="H89" s="83"/>
    </row>
    <row r="90" spans="1:8" x14ac:dyDescent="0.25">
      <c r="A90" s="3" t="s">
        <v>168</v>
      </c>
      <c r="B90" s="3"/>
      <c r="C90" s="83">
        <v>7.666666666666667</v>
      </c>
      <c r="D90" s="83">
        <v>10.416666666666666</v>
      </c>
      <c r="E90" s="83">
        <v>10.625</v>
      </c>
      <c r="F90" s="83">
        <v>12.920000000000002</v>
      </c>
      <c r="G90" s="83">
        <v>13.178400000000002</v>
      </c>
      <c r="H90" s="83">
        <v>13.441968000000001</v>
      </c>
    </row>
    <row r="91" spans="1:8" x14ac:dyDescent="0.25">
      <c r="A91" s="3" t="s">
        <v>99</v>
      </c>
      <c r="B91" s="3"/>
      <c r="C91" s="83">
        <v>-4.4121710253217108</v>
      </c>
      <c r="D91" s="83">
        <v>-6.6112171025321711</v>
      </c>
      <c r="E91" s="83">
        <v>-6.1610687422166874</v>
      </c>
      <c r="F91" s="83">
        <v>-7.8333367372353706</v>
      </c>
      <c r="G91" s="83">
        <v>-7.2329116737235388</v>
      </c>
      <c r="H91" s="83">
        <v>-6.5356931331257808</v>
      </c>
    </row>
    <row r="92" spans="1:8" x14ac:dyDescent="0.25">
      <c r="A92" s="3" t="s">
        <v>184</v>
      </c>
      <c r="B92" s="3"/>
      <c r="C92" s="83">
        <v>4.4121710253217108</v>
      </c>
      <c r="D92" s="83">
        <v>2.1990460772104603</v>
      </c>
      <c r="E92" s="83">
        <v>-0.45014836031548366</v>
      </c>
      <c r="F92" s="83">
        <v>1.6722679950186832</v>
      </c>
      <c r="G92" s="83">
        <v>-0.60042506351183178</v>
      </c>
      <c r="H92" s="83">
        <v>-0.69721854059775801</v>
      </c>
    </row>
    <row r="93" spans="1:8" x14ac:dyDescent="0.25">
      <c r="A93" s="78" t="s">
        <v>185</v>
      </c>
      <c r="B93" s="3"/>
      <c r="C93" s="84"/>
      <c r="D93" s="84"/>
      <c r="E93" s="84"/>
      <c r="F93" s="84"/>
      <c r="G93" s="84"/>
      <c r="H93" s="84"/>
    </row>
    <row r="94" spans="1:8" x14ac:dyDescent="0.25">
      <c r="A94" s="78" t="s">
        <v>186</v>
      </c>
      <c r="B94" s="3"/>
      <c r="C94" s="84">
        <v>5</v>
      </c>
      <c r="D94" s="84">
        <v>5</v>
      </c>
      <c r="E94" s="84">
        <v>5</v>
      </c>
      <c r="F94" s="84">
        <v>5</v>
      </c>
      <c r="G94" s="84">
        <v>5</v>
      </c>
      <c r="H94" s="84">
        <v>5</v>
      </c>
    </row>
    <row r="95" spans="1:8" x14ac:dyDescent="0.25">
      <c r="A95" s="78" t="s">
        <v>187</v>
      </c>
      <c r="B95" s="3"/>
      <c r="C95" s="84"/>
      <c r="D95" s="84"/>
      <c r="E95" s="84"/>
      <c r="F95" s="84"/>
      <c r="G95" s="84"/>
      <c r="H95" s="84"/>
    </row>
    <row r="96" spans="1:8" x14ac:dyDescent="0.25">
      <c r="A96" s="78" t="s">
        <v>188</v>
      </c>
      <c r="B96" s="3"/>
      <c r="C96" s="4">
        <v>0.2</v>
      </c>
      <c r="D96" s="4">
        <v>0.2</v>
      </c>
      <c r="E96" s="4">
        <v>0.2</v>
      </c>
      <c r="F96" s="4">
        <v>0.2</v>
      </c>
      <c r="G96" s="4">
        <v>0.2</v>
      </c>
      <c r="H96" s="4">
        <v>0.2</v>
      </c>
    </row>
  </sheetData>
  <mergeCells count="3">
    <mergeCell ref="J51:K51"/>
    <mergeCell ref="J56:K56"/>
    <mergeCell ref="A21:A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BP ev+JSC</vt:lpstr>
      <vt:lpstr>Début BP</vt:lpstr>
      <vt:lpstr>Structure des flux</vt:lpstr>
      <vt:lpstr>DECOUPAGE POUR PREZ</vt:lpstr>
      <vt:lpstr>Feuil3</vt:lpstr>
      <vt:lpstr>'Début BP'!Zone_d_impression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dcterms:created xsi:type="dcterms:W3CDTF">2015-01-28T10:39:50Z</dcterms:created>
  <dcterms:modified xsi:type="dcterms:W3CDTF">2015-02-13T02:12:20Z</dcterms:modified>
</cp:coreProperties>
</file>