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300" windowWidth="13875" windowHeight="7470" tabRatio="956" activeTab="1"/>
  </bookViews>
  <sheets>
    <sheet name="BP levier 0.65, 5M€, 28% revte " sheetId="15" r:id="rId1"/>
    <sheet name="BP levier 0.65, 5M€ 0% revente " sheetId="13" r:id="rId2"/>
    <sheet name="montage" sheetId="2" r:id="rId3"/>
    <sheet name="SCI" sheetId="7" r:id="rId4"/>
    <sheet name="BP levier 0,9 0,25M€ " sheetId="14" r:id="rId5"/>
    <sheet name="fiscalité" sheetId="3" r:id="rId6"/>
    <sheet name="BP Levier 50 2 M€" sheetId="1" r:id="rId7"/>
    <sheet name="Foncia Pierre data" sheetId="8" r:id="rId8"/>
    <sheet name="BP levier 0.65 8M€ " sheetId="11" r:id="rId9"/>
    <sheet name="BP levier 0.65 8M€  peu revente" sheetId="17" r:id="rId10"/>
    <sheet name="BP levier 0.65 8M€ pas revente" sheetId="16" r:id="rId11"/>
    <sheet name="BP levier 0.75 1,5%" sheetId="9" r:id="rId12"/>
    <sheet name="BP levier 0.7 8M€ " sheetId="12" r:id="rId13"/>
    <sheet name="BP levier 0.65 4M€" sheetId="5" r:id="rId14"/>
    <sheet name="BP levier 0.2" sheetId="10" r:id="rId15"/>
    <sheet name="BP levier 0.8" sheetId="6" r:id="rId16"/>
  </sheets>
  <definedNames>
    <definedName name="_xlnm.Print_Area" localSheetId="4">'BP levier 0,9 0,25M€ '!$A$1:$I$72</definedName>
    <definedName name="_xlnm.Print_Area" localSheetId="14">'BP levier 0.2'!$A$1:$I$72</definedName>
    <definedName name="_xlnm.Print_Area" localSheetId="13">'BP levier 0.65 4M€'!$A$1:$I$72</definedName>
    <definedName name="_xlnm.Print_Area" localSheetId="8">'BP levier 0.65 8M€ '!$A$1:$I$72</definedName>
    <definedName name="_xlnm.Print_Area" localSheetId="9">'BP levier 0.65 8M€  peu revente'!$A$1:$I$72</definedName>
    <definedName name="_xlnm.Print_Area" localSheetId="10">'BP levier 0.65 8M€ pas revente'!$A$1:$I$72</definedName>
    <definedName name="_xlnm.Print_Area" localSheetId="1">'BP levier 0.65, 5M€ 0% revente '!$A$1:$I$72</definedName>
    <definedName name="_xlnm.Print_Area" localSheetId="0">'BP levier 0.65, 5M€, 28% revte '!$A$1:$I$72</definedName>
    <definedName name="_xlnm.Print_Area" localSheetId="12">'BP levier 0.7 8M€ '!$A$1:$I$72</definedName>
    <definedName name="_xlnm.Print_Area" localSheetId="11">'BP levier 0.75 1,5%'!$A$1:$I$72</definedName>
    <definedName name="_xlnm.Print_Area" localSheetId="15">'BP levier 0.8'!$A$1:$I$72</definedName>
    <definedName name="_xlnm.Print_Area" localSheetId="6">'BP Levier 50 2 M€'!$A$1:$I$68</definedName>
  </definedNames>
  <calcPr calcId="145621"/>
</workbook>
</file>

<file path=xl/calcChain.xml><?xml version="1.0" encoding="utf-8"?>
<calcChain xmlns="http://schemas.openxmlformats.org/spreadsheetml/2006/main">
  <c r="B99" i="17" l="1"/>
  <c r="H98" i="17"/>
  <c r="G98" i="17"/>
  <c r="F98" i="17"/>
  <c r="E98" i="17"/>
  <c r="D98" i="17"/>
  <c r="C98" i="17"/>
  <c r="B94" i="17"/>
  <c r="B90" i="17"/>
  <c r="H79" i="17"/>
  <c r="G79" i="17"/>
  <c r="F79" i="17"/>
  <c r="E79" i="17"/>
  <c r="D79" i="17"/>
  <c r="C79" i="17"/>
  <c r="H78" i="17"/>
  <c r="G78" i="17"/>
  <c r="F78" i="17"/>
  <c r="E78" i="17"/>
  <c r="D78" i="17"/>
  <c r="C78" i="17"/>
  <c r="E75" i="17"/>
  <c r="F75" i="17" s="1"/>
  <c r="G75" i="17" s="1"/>
  <c r="H75" i="17" s="1"/>
  <c r="D75" i="17"/>
  <c r="C75" i="17"/>
  <c r="B63" i="17"/>
  <c r="B59" i="17"/>
  <c r="I54" i="17"/>
  <c r="B53" i="17"/>
  <c r="H44" i="17"/>
  <c r="G44" i="17"/>
  <c r="F44" i="17"/>
  <c r="E44" i="17"/>
  <c r="D44" i="17"/>
  <c r="C44" i="17"/>
  <c r="B39" i="17"/>
  <c r="C33" i="17"/>
  <c r="H29" i="17"/>
  <c r="G29" i="17"/>
  <c r="F29" i="17"/>
  <c r="E29" i="17"/>
  <c r="D29" i="17"/>
  <c r="C29" i="17"/>
  <c r="R21" i="17"/>
  <c r="C20" i="17"/>
  <c r="C25" i="17" s="1"/>
  <c r="B20" i="17"/>
  <c r="B25" i="17" s="1"/>
  <c r="B49" i="17" s="1"/>
  <c r="R19" i="17"/>
  <c r="C18" i="17"/>
  <c r="D33" i="17" s="1"/>
  <c r="D17" i="17"/>
  <c r="C17" i="17"/>
  <c r="C81" i="17" s="1"/>
  <c r="B15" i="17"/>
  <c r="C12" i="17" s="1"/>
  <c r="D11" i="17"/>
  <c r="C11" i="17"/>
  <c r="K9" i="17"/>
  <c r="K5" i="17"/>
  <c r="A1" i="17"/>
  <c r="B99" i="16"/>
  <c r="H98" i="16"/>
  <c r="G98" i="16"/>
  <c r="F98" i="16"/>
  <c r="E98" i="16"/>
  <c r="D98" i="16"/>
  <c r="C98" i="16"/>
  <c r="B94" i="16"/>
  <c r="B93" i="16"/>
  <c r="B90" i="16"/>
  <c r="C81" i="16"/>
  <c r="H79" i="16"/>
  <c r="G79" i="16"/>
  <c r="F79" i="16"/>
  <c r="E79" i="16"/>
  <c r="D79" i="16"/>
  <c r="C79" i="16"/>
  <c r="H78" i="16"/>
  <c r="G78" i="16"/>
  <c r="F78" i="16"/>
  <c r="E78" i="16"/>
  <c r="D78" i="16"/>
  <c r="C78" i="16"/>
  <c r="C75" i="16"/>
  <c r="D75" i="16" s="1"/>
  <c r="E75" i="16" s="1"/>
  <c r="F75" i="16" s="1"/>
  <c r="G75" i="16" s="1"/>
  <c r="H75" i="16" s="1"/>
  <c r="B63" i="16"/>
  <c r="B59" i="16"/>
  <c r="I54" i="16"/>
  <c r="B53" i="16"/>
  <c r="C45" i="16"/>
  <c r="C43" i="16" s="1"/>
  <c r="C54" i="16" s="1"/>
  <c r="H44" i="16"/>
  <c r="G44" i="16"/>
  <c r="F44" i="16"/>
  <c r="E44" i="16"/>
  <c r="D44" i="16"/>
  <c r="C44" i="16"/>
  <c r="C33" i="16"/>
  <c r="H29" i="16"/>
  <c r="G29" i="16"/>
  <c r="F29" i="16"/>
  <c r="E29" i="16"/>
  <c r="D29" i="16"/>
  <c r="C29" i="16"/>
  <c r="A24" i="16"/>
  <c r="R21" i="16"/>
  <c r="B20" i="16"/>
  <c r="B25" i="16" s="1"/>
  <c r="B49" i="16" s="1"/>
  <c r="B58" i="16" s="1"/>
  <c r="B67" i="16" s="1"/>
  <c r="R19" i="16"/>
  <c r="D18" i="16"/>
  <c r="C18" i="16"/>
  <c r="D33" i="16" s="1"/>
  <c r="E17" i="16"/>
  <c r="D17" i="16"/>
  <c r="D81" i="16" s="1"/>
  <c r="C17" i="16"/>
  <c r="B15" i="16"/>
  <c r="C12" i="16" s="1"/>
  <c r="C11" i="16"/>
  <c r="C20" i="16" s="1"/>
  <c r="C25" i="16" s="1"/>
  <c r="K9" i="16"/>
  <c r="K5" i="16"/>
  <c r="K4" i="16"/>
  <c r="A1" i="16"/>
  <c r="R22" i="17" l="1"/>
  <c r="C21" i="17"/>
  <c r="C16" i="17"/>
  <c r="C22" i="17" s="1"/>
  <c r="C15" i="17"/>
  <c r="B58" i="17"/>
  <c r="B67" i="17" s="1"/>
  <c r="K4" i="17"/>
  <c r="C39" i="17"/>
  <c r="C49" i="17"/>
  <c r="A73" i="17"/>
  <c r="A48" i="17"/>
  <c r="A66" i="17"/>
  <c r="A38" i="17"/>
  <c r="A19" i="17"/>
  <c r="E17" i="17"/>
  <c r="D81" i="17"/>
  <c r="A24" i="17"/>
  <c r="A3" i="17"/>
  <c r="A10" i="17"/>
  <c r="D18" i="17"/>
  <c r="D20" i="17"/>
  <c r="D25" i="17" s="1"/>
  <c r="E11" i="17"/>
  <c r="B62" i="17"/>
  <c r="B68" i="17" s="1"/>
  <c r="B55" i="17"/>
  <c r="B93" i="17"/>
  <c r="K8" i="17"/>
  <c r="A57" i="17"/>
  <c r="A76" i="17"/>
  <c r="C45" i="17"/>
  <c r="R22" i="16"/>
  <c r="C39" i="16"/>
  <c r="C49" i="16"/>
  <c r="B77" i="16"/>
  <c r="B74" i="16"/>
  <c r="C15" i="16"/>
  <c r="C21" i="16"/>
  <c r="E81" i="16"/>
  <c r="E18" i="16"/>
  <c r="D45" i="16"/>
  <c r="D43" i="16" s="1"/>
  <c r="E33" i="16"/>
  <c r="C63" i="16"/>
  <c r="D42" i="16"/>
  <c r="L9" i="16"/>
  <c r="C94" i="16" s="1"/>
  <c r="C34" i="16"/>
  <c r="D11" i="16"/>
  <c r="F17" i="16"/>
  <c r="A66" i="16"/>
  <c r="A76" i="16"/>
  <c r="A57" i="16"/>
  <c r="A19" i="16"/>
  <c r="A48" i="16"/>
  <c r="A10" i="16"/>
  <c r="A38" i="16"/>
  <c r="D54" i="16"/>
  <c r="A73" i="16"/>
  <c r="A3" i="16"/>
  <c r="B39" i="16"/>
  <c r="B62" i="16"/>
  <c r="B68" i="16" s="1"/>
  <c r="B55" i="16"/>
  <c r="K8" i="16"/>
  <c r="K102" i="15"/>
  <c r="L102" i="15" s="1"/>
  <c r="B99" i="15"/>
  <c r="H98" i="15"/>
  <c r="G98" i="15"/>
  <c r="F98" i="15"/>
  <c r="E98" i="15"/>
  <c r="D98" i="15"/>
  <c r="C98" i="15"/>
  <c r="B94" i="15"/>
  <c r="B90" i="15"/>
  <c r="H79" i="15"/>
  <c r="G79" i="15"/>
  <c r="F79" i="15"/>
  <c r="E79" i="15"/>
  <c r="D79" i="15"/>
  <c r="C79" i="15"/>
  <c r="H78" i="15"/>
  <c r="G78" i="15"/>
  <c r="F78" i="15"/>
  <c r="E78" i="15"/>
  <c r="D78" i="15"/>
  <c r="C78" i="15"/>
  <c r="E75" i="15"/>
  <c r="F75" i="15" s="1"/>
  <c r="G75" i="15" s="1"/>
  <c r="H75" i="15" s="1"/>
  <c r="D75" i="15"/>
  <c r="C75" i="15"/>
  <c r="B63" i="15"/>
  <c r="B59" i="15"/>
  <c r="I54" i="15"/>
  <c r="B53" i="15"/>
  <c r="H44" i="15"/>
  <c r="G44" i="15"/>
  <c r="F44" i="15"/>
  <c r="E44" i="15"/>
  <c r="D44" i="15"/>
  <c r="C44" i="15"/>
  <c r="C33" i="15"/>
  <c r="H29" i="15"/>
  <c r="G29" i="15"/>
  <c r="F29" i="15"/>
  <c r="E29" i="15"/>
  <c r="D29" i="15"/>
  <c r="C29" i="15"/>
  <c r="R22" i="15"/>
  <c r="R21" i="15"/>
  <c r="B20" i="15"/>
  <c r="B25" i="15" s="1"/>
  <c r="R19" i="15"/>
  <c r="C17" i="15"/>
  <c r="B15" i="15"/>
  <c r="C12" i="15" s="1"/>
  <c r="C21" i="15" s="1"/>
  <c r="C11" i="15"/>
  <c r="C20" i="15" s="1"/>
  <c r="C25" i="15" s="1"/>
  <c r="K9" i="15"/>
  <c r="K8" i="15"/>
  <c r="K5" i="15"/>
  <c r="A1" i="15"/>
  <c r="E18" i="17" l="1"/>
  <c r="E81" i="17"/>
  <c r="F17" i="17"/>
  <c r="C26" i="17"/>
  <c r="C30" i="17"/>
  <c r="D39" i="17"/>
  <c r="D49" i="17"/>
  <c r="C58" i="17"/>
  <c r="C67" i="17" s="1"/>
  <c r="L4" i="17"/>
  <c r="B95" i="17"/>
  <c r="B51" i="17"/>
  <c r="B64" i="17"/>
  <c r="K10" i="17"/>
  <c r="D45" i="17"/>
  <c r="D43" i="17" s="1"/>
  <c r="E33" i="17"/>
  <c r="C59" i="17"/>
  <c r="C23" i="17"/>
  <c r="D12" i="17"/>
  <c r="C80" i="17"/>
  <c r="B70" i="17"/>
  <c r="B98" i="17"/>
  <c r="C50" i="17"/>
  <c r="C43" i="17"/>
  <c r="C54" i="17" s="1"/>
  <c r="E20" i="17"/>
  <c r="E25" i="17" s="1"/>
  <c r="F11" i="17"/>
  <c r="B77" i="17"/>
  <c r="B74" i="17"/>
  <c r="B95" i="16"/>
  <c r="B64" i="16"/>
  <c r="K10" i="16"/>
  <c r="B51" i="16"/>
  <c r="C23" i="16"/>
  <c r="D12" i="16"/>
  <c r="C59" i="16"/>
  <c r="C80" i="16"/>
  <c r="B70" i="16"/>
  <c r="B98" i="16"/>
  <c r="D63" i="16"/>
  <c r="E42" i="16"/>
  <c r="M9" i="16"/>
  <c r="D94" i="16" s="1"/>
  <c r="F81" i="16"/>
  <c r="G17" i="16"/>
  <c r="F18" i="16"/>
  <c r="C16" i="16"/>
  <c r="C22" i="16" s="1"/>
  <c r="B83" i="16"/>
  <c r="B89" i="16"/>
  <c r="B97" i="16" s="1"/>
  <c r="D20" i="16"/>
  <c r="D25" i="16" s="1"/>
  <c r="E11" i="16"/>
  <c r="F33" i="16"/>
  <c r="E45" i="16"/>
  <c r="E43" i="16" s="1"/>
  <c r="C58" i="16"/>
  <c r="C67" i="16" s="1"/>
  <c r="L4" i="16"/>
  <c r="B39" i="15"/>
  <c r="B49" i="15"/>
  <c r="A73" i="15"/>
  <c r="A48" i="15"/>
  <c r="A66" i="15"/>
  <c r="A76" i="15"/>
  <c r="A24" i="15"/>
  <c r="A19" i="15"/>
  <c r="A57" i="15"/>
  <c r="A38" i="15"/>
  <c r="A10" i="15"/>
  <c r="A3" i="15"/>
  <c r="D11" i="15"/>
  <c r="C15" i="15"/>
  <c r="C39" i="15"/>
  <c r="C49" i="15"/>
  <c r="C81" i="15"/>
  <c r="D17" i="15"/>
  <c r="C18" i="15"/>
  <c r="B93" i="15"/>
  <c r="B55" i="15"/>
  <c r="B62" i="15"/>
  <c r="B68" i="15" s="1"/>
  <c r="K104" i="14"/>
  <c r="M67" i="14"/>
  <c r="N67" i="14" s="1"/>
  <c r="O67" i="14" s="1"/>
  <c r="P67" i="14" s="1"/>
  <c r="Q67" i="14" s="1"/>
  <c r="L67" i="14"/>
  <c r="K67" i="14"/>
  <c r="I99" i="14"/>
  <c r="J99" i="14"/>
  <c r="D12" i="14"/>
  <c r="G17" i="14"/>
  <c r="G18" i="14"/>
  <c r="G79" i="14"/>
  <c r="K102" i="13"/>
  <c r="K102" i="14"/>
  <c r="L102" i="14" s="1"/>
  <c r="B99" i="14"/>
  <c r="H98" i="14"/>
  <c r="G98" i="14"/>
  <c r="F98" i="14"/>
  <c r="E98" i="14"/>
  <c r="D98" i="14"/>
  <c r="C98" i="14"/>
  <c r="B94" i="14"/>
  <c r="B90" i="14"/>
  <c r="H79" i="14"/>
  <c r="F79" i="14"/>
  <c r="E79" i="14"/>
  <c r="D79" i="14"/>
  <c r="C79" i="14"/>
  <c r="H78" i="14"/>
  <c r="G78" i="14"/>
  <c r="F78" i="14"/>
  <c r="E78" i="14"/>
  <c r="D78" i="14"/>
  <c r="C78" i="14"/>
  <c r="F75" i="14"/>
  <c r="G75" i="14" s="1"/>
  <c r="H75" i="14" s="1"/>
  <c r="D75" i="14"/>
  <c r="E75" i="14" s="1"/>
  <c r="C75" i="14"/>
  <c r="B63" i="14"/>
  <c r="B59" i="14"/>
  <c r="I54" i="14"/>
  <c r="B53" i="14"/>
  <c r="B93" i="14" s="1"/>
  <c r="B49" i="14"/>
  <c r="B58" i="14" s="1"/>
  <c r="B67" i="14" s="1"/>
  <c r="H44" i="14"/>
  <c r="F44" i="14"/>
  <c r="E44" i="14"/>
  <c r="D44" i="14"/>
  <c r="C44" i="14"/>
  <c r="A38" i="14"/>
  <c r="C33" i="14"/>
  <c r="H29" i="14"/>
  <c r="F29" i="14"/>
  <c r="E29" i="14"/>
  <c r="D29" i="14"/>
  <c r="C29" i="14"/>
  <c r="C25" i="14"/>
  <c r="C49" i="14" s="1"/>
  <c r="C58" i="14" s="1"/>
  <c r="C67" i="14" s="1"/>
  <c r="B25" i="14"/>
  <c r="B39" i="14" s="1"/>
  <c r="A24" i="14"/>
  <c r="C20" i="14"/>
  <c r="B20" i="14"/>
  <c r="R19" i="14"/>
  <c r="D18" i="14"/>
  <c r="D17" i="14"/>
  <c r="C17" i="14"/>
  <c r="C81" i="14" s="1"/>
  <c r="B15" i="14"/>
  <c r="C12" i="14"/>
  <c r="D11" i="14"/>
  <c r="C11" i="14"/>
  <c r="K9" i="14"/>
  <c r="K5" i="14"/>
  <c r="K4" i="14"/>
  <c r="A1" i="14"/>
  <c r="L102" i="13"/>
  <c r="C63" i="17" l="1"/>
  <c r="C34" i="17"/>
  <c r="D42" i="17"/>
  <c r="L9" i="17"/>
  <c r="C94" i="17" s="1"/>
  <c r="D54" i="17"/>
  <c r="B60" i="17"/>
  <c r="C46" i="17"/>
  <c r="B91" i="17"/>
  <c r="K6" i="17"/>
  <c r="C77" i="17"/>
  <c r="C74" i="17"/>
  <c r="C84" i="17"/>
  <c r="C27" i="17"/>
  <c r="C28" i="17"/>
  <c r="B89" i="17"/>
  <c r="B97" i="17" s="1"/>
  <c r="B83" i="17"/>
  <c r="L5" i="17"/>
  <c r="C90" i="17" s="1"/>
  <c r="D21" i="17"/>
  <c r="D15" i="17"/>
  <c r="B56" i="17"/>
  <c r="K11" i="17" s="1"/>
  <c r="D58" i="17"/>
  <c r="D67" i="17" s="1"/>
  <c r="M4" i="17"/>
  <c r="F81" i="17"/>
  <c r="G17" i="17"/>
  <c r="F18" i="17"/>
  <c r="F20" i="17"/>
  <c r="F25" i="17" s="1"/>
  <c r="G11" i="17"/>
  <c r="E49" i="17"/>
  <c r="E39" i="17"/>
  <c r="B100" i="17"/>
  <c r="K68" i="17"/>
  <c r="B65" i="17"/>
  <c r="E45" i="17"/>
  <c r="E43" i="17" s="1"/>
  <c r="F33" i="17"/>
  <c r="E54" i="16"/>
  <c r="F42" i="16" s="1"/>
  <c r="B91" i="16"/>
  <c r="B60" i="16"/>
  <c r="C46" i="16"/>
  <c r="K6" i="16"/>
  <c r="E20" i="16"/>
  <c r="E25" i="16" s="1"/>
  <c r="F11" i="16"/>
  <c r="C26" i="16"/>
  <c r="C30" i="16"/>
  <c r="C50" i="16" s="1"/>
  <c r="C74" i="16"/>
  <c r="C77" i="16"/>
  <c r="D49" i="16"/>
  <c r="D39" i="16"/>
  <c r="F45" i="16"/>
  <c r="F43" i="16" s="1"/>
  <c r="G33" i="16"/>
  <c r="D15" i="16"/>
  <c r="D16" i="16" s="1"/>
  <c r="D22" i="16" s="1"/>
  <c r="D21" i="16"/>
  <c r="B56" i="16"/>
  <c r="K11" i="16" s="1"/>
  <c r="G81" i="16"/>
  <c r="G18" i="16"/>
  <c r="H17" i="16"/>
  <c r="K68" i="16"/>
  <c r="B100" i="16"/>
  <c r="B65" i="16"/>
  <c r="D33" i="15"/>
  <c r="C45" i="15"/>
  <c r="C58" i="15"/>
  <c r="C67" i="15" s="1"/>
  <c r="L4" i="15"/>
  <c r="D18" i="15"/>
  <c r="E17" i="15"/>
  <c r="D81" i="15"/>
  <c r="B95" i="15"/>
  <c r="B51" i="15"/>
  <c r="B56" i="15"/>
  <c r="K11" i="15" s="1"/>
  <c r="K10" i="15"/>
  <c r="B64" i="15"/>
  <c r="C80" i="15"/>
  <c r="D12" i="15"/>
  <c r="C59" i="15"/>
  <c r="C23" i="15"/>
  <c r="B58" i="15"/>
  <c r="B67" i="15" s="1"/>
  <c r="K4" i="15"/>
  <c r="B98" i="15"/>
  <c r="B70" i="15"/>
  <c r="C16" i="15"/>
  <c r="C22" i="15" s="1"/>
  <c r="D20" i="15"/>
  <c r="D25" i="15" s="1"/>
  <c r="E11" i="15"/>
  <c r="R21" i="14"/>
  <c r="G29" i="14"/>
  <c r="R22" i="14" s="1"/>
  <c r="G44" i="14"/>
  <c r="B55" i="14"/>
  <c r="K8" i="14"/>
  <c r="B62" i="14"/>
  <c r="B68" i="14" s="1"/>
  <c r="C74" i="14"/>
  <c r="C77" i="14"/>
  <c r="A76" i="14"/>
  <c r="A73" i="14"/>
  <c r="A48" i="14"/>
  <c r="A57" i="14"/>
  <c r="A19" i="14"/>
  <c r="A66" i="14"/>
  <c r="A10" i="14"/>
  <c r="A3" i="14"/>
  <c r="D20" i="14"/>
  <c r="D25" i="14" s="1"/>
  <c r="E11" i="14"/>
  <c r="C39" i="14"/>
  <c r="B77" i="14"/>
  <c r="B74" i="14"/>
  <c r="B98" i="14"/>
  <c r="B70" i="14"/>
  <c r="D45" i="14"/>
  <c r="D43" i="14" s="1"/>
  <c r="E33" i="14"/>
  <c r="L4" i="14"/>
  <c r="C15" i="14"/>
  <c r="C16" i="14" s="1"/>
  <c r="C22" i="14" s="1"/>
  <c r="C21" i="14"/>
  <c r="D81" i="14"/>
  <c r="E17" i="14"/>
  <c r="C18" i="14"/>
  <c r="N4" i="17" l="1"/>
  <c r="E58" i="17"/>
  <c r="E67" i="17" s="1"/>
  <c r="G81" i="17"/>
  <c r="G18" i="17"/>
  <c r="H17" i="17"/>
  <c r="D63" i="17"/>
  <c r="E42" i="17"/>
  <c r="E54" i="17" s="1"/>
  <c r="M9" i="17"/>
  <c r="D94" i="17" s="1"/>
  <c r="H11" i="17"/>
  <c r="H20" i="17" s="1"/>
  <c r="H25" i="17" s="1"/>
  <c r="G20" i="17"/>
  <c r="G25" i="17" s="1"/>
  <c r="D80" i="17"/>
  <c r="D59" i="17"/>
  <c r="D23" i="17"/>
  <c r="E12" i="17"/>
  <c r="C31" i="17"/>
  <c r="F49" i="17"/>
  <c r="F39" i="17"/>
  <c r="C83" i="17"/>
  <c r="C89" i="17"/>
  <c r="C97" i="17" s="1"/>
  <c r="G33" i="17"/>
  <c r="F45" i="17"/>
  <c r="F43" i="17" s="1"/>
  <c r="D74" i="17"/>
  <c r="D77" i="17"/>
  <c r="D16" i="17"/>
  <c r="D22" i="17" s="1"/>
  <c r="E63" i="16"/>
  <c r="N9" i="16"/>
  <c r="E94" i="16" s="1"/>
  <c r="F54" i="16"/>
  <c r="G42" i="16" s="1"/>
  <c r="D30" i="16"/>
  <c r="D26" i="16"/>
  <c r="D58" i="16"/>
  <c r="D67" i="16" s="1"/>
  <c r="M4" i="16"/>
  <c r="D50" i="16"/>
  <c r="L5" i="16"/>
  <c r="C90" i="16" s="1"/>
  <c r="C83" i="16"/>
  <c r="C89" i="16"/>
  <c r="C97" i="16" s="1"/>
  <c r="C84" i="16"/>
  <c r="C28" i="16"/>
  <c r="C27" i="16"/>
  <c r="H18" i="16"/>
  <c r="H45" i="16" s="1"/>
  <c r="H43" i="16" s="1"/>
  <c r="H81" i="16"/>
  <c r="G11" i="16"/>
  <c r="F20" i="16"/>
  <c r="F25" i="16" s="1"/>
  <c r="G45" i="16"/>
  <c r="G43" i="16" s="1"/>
  <c r="H33" i="16"/>
  <c r="D80" i="16"/>
  <c r="D59" i="16"/>
  <c r="D23" i="16"/>
  <c r="E12" i="16"/>
  <c r="E39" i="16"/>
  <c r="E49" i="16"/>
  <c r="B100" i="15"/>
  <c r="K68" i="15"/>
  <c r="E20" i="15"/>
  <c r="E25" i="15" s="1"/>
  <c r="F11" i="15"/>
  <c r="C77" i="15"/>
  <c r="C74" i="15"/>
  <c r="D39" i="15"/>
  <c r="D49" i="15"/>
  <c r="D15" i="15"/>
  <c r="D21" i="15"/>
  <c r="E81" i="15"/>
  <c r="F17" i="15"/>
  <c r="E18" i="15"/>
  <c r="C50" i="15"/>
  <c r="C43" i="15"/>
  <c r="C54" i="15" s="1"/>
  <c r="C26" i="15"/>
  <c r="C30" i="15"/>
  <c r="B77" i="15"/>
  <c r="B74" i="15"/>
  <c r="B60" i="15"/>
  <c r="B65" i="15" s="1"/>
  <c r="C46" i="15"/>
  <c r="B91" i="15"/>
  <c r="K6" i="15"/>
  <c r="E33" i="15"/>
  <c r="D45" i="15"/>
  <c r="D43" i="15" s="1"/>
  <c r="K10" i="14"/>
  <c r="B51" i="14"/>
  <c r="B56" i="14" s="1"/>
  <c r="K11" i="14" s="1"/>
  <c r="B64" i="14"/>
  <c r="B95" i="14"/>
  <c r="D33" i="14"/>
  <c r="C45" i="14"/>
  <c r="F11" i="14"/>
  <c r="E20" i="14"/>
  <c r="E25" i="14" s="1"/>
  <c r="B83" i="14"/>
  <c r="B89" i="14"/>
  <c r="B97" i="14" s="1"/>
  <c r="D39" i="14"/>
  <c r="D49" i="14"/>
  <c r="C26" i="14"/>
  <c r="C30" i="14"/>
  <c r="E81" i="14"/>
  <c r="E18" i="14"/>
  <c r="F17" i="14"/>
  <c r="C80" i="14"/>
  <c r="C59" i="14"/>
  <c r="C23" i="14"/>
  <c r="B100" i="14"/>
  <c r="K68" i="14"/>
  <c r="C89" i="14"/>
  <c r="C97" i="14" s="1"/>
  <c r="C83" i="14"/>
  <c r="B99" i="13"/>
  <c r="H98" i="13"/>
  <c r="G98" i="13"/>
  <c r="F98" i="13"/>
  <c r="E98" i="13"/>
  <c r="D98" i="13"/>
  <c r="C98" i="13"/>
  <c r="B94" i="13"/>
  <c r="B90" i="13"/>
  <c r="H79" i="13"/>
  <c r="G79" i="13"/>
  <c r="F79" i="13"/>
  <c r="E79" i="13"/>
  <c r="D79" i="13"/>
  <c r="C79" i="13"/>
  <c r="H78" i="13"/>
  <c r="G78" i="13"/>
  <c r="F78" i="13"/>
  <c r="E78" i="13"/>
  <c r="D78" i="13"/>
  <c r="C78" i="13"/>
  <c r="C75" i="13"/>
  <c r="D75" i="13" s="1"/>
  <c r="E75" i="13" s="1"/>
  <c r="F75" i="13" s="1"/>
  <c r="G75" i="13" s="1"/>
  <c r="H75" i="13" s="1"/>
  <c r="B63" i="13"/>
  <c r="B59" i="13"/>
  <c r="I54" i="13"/>
  <c r="B53" i="13"/>
  <c r="B55" i="13" s="1"/>
  <c r="C45" i="13"/>
  <c r="C43" i="13" s="1"/>
  <c r="C54" i="13" s="1"/>
  <c r="H44" i="13"/>
  <c r="G44" i="13"/>
  <c r="F44" i="13"/>
  <c r="E44" i="13"/>
  <c r="D44" i="13"/>
  <c r="C44" i="13"/>
  <c r="D33" i="13"/>
  <c r="C33" i="13"/>
  <c r="H29" i="13"/>
  <c r="G29" i="13"/>
  <c r="F29" i="13"/>
  <c r="E29" i="13"/>
  <c r="D29" i="13"/>
  <c r="C29" i="13"/>
  <c r="R21" i="13"/>
  <c r="C20" i="13"/>
  <c r="C25" i="13" s="1"/>
  <c r="C49" i="13" s="1"/>
  <c r="C58" i="13" s="1"/>
  <c r="C67" i="13" s="1"/>
  <c r="B20" i="13"/>
  <c r="B25" i="13" s="1"/>
  <c r="R19" i="13"/>
  <c r="C18" i="13"/>
  <c r="C17" i="13"/>
  <c r="C81" i="13" s="1"/>
  <c r="B15" i="13"/>
  <c r="C12" i="13" s="1"/>
  <c r="C11" i="13"/>
  <c r="D11" i="13" s="1"/>
  <c r="K9" i="13"/>
  <c r="K5" i="13"/>
  <c r="L4" i="13"/>
  <c r="A1" i="13"/>
  <c r="A73" i="13" s="1"/>
  <c r="B99" i="12"/>
  <c r="H98" i="12"/>
  <c r="G98" i="12"/>
  <c r="F98" i="12"/>
  <c r="E98" i="12"/>
  <c r="D98" i="12"/>
  <c r="C98" i="12"/>
  <c r="B94" i="12"/>
  <c r="B90" i="12"/>
  <c r="C81" i="12"/>
  <c r="H79" i="12"/>
  <c r="G79" i="12"/>
  <c r="F79" i="12"/>
  <c r="E79" i="12"/>
  <c r="D79" i="12"/>
  <c r="C79" i="12"/>
  <c r="H78" i="12"/>
  <c r="G78" i="12"/>
  <c r="F78" i="12"/>
  <c r="E78" i="12"/>
  <c r="D78" i="12"/>
  <c r="C78" i="12"/>
  <c r="G75" i="12"/>
  <c r="H75" i="12" s="1"/>
  <c r="F75" i="12"/>
  <c r="C75" i="12"/>
  <c r="D75" i="12" s="1"/>
  <c r="E75" i="12" s="1"/>
  <c r="B63" i="12"/>
  <c r="B62" i="12"/>
  <c r="B68" i="12" s="1"/>
  <c r="B59" i="12"/>
  <c r="B55" i="12"/>
  <c r="B51" i="12" s="1"/>
  <c r="I54" i="12"/>
  <c r="B53" i="12"/>
  <c r="B93" i="12" s="1"/>
  <c r="H44" i="12"/>
  <c r="G44" i="12"/>
  <c r="F44" i="12"/>
  <c r="E44" i="12"/>
  <c r="D44" i="12"/>
  <c r="C44" i="12"/>
  <c r="C33" i="12"/>
  <c r="H29" i="12"/>
  <c r="G29" i="12"/>
  <c r="F29" i="12"/>
  <c r="E29" i="12"/>
  <c r="D29" i="12"/>
  <c r="C29" i="12"/>
  <c r="A24" i="12"/>
  <c r="R22" i="12"/>
  <c r="R21" i="12"/>
  <c r="C20" i="12"/>
  <c r="C25" i="12" s="1"/>
  <c r="B20" i="12"/>
  <c r="B25" i="12" s="1"/>
  <c r="R19" i="12"/>
  <c r="C18" i="12"/>
  <c r="D33" i="12" s="1"/>
  <c r="D17" i="12"/>
  <c r="D81" i="12" s="1"/>
  <c r="C17" i="12"/>
  <c r="B15" i="12"/>
  <c r="C12" i="12"/>
  <c r="C11" i="12"/>
  <c r="D11" i="12" s="1"/>
  <c r="K10" i="12"/>
  <c r="A10" i="12"/>
  <c r="K9" i="12"/>
  <c r="K8" i="12"/>
  <c r="K5" i="12"/>
  <c r="A3" i="12"/>
  <c r="A1" i="12"/>
  <c r="B99" i="11"/>
  <c r="H98" i="11"/>
  <c r="G98" i="11"/>
  <c r="F98" i="11"/>
  <c r="E98" i="11"/>
  <c r="D98" i="11"/>
  <c r="C98" i="11"/>
  <c r="B94" i="11"/>
  <c r="B90" i="11"/>
  <c r="H79" i="11"/>
  <c r="G79" i="11"/>
  <c r="F79" i="11"/>
  <c r="E79" i="11"/>
  <c r="D79" i="11"/>
  <c r="C79" i="11"/>
  <c r="H78" i="11"/>
  <c r="G78" i="11"/>
  <c r="F78" i="11"/>
  <c r="E78" i="11"/>
  <c r="D78" i="11"/>
  <c r="C78" i="11"/>
  <c r="C75" i="11"/>
  <c r="D75" i="11" s="1"/>
  <c r="E75" i="11" s="1"/>
  <c r="F75" i="11" s="1"/>
  <c r="G75" i="11" s="1"/>
  <c r="H75" i="11" s="1"/>
  <c r="B63" i="11"/>
  <c r="B59" i="11"/>
  <c r="I54" i="11"/>
  <c r="B53" i="11"/>
  <c r="B93" i="11" s="1"/>
  <c r="H44" i="11"/>
  <c r="G44" i="11"/>
  <c r="F44" i="11"/>
  <c r="E44" i="11"/>
  <c r="D44" i="11"/>
  <c r="C44" i="11"/>
  <c r="C33" i="11"/>
  <c r="H29" i="11"/>
  <c r="G29" i="11"/>
  <c r="F29" i="11"/>
  <c r="E29" i="11"/>
  <c r="D29" i="11"/>
  <c r="C29" i="11"/>
  <c r="A24" i="11"/>
  <c r="R21" i="11"/>
  <c r="C21" i="11"/>
  <c r="B20" i="11"/>
  <c r="B25" i="11" s="1"/>
  <c r="R19" i="11"/>
  <c r="C18" i="11"/>
  <c r="D17" i="11"/>
  <c r="D81" i="11" s="1"/>
  <c r="C17" i="11"/>
  <c r="C81" i="11" s="1"/>
  <c r="B15" i="11"/>
  <c r="C12" i="11" s="1"/>
  <c r="C11" i="11"/>
  <c r="K9" i="11"/>
  <c r="K5" i="11"/>
  <c r="A1" i="11"/>
  <c r="A10" i="11" s="1"/>
  <c r="R26" i="5"/>
  <c r="R25" i="5"/>
  <c r="J26" i="5"/>
  <c r="I26" i="5"/>
  <c r="H39" i="17" l="1"/>
  <c r="H49" i="17"/>
  <c r="F42" i="17"/>
  <c r="F54" i="17" s="1"/>
  <c r="E63" i="17"/>
  <c r="N9" i="17"/>
  <c r="E94" i="17" s="1"/>
  <c r="H81" i="17"/>
  <c r="H18" i="17"/>
  <c r="H45" i="17" s="1"/>
  <c r="H43" i="17" s="1"/>
  <c r="D30" i="17"/>
  <c r="D50" i="17" s="1"/>
  <c r="D26" i="17"/>
  <c r="F58" i="17"/>
  <c r="F67" i="17" s="1"/>
  <c r="O4" i="17"/>
  <c r="H33" i="17"/>
  <c r="G45" i="17"/>
  <c r="G43" i="17" s="1"/>
  <c r="D83" i="17"/>
  <c r="D89" i="17"/>
  <c r="D97" i="17" s="1"/>
  <c r="C85" i="17"/>
  <c r="C35" i="17"/>
  <c r="C36" i="17"/>
  <c r="C32" i="17"/>
  <c r="E15" i="17"/>
  <c r="E16" i="17" s="1"/>
  <c r="E22" i="17" s="1"/>
  <c r="E21" i="17"/>
  <c r="G39" i="17"/>
  <c r="G49" i="17"/>
  <c r="E74" i="17"/>
  <c r="E77" i="17"/>
  <c r="F63" i="16"/>
  <c r="O9" i="16"/>
  <c r="F94" i="16" s="1"/>
  <c r="G54" i="16"/>
  <c r="H42" i="16" s="1"/>
  <c r="H54" i="16" s="1"/>
  <c r="E21" i="16"/>
  <c r="E15" i="16"/>
  <c r="D74" i="16"/>
  <c r="D77" i="16"/>
  <c r="E58" i="16"/>
  <c r="E67" i="16" s="1"/>
  <c r="N4" i="16"/>
  <c r="F49" i="16"/>
  <c r="F39" i="16"/>
  <c r="C31" i="16"/>
  <c r="D28" i="16"/>
  <c r="D31" i="16" s="1"/>
  <c r="D84" i="16"/>
  <c r="D27" i="16"/>
  <c r="G20" i="16"/>
  <c r="G25" i="16" s="1"/>
  <c r="H11" i="16"/>
  <c r="H20" i="16" s="1"/>
  <c r="H25" i="16" s="1"/>
  <c r="M5" i="16"/>
  <c r="D90" i="16" s="1"/>
  <c r="C34" i="15"/>
  <c r="C63" i="15"/>
  <c r="D42" i="15"/>
  <c r="D54" i="15" s="1"/>
  <c r="L9" i="15"/>
  <c r="C94" i="15" s="1"/>
  <c r="D58" i="15"/>
  <c r="D67" i="15" s="1"/>
  <c r="M4" i="15"/>
  <c r="C84" i="15"/>
  <c r="C27" i="15"/>
  <c r="C31" i="15" s="1"/>
  <c r="C28" i="15"/>
  <c r="F81" i="15"/>
  <c r="F18" i="15"/>
  <c r="G17" i="15"/>
  <c r="D80" i="15"/>
  <c r="D23" i="15"/>
  <c r="E12" i="15"/>
  <c r="D59" i="15"/>
  <c r="C83" i="15"/>
  <c r="C89" i="15"/>
  <c r="C97" i="15" s="1"/>
  <c r="B89" i="15"/>
  <c r="B97" i="15" s="1"/>
  <c r="B83" i="15"/>
  <c r="L5" i="15"/>
  <c r="C90" i="15" s="1"/>
  <c r="G11" i="15"/>
  <c r="F20" i="15"/>
  <c r="F25" i="15" s="1"/>
  <c r="E45" i="15"/>
  <c r="E43" i="15" s="1"/>
  <c r="F33" i="15"/>
  <c r="D16" i="15"/>
  <c r="D22" i="15" s="1"/>
  <c r="E49" i="15"/>
  <c r="E39" i="15"/>
  <c r="K6" i="14"/>
  <c r="C46" i="14"/>
  <c r="B91" i="14"/>
  <c r="B60" i="14"/>
  <c r="B65" i="14" s="1"/>
  <c r="E45" i="14"/>
  <c r="E43" i="14" s="1"/>
  <c r="F33" i="14"/>
  <c r="D58" i="14"/>
  <c r="D67" i="14" s="1"/>
  <c r="M4" i="14"/>
  <c r="E49" i="14"/>
  <c r="E39" i="14"/>
  <c r="F20" i="14"/>
  <c r="F25" i="14" s="1"/>
  <c r="G11" i="14"/>
  <c r="C50" i="14"/>
  <c r="C43" i="14"/>
  <c r="C54" i="14" s="1"/>
  <c r="D21" i="14"/>
  <c r="D15" i="14"/>
  <c r="F81" i="14"/>
  <c r="F18" i="14"/>
  <c r="C84" i="14"/>
  <c r="C28" i="14"/>
  <c r="C27" i="14"/>
  <c r="R22" i="13"/>
  <c r="K10" i="13"/>
  <c r="B95" i="13"/>
  <c r="B51" i="13"/>
  <c r="B56" i="13" s="1"/>
  <c r="K11" i="13" s="1"/>
  <c r="B93" i="13"/>
  <c r="K8" i="13"/>
  <c r="B62" i="13"/>
  <c r="B68" i="13" s="1"/>
  <c r="B98" i="13" s="1"/>
  <c r="C74" i="13"/>
  <c r="C77" i="13"/>
  <c r="C15" i="13"/>
  <c r="C21" i="13"/>
  <c r="D20" i="13"/>
  <c r="D25" i="13" s="1"/>
  <c r="E11" i="13"/>
  <c r="D42" i="13"/>
  <c r="C34" i="13"/>
  <c r="C63" i="13"/>
  <c r="L9" i="13"/>
  <c r="C94" i="13" s="1"/>
  <c r="B49" i="13"/>
  <c r="B39" i="13"/>
  <c r="A24" i="13"/>
  <c r="C39" i="13"/>
  <c r="B64" i="13"/>
  <c r="A76" i="13"/>
  <c r="A57" i="13"/>
  <c r="A38" i="13"/>
  <c r="A66" i="13"/>
  <c r="A48" i="13"/>
  <c r="A19" i="13"/>
  <c r="A10" i="13"/>
  <c r="A3" i="13"/>
  <c r="D17" i="13"/>
  <c r="B98" i="12"/>
  <c r="B70" i="12"/>
  <c r="B91" i="12"/>
  <c r="C46" i="12"/>
  <c r="B60" i="12"/>
  <c r="K6" i="12"/>
  <c r="C15" i="12"/>
  <c r="C21" i="12"/>
  <c r="C49" i="12"/>
  <c r="C39" i="12"/>
  <c r="D20" i="12"/>
  <c r="D25" i="12" s="1"/>
  <c r="E11" i="12"/>
  <c r="A76" i="12"/>
  <c r="A57" i="12"/>
  <c r="A38" i="12"/>
  <c r="A73" i="12"/>
  <c r="A48" i="12"/>
  <c r="A19" i="12"/>
  <c r="B49" i="12"/>
  <c r="B39" i="12"/>
  <c r="C45" i="12"/>
  <c r="B64" i="12"/>
  <c r="B65" i="12" s="1"/>
  <c r="B95" i="12"/>
  <c r="B56" i="12"/>
  <c r="K11" i="12" s="1"/>
  <c r="E17" i="12"/>
  <c r="D18" i="12"/>
  <c r="A66" i="12"/>
  <c r="R22" i="11"/>
  <c r="B62" i="11"/>
  <c r="B68" i="11" s="1"/>
  <c r="K8" i="11"/>
  <c r="B55" i="11"/>
  <c r="K10" i="11" s="1"/>
  <c r="E17" i="11"/>
  <c r="C20" i="11"/>
  <c r="C25" i="11" s="1"/>
  <c r="D11" i="11"/>
  <c r="C15" i="11"/>
  <c r="D18" i="11"/>
  <c r="B64" i="11"/>
  <c r="D33" i="11"/>
  <c r="C45" i="11"/>
  <c r="A3" i="11"/>
  <c r="A73" i="11"/>
  <c r="A48" i="11"/>
  <c r="A57" i="11"/>
  <c r="A38" i="11"/>
  <c r="A66" i="11"/>
  <c r="A19" i="11"/>
  <c r="B49" i="11"/>
  <c r="B39" i="11"/>
  <c r="A76" i="11"/>
  <c r="B100" i="10"/>
  <c r="H99" i="10"/>
  <c r="G99" i="10"/>
  <c r="F99" i="10"/>
  <c r="E99" i="10"/>
  <c r="D99" i="10"/>
  <c r="C99" i="10"/>
  <c r="B95" i="10"/>
  <c r="B91" i="10"/>
  <c r="C82" i="10"/>
  <c r="H80" i="10"/>
  <c r="G80" i="10"/>
  <c r="F80" i="10"/>
  <c r="E80" i="10"/>
  <c r="D80" i="10"/>
  <c r="C80" i="10"/>
  <c r="H79" i="10"/>
  <c r="G79" i="10"/>
  <c r="F79" i="10"/>
  <c r="E79" i="10"/>
  <c r="D79" i="10"/>
  <c r="C79" i="10"/>
  <c r="C76" i="10"/>
  <c r="D76" i="10" s="1"/>
  <c r="E76" i="10" s="1"/>
  <c r="F76" i="10" s="1"/>
  <c r="G76" i="10" s="1"/>
  <c r="H76" i="10" s="1"/>
  <c r="C75" i="10"/>
  <c r="D75" i="10" s="1"/>
  <c r="E75" i="10" s="1"/>
  <c r="F75" i="10" s="1"/>
  <c r="G75" i="10" s="1"/>
  <c r="H75" i="10" s="1"/>
  <c r="B63" i="10"/>
  <c r="B59" i="10"/>
  <c r="I54" i="10"/>
  <c r="B53" i="10"/>
  <c r="C45" i="10"/>
  <c r="H44" i="10"/>
  <c r="G44" i="10"/>
  <c r="F44" i="10"/>
  <c r="E44" i="10"/>
  <c r="D44" i="10"/>
  <c r="C44" i="10"/>
  <c r="C33" i="10"/>
  <c r="H29" i="10"/>
  <c r="G29" i="10"/>
  <c r="F29" i="10"/>
  <c r="E29" i="10"/>
  <c r="D29" i="10"/>
  <c r="C29" i="10"/>
  <c r="R22" i="10"/>
  <c r="R21" i="10"/>
  <c r="C20" i="10"/>
  <c r="C25" i="10" s="1"/>
  <c r="C39" i="10" s="1"/>
  <c r="B20" i="10"/>
  <c r="B25" i="10" s="1"/>
  <c r="B49" i="10" s="1"/>
  <c r="B58" i="10" s="1"/>
  <c r="B67" i="10" s="1"/>
  <c r="R19" i="10"/>
  <c r="C18" i="10"/>
  <c r="D33" i="10" s="1"/>
  <c r="D17" i="10"/>
  <c r="D82" i="10" s="1"/>
  <c r="C17" i="10"/>
  <c r="B15" i="10"/>
  <c r="C12" i="10"/>
  <c r="C15" i="10" s="1"/>
  <c r="D11" i="10"/>
  <c r="C11" i="10"/>
  <c r="K9" i="10"/>
  <c r="K5" i="10"/>
  <c r="K4" i="10"/>
  <c r="A1" i="10"/>
  <c r="A24" i="10" s="1"/>
  <c r="C76" i="9"/>
  <c r="C59" i="9" s="1"/>
  <c r="G42" i="17" l="1"/>
  <c r="G54" i="17" s="1"/>
  <c r="F63" i="17"/>
  <c r="O9" i="17"/>
  <c r="F94" i="17" s="1"/>
  <c r="E89" i="17"/>
  <c r="E97" i="17" s="1"/>
  <c r="E83" i="17"/>
  <c r="E26" i="17"/>
  <c r="E30" i="17"/>
  <c r="E50" i="17" s="1"/>
  <c r="C87" i="17"/>
  <c r="C41" i="17"/>
  <c r="C69" i="17" s="1"/>
  <c r="C37" i="17"/>
  <c r="C40" i="17"/>
  <c r="F77" i="17"/>
  <c r="F74" i="17"/>
  <c r="G58" i="17"/>
  <c r="G67" i="17" s="1"/>
  <c r="P4" i="17"/>
  <c r="E80" i="17"/>
  <c r="E59" i="17"/>
  <c r="E23" i="17"/>
  <c r="F12" i="17"/>
  <c r="D27" i="17"/>
  <c r="D28" i="17"/>
  <c r="D84" i="17"/>
  <c r="M5" i="17"/>
  <c r="D90" i="17" s="1"/>
  <c r="H58" i="17"/>
  <c r="H67" i="17" s="1"/>
  <c r="Q4" i="17"/>
  <c r="P9" i="16"/>
  <c r="G94" i="16" s="1"/>
  <c r="G63" i="16"/>
  <c r="H63" i="16"/>
  <c r="Q9" i="16"/>
  <c r="H94" i="16" s="1"/>
  <c r="D32" i="16"/>
  <c r="D85" i="16"/>
  <c r="C85" i="16"/>
  <c r="C35" i="16"/>
  <c r="C36" i="16"/>
  <c r="C32" i="16"/>
  <c r="E74" i="16"/>
  <c r="E77" i="16"/>
  <c r="E59" i="16"/>
  <c r="E80" i="16"/>
  <c r="E23" i="16"/>
  <c r="F12" i="16"/>
  <c r="H49" i="16"/>
  <c r="H39" i="16"/>
  <c r="F58" i="16"/>
  <c r="F67" i="16" s="1"/>
  <c r="O4" i="16"/>
  <c r="D89" i="16"/>
  <c r="D97" i="16" s="1"/>
  <c r="D83" i="16"/>
  <c r="E16" i="16"/>
  <c r="E22" i="16" s="1"/>
  <c r="G39" i="16"/>
  <c r="G49" i="16"/>
  <c r="C85" i="15"/>
  <c r="C35" i="15"/>
  <c r="C36" i="15" s="1"/>
  <c r="C32" i="15"/>
  <c r="D63" i="15"/>
  <c r="E54" i="15"/>
  <c r="E42" i="15"/>
  <c r="M9" i="15"/>
  <c r="D94" i="15" s="1"/>
  <c r="G33" i="15"/>
  <c r="F45" i="15"/>
  <c r="F43" i="15" s="1"/>
  <c r="D26" i="15"/>
  <c r="D30" i="15"/>
  <c r="D50" i="15" s="1"/>
  <c r="G20" i="15"/>
  <c r="G25" i="15" s="1"/>
  <c r="H11" i="15"/>
  <c r="H20" i="15" s="1"/>
  <c r="H25" i="15" s="1"/>
  <c r="E15" i="15"/>
  <c r="E21" i="15"/>
  <c r="D74" i="15"/>
  <c r="D77" i="15"/>
  <c r="E58" i="15"/>
  <c r="E67" i="15" s="1"/>
  <c r="N4" i="15"/>
  <c r="F49" i="15"/>
  <c r="F39" i="15"/>
  <c r="G81" i="15"/>
  <c r="H17" i="15"/>
  <c r="G18" i="15"/>
  <c r="D16" i="14"/>
  <c r="D22" i="14" s="1"/>
  <c r="D26" i="14" s="1"/>
  <c r="E12" i="14"/>
  <c r="G81" i="14"/>
  <c r="H17" i="14"/>
  <c r="C63" i="14"/>
  <c r="L9" i="14"/>
  <c r="C94" i="14" s="1"/>
  <c r="D42" i="14"/>
  <c r="D54" i="14" s="1"/>
  <c r="C34" i="14"/>
  <c r="D77" i="14"/>
  <c r="D74" i="14"/>
  <c r="D80" i="14"/>
  <c r="D59" i="14"/>
  <c r="D23" i="14"/>
  <c r="L5" i="14"/>
  <c r="C90" i="14" s="1"/>
  <c r="G33" i="14"/>
  <c r="F45" i="14"/>
  <c r="F43" i="14" s="1"/>
  <c r="D30" i="14"/>
  <c r="D50" i="14" s="1"/>
  <c r="H11" i="14"/>
  <c r="H20" i="14" s="1"/>
  <c r="H25" i="14" s="1"/>
  <c r="G20" i="14"/>
  <c r="G25" i="14" s="1"/>
  <c r="E58" i="14"/>
  <c r="E67" i="14" s="1"/>
  <c r="N4" i="14"/>
  <c r="C31" i="14"/>
  <c r="F49" i="14"/>
  <c r="F39" i="14"/>
  <c r="B91" i="13"/>
  <c r="C46" i="13"/>
  <c r="K6" i="13"/>
  <c r="B70" i="13"/>
  <c r="B60" i="13"/>
  <c r="D49" i="13"/>
  <c r="D39" i="13"/>
  <c r="D81" i="13"/>
  <c r="E17" i="13"/>
  <c r="D18" i="13"/>
  <c r="B100" i="13"/>
  <c r="K68" i="13"/>
  <c r="E20" i="13"/>
  <c r="E25" i="13" s="1"/>
  <c r="F11" i="13"/>
  <c r="C80" i="13"/>
  <c r="C23" i="13"/>
  <c r="D12" i="13"/>
  <c r="C59" i="13"/>
  <c r="C89" i="13"/>
  <c r="C97" i="13" s="1"/>
  <c r="C83" i="13"/>
  <c r="B65" i="13"/>
  <c r="K4" i="13"/>
  <c r="B58" i="13"/>
  <c r="B67" i="13" s="1"/>
  <c r="C16" i="13"/>
  <c r="C22" i="13" s="1"/>
  <c r="C80" i="12"/>
  <c r="C59" i="12"/>
  <c r="C23" i="12"/>
  <c r="D12" i="12"/>
  <c r="E81" i="12"/>
  <c r="E18" i="12"/>
  <c r="F17" i="12"/>
  <c r="B100" i="12"/>
  <c r="K68" i="12"/>
  <c r="B58" i="12"/>
  <c r="B67" i="12" s="1"/>
  <c r="K4" i="12"/>
  <c r="D39" i="12"/>
  <c r="D49" i="12"/>
  <c r="C16" i="12"/>
  <c r="C22" i="12" s="1"/>
  <c r="E33" i="12"/>
  <c r="D45" i="12"/>
  <c r="D43" i="12" s="1"/>
  <c r="C43" i="12"/>
  <c r="C54" i="12" s="1"/>
  <c r="L4" i="12"/>
  <c r="C58" i="12"/>
  <c r="C67" i="12" s="1"/>
  <c r="E20" i="12"/>
  <c r="E25" i="12" s="1"/>
  <c r="F11" i="12"/>
  <c r="B56" i="11"/>
  <c r="K11" i="11" s="1"/>
  <c r="B95" i="11"/>
  <c r="B51" i="11"/>
  <c r="K6" i="11" s="1"/>
  <c r="B98" i="11"/>
  <c r="B70" i="11"/>
  <c r="C23" i="11"/>
  <c r="D12" i="11"/>
  <c r="C59" i="11"/>
  <c r="C80" i="11"/>
  <c r="D20" i="11"/>
  <c r="D25" i="11" s="1"/>
  <c r="E11" i="11"/>
  <c r="B58" i="11"/>
  <c r="B67" i="11" s="1"/>
  <c r="K4" i="11"/>
  <c r="C43" i="11"/>
  <c r="C54" i="11" s="1"/>
  <c r="B60" i="11"/>
  <c r="B65" i="11" s="1"/>
  <c r="C46" i="11"/>
  <c r="B91" i="11"/>
  <c r="C16" i="11"/>
  <c r="C22" i="11" s="1"/>
  <c r="E18" i="11"/>
  <c r="E81" i="11"/>
  <c r="F17" i="11"/>
  <c r="E33" i="11"/>
  <c r="D45" i="11"/>
  <c r="D43" i="11" s="1"/>
  <c r="C49" i="11"/>
  <c r="C39" i="11"/>
  <c r="B74" i="10"/>
  <c r="B78" i="10"/>
  <c r="A3" i="10"/>
  <c r="A10" i="10"/>
  <c r="C81" i="10"/>
  <c r="C23" i="10"/>
  <c r="D12" i="10"/>
  <c r="C43" i="10"/>
  <c r="C54" i="10" s="1"/>
  <c r="C21" i="10"/>
  <c r="C59" i="10"/>
  <c r="E17" i="10"/>
  <c r="D18" i="10"/>
  <c r="B39" i="10"/>
  <c r="C49" i="10"/>
  <c r="A77" i="10"/>
  <c r="A73" i="10"/>
  <c r="A48" i="10"/>
  <c r="A66" i="10"/>
  <c r="A57" i="10"/>
  <c r="A38" i="10"/>
  <c r="A19" i="10"/>
  <c r="D20" i="10"/>
  <c r="D25" i="10" s="1"/>
  <c r="E11" i="10"/>
  <c r="C16" i="10"/>
  <c r="C22" i="10" s="1"/>
  <c r="B94" i="10"/>
  <c r="B62" i="10"/>
  <c r="B68" i="10" s="1"/>
  <c r="B55" i="10"/>
  <c r="K8" i="10"/>
  <c r="D76" i="9"/>
  <c r="B100" i="9"/>
  <c r="H99" i="9"/>
  <c r="G99" i="9"/>
  <c r="F99" i="9"/>
  <c r="E99" i="9"/>
  <c r="D99" i="9"/>
  <c r="C99" i="9"/>
  <c r="B95" i="9"/>
  <c r="B91" i="9"/>
  <c r="H80" i="9"/>
  <c r="G80" i="9"/>
  <c r="F80" i="9"/>
  <c r="E80" i="9"/>
  <c r="D80" i="9"/>
  <c r="C80" i="9"/>
  <c r="H79" i="9"/>
  <c r="G79" i="9"/>
  <c r="F79" i="9"/>
  <c r="E79" i="9"/>
  <c r="D79" i="9"/>
  <c r="C79" i="9"/>
  <c r="C75" i="9"/>
  <c r="D75" i="9" s="1"/>
  <c r="E75" i="9" s="1"/>
  <c r="F75" i="9" s="1"/>
  <c r="G75" i="9" s="1"/>
  <c r="H75" i="9" s="1"/>
  <c r="B63" i="9"/>
  <c r="B62" i="9"/>
  <c r="B68" i="9" s="1"/>
  <c r="B59" i="9"/>
  <c r="B55" i="9"/>
  <c r="I54" i="9"/>
  <c r="B53" i="9"/>
  <c r="B94" i="9" s="1"/>
  <c r="H44" i="9"/>
  <c r="G44" i="9"/>
  <c r="F44" i="9"/>
  <c r="E44" i="9"/>
  <c r="D44" i="9"/>
  <c r="C44" i="9"/>
  <c r="C33" i="9"/>
  <c r="H29" i="9"/>
  <c r="G29" i="9"/>
  <c r="F29" i="9"/>
  <c r="E29" i="9"/>
  <c r="D29" i="9"/>
  <c r="R22" i="9" s="1"/>
  <c r="C29" i="9"/>
  <c r="B25" i="9"/>
  <c r="R21" i="9"/>
  <c r="B20" i="9"/>
  <c r="R19" i="9"/>
  <c r="C17" i="9"/>
  <c r="B15" i="9"/>
  <c r="C12" i="9" s="1"/>
  <c r="C21" i="9" s="1"/>
  <c r="C11" i="9"/>
  <c r="C20" i="9" s="1"/>
  <c r="C25" i="9" s="1"/>
  <c r="K9" i="9"/>
  <c r="K8" i="9"/>
  <c r="K5" i="9"/>
  <c r="A1" i="9"/>
  <c r="N5" i="17" l="1"/>
  <c r="E90" i="17" s="1"/>
  <c r="G77" i="17"/>
  <c r="G74" i="17"/>
  <c r="C47" i="17"/>
  <c r="C51" i="17" s="1"/>
  <c r="C86" i="17"/>
  <c r="G63" i="17"/>
  <c r="H42" i="17"/>
  <c r="H54" i="17" s="1"/>
  <c r="P9" i="17"/>
  <c r="G94" i="17" s="1"/>
  <c r="E84" i="17"/>
  <c r="E27" i="17"/>
  <c r="E28" i="17"/>
  <c r="D31" i="17"/>
  <c r="F89" i="17"/>
  <c r="F97" i="17" s="1"/>
  <c r="F83" i="17"/>
  <c r="C70" i="17"/>
  <c r="C99" i="17"/>
  <c r="H74" i="17"/>
  <c r="H77" i="17"/>
  <c r="F21" i="17"/>
  <c r="F15" i="17"/>
  <c r="F16" i="17" s="1"/>
  <c r="F22" i="17" s="1"/>
  <c r="C53" i="17"/>
  <c r="G58" i="16"/>
  <c r="G67" i="16" s="1"/>
  <c r="P4" i="16"/>
  <c r="H58" i="16"/>
  <c r="H67" i="16" s="1"/>
  <c r="Q4" i="16"/>
  <c r="C87" i="16"/>
  <c r="C41" i="16"/>
  <c r="C69" i="16" s="1"/>
  <c r="C37" i="16"/>
  <c r="C40" i="16"/>
  <c r="F15" i="16"/>
  <c r="F21" i="16"/>
  <c r="E89" i="16"/>
  <c r="E97" i="16" s="1"/>
  <c r="E83" i="16"/>
  <c r="E30" i="16"/>
  <c r="E50" i="16" s="1"/>
  <c r="E26" i="16"/>
  <c r="F77" i="16"/>
  <c r="F74" i="16"/>
  <c r="C87" i="15"/>
  <c r="C40" i="15"/>
  <c r="C41" i="15"/>
  <c r="C69" i="15" s="1"/>
  <c r="C37" i="15"/>
  <c r="H81" i="15"/>
  <c r="H18" i="15"/>
  <c r="H45" i="15" s="1"/>
  <c r="H43" i="15" s="1"/>
  <c r="O4" i="15"/>
  <c r="F58" i="15"/>
  <c r="F67" i="15" s="1"/>
  <c r="H39" i="15"/>
  <c r="H49" i="15"/>
  <c r="G39" i="15"/>
  <c r="G49" i="15"/>
  <c r="E74" i="15"/>
  <c r="E77" i="15"/>
  <c r="E80" i="15"/>
  <c r="E59" i="15"/>
  <c r="E23" i="15"/>
  <c r="F12" i="15"/>
  <c r="M5" i="15"/>
  <c r="D90" i="15" s="1"/>
  <c r="F42" i="15"/>
  <c r="F54" i="15"/>
  <c r="N9" i="15"/>
  <c r="E94" i="15" s="1"/>
  <c r="E63" i="15"/>
  <c r="H33" i="15"/>
  <c r="G45" i="15"/>
  <c r="G43" i="15" s="1"/>
  <c r="D83" i="15"/>
  <c r="D89" i="15"/>
  <c r="D97" i="15" s="1"/>
  <c r="E16" i="15"/>
  <c r="E22" i="15" s="1"/>
  <c r="D28" i="15"/>
  <c r="D31" i="15" s="1"/>
  <c r="D84" i="15"/>
  <c r="D27" i="15"/>
  <c r="F58" i="14"/>
  <c r="F67" i="14" s="1"/>
  <c r="O4" i="14"/>
  <c r="G39" i="14"/>
  <c r="G49" i="14"/>
  <c r="M5" i="14"/>
  <c r="D90" i="14" s="1"/>
  <c r="C35" i="14"/>
  <c r="C36" i="14" s="1"/>
  <c r="C85" i="14"/>
  <c r="C32" i="14"/>
  <c r="H39" i="14"/>
  <c r="H49" i="14"/>
  <c r="E21" i="14"/>
  <c r="E15" i="14"/>
  <c r="H81" i="14"/>
  <c r="H18" i="14"/>
  <c r="H45" i="14" s="1"/>
  <c r="H43" i="14" s="1"/>
  <c r="D84" i="14"/>
  <c r="D28" i="14"/>
  <c r="D27" i="14"/>
  <c r="D83" i="14"/>
  <c r="D89" i="14"/>
  <c r="D97" i="14" s="1"/>
  <c r="H33" i="14"/>
  <c r="G45" i="14"/>
  <c r="G43" i="14" s="1"/>
  <c r="E77" i="14"/>
  <c r="E74" i="14"/>
  <c r="D63" i="14"/>
  <c r="M9" i="14"/>
  <c r="D94" i="14" s="1"/>
  <c r="E42" i="14"/>
  <c r="E54" i="14" s="1"/>
  <c r="B74" i="13"/>
  <c r="B77" i="13"/>
  <c r="C26" i="13"/>
  <c r="C30" i="13"/>
  <c r="C50" i="13" s="1"/>
  <c r="E81" i="13"/>
  <c r="E18" i="13"/>
  <c r="F17" i="13"/>
  <c r="F20" i="13"/>
  <c r="F25" i="13" s="1"/>
  <c r="G11" i="13"/>
  <c r="D15" i="13"/>
  <c r="D16" i="13" s="1"/>
  <c r="D22" i="13" s="1"/>
  <c r="D21" i="13"/>
  <c r="E39" i="13"/>
  <c r="E49" i="13"/>
  <c r="E33" i="13"/>
  <c r="D45" i="13"/>
  <c r="D43" i="13" s="1"/>
  <c r="D54" i="13" s="1"/>
  <c r="D58" i="13"/>
  <c r="D67" i="13" s="1"/>
  <c r="M4" i="13"/>
  <c r="F20" i="12"/>
  <c r="F25" i="12" s="1"/>
  <c r="G11" i="12"/>
  <c r="C26" i="12"/>
  <c r="C30" i="12"/>
  <c r="C50" i="12" s="1"/>
  <c r="B74" i="12"/>
  <c r="B77" i="12"/>
  <c r="F81" i="12"/>
  <c r="G17" i="12"/>
  <c r="F18" i="12"/>
  <c r="E39" i="12"/>
  <c r="E49" i="12"/>
  <c r="D42" i="12"/>
  <c r="D54" i="12" s="1"/>
  <c r="C34" i="12"/>
  <c r="C63" i="12"/>
  <c r="L9" i="12"/>
  <c r="C94" i="12" s="1"/>
  <c r="D58" i="12"/>
  <c r="D67" i="12" s="1"/>
  <c r="M4" i="12"/>
  <c r="E45" i="12"/>
  <c r="E43" i="12" s="1"/>
  <c r="F33" i="12"/>
  <c r="D21" i="12"/>
  <c r="D15" i="12"/>
  <c r="D16" i="12" s="1"/>
  <c r="D22" i="12" s="1"/>
  <c r="C74" i="12"/>
  <c r="C77" i="12"/>
  <c r="K68" i="11"/>
  <c r="B100" i="11"/>
  <c r="L4" i="11"/>
  <c r="C58" i="11"/>
  <c r="C67" i="11" s="1"/>
  <c r="F11" i="11"/>
  <c r="E20" i="11"/>
  <c r="E25" i="11" s="1"/>
  <c r="D15" i="11"/>
  <c r="D16" i="11" s="1"/>
  <c r="D22" i="11" s="1"/>
  <c r="D21" i="11"/>
  <c r="E45" i="11"/>
  <c r="E43" i="11" s="1"/>
  <c r="F33" i="11"/>
  <c r="D39" i="11"/>
  <c r="D49" i="11"/>
  <c r="C26" i="11"/>
  <c r="C30" i="11"/>
  <c r="C50" i="11" s="1"/>
  <c r="B74" i="11"/>
  <c r="B77" i="11"/>
  <c r="G17" i="11"/>
  <c r="F81" i="11"/>
  <c r="F18" i="11"/>
  <c r="D42" i="11"/>
  <c r="D54" i="11" s="1"/>
  <c r="C34" i="11"/>
  <c r="L9" i="11"/>
  <c r="C94" i="11" s="1"/>
  <c r="C63" i="11"/>
  <c r="B96" i="10"/>
  <c r="B51" i="10"/>
  <c r="B64" i="10"/>
  <c r="K10" i="10"/>
  <c r="E82" i="10"/>
  <c r="E18" i="10"/>
  <c r="F17" i="10"/>
  <c r="D49" i="10"/>
  <c r="D39" i="10"/>
  <c r="C58" i="10"/>
  <c r="C67" i="10" s="1"/>
  <c r="L4" i="10"/>
  <c r="B84" i="10"/>
  <c r="B90" i="10"/>
  <c r="B98" i="10" s="1"/>
  <c r="E20" i="10"/>
  <c r="E25" i="10" s="1"/>
  <c r="F11" i="10"/>
  <c r="B99" i="10"/>
  <c r="B70" i="10"/>
  <c r="D15" i="10"/>
  <c r="D21" i="10"/>
  <c r="C26" i="10"/>
  <c r="C30" i="10"/>
  <c r="C50" i="10" s="1"/>
  <c r="D45" i="10"/>
  <c r="D43" i="10" s="1"/>
  <c r="E33" i="10"/>
  <c r="C63" i="10"/>
  <c r="D42" i="10"/>
  <c r="L9" i="10"/>
  <c r="C95" i="10" s="1"/>
  <c r="C34" i="10"/>
  <c r="E76" i="9"/>
  <c r="D59" i="9"/>
  <c r="B49" i="9"/>
  <c r="B39" i="9"/>
  <c r="A77" i="9"/>
  <c r="A57" i="9"/>
  <c r="A38" i="9"/>
  <c r="A24" i="9"/>
  <c r="A19" i="9"/>
  <c r="A73" i="9"/>
  <c r="A66" i="9"/>
  <c r="C49" i="9"/>
  <c r="C39" i="9"/>
  <c r="B64" i="9"/>
  <c r="B96" i="9"/>
  <c r="B51" i="9"/>
  <c r="K10" i="9"/>
  <c r="A3" i="9"/>
  <c r="A10" i="9"/>
  <c r="D11" i="9"/>
  <c r="C15" i="9"/>
  <c r="A48" i="9"/>
  <c r="B99" i="9"/>
  <c r="B70" i="9"/>
  <c r="C82" i="9"/>
  <c r="D17" i="9"/>
  <c r="C18" i="9"/>
  <c r="D37" i="6"/>
  <c r="E37" i="6"/>
  <c r="F37" i="6"/>
  <c r="G37" i="6"/>
  <c r="C37" i="6"/>
  <c r="H63" i="17" l="1"/>
  <c r="Q9" i="17"/>
  <c r="H94" i="17" s="1"/>
  <c r="C55" i="17"/>
  <c r="L8" i="17"/>
  <c r="C93" i="17" s="1"/>
  <c r="H83" i="17"/>
  <c r="H89" i="17"/>
  <c r="H97" i="17" s="1"/>
  <c r="F30" i="17"/>
  <c r="F50" i="17" s="1"/>
  <c r="F26" i="17"/>
  <c r="E31" i="17"/>
  <c r="G83" i="17"/>
  <c r="G89" i="17"/>
  <c r="G97" i="17" s="1"/>
  <c r="F80" i="17"/>
  <c r="F23" i="17"/>
  <c r="G12" i="17"/>
  <c r="F59" i="17"/>
  <c r="D85" i="17"/>
  <c r="D32" i="17"/>
  <c r="L68" i="17"/>
  <c r="L69" i="17" s="1"/>
  <c r="C100" i="17"/>
  <c r="C60" i="17"/>
  <c r="C62" i="17" s="1"/>
  <c r="C64" i="17" s="1"/>
  <c r="C65" i="17" s="1"/>
  <c r="D46" i="17"/>
  <c r="L6" i="17"/>
  <c r="C91" i="17" s="1"/>
  <c r="D34" i="17"/>
  <c r="D35" i="17" s="1"/>
  <c r="D36" i="17" s="1"/>
  <c r="E84" i="16"/>
  <c r="E28" i="16"/>
  <c r="E27" i="16"/>
  <c r="C47" i="16"/>
  <c r="C51" i="16" s="1"/>
  <c r="C86" i="16"/>
  <c r="G77" i="16"/>
  <c r="G74" i="16"/>
  <c r="N5" i="16"/>
  <c r="E90" i="16" s="1"/>
  <c r="F80" i="16"/>
  <c r="F59" i="16"/>
  <c r="F23" i="16"/>
  <c r="G12" i="16"/>
  <c r="F16" i="16"/>
  <c r="F22" i="16" s="1"/>
  <c r="C99" i="16"/>
  <c r="C70" i="16"/>
  <c r="H74" i="16"/>
  <c r="H77" i="16"/>
  <c r="F83" i="16"/>
  <c r="F89" i="16"/>
  <c r="F97" i="16" s="1"/>
  <c r="C53" i="16"/>
  <c r="D85" i="15"/>
  <c r="D32" i="15"/>
  <c r="G42" i="15"/>
  <c r="G54" i="15" s="1"/>
  <c r="F63" i="15"/>
  <c r="O9" i="15"/>
  <c r="F94" i="15" s="1"/>
  <c r="E30" i="15"/>
  <c r="E50" i="15" s="1"/>
  <c r="E26" i="15"/>
  <c r="F21" i="15"/>
  <c r="F15" i="15"/>
  <c r="E89" i="15"/>
  <c r="E97" i="15" s="1"/>
  <c r="E83" i="15"/>
  <c r="H58" i="15"/>
  <c r="H67" i="15" s="1"/>
  <c r="Q4" i="15"/>
  <c r="C53" i="15"/>
  <c r="C47" i="15"/>
  <c r="C51" i="15" s="1"/>
  <c r="C86" i="15"/>
  <c r="C70" i="15"/>
  <c r="C99" i="15"/>
  <c r="G58" i="15"/>
  <c r="G67" i="15" s="1"/>
  <c r="P4" i="15"/>
  <c r="F77" i="15"/>
  <c r="F74" i="15"/>
  <c r="E16" i="14"/>
  <c r="E22" i="14" s="1"/>
  <c r="E26" i="14" s="1"/>
  <c r="F12" i="14"/>
  <c r="D31" i="14"/>
  <c r="D85" i="14" s="1"/>
  <c r="C41" i="14"/>
  <c r="C69" i="14" s="1"/>
  <c r="C87" i="14"/>
  <c r="C40" i="14"/>
  <c r="C37" i="14"/>
  <c r="F42" i="14"/>
  <c r="F54" i="14" s="1"/>
  <c r="N9" i="14"/>
  <c r="E94" i="14" s="1"/>
  <c r="E63" i="14"/>
  <c r="H58" i="14"/>
  <c r="H67" i="14" s="1"/>
  <c r="Q4" i="14"/>
  <c r="G58" i="14"/>
  <c r="G67" i="14" s="1"/>
  <c r="P4" i="14"/>
  <c r="E89" i="14"/>
  <c r="E97" i="14" s="1"/>
  <c r="E83" i="14"/>
  <c r="E80" i="14"/>
  <c r="E59" i="14"/>
  <c r="E23" i="14"/>
  <c r="F77" i="14"/>
  <c r="F74" i="14"/>
  <c r="G20" i="13"/>
  <c r="G25" i="13" s="1"/>
  <c r="H11" i="13"/>
  <c r="H20" i="13" s="1"/>
  <c r="H25" i="13" s="1"/>
  <c r="E42" i="13"/>
  <c r="D63" i="13"/>
  <c r="M9" i="13"/>
  <c r="D94" i="13" s="1"/>
  <c r="E58" i="13"/>
  <c r="E67" i="13" s="1"/>
  <c r="N4" i="13"/>
  <c r="D23" i="13"/>
  <c r="E12" i="13"/>
  <c r="D59" i="13"/>
  <c r="D80" i="13"/>
  <c r="G17" i="13"/>
  <c r="F18" i="13"/>
  <c r="F81" i="13"/>
  <c r="L5" i="13"/>
  <c r="C90" i="13" s="1"/>
  <c r="D77" i="13"/>
  <c r="D74" i="13"/>
  <c r="E45" i="13"/>
  <c r="E43" i="13" s="1"/>
  <c r="F33" i="13"/>
  <c r="C84" i="13"/>
  <c r="C27" i="13"/>
  <c r="C28" i="13"/>
  <c r="C31" i="13" s="1"/>
  <c r="D30" i="13"/>
  <c r="D50" i="13" s="1"/>
  <c r="D26" i="13"/>
  <c r="F49" i="13"/>
  <c r="F39" i="13"/>
  <c r="B83" i="13"/>
  <c r="B89" i="13"/>
  <c r="B97" i="13" s="1"/>
  <c r="D26" i="12"/>
  <c r="D30" i="12"/>
  <c r="D50" i="12" s="1"/>
  <c r="E42" i="12"/>
  <c r="E54" i="12" s="1"/>
  <c r="M9" i="12"/>
  <c r="D94" i="12" s="1"/>
  <c r="D63" i="12"/>
  <c r="G81" i="12"/>
  <c r="G18" i="12"/>
  <c r="H17" i="12"/>
  <c r="L5" i="12"/>
  <c r="C90" i="12" s="1"/>
  <c r="E58" i="12"/>
  <c r="E67" i="12" s="1"/>
  <c r="N4" i="12"/>
  <c r="C84" i="12"/>
  <c r="C27" i="12"/>
  <c r="C28" i="12"/>
  <c r="C31" i="12" s="1"/>
  <c r="D77" i="12"/>
  <c r="D74" i="12"/>
  <c r="B83" i="12"/>
  <c r="B89" i="12"/>
  <c r="B97" i="12" s="1"/>
  <c r="H11" i="12"/>
  <c r="H20" i="12" s="1"/>
  <c r="H25" i="12" s="1"/>
  <c r="G20" i="12"/>
  <c r="G25" i="12" s="1"/>
  <c r="C89" i="12"/>
  <c r="C97" i="12" s="1"/>
  <c r="C83" i="12"/>
  <c r="D80" i="12"/>
  <c r="D59" i="12"/>
  <c r="D23" i="12"/>
  <c r="E12" i="12"/>
  <c r="F45" i="12"/>
  <c r="F43" i="12" s="1"/>
  <c r="G33" i="12"/>
  <c r="F49" i="12"/>
  <c r="F39" i="12"/>
  <c r="D63" i="11"/>
  <c r="M9" i="11"/>
  <c r="D94" i="11" s="1"/>
  <c r="E42" i="11"/>
  <c r="E54" i="11" s="1"/>
  <c r="D26" i="11"/>
  <c r="D30" i="11"/>
  <c r="D50" i="11" s="1"/>
  <c r="G81" i="11"/>
  <c r="G18" i="11"/>
  <c r="H17" i="11"/>
  <c r="C84" i="11"/>
  <c r="C27" i="11"/>
  <c r="C28" i="11"/>
  <c r="E49" i="11"/>
  <c r="E39" i="11"/>
  <c r="B89" i="11"/>
  <c r="B97" i="11" s="1"/>
  <c r="B83" i="11"/>
  <c r="D58" i="11"/>
  <c r="D67" i="11" s="1"/>
  <c r="M4" i="11"/>
  <c r="F20" i="11"/>
  <c r="F25" i="11" s="1"/>
  <c r="G11" i="11"/>
  <c r="F45" i="11"/>
  <c r="F43" i="11" s="1"/>
  <c r="G33" i="11"/>
  <c r="C77" i="11"/>
  <c r="C74" i="11"/>
  <c r="L5" i="11"/>
  <c r="C90" i="11" s="1"/>
  <c r="D23" i="11"/>
  <c r="D59" i="11"/>
  <c r="D80" i="11"/>
  <c r="E12" i="11"/>
  <c r="D54" i="10"/>
  <c r="D63" i="10" s="1"/>
  <c r="D59" i="10"/>
  <c r="D81" i="10"/>
  <c r="D23" i="10"/>
  <c r="E12" i="10"/>
  <c r="E49" i="10"/>
  <c r="E39" i="10"/>
  <c r="F33" i="10"/>
  <c r="E45" i="10"/>
  <c r="E43" i="10" s="1"/>
  <c r="D16" i="10"/>
  <c r="D22" i="10" s="1"/>
  <c r="K68" i="10"/>
  <c r="B101" i="10"/>
  <c r="B60" i="10"/>
  <c r="B92" i="10"/>
  <c r="C46" i="10"/>
  <c r="K6" i="10"/>
  <c r="L5" i="10"/>
  <c r="C91" i="10" s="1"/>
  <c r="F20" i="10"/>
  <c r="F25" i="10" s="1"/>
  <c r="G11" i="10"/>
  <c r="F82" i="10"/>
  <c r="G17" i="10"/>
  <c r="F18" i="10"/>
  <c r="C85" i="10"/>
  <c r="C27" i="10"/>
  <c r="C28" i="10"/>
  <c r="C78" i="10"/>
  <c r="C74" i="10"/>
  <c r="B65" i="10"/>
  <c r="D58" i="10"/>
  <c r="D67" i="10" s="1"/>
  <c r="M4" i="10"/>
  <c r="B56" i="10"/>
  <c r="K11" i="10" s="1"/>
  <c r="F76" i="9"/>
  <c r="E59" i="9"/>
  <c r="B101" i="9"/>
  <c r="K68" i="9"/>
  <c r="D20" i="9"/>
  <c r="D25" i="9" s="1"/>
  <c r="E11" i="9"/>
  <c r="B92" i="9"/>
  <c r="B60" i="9"/>
  <c r="K6" i="9"/>
  <c r="B56" i="9"/>
  <c r="K11" i="9" s="1"/>
  <c r="C46" i="9"/>
  <c r="L4" i="9"/>
  <c r="C58" i="9"/>
  <c r="C67" i="9" s="1"/>
  <c r="D33" i="9"/>
  <c r="C45" i="9"/>
  <c r="K4" i="9"/>
  <c r="B58" i="9"/>
  <c r="B67" i="9" s="1"/>
  <c r="D82" i="9"/>
  <c r="D18" i="9"/>
  <c r="E17" i="9"/>
  <c r="B65" i="9"/>
  <c r="C81" i="9"/>
  <c r="D12" i="9"/>
  <c r="C23" i="9"/>
  <c r="C16" i="9"/>
  <c r="C22" i="9" s="1"/>
  <c r="E131" i="8"/>
  <c r="F131" i="8"/>
  <c r="H131" i="8" s="1"/>
  <c r="D131" i="8"/>
  <c r="H130" i="8"/>
  <c r="H129" i="8"/>
  <c r="H128" i="8"/>
  <c r="H127" i="8"/>
  <c r="H126" i="8"/>
  <c r="H125" i="8"/>
  <c r="H124" i="8"/>
  <c r="G130" i="8"/>
  <c r="G129" i="8"/>
  <c r="G128" i="8"/>
  <c r="G127" i="8"/>
  <c r="G126" i="8"/>
  <c r="G125" i="8"/>
  <c r="G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G123" i="8"/>
  <c r="G122" i="8"/>
  <c r="G121" i="8"/>
  <c r="G120" i="8"/>
  <c r="G119" i="8"/>
  <c r="G118" i="8"/>
  <c r="I118" i="8" s="1"/>
  <c r="G117" i="8"/>
  <c r="G116" i="8"/>
  <c r="G115" i="8"/>
  <c r="G114" i="8"/>
  <c r="G113" i="8"/>
  <c r="I113" i="8" s="1"/>
  <c r="G112" i="8"/>
  <c r="I112" i="8" s="1"/>
  <c r="H111" i="8"/>
  <c r="H110" i="8"/>
  <c r="H109" i="8"/>
  <c r="H108" i="8"/>
  <c r="H107" i="8"/>
  <c r="H106" i="8"/>
  <c r="H105" i="8"/>
  <c r="H104" i="8"/>
  <c r="H103" i="8"/>
  <c r="H102" i="8"/>
  <c r="H101" i="8"/>
  <c r="H100" i="8"/>
  <c r="G111" i="8"/>
  <c r="G110" i="8"/>
  <c r="G109" i="8"/>
  <c r="G108" i="8"/>
  <c r="G107" i="8"/>
  <c r="G106" i="8"/>
  <c r="G105" i="8"/>
  <c r="G104" i="8"/>
  <c r="I104" i="8" s="1"/>
  <c r="G103" i="8"/>
  <c r="G102" i="8"/>
  <c r="G101" i="8"/>
  <c r="I101" i="8" s="1"/>
  <c r="G100" i="8"/>
  <c r="H99" i="8"/>
  <c r="H98" i="8"/>
  <c r="H97" i="8"/>
  <c r="H96" i="8"/>
  <c r="H95" i="8"/>
  <c r="H94" i="8"/>
  <c r="G99" i="8"/>
  <c r="I99" i="8" s="1"/>
  <c r="G98" i="8"/>
  <c r="G97" i="8"/>
  <c r="G96" i="8"/>
  <c r="G95" i="8"/>
  <c r="G94" i="8"/>
  <c r="G88" i="8"/>
  <c r="H88" i="8"/>
  <c r="G89" i="8"/>
  <c r="H89" i="8"/>
  <c r="G90" i="8"/>
  <c r="H90" i="8"/>
  <c r="G91" i="8"/>
  <c r="H91" i="8"/>
  <c r="G92" i="8"/>
  <c r="H92" i="8"/>
  <c r="G93" i="8"/>
  <c r="H93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G74" i="8"/>
  <c r="G73" i="8"/>
  <c r="G72" i="8"/>
  <c r="G71" i="8"/>
  <c r="G70" i="8"/>
  <c r="G69" i="8"/>
  <c r="G68" i="8"/>
  <c r="G67" i="8"/>
  <c r="G66" i="8"/>
  <c r="G65" i="8"/>
  <c r="I65" i="8" s="1"/>
  <c r="G64" i="8"/>
  <c r="I64" i="8" s="1"/>
  <c r="G63" i="8"/>
  <c r="G62" i="8"/>
  <c r="G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I48" i="8" s="1"/>
  <c r="G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D87" i="17" l="1"/>
  <c r="D41" i="17"/>
  <c r="D69" i="17" s="1"/>
  <c r="D37" i="17"/>
  <c r="D40" i="17"/>
  <c r="O5" i="17"/>
  <c r="F90" i="17" s="1"/>
  <c r="G21" i="17"/>
  <c r="G15" i="17"/>
  <c r="C56" i="17"/>
  <c r="L11" i="17" s="1"/>
  <c r="L10" i="17"/>
  <c r="C95" i="17" s="1"/>
  <c r="E85" i="17"/>
  <c r="E32" i="17"/>
  <c r="F84" i="17"/>
  <c r="F28" i="17"/>
  <c r="F27" i="17"/>
  <c r="H89" i="16"/>
  <c r="H97" i="16" s="1"/>
  <c r="H83" i="16"/>
  <c r="F30" i="16"/>
  <c r="F50" i="16" s="1"/>
  <c r="F26" i="16"/>
  <c r="G83" i="16"/>
  <c r="G89" i="16"/>
  <c r="G97" i="16" s="1"/>
  <c r="C55" i="16"/>
  <c r="L8" i="16"/>
  <c r="C93" i="16" s="1"/>
  <c r="G15" i="16"/>
  <c r="G16" i="16" s="1"/>
  <c r="G22" i="16" s="1"/>
  <c r="G21" i="16"/>
  <c r="C100" i="16"/>
  <c r="L68" i="16"/>
  <c r="L69" i="16" s="1"/>
  <c r="C60" i="16"/>
  <c r="C62" i="16" s="1"/>
  <c r="C64" i="16" s="1"/>
  <c r="C65" i="16" s="1"/>
  <c r="D46" i="16"/>
  <c r="L6" i="16"/>
  <c r="C91" i="16" s="1"/>
  <c r="D34" i="16"/>
  <c r="E31" i="16"/>
  <c r="G63" i="15"/>
  <c r="H42" i="15"/>
  <c r="H54" i="15" s="1"/>
  <c r="P9" i="15"/>
  <c r="G94" i="15" s="1"/>
  <c r="F80" i="15"/>
  <c r="F59" i="15"/>
  <c r="G12" i="15"/>
  <c r="F23" i="15"/>
  <c r="N5" i="15"/>
  <c r="E90" i="15" s="1"/>
  <c r="F83" i="15"/>
  <c r="F89" i="15"/>
  <c r="F97" i="15" s="1"/>
  <c r="D46" i="15"/>
  <c r="L6" i="15"/>
  <c r="C91" i="15" s="1"/>
  <c r="C60" i="15"/>
  <c r="C62" i="15" s="1"/>
  <c r="C64" i="15" s="1"/>
  <c r="C65" i="15" s="1"/>
  <c r="D34" i="15"/>
  <c r="C100" i="15"/>
  <c r="L68" i="15"/>
  <c r="L69" i="15" s="1"/>
  <c r="C55" i="15"/>
  <c r="L8" i="15"/>
  <c r="C93" i="15" s="1"/>
  <c r="E84" i="15"/>
  <c r="E28" i="15"/>
  <c r="E31" i="15" s="1"/>
  <c r="E27" i="15"/>
  <c r="G77" i="15"/>
  <c r="G74" i="15"/>
  <c r="H74" i="15"/>
  <c r="H77" i="15"/>
  <c r="F16" i="15"/>
  <c r="F22" i="15" s="1"/>
  <c r="E30" i="14"/>
  <c r="E50" i="14" s="1"/>
  <c r="D32" i="14"/>
  <c r="F83" i="14"/>
  <c r="F89" i="14"/>
  <c r="F97" i="14" s="1"/>
  <c r="N5" i="14"/>
  <c r="E90" i="14" s="1"/>
  <c r="F63" i="14"/>
  <c r="G42" i="14"/>
  <c r="G54" i="14" s="1"/>
  <c r="O9" i="14"/>
  <c r="F94" i="14" s="1"/>
  <c r="C86" i="14"/>
  <c r="C47" i="14"/>
  <c r="C51" i="14" s="1"/>
  <c r="F21" i="14"/>
  <c r="F15" i="14"/>
  <c r="F16" i="14" s="1"/>
  <c r="F22" i="14" s="1"/>
  <c r="G74" i="14"/>
  <c r="G77" i="14"/>
  <c r="E84" i="14"/>
  <c r="E27" i="14"/>
  <c r="E28" i="14"/>
  <c r="C53" i="14"/>
  <c r="H77" i="14"/>
  <c r="H74" i="14"/>
  <c r="C99" i="14"/>
  <c r="C70" i="14"/>
  <c r="E54" i="13"/>
  <c r="F42" i="13" s="1"/>
  <c r="M5" i="13"/>
  <c r="D90" i="13" s="1"/>
  <c r="F45" i="13"/>
  <c r="F43" i="13" s="1"/>
  <c r="G33" i="13"/>
  <c r="F58" i="13"/>
  <c r="F67" i="13" s="1"/>
  <c r="O4" i="13"/>
  <c r="H17" i="13"/>
  <c r="G81" i="13"/>
  <c r="G18" i="13"/>
  <c r="H49" i="13"/>
  <c r="H39" i="13"/>
  <c r="C32" i="13"/>
  <c r="C85" i="13"/>
  <c r="C35" i="13"/>
  <c r="C36" i="13" s="1"/>
  <c r="E77" i="13"/>
  <c r="E74" i="13"/>
  <c r="D89" i="13"/>
  <c r="D97" i="13" s="1"/>
  <c r="D83" i="13"/>
  <c r="E21" i="13"/>
  <c r="E15" i="13"/>
  <c r="D84" i="13"/>
  <c r="D28" i="13"/>
  <c r="D27" i="13"/>
  <c r="G49" i="13"/>
  <c r="G39" i="13"/>
  <c r="C32" i="12"/>
  <c r="C85" i="12"/>
  <c r="C35" i="12"/>
  <c r="C36" i="12" s="1"/>
  <c r="E63" i="12"/>
  <c r="F42" i="12"/>
  <c r="F54" i="12" s="1"/>
  <c r="N9" i="12"/>
  <c r="E94" i="12" s="1"/>
  <c r="H49" i="12"/>
  <c r="H39" i="12"/>
  <c r="D83" i="12"/>
  <c r="D89" i="12"/>
  <c r="D97" i="12" s="1"/>
  <c r="E21" i="12"/>
  <c r="E15" i="12"/>
  <c r="E16" i="12" s="1"/>
  <c r="E22" i="12" s="1"/>
  <c r="M5" i="12"/>
  <c r="D90" i="12" s="1"/>
  <c r="F58" i="12"/>
  <c r="F67" i="12" s="1"/>
  <c r="O4" i="12"/>
  <c r="H81" i="12"/>
  <c r="H18" i="12"/>
  <c r="H45" i="12" s="1"/>
  <c r="H43" i="12" s="1"/>
  <c r="G39" i="12"/>
  <c r="G49" i="12"/>
  <c r="E77" i="12"/>
  <c r="E74" i="12"/>
  <c r="G45" i="12"/>
  <c r="G43" i="12" s="1"/>
  <c r="H33" i="12"/>
  <c r="D84" i="12"/>
  <c r="D28" i="12"/>
  <c r="D27" i="12"/>
  <c r="M5" i="11"/>
  <c r="D90" i="11" s="1"/>
  <c r="H81" i="11"/>
  <c r="H18" i="11"/>
  <c r="H45" i="11" s="1"/>
  <c r="H43" i="11" s="1"/>
  <c r="E63" i="11"/>
  <c r="F42" i="11"/>
  <c r="F54" i="11" s="1"/>
  <c r="N9" i="11"/>
  <c r="E94" i="11" s="1"/>
  <c r="D77" i="11"/>
  <c r="D74" i="11"/>
  <c r="E58" i="11"/>
  <c r="E67" i="11" s="1"/>
  <c r="N4" i="11"/>
  <c r="C31" i="11"/>
  <c r="G20" i="11"/>
  <c r="G25" i="11" s="1"/>
  <c r="H11" i="11"/>
  <c r="H20" i="11" s="1"/>
  <c r="H25" i="11" s="1"/>
  <c r="C83" i="11"/>
  <c r="C89" i="11"/>
  <c r="C97" i="11" s="1"/>
  <c r="F49" i="11"/>
  <c r="F39" i="11"/>
  <c r="D84" i="11"/>
  <c r="D28" i="11"/>
  <c r="D27" i="11"/>
  <c r="E21" i="11"/>
  <c r="E15" i="11"/>
  <c r="E16" i="11" s="1"/>
  <c r="E22" i="11" s="1"/>
  <c r="H33" i="11"/>
  <c r="G45" i="11"/>
  <c r="G43" i="11" s="1"/>
  <c r="M9" i="10"/>
  <c r="D95" i="10" s="1"/>
  <c r="E42" i="10"/>
  <c r="E54" i="10" s="1"/>
  <c r="N9" i="10" s="1"/>
  <c r="E95" i="10" s="1"/>
  <c r="F39" i="10"/>
  <c r="F49" i="10"/>
  <c r="G82" i="10"/>
  <c r="G18" i="10"/>
  <c r="H17" i="10"/>
  <c r="C31" i="10"/>
  <c r="D30" i="10"/>
  <c r="D50" i="10" s="1"/>
  <c r="D26" i="10"/>
  <c r="E58" i="10"/>
  <c r="E67" i="10" s="1"/>
  <c r="N4" i="10"/>
  <c r="D78" i="10"/>
  <c r="D74" i="10"/>
  <c r="G33" i="10"/>
  <c r="F45" i="10"/>
  <c r="F43" i="10" s="1"/>
  <c r="C90" i="10"/>
  <c r="C98" i="10" s="1"/>
  <c r="C84" i="10"/>
  <c r="G20" i="10"/>
  <c r="G25" i="10" s="1"/>
  <c r="H11" i="10"/>
  <c r="H20" i="10" s="1"/>
  <c r="H25" i="10" s="1"/>
  <c r="E21" i="10"/>
  <c r="E15" i="10"/>
  <c r="E16" i="10" s="1"/>
  <c r="E22" i="10" s="1"/>
  <c r="G76" i="9"/>
  <c r="F59" i="9"/>
  <c r="E33" i="9"/>
  <c r="D45" i="9"/>
  <c r="D43" i="9" s="1"/>
  <c r="C43" i="9"/>
  <c r="C54" i="9" s="1"/>
  <c r="C30" i="9"/>
  <c r="C50" i="9" s="1"/>
  <c r="C26" i="9"/>
  <c r="E20" i="9"/>
  <c r="E25" i="9" s="1"/>
  <c r="F11" i="9"/>
  <c r="B74" i="9"/>
  <c r="B78" i="9"/>
  <c r="C74" i="9"/>
  <c r="C78" i="9"/>
  <c r="D39" i="9"/>
  <c r="D49" i="9"/>
  <c r="D15" i="9"/>
  <c r="D16" i="9" s="1"/>
  <c r="D22" i="9" s="1"/>
  <c r="D21" i="9"/>
  <c r="E82" i="9"/>
  <c r="E18" i="9"/>
  <c r="F17" i="9"/>
  <c r="I131" i="8"/>
  <c r="G131" i="8"/>
  <c r="I124" i="8"/>
  <c r="I126" i="8"/>
  <c r="I127" i="8"/>
  <c r="I129" i="8"/>
  <c r="I125" i="8"/>
  <c r="I128" i="8"/>
  <c r="I130" i="8"/>
  <c r="I119" i="8"/>
  <c r="I121" i="8"/>
  <c r="I123" i="8"/>
  <c r="I115" i="8"/>
  <c r="I117" i="8"/>
  <c r="I120" i="8"/>
  <c r="I122" i="8"/>
  <c r="I114" i="8"/>
  <c r="I116" i="8"/>
  <c r="I103" i="8"/>
  <c r="I100" i="8"/>
  <c r="I106" i="8"/>
  <c r="I108" i="8"/>
  <c r="I110" i="8"/>
  <c r="I102" i="8"/>
  <c r="I105" i="8"/>
  <c r="I107" i="8"/>
  <c r="I109" i="8"/>
  <c r="I111" i="8"/>
  <c r="I83" i="8"/>
  <c r="I90" i="8"/>
  <c r="I92" i="8"/>
  <c r="I95" i="8"/>
  <c r="I97" i="8"/>
  <c r="I94" i="8"/>
  <c r="I96" i="8"/>
  <c r="I98" i="8"/>
  <c r="I91" i="8"/>
  <c r="I88" i="8"/>
  <c r="I93" i="8"/>
  <c r="I89" i="8"/>
  <c r="I76" i="8"/>
  <c r="I84" i="8"/>
  <c r="I86" i="8"/>
  <c r="I77" i="8"/>
  <c r="I79" i="8"/>
  <c r="I81" i="8"/>
  <c r="I75" i="8"/>
  <c r="I78" i="8"/>
  <c r="I80" i="8"/>
  <c r="I82" i="8"/>
  <c r="I85" i="8"/>
  <c r="I87" i="8"/>
  <c r="I43" i="8"/>
  <c r="I40" i="8"/>
  <c r="I34" i="8"/>
  <c r="I33" i="8"/>
  <c r="I35" i="8"/>
  <c r="I37" i="8"/>
  <c r="I39" i="8"/>
  <c r="I42" i="8"/>
  <c r="I45" i="8"/>
  <c r="I47" i="8"/>
  <c r="I50" i="8"/>
  <c r="I52" i="8"/>
  <c r="I54" i="8"/>
  <c r="I56" i="8"/>
  <c r="I58" i="8"/>
  <c r="I60" i="8"/>
  <c r="I62" i="8"/>
  <c r="I66" i="8"/>
  <c r="I68" i="8"/>
  <c r="I70" i="8"/>
  <c r="I72" i="8"/>
  <c r="I74" i="8"/>
  <c r="I36" i="8"/>
  <c r="I38" i="8"/>
  <c r="I41" i="8"/>
  <c r="I44" i="8"/>
  <c r="I46" i="8"/>
  <c r="I49" i="8"/>
  <c r="I51" i="8"/>
  <c r="I53" i="8"/>
  <c r="I55" i="8"/>
  <c r="I57" i="8"/>
  <c r="I59" i="8"/>
  <c r="I61" i="8"/>
  <c r="I63" i="8"/>
  <c r="I67" i="8"/>
  <c r="I69" i="8"/>
  <c r="I71" i="8"/>
  <c r="I73" i="8"/>
  <c r="F31" i="17" l="1"/>
  <c r="F32" i="17" s="1"/>
  <c r="D53" i="17"/>
  <c r="D55" i="17"/>
  <c r="M8" i="17"/>
  <c r="D93" i="17" s="1"/>
  <c r="D47" i="17"/>
  <c r="D51" i="17" s="1"/>
  <c r="D86" i="17"/>
  <c r="G59" i="17"/>
  <c r="G23" i="17"/>
  <c r="H12" i="17"/>
  <c r="G80" i="17"/>
  <c r="G16" i="17"/>
  <c r="G22" i="17" s="1"/>
  <c r="D99" i="17"/>
  <c r="D70" i="17"/>
  <c r="D35" i="16"/>
  <c r="D36" i="16" s="1"/>
  <c r="G26" i="16"/>
  <c r="G30" i="16"/>
  <c r="G50" i="16" s="1"/>
  <c r="C56" i="16"/>
  <c r="L11" i="16" s="1"/>
  <c r="L10" i="16"/>
  <c r="C95" i="16" s="1"/>
  <c r="F27" i="16"/>
  <c r="F84" i="16"/>
  <c r="F28" i="16"/>
  <c r="O5" i="16"/>
  <c r="F90" i="16" s="1"/>
  <c r="G23" i="16"/>
  <c r="H12" i="16"/>
  <c r="G59" i="16"/>
  <c r="G80" i="16"/>
  <c r="E85" i="16"/>
  <c r="E32" i="16"/>
  <c r="E85" i="15"/>
  <c r="E32" i="15"/>
  <c r="H63" i="15"/>
  <c r="Q9" i="15"/>
  <c r="H94" i="15" s="1"/>
  <c r="F30" i="15"/>
  <c r="F50" i="15" s="1"/>
  <c r="F26" i="15"/>
  <c r="G83" i="15"/>
  <c r="G89" i="15"/>
  <c r="G97" i="15" s="1"/>
  <c r="C56" i="15"/>
  <c r="L11" i="15" s="1"/>
  <c r="L10" i="15"/>
  <c r="C95" i="15" s="1"/>
  <c r="G21" i="15"/>
  <c r="G15" i="15"/>
  <c r="D35" i="15"/>
  <c r="D36" i="15" s="1"/>
  <c r="H83" i="15"/>
  <c r="H89" i="15"/>
  <c r="H97" i="15" s="1"/>
  <c r="E63" i="13"/>
  <c r="F30" i="14"/>
  <c r="F50" i="14" s="1"/>
  <c r="F26" i="14"/>
  <c r="P9" i="14"/>
  <c r="G94" i="14" s="1"/>
  <c r="G63" i="14"/>
  <c r="H42" i="14"/>
  <c r="H54" i="14" s="1"/>
  <c r="H83" i="14"/>
  <c r="H89" i="14"/>
  <c r="H97" i="14" s="1"/>
  <c r="G89" i="14"/>
  <c r="G97" i="14" s="1"/>
  <c r="G83" i="14"/>
  <c r="C100" i="14"/>
  <c r="L68" i="14"/>
  <c r="L69" i="14" s="1"/>
  <c r="E31" i="14"/>
  <c r="C60" i="14"/>
  <c r="C62" i="14" s="1"/>
  <c r="C64" i="14" s="1"/>
  <c r="C65" i="14" s="1"/>
  <c r="D46" i="14"/>
  <c r="L6" i="14"/>
  <c r="C91" i="14" s="1"/>
  <c r="D34" i="14"/>
  <c r="C55" i="14"/>
  <c r="L8" i="14"/>
  <c r="C93" i="14" s="1"/>
  <c r="F80" i="14"/>
  <c r="F59" i="14"/>
  <c r="F23" i="14"/>
  <c r="G12" i="14"/>
  <c r="F54" i="13"/>
  <c r="G42" i="13" s="1"/>
  <c r="D31" i="13"/>
  <c r="D32" i="13" s="1"/>
  <c r="N9" i="13"/>
  <c r="E94" i="13" s="1"/>
  <c r="C40" i="13"/>
  <c r="C87" i="13"/>
  <c r="C37" i="13"/>
  <c r="C41" i="13"/>
  <c r="C69" i="13" s="1"/>
  <c r="H81" i="13"/>
  <c r="H18" i="13"/>
  <c r="H45" i="13" s="1"/>
  <c r="H43" i="13" s="1"/>
  <c r="Q4" i="13"/>
  <c r="H58" i="13"/>
  <c r="H67" i="13" s="1"/>
  <c r="E83" i="13"/>
  <c r="E89" i="13"/>
  <c r="E97" i="13" s="1"/>
  <c r="G58" i="13"/>
  <c r="G67" i="13" s="1"/>
  <c r="P4" i="13"/>
  <c r="E59" i="13"/>
  <c r="E80" i="13"/>
  <c r="F12" i="13"/>
  <c r="E23" i="13"/>
  <c r="E16" i="13"/>
  <c r="E22" i="13" s="1"/>
  <c r="G45" i="13"/>
  <c r="G43" i="13" s="1"/>
  <c r="H33" i="13"/>
  <c r="F74" i="13"/>
  <c r="F77" i="13"/>
  <c r="D31" i="12"/>
  <c r="D32" i="12" s="1"/>
  <c r="O9" i="12"/>
  <c r="F94" i="12" s="1"/>
  <c r="F63" i="12"/>
  <c r="G42" i="12"/>
  <c r="G54" i="12" s="1"/>
  <c r="H58" i="12"/>
  <c r="H67" i="12" s="1"/>
  <c r="Q4" i="12"/>
  <c r="E80" i="12"/>
  <c r="E23" i="12"/>
  <c r="F12" i="12"/>
  <c r="E59" i="12"/>
  <c r="E83" i="12"/>
  <c r="E89" i="12"/>
  <c r="E97" i="12" s="1"/>
  <c r="F74" i="12"/>
  <c r="F77" i="12"/>
  <c r="E30" i="12"/>
  <c r="E50" i="12" s="1"/>
  <c r="E26" i="12"/>
  <c r="D85" i="12"/>
  <c r="P4" i="12"/>
  <c r="G58" i="12"/>
  <c r="G67" i="12" s="1"/>
  <c r="C40" i="12"/>
  <c r="C37" i="12"/>
  <c r="C41" i="12"/>
  <c r="C69" i="12" s="1"/>
  <c r="C87" i="12"/>
  <c r="D31" i="11"/>
  <c r="D85" i="11" s="1"/>
  <c r="D32" i="11"/>
  <c r="E30" i="11"/>
  <c r="E50" i="11" s="1"/>
  <c r="E26" i="11"/>
  <c r="G42" i="11"/>
  <c r="G54" i="11" s="1"/>
  <c r="F63" i="11"/>
  <c r="O9" i="11"/>
  <c r="F94" i="11" s="1"/>
  <c r="C32" i="11"/>
  <c r="C35" i="11"/>
  <c r="C36" i="11" s="1"/>
  <c r="C85" i="11"/>
  <c r="D83" i="11"/>
  <c r="D89" i="11"/>
  <c r="D97" i="11" s="1"/>
  <c r="H39" i="11"/>
  <c r="H49" i="11"/>
  <c r="G39" i="11"/>
  <c r="G49" i="11"/>
  <c r="E74" i="11"/>
  <c r="E77" i="11"/>
  <c r="E80" i="11"/>
  <c r="E59" i="11"/>
  <c r="E23" i="11"/>
  <c r="F12" i="11"/>
  <c r="F58" i="11"/>
  <c r="F67" i="11" s="1"/>
  <c r="O4" i="11"/>
  <c r="E63" i="10"/>
  <c r="F42" i="10"/>
  <c r="F54" i="10" s="1"/>
  <c r="C35" i="10"/>
  <c r="C36" i="10" s="1"/>
  <c r="C86" i="10"/>
  <c r="C32" i="10"/>
  <c r="H82" i="10"/>
  <c r="H18" i="10"/>
  <c r="H45" i="10" s="1"/>
  <c r="H43" i="10" s="1"/>
  <c r="F58" i="10"/>
  <c r="F67" i="10" s="1"/>
  <c r="O4" i="10"/>
  <c r="H49" i="10"/>
  <c r="H39" i="10"/>
  <c r="D84" i="10"/>
  <c r="D90" i="10"/>
  <c r="D98" i="10" s="1"/>
  <c r="D85" i="10"/>
  <c r="D28" i="10"/>
  <c r="D27" i="10"/>
  <c r="G45" i="10"/>
  <c r="G43" i="10" s="1"/>
  <c r="H33" i="10"/>
  <c r="E30" i="10"/>
  <c r="E50" i="10" s="1"/>
  <c r="E26" i="10"/>
  <c r="E78" i="10"/>
  <c r="E74" i="10"/>
  <c r="E59" i="10"/>
  <c r="E81" i="10"/>
  <c r="E23" i="10"/>
  <c r="F12" i="10"/>
  <c r="G39" i="10"/>
  <c r="G49" i="10"/>
  <c r="M5" i="10"/>
  <c r="D91" i="10" s="1"/>
  <c r="H76" i="9"/>
  <c r="H59" i="9" s="1"/>
  <c r="G59" i="9"/>
  <c r="L5" i="9"/>
  <c r="C91" i="9" s="1"/>
  <c r="D58" i="9"/>
  <c r="D67" i="9" s="1"/>
  <c r="M4" i="9"/>
  <c r="B84" i="9"/>
  <c r="B90" i="9"/>
  <c r="B98" i="9" s="1"/>
  <c r="C85" i="9"/>
  <c r="C27" i="9"/>
  <c r="C28" i="9"/>
  <c r="F18" i="9"/>
  <c r="G17" i="9"/>
  <c r="F82" i="9"/>
  <c r="D30" i="9"/>
  <c r="D50" i="9" s="1"/>
  <c r="D26" i="9"/>
  <c r="C90" i="9"/>
  <c r="C98" i="9" s="1"/>
  <c r="C84" i="9"/>
  <c r="G11" i="9"/>
  <c r="F20" i="9"/>
  <c r="F25" i="9" s="1"/>
  <c r="E45" i="9"/>
  <c r="E43" i="9" s="1"/>
  <c r="F33" i="9"/>
  <c r="D23" i="9"/>
  <c r="E12" i="9"/>
  <c r="D81" i="9"/>
  <c r="E39" i="9"/>
  <c r="E49" i="9"/>
  <c r="D42" i="9"/>
  <c r="D54" i="9" s="1"/>
  <c r="C34" i="9"/>
  <c r="C63" i="9"/>
  <c r="L9" i="9"/>
  <c r="C95" i="9" s="1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G6" i="8"/>
  <c r="H6" i="8"/>
  <c r="G7" i="8"/>
  <c r="H7" i="8"/>
  <c r="G8" i="8"/>
  <c r="H8" i="8"/>
  <c r="G9" i="8"/>
  <c r="H9" i="8"/>
  <c r="G10" i="8"/>
  <c r="H10" i="8"/>
  <c r="G11" i="8"/>
  <c r="H11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H5" i="8"/>
  <c r="G5" i="8"/>
  <c r="A1" i="8"/>
  <c r="A3" i="8" s="1"/>
  <c r="F85" i="17" l="1"/>
  <c r="D100" i="17"/>
  <c r="M68" i="17"/>
  <c r="M69" i="17" s="1"/>
  <c r="H15" i="17"/>
  <c r="H21" i="17"/>
  <c r="D60" i="17"/>
  <c r="D62" i="17" s="1"/>
  <c r="D64" i="17" s="1"/>
  <c r="D65" i="17" s="1"/>
  <c r="E46" i="17"/>
  <c r="M6" i="17"/>
  <c r="D91" i="17" s="1"/>
  <c r="E34" i="17"/>
  <c r="G26" i="17"/>
  <c r="G30" i="17"/>
  <c r="G50" i="17" s="1"/>
  <c r="D56" i="17"/>
  <c r="M11" i="17" s="1"/>
  <c r="M10" i="17"/>
  <c r="D95" i="17" s="1"/>
  <c r="F31" i="16"/>
  <c r="F85" i="16" s="1"/>
  <c r="D41" i="16"/>
  <c r="D69" i="16" s="1"/>
  <c r="D40" i="16"/>
  <c r="D87" i="16"/>
  <c r="D37" i="16"/>
  <c r="D53" i="16"/>
  <c r="P5" i="16"/>
  <c r="G90" i="16" s="1"/>
  <c r="H21" i="16"/>
  <c r="H15" i="16"/>
  <c r="G84" i="16"/>
  <c r="G28" i="16"/>
  <c r="G27" i="16"/>
  <c r="D87" i="15"/>
  <c r="D41" i="15"/>
  <c r="D69" i="15" s="1"/>
  <c r="D37" i="15"/>
  <c r="D40" i="15"/>
  <c r="D53" i="15"/>
  <c r="G59" i="15"/>
  <c r="H12" i="15"/>
  <c r="G80" i="15"/>
  <c r="G23" i="15"/>
  <c r="F84" i="15"/>
  <c r="F27" i="15"/>
  <c r="F31" i="15" s="1"/>
  <c r="F28" i="15"/>
  <c r="G16" i="15"/>
  <c r="G22" i="15" s="1"/>
  <c r="O5" i="15"/>
  <c r="F90" i="15" s="1"/>
  <c r="G15" i="14"/>
  <c r="G16" i="14" s="1"/>
  <c r="G22" i="14" s="1"/>
  <c r="L10" i="14"/>
  <c r="C95" i="14" s="1"/>
  <c r="C56" i="14"/>
  <c r="L11" i="14" s="1"/>
  <c r="G21" i="14"/>
  <c r="F84" i="14"/>
  <c r="F27" i="14"/>
  <c r="F28" i="14"/>
  <c r="H63" i="14"/>
  <c r="Q9" i="14"/>
  <c r="H94" i="14" s="1"/>
  <c r="O5" i="14"/>
  <c r="F90" i="14" s="1"/>
  <c r="D35" i="14"/>
  <c r="D36" i="14" s="1"/>
  <c r="E85" i="14"/>
  <c r="E32" i="14"/>
  <c r="G54" i="13"/>
  <c r="H42" i="13" s="1"/>
  <c r="H54" i="13" s="1"/>
  <c r="O9" i="13"/>
  <c r="F94" i="13" s="1"/>
  <c r="F63" i="13"/>
  <c r="D85" i="13"/>
  <c r="H77" i="13"/>
  <c r="H74" i="13"/>
  <c r="F21" i="13"/>
  <c r="F15" i="13"/>
  <c r="C53" i="13"/>
  <c r="F83" i="13"/>
  <c r="F89" i="13"/>
  <c r="F97" i="13" s="1"/>
  <c r="E30" i="13"/>
  <c r="E50" i="13" s="1"/>
  <c r="E26" i="13"/>
  <c r="G74" i="13"/>
  <c r="G77" i="13"/>
  <c r="C99" i="13"/>
  <c r="C70" i="13"/>
  <c r="C86" i="13"/>
  <c r="C47" i="13"/>
  <c r="C51" i="13" s="1"/>
  <c r="H42" i="12"/>
  <c r="H54" i="12" s="1"/>
  <c r="G63" i="12"/>
  <c r="P9" i="12"/>
  <c r="G94" i="12" s="1"/>
  <c r="N5" i="12"/>
  <c r="E90" i="12" s="1"/>
  <c r="C99" i="12"/>
  <c r="C70" i="12"/>
  <c r="G74" i="12"/>
  <c r="G77" i="12"/>
  <c r="F83" i="12"/>
  <c r="F89" i="12"/>
  <c r="F97" i="12" s="1"/>
  <c r="F21" i="12"/>
  <c r="F15" i="12"/>
  <c r="F16" i="12" s="1"/>
  <c r="F22" i="12" s="1"/>
  <c r="H77" i="12"/>
  <c r="H74" i="12"/>
  <c r="C86" i="12"/>
  <c r="C47" i="12"/>
  <c r="C51" i="12" s="1"/>
  <c r="C53" i="12"/>
  <c r="E28" i="12"/>
  <c r="E84" i="12"/>
  <c r="E27" i="12"/>
  <c r="C40" i="11"/>
  <c r="C87" i="11"/>
  <c r="C41" i="11"/>
  <c r="C69" i="11" s="1"/>
  <c r="C37" i="11"/>
  <c r="F21" i="11"/>
  <c r="F15" i="11"/>
  <c r="H58" i="11"/>
  <c r="H67" i="11" s="1"/>
  <c r="Q4" i="11"/>
  <c r="H42" i="11"/>
  <c r="H54" i="11" s="1"/>
  <c r="G63" i="11"/>
  <c r="P9" i="11"/>
  <c r="G94" i="11" s="1"/>
  <c r="E84" i="11"/>
  <c r="E28" i="11"/>
  <c r="E27" i="11"/>
  <c r="F74" i="11"/>
  <c r="F77" i="11"/>
  <c r="E89" i="11"/>
  <c r="E97" i="11" s="1"/>
  <c r="E83" i="11"/>
  <c r="G58" i="11"/>
  <c r="G67" i="11" s="1"/>
  <c r="P4" i="11"/>
  <c r="N5" i="11"/>
  <c r="E90" i="11" s="1"/>
  <c r="G42" i="10"/>
  <c r="O9" i="10"/>
  <c r="F95" i="10" s="1"/>
  <c r="F63" i="10"/>
  <c r="G54" i="10"/>
  <c r="G63" i="10" s="1"/>
  <c r="D31" i="10"/>
  <c r="D32" i="10" s="1"/>
  <c r="E28" i="10"/>
  <c r="E27" i="10"/>
  <c r="E85" i="10"/>
  <c r="N5" i="10"/>
  <c r="E91" i="10" s="1"/>
  <c r="C41" i="10"/>
  <c r="C69" i="10" s="1"/>
  <c r="C37" i="10"/>
  <c r="C40" i="10"/>
  <c r="C88" i="10"/>
  <c r="C53" i="10"/>
  <c r="E84" i="10"/>
  <c r="E90" i="10"/>
  <c r="E98" i="10" s="1"/>
  <c r="F21" i="10"/>
  <c r="F15" i="10"/>
  <c r="F16" i="10" s="1"/>
  <c r="F22" i="10" s="1"/>
  <c r="F74" i="10"/>
  <c r="F78" i="10"/>
  <c r="G58" i="10"/>
  <c r="G67" i="10" s="1"/>
  <c r="P4" i="10"/>
  <c r="H58" i="10"/>
  <c r="H67" i="10" s="1"/>
  <c r="Q4" i="10"/>
  <c r="D63" i="9"/>
  <c r="E42" i="9"/>
  <c r="E54" i="9" s="1"/>
  <c r="M9" i="9"/>
  <c r="D95" i="9" s="1"/>
  <c r="M5" i="9"/>
  <c r="D91" i="9" s="1"/>
  <c r="E58" i="9"/>
  <c r="E67" i="9" s="1"/>
  <c r="N4" i="9"/>
  <c r="E15" i="9"/>
  <c r="E21" i="9"/>
  <c r="F49" i="9"/>
  <c r="F39" i="9"/>
  <c r="D85" i="9"/>
  <c r="D28" i="9"/>
  <c r="D27" i="9"/>
  <c r="F45" i="9"/>
  <c r="F43" i="9" s="1"/>
  <c r="G33" i="9"/>
  <c r="D78" i="9"/>
  <c r="D74" i="9"/>
  <c r="G20" i="9"/>
  <c r="G25" i="9" s="1"/>
  <c r="H11" i="9"/>
  <c r="H20" i="9" s="1"/>
  <c r="H25" i="9" s="1"/>
  <c r="H17" i="9"/>
  <c r="G82" i="9"/>
  <c r="G18" i="9"/>
  <c r="C31" i="9"/>
  <c r="H132" i="8"/>
  <c r="I31" i="8"/>
  <c r="I29" i="8"/>
  <c r="I27" i="8"/>
  <c r="I25" i="8"/>
  <c r="I23" i="8"/>
  <c r="I21" i="8"/>
  <c r="I19" i="8"/>
  <c r="I32" i="8"/>
  <c r="I30" i="8"/>
  <c r="I28" i="8"/>
  <c r="I26" i="8"/>
  <c r="I24" i="8"/>
  <c r="I22" i="8"/>
  <c r="I20" i="8"/>
  <c r="I5" i="8"/>
  <c r="J131" i="8" s="1"/>
  <c r="I10" i="8"/>
  <c r="I6" i="8"/>
  <c r="I18" i="8"/>
  <c r="I16" i="8"/>
  <c r="I14" i="8"/>
  <c r="I17" i="8"/>
  <c r="I15" i="8"/>
  <c r="I13" i="8"/>
  <c r="I12" i="8"/>
  <c r="I11" i="8"/>
  <c r="I9" i="8"/>
  <c r="I8" i="8"/>
  <c r="I7" i="8"/>
  <c r="R19" i="5"/>
  <c r="A5" i="7"/>
  <c r="H80" i="17" l="1"/>
  <c r="H59" i="17"/>
  <c r="H23" i="17"/>
  <c r="P5" i="17"/>
  <c r="G90" i="17" s="1"/>
  <c r="H16" i="17"/>
  <c r="H22" i="17" s="1"/>
  <c r="G84" i="17"/>
  <c r="G28" i="17"/>
  <c r="G27" i="17"/>
  <c r="E35" i="17"/>
  <c r="E36" i="17" s="1"/>
  <c r="F32" i="16"/>
  <c r="G31" i="16"/>
  <c r="G85" i="16" s="1"/>
  <c r="D55" i="16"/>
  <c r="M8" i="16"/>
  <c r="D93" i="16" s="1"/>
  <c r="D99" i="16"/>
  <c r="D70" i="16"/>
  <c r="H80" i="16"/>
  <c r="H59" i="16"/>
  <c r="H23" i="16"/>
  <c r="H16" i="16"/>
  <c r="H22" i="16" s="1"/>
  <c r="D47" i="16"/>
  <c r="D51" i="16" s="1"/>
  <c r="D86" i="16"/>
  <c r="F85" i="15"/>
  <c r="F32" i="15"/>
  <c r="G26" i="15"/>
  <c r="G30" i="15"/>
  <c r="G50" i="15" s="1"/>
  <c r="H15" i="15"/>
  <c r="H21" i="15"/>
  <c r="D99" i="15"/>
  <c r="D70" i="15"/>
  <c r="D86" i="15"/>
  <c r="D47" i="15"/>
  <c r="D51" i="15" s="1"/>
  <c r="M8" i="15"/>
  <c r="D93" i="15" s="1"/>
  <c r="D55" i="15"/>
  <c r="F31" i="14"/>
  <c r="F32" i="14" s="1"/>
  <c r="D87" i="14"/>
  <c r="D41" i="14"/>
  <c r="D69" i="14" s="1"/>
  <c r="D37" i="14"/>
  <c r="D40" i="14"/>
  <c r="G26" i="14"/>
  <c r="G30" i="14"/>
  <c r="G50" i="14" s="1"/>
  <c r="G80" i="14"/>
  <c r="G59" i="14"/>
  <c r="G23" i="14"/>
  <c r="H12" i="14"/>
  <c r="P9" i="13"/>
  <c r="G94" i="13" s="1"/>
  <c r="G63" i="13"/>
  <c r="H63" i="13"/>
  <c r="Q9" i="13"/>
  <c r="H94" i="13" s="1"/>
  <c r="C55" i="13"/>
  <c r="L8" i="13"/>
  <c r="C93" i="13" s="1"/>
  <c r="N5" i="13"/>
  <c r="E90" i="13" s="1"/>
  <c r="F80" i="13"/>
  <c r="F59" i="13"/>
  <c r="G12" i="13"/>
  <c r="F23" i="13"/>
  <c r="H83" i="13"/>
  <c r="H89" i="13"/>
  <c r="H97" i="13" s="1"/>
  <c r="C100" i="13"/>
  <c r="L68" i="13"/>
  <c r="L69" i="13" s="1"/>
  <c r="E84" i="13"/>
  <c r="E28" i="13"/>
  <c r="E27" i="13"/>
  <c r="C60" i="13"/>
  <c r="C62" i="13" s="1"/>
  <c r="C64" i="13" s="1"/>
  <c r="C65" i="13" s="1"/>
  <c r="D46" i="13"/>
  <c r="L6" i="13"/>
  <c r="C91" i="13" s="1"/>
  <c r="D34" i="13"/>
  <c r="G89" i="13"/>
  <c r="G97" i="13" s="1"/>
  <c r="G83" i="13"/>
  <c r="F16" i="13"/>
  <c r="F22" i="13" s="1"/>
  <c r="E31" i="12"/>
  <c r="E85" i="12" s="1"/>
  <c r="F30" i="12"/>
  <c r="F50" i="12" s="1"/>
  <c r="F26" i="12"/>
  <c r="H63" i="12"/>
  <c r="Q9" i="12"/>
  <c r="H94" i="12" s="1"/>
  <c r="E32" i="12"/>
  <c r="G89" i="12"/>
  <c r="G97" i="12" s="1"/>
  <c r="G83" i="12"/>
  <c r="C55" i="12"/>
  <c r="L8" i="12"/>
  <c r="C93" i="12" s="1"/>
  <c r="H83" i="12"/>
  <c r="H89" i="12"/>
  <c r="H97" i="12" s="1"/>
  <c r="C60" i="12"/>
  <c r="C62" i="12" s="1"/>
  <c r="C64" i="12" s="1"/>
  <c r="C65" i="12" s="1"/>
  <c r="D46" i="12"/>
  <c r="L6" i="12"/>
  <c r="C91" i="12" s="1"/>
  <c r="D34" i="12"/>
  <c r="F80" i="12"/>
  <c r="F59" i="12"/>
  <c r="F23" i="12"/>
  <c r="G12" i="12"/>
  <c r="C100" i="12"/>
  <c r="L68" i="12"/>
  <c r="L69" i="12" s="1"/>
  <c r="E31" i="11"/>
  <c r="E85" i="11" s="1"/>
  <c r="C53" i="11"/>
  <c r="L8" i="11" s="1"/>
  <c r="C93" i="11" s="1"/>
  <c r="F80" i="11"/>
  <c r="F59" i="11"/>
  <c r="F23" i="11"/>
  <c r="G12" i="11"/>
  <c r="G77" i="11"/>
  <c r="G74" i="11"/>
  <c r="F89" i="11"/>
  <c r="F97" i="11" s="1"/>
  <c r="F83" i="11"/>
  <c r="F16" i="11"/>
  <c r="F22" i="11" s="1"/>
  <c r="C70" i="11"/>
  <c r="C99" i="11"/>
  <c r="H63" i="11"/>
  <c r="Q9" i="11"/>
  <c r="H94" i="11" s="1"/>
  <c r="C55" i="11"/>
  <c r="H77" i="11"/>
  <c r="H74" i="11"/>
  <c r="C86" i="11"/>
  <c r="C47" i="11"/>
  <c r="C51" i="11" s="1"/>
  <c r="D86" i="10"/>
  <c r="H42" i="10"/>
  <c r="H54" i="10" s="1"/>
  <c r="H63" i="10" s="1"/>
  <c r="P9" i="10"/>
  <c r="G95" i="10" s="1"/>
  <c r="E31" i="10"/>
  <c r="E86" i="10" s="1"/>
  <c r="Q9" i="10"/>
  <c r="H95" i="10" s="1"/>
  <c r="F26" i="10"/>
  <c r="F30" i="10"/>
  <c r="F50" i="10" s="1"/>
  <c r="H78" i="10"/>
  <c r="H74" i="10"/>
  <c r="G74" i="10"/>
  <c r="G78" i="10"/>
  <c r="F81" i="10"/>
  <c r="F23" i="10"/>
  <c r="G12" i="10"/>
  <c r="F59" i="10"/>
  <c r="C87" i="10"/>
  <c r="C47" i="10"/>
  <c r="C51" i="10" s="1"/>
  <c r="F84" i="10"/>
  <c r="F90" i="10"/>
  <c r="F98" i="10" s="1"/>
  <c r="C55" i="10"/>
  <c r="L8" i="10"/>
  <c r="C94" i="10" s="1"/>
  <c r="C100" i="10"/>
  <c r="C70" i="10"/>
  <c r="D31" i="9"/>
  <c r="D86" i="9" s="1"/>
  <c r="E63" i="9"/>
  <c r="F42" i="9"/>
  <c r="F54" i="9" s="1"/>
  <c r="N9" i="9"/>
  <c r="E95" i="9" s="1"/>
  <c r="H82" i="9"/>
  <c r="H18" i="9"/>
  <c r="H45" i="9" s="1"/>
  <c r="H43" i="9" s="1"/>
  <c r="G39" i="9"/>
  <c r="G49" i="9"/>
  <c r="E23" i="9"/>
  <c r="E81" i="9"/>
  <c r="F12" i="9"/>
  <c r="C32" i="9"/>
  <c r="C35" i="9"/>
  <c r="C36" i="9" s="1"/>
  <c r="C86" i="9"/>
  <c r="E16" i="9"/>
  <c r="E22" i="9" s="1"/>
  <c r="G45" i="9"/>
  <c r="G43" i="9" s="1"/>
  <c r="H33" i="9"/>
  <c r="D84" i="9"/>
  <c r="D90" i="9"/>
  <c r="D98" i="9" s="1"/>
  <c r="F58" i="9"/>
  <c r="F67" i="9" s="1"/>
  <c r="O4" i="9"/>
  <c r="H49" i="9"/>
  <c r="H39" i="9"/>
  <c r="E78" i="9"/>
  <c r="E74" i="9"/>
  <c r="I132" i="8"/>
  <c r="H133" i="8"/>
  <c r="D35" i="7"/>
  <c r="E35" i="7"/>
  <c r="F35" i="7"/>
  <c r="G35" i="7"/>
  <c r="H35" i="7"/>
  <c r="I35" i="7"/>
  <c r="C35" i="7"/>
  <c r="A44" i="7"/>
  <c r="A34" i="7"/>
  <c r="A23" i="7"/>
  <c r="D24" i="7"/>
  <c r="E24" i="7"/>
  <c r="F24" i="7"/>
  <c r="G24" i="7"/>
  <c r="H24" i="7"/>
  <c r="I24" i="7"/>
  <c r="C24" i="7"/>
  <c r="I4" i="7"/>
  <c r="E11" i="7"/>
  <c r="F11" i="7" s="1"/>
  <c r="G11" i="7" s="1"/>
  <c r="H11" i="7" s="1"/>
  <c r="I11" i="7" s="1"/>
  <c r="D11" i="7"/>
  <c r="A10" i="7"/>
  <c r="D8" i="7"/>
  <c r="F8" i="7"/>
  <c r="D9" i="7"/>
  <c r="F9" i="7"/>
  <c r="A8" i="7"/>
  <c r="B4" i="7"/>
  <c r="D4" i="7"/>
  <c r="G4" i="7"/>
  <c r="B5" i="7"/>
  <c r="D5" i="7"/>
  <c r="F5" i="7"/>
  <c r="B6" i="7"/>
  <c r="D6" i="7"/>
  <c r="F6" i="7"/>
  <c r="D7" i="7"/>
  <c r="F7" i="7"/>
  <c r="A6" i="7"/>
  <c r="A4" i="7"/>
  <c r="A3" i="7"/>
  <c r="A1" i="7"/>
  <c r="B99" i="6"/>
  <c r="H98" i="6"/>
  <c r="G98" i="6"/>
  <c r="F98" i="6"/>
  <c r="E98" i="6"/>
  <c r="D98" i="6"/>
  <c r="C98" i="6"/>
  <c r="B94" i="6"/>
  <c r="B90" i="6"/>
  <c r="H79" i="6"/>
  <c r="G79" i="6"/>
  <c r="F79" i="6"/>
  <c r="E79" i="6"/>
  <c r="D79" i="6"/>
  <c r="C79" i="6"/>
  <c r="H78" i="6"/>
  <c r="G78" i="6"/>
  <c r="F78" i="6"/>
  <c r="E78" i="6"/>
  <c r="D78" i="6"/>
  <c r="C78" i="6"/>
  <c r="C75" i="6"/>
  <c r="D75" i="6" s="1"/>
  <c r="E75" i="6" s="1"/>
  <c r="F75" i="6" s="1"/>
  <c r="G75" i="6" s="1"/>
  <c r="H75" i="6" s="1"/>
  <c r="B63" i="6"/>
  <c r="B59" i="6"/>
  <c r="I54" i="6"/>
  <c r="B53" i="6"/>
  <c r="B93" i="6" s="1"/>
  <c r="H44" i="6"/>
  <c r="G44" i="6"/>
  <c r="F44" i="6"/>
  <c r="E44" i="6"/>
  <c r="D44" i="6"/>
  <c r="C44" i="6"/>
  <c r="C33" i="6"/>
  <c r="H29" i="6"/>
  <c r="G29" i="6"/>
  <c r="F29" i="6"/>
  <c r="E29" i="6"/>
  <c r="D29" i="6"/>
  <c r="R22" i="6" s="1"/>
  <c r="C29" i="6"/>
  <c r="R21" i="6"/>
  <c r="B20" i="6"/>
  <c r="B25" i="6" s="1"/>
  <c r="R19" i="6"/>
  <c r="C17" i="6"/>
  <c r="B15" i="6"/>
  <c r="C12" i="6"/>
  <c r="C11" i="6"/>
  <c r="C20" i="6" s="1"/>
  <c r="C25" i="6" s="1"/>
  <c r="C49" i="6" s="1"/>
  <c r="A10" i="6"/>
  <c r="K9" i="6"/>
  <c r="K8" i="6"/>
  <c r="K5" i="6"/>
  <c r="A3" i="6"/>
  <c r="A1" i="6"/>
  <c r="A19" i="6" s="1"/>
  <c r="G31" i="17" l="1"/>
  <c r="G85" i="17" s="1"/>
  <c r="E40" i="17"/>
  <c r="E41" i="17"/>
  <c r="E69" i="17" s="1"/>
  <c r="E87" i="17"/>
  <c r="E37" i="17"/>
  <c r="H30" i="17"/>
  <c r="H50" i="17" s="1"/>
  <c r="Q5" i="17" s="1"/>
  <c r="H90" i="17" s="1"/>
  <c r="H26" i="17"/>
  <c r="G32" i="16"/>
  <c r="H30" i="16"/>
  <c r="H50" i="16" s="1"/>
  <c r="Q5" i="16" s="1"/>
  <c r="H90" i="16" s="1"/>
  <c r="H26" i="16"/>
  <c r="D100" i="16"/>
  <c r="M68" i="16"/>
  <c r="M69" i="16" s="1"/>
  <c r="D56" i="16"/>
  <c r="M11" i="16" s="1"/>
  <c r="M10" i="16"/>
  <c r="D95" i="16" s="1"/>
  <c r="E46" i="16"/>
  <c r="D60" i="16"/>
  <c r="D62" i="16" s="1"/>
  <c r="D64" i="16" s="1"/>
  <c r="D65" i="16" s="1"/>
  <c r="M6" i="16"/>
  <c r="D91" i="16" s="1"/>
  <c r="E34" i="16"/>
  <c r="D100" i="15"/>
  <c r="M68" i="15"/>
  <c r="M69" i="15" s="1"/>
  <c r="H80" i="15"/>
  <c r="H23" i="15"/>
  <c r="H59" i="15"/>
  <c r="D60" i="15"/>
  <c r="D62" i="15" s="1"/>
  <c r="D64" i="15" s="1"/>
  <c r="D65" i="15" s="1"/>
  <c r="E46" i="15"/>
  <c r="M6" i="15"/>
  <c r="D91" i="15" s="1"/>
  <c r="E34" i="15"/>
  <c r="P5" i="15"/>
  <c r="G90" i="15" s="1"/>
  <c r="D56" i="15"/>
  <c r="M11" i="15" s="1"/>
  <c r="M10" i="15"/>
  <c r="D95" i="15" s="1"/>
  <c r="H16" i="15"/>
  <c r="H22" i="15" s="1"/>
  <c r="G27" i="15"/>
  <c r="G84" i="15"/>
  <c r="G28" i="15"/>
  <c r="G31" i="15" s="1"/>
  <c r="F85" i="14"/>
  <c r="G84" i="14"/>
  <c r="G27" i="14"/>
  <c r="G28" i="14"/>
  <c r="D86" i="14"/>
  <c r="D47" i="14"/>
  <c r="D51" i="14" s="1"/>
  <c r="H15" i="14"/>
  <c r="H21" i="14"/>
  <c r="P5" i="14"/>
  <c r="G90" i="14" s="1"/>
  <c r="D70" i="14"/>
  <c r="D99" i="14"/>
  <c r="D53" i="14"/>
  <c r="F30" i="13"/>
  <c r="F50" i="13" s="1"/>
  <c r="F26" i="13"/>
  <c r="L10" i="13"/>
  <c r="C95" i="13" s="1"/>
  <c r="C56" i="13"/>
  <c r="L11" i="13" s="1"/>
  <c r="G15" i="13"/>
  <c r="G21" i="13"/>
  <c r="D35" i="13"/>
  <c r="D36" i="13" s="1"/>
  <c r="E31" i="13"/>
  <c r="C56" i="12"/>
  <c r="L11" i="12" s="1"/>
  <c r="L10" i="12"/>
  <c r="C95" i="12" s="1"/>
  <c r="G15" i="12"/>
  <c r="G21" i="12"/>
  <c r="D35" i="12"/>
  <c r="D36" i="12" s="1"/>
  <c r="F27" i="12"/>
  <c r="F28" i="12"/>
  <c r="F31" i="12" s="1"/>
  <c r="F84" i="12"/>
  <c r="O5" i="12"/>
  <c r="F90" i="12" s="1"/>
  <c r="E32" i="11"/>
  <c r="H83" i="11"/>
  <c r="H89" i="11"/>
  <c r="H97" i="11" s="1"/>
  <c r="C60" i="11"/>
  <c r="C62" i="11" s="1"/>
  <c r="C64" i="11" s="1"/>
  <c r="C65" i="11" s="1"/>
  <c r="D46" i="11"/>
  <c r="L6" i="11"/>
  <c r="C91" i="11" s="1"/>
  <c r="D34" i="11"/>
  <c r="G15" i="11"/>
  <c r="G16" i="11" s="1"/>
  <c r="G22" i="11" s="1"/>
  <c r="G21" i="11"/>
  <c r="L10" i="11"/>
  <c r="C95" i="11" s="1"/>
  <c r="C56" i="11"/>
  <c r="L11" i="11" s="1"/>
  <c r="C100" i="11"/>
  <c r="L68" i="11"/>
  <c r="L69" i="11" s="1"/>
  <c r="F30" i="11"/>
  <c r="F50" i="11" s="1"/>
  <c r="F26" i="11"/>
  <c r="G83" i="11"/>
  <c r="G89" i="11"/>
  <c r="G97" i="11" s="1"/>
  <c r="C16" i="7"/>
  <c r="D16" i="7" s="1"/>
  <c r="E16" i="7" s="1"/>
  <c r="F16" i="7" s="1"/>
  <c r="G16" i="7" s="1"/>
  <c r="H16" i="7" s="1"/>
  <c r="I16" i="7" s="1"/>
  <c r="C12" i="7"/>
  <c r="C14" i="7" s="1"/>
  <c r="B29" i="7"/>
  <c r="C28" i="7" s="1"/>
  <c r="D28" i="7" s="1"/>
  <c r="E28" i="7" s="1"/>
  <c r="F28" i="7" s="1"/>
  <c r="G28" i="7" s="1"/>
  <c r="H28" i="7" s="1"/>
  <c r="I28" i="7" s="1"/>
  <c r="D32" i="9"/>
  <c r="E32" i="10"/>
  <c r="O5" i="10"/>
  <c r="F91" i="10" s="1"/>
  <c r="G15" i="10"/>
  <c r="G16" i="10"/>
  <c r="G22" i="10" s="1"/>
  <c r="G21" i="10"/>
  <c r="F27" i="10"/>
  <c r="F85" i="10"/>
  <c r="F28" i="10"/>
  <c r="F31" i="10" s="1"/>
  <c r="C60" i="10"/>
  <c r="C62" i="10" s="1"/>
  <c r="C64" i="10" s="1"/>
  <c r="C65" i="10" s="1"/>
  <c r="D46" i="10"/>
  <c r="L6" i="10"/>
  <c r="C92" i="10" s="1"/>
  <c r="D34" i="10"/>
  <c r="G90" i="10"/>
  <c r="G98" i="10" s="1"/>
  <c r="G84" i="10"/>
  <c r="C101" i="10"/>
  <c r="L68" i="10"/>
  <c r="L69" i="10" s="1"/>
  <c r="C56" i="10"/>
  <c r="L11" i="10" s="1"/>
  <c r="L10" i="10"/>
  <c r="C96" i="10" s="1"/>
  <c r="H84" i="10"/>
  <c r="H90" i="10"/>
  <c r="H98" i="10" s="1"/>
  <c r="F63" i="9"/>
  <c r="G42" i="9"/>
  <c r="G54" i="9" s="1"/>
  <c r="O9" i="9"/>
  <c r="F95" i="9" s="1"/>
  <c r="E30" i="9"/>
  <c r="E50" i="9" s="1"/>
  <c r="E26" i="9"/>
  <c r="H58" i="9"/>
  <c r="H67" i="9" s="1"/>
  <c r="Q4" i="9"/>
  <c r="F21" i="9"/>
  <c r="F15" i="9"/>
  <c r="G58" i="9"/>
  <c r="G67" i="9" s="1"/>
  <c r="P4" i="9"/>
  <c r="C40" i="9"/>
  <c r="C88" i="9"/>
  <c r="C37" i="9"/>
  <c r="C41" i="9"/>
  <c r="C69" i="9" s="1"/>
  <c r="E84" i="9"/>
  <c r="E90" i="9"/>
  <c r="E98" i="9" s="1"/>
  <c r="F74" i="9"/>
  <c r="F78" i="9"/>
  <c r="C16" i="6"/>
  <c r="C22" i="6" s="1"/>
  <c r="C15" i="6"/>
  <c r="C21" i="6"/>
  <c r="B41" i="7"/>
  <c r="B8" i="7"/>
  <c r="C31" i="7"/>
  <c r="C36" i="7" s="1"/>
  <c r="I133" i="8"/>
  <c r="C58" i="6"/>
  <c r="C67" i="6" s="1"/>
  <c r="L4" i="6"/>
  <c r="B49" i="6"/>
  <c r="B39" i="6"/>
  <c r="C30" i="6"/>
  <c r="C26" i="6"/>
  <c r="C39" i="6"/>
  <c r="C59" i="6"/>
  <c r="C81" i="6"/>
  <c r="D17" i="6"/>
  <c r="A76" i="6"/>
  <c r="A73" i="6"/>
  <c r="A57" i="6"/>
  <c r="A24" i="6"/>
  <c r="D11" i="6"/>
  <c r="C18" i="6"/>
  <c r="C23" i="6"/>
  <c r="A38" i="6"/>
  <c r="A48" i="6"/>
  <c r="A66" i="6"/>
  <c r="B55" i="6"/>
  <c r="B62" i="6"/>
  <c r="B68" i="6" s="1"/>
  <c r="B20" i="3"/>
  <c r="B21" i="3" s="1"/>
  <c r="G16" i="3"/>
  <c r="E21" i="3"/>
  <c r="E53" i="17" l="1"/>
  <c r="E55" i="17" s="1"/>
  <c r="G32" i="17"/>
  <c r="E47" i="17"/>
  <c r="E51" i="17" s="1"/>
  <c r="E86" i="17"/>
  <c r="H27" i="17"/>
  <c r="H28" i="17"/>
  <c r="R20" i="17" s="1"/>
  <c r="R23" i="17" s="1"/>
  <c r="H84" i="17"/>
  <c r="I26" i="17"/>
  <c r="J26" i="17" s="1"/>
  <c r="E99" i="17"/>
  <c r="E70" i="17"/>
  <c r="E35" i="16"/>
  <c r="E36" i="16" s="1"/>
  <c r="H84" i="16"/>
  <c r="H28" i="16"/>
  <c r="R20" i="16" s="1"/>
  <c r="R23" i="16" s="1"/>
  <c r="H27" i="16"/>
  <c r="I26" i="16"/>
  <c r="J26" i="16" s="1"/>
  <c r="G85" i="15"/>
  <c r="G32" i="15"/>
  <c r="H26" i="15"/>
  <c r="H30" i="15"/>
  <c r="H50" i="15" s="1"/>
  <c r="Q5" i="15" s="1"/>
  <c r="H90" i="15" s="1"/>
  <c r="E35" i="15"/>
  <c r="E36" i="15" s="1"/>
  <c r="G31" i="14"/>
  <c r="G32" i="14" s="1"/>
  <c r="D55" i="14"/>
  <c r="M8" i="14"/>
  <c r="D93" i="14" s="1"/>
  <c r="H80" i="14"/>
  <c r="H23" i="14"/>
  <c r="H59" i="14"/>
  <c r="D60" i="14"/>
  <c r="D62" i="14" s="1"/>
  <c r="D64" i="14" s="1"/>
  <c r="D65" i="14" s="1"/>
  <c r="E46" i="14"/>
  <c r="M6" i="14"/>
  <c r="D91" i="14" s="1"/>
  <c r="E34" i="14"/>
  <c r="H16" i="14"/>
  <c r="H22" i="14" s="1"/>
  <c r="D100" i="14"/>
  <c r="M68" i="14"/>
  <c r="M69" i="14" s="1"/>
  <c r="D41" i="13"/>
  <c r="D69" i="13" s="1"/>
  <c r="D87" i="13"/>
  <c r="D37" i="13"/>
  <c r="D40" i="13"/>
  <c r="D53" i="13"/>
  <c r="F27" i="13"/>
  <c r="F84" i="13"/>
  <c r="F28" i="13"/>
  <c r="O5" i="13"/>
  <c r="F90" i="13" s="1"/>
  <c r="E85" i="13"/>
  <c r="E32" i="13"/>
  <c r="G80" i="13"/>
  <c r="G59" i="13"/>
  <c r="G23" i="13"/>
  <c r="H12" i="13"/>
  <c r="G16" i="13"/>
  <c r="G22" i="13" s="1"/>
  <c r="F85" i="12"/>
  <c r="F32" i="12"/>
  <c r="D37" i="12"/>
  <c r="D41" i="12"/>
  <c r="D69" i="12" s="1"/>
  <c r="D87" i="12"/>
  <c r="D40" i="12"/>
  <c r="G80" i="12"/>
  <c r="G59" i="12"/>
  <c r="G23" i="12"/>
  <c r="H12" i="12"/>
  <c r="G16" i="12"/>
  <c r="G22" i="12" s="1"/>
  <c r="O5" i="11"/>
  <c r="F90" i="11" s="1"/>
  <c r="G59" i="11"/>
  <c r="G80" i="11"/>
  <c r="G23" i="11"/>
  <c r="H12" i="11"/>
  <c r="D35" i="11"/>
  <c r="D36" i="11" s="1"/>
  <c r="G26" i="11"/>
  <c r="G30" i="11"/>
  <c r="G50" i="11" s="1"/>
  <c r="F84" i="11"/>
  <c r="F27" i="11"/>
  <c r="F28" i="11"/>
  <c r="F31" i="11" s="1"/>
  <c r="D12" i="7"/>
  <c r="D14" i="7" s="1"/>
  <c r="B9" i="7"/>
  <c r="B27" i="7" s="1"/>
  <c r="B40" i="7" s="1"/>
  <c r="C20" i="7" s="1"/>
  <c r="C13" i="7"/>
  <c r="C17" i="7" s="1"/>
  <c r="D36" i="7"/>
  <c r="E36" i="7" s="1"/>
  <c r="F36" i="7" s="1"/>
  <c r="G36" i="7" s="1"/>
  <c r="H36" i="7" s="1"/>
  <c r="I36" i="7" s="1"/>
  <c r="F86" i="10"/>
  <c r="F32" i="10"/>
  <c r="G26" i="10"/>
  <c r="G30" i="10"/>
  <c r="G50" i="10" s="1"/>
  <c r="G81" i="10"/>
  <c r="G59" i="10"/>
  <c r="G23" i="10"/>
  <c r="H12" i="10"/>
  <c r="D35" i="10"/>
  <c r="D36" i="10" s="1"/>
  <c r="C53" i="9"/>
  <c r="C55" i="9" s="1"/>
  <c r="G74" i="9"/>
  <c r="G78" i="9"/>
  <c r="N5" i="9"/>
  <c r="E91" i="9" s="1"/>
  <c r="H42" i="9"/>
  <c r="H54" i="9" s="1"/>
  <c r="P9" i="9"/>
  <c r="G95" i="9" s="1"/>
  <c r="G63" i="9"/>
  <c r="F81" i="9"/>
  <c r="F23" i="9"/>
  <c r="G12" i="9"/>
  <c r="H78" i="9"/>
  <c r="H74" i="9"/>
  <c r="F84" i="9"/>
  <c r="F90" i="9"/>
  <c r="F98" i="9" s="1"/>
  <c r="C100" i="9"/>
  <c r="C70" i="9"/>
  <c r="C87" i="9"/>
  <c r="C47" i="9"/>
  <c r="C51" i="9" s="1"/>
  <c r="F16" i="9"/>
  <c r="F22" i="9" s="1"/>
  <c r="E28" i="9"/>
  <c r="E27" i="9"/>
  <c r="E85" i="9"/>
  <c r="C41" i="7"/>
  <c r="D41" i="7" s="1"/>
  <c r="E41" i="7" s="1"/>
  <c r="F41" i="7" s="1"/>
  <c r="G41" i="7" s="1"/>
  <c r="H41" i="7" s="1"/>
  <c r="I41" i="7" s="1"/>
  <c r="C80" i="6"/>
  <c r="D12" i="6"/>
  <c r="D15" i="6" s="1"/>
  <c r="D16" i="6" s="1"/>
  <c r="D22" i="6" s="1"/>
  <c r="D26" i="6" s="1"/>
  <c r="C40" i="7"/>
  <c r="B26" i="7"/>
  <c r="E12" i="7"/>
  <c r="D13" i="7"/>
  <c r="D30" i="6"/>
  <c r="B98" i="6"/>
  <c r="B70" i="6"/>
  <c r="C45" i="6"/>
  <c r="D33" i="6"/>
  <c r="B95" i="6"/>
  <c r="B64" i="6"/>
  <c r="K10" i="6"/>
  <c r="B51" i="6"/>
  <c r="D20" i="6"/>
  <c r="D25" i="6" s="1"/>
  <c r="E11" i="6"/>
  <c r="C28" i="6"/>
  <c r="C27" i="6"/>
  <c r="C84" i="6"/>
  <c r="D18" i="6"/>
  <c r="D81" i="6"/>
  <c r="E17" i="6"/>
  <c r="D80" i="6"/>
  <c r="D59" i="6"/>
  <c r="D23" i="6"/>
  <c r="E12" i="6"/>
  <c r="D21" i="6"/>
  <c r="B58" i="6"/>
  <c r="B67" i="6" s="1"/>
  <c r="K4" i="6"/>
  <c r="C77" i="6"/>
  <c r="C74" i="6"/>
  <c r="E10" i="3"/>
  <c r="F6" i="3"/>
  <c r="F9" i="3"/>
  <c r="F5" i="3"/>
  <c r="F8" i="3" s="1"/>
  <c r="B8" i="3"/>
  <c r="B11" i="3" s="1"/>
  <c r="B12" i="3" s="1"/>
  <c r="B13" i="3" s="1"/>
  <c r="A1" i="3"/>
  <c r="A3" i="3" s="1"/>
  <c r="R25" i="17" l="1"/>
  <c r="R26" i="17" s="1"/>
  <c r="N8" i="17"/>
  <c r="E93" i="17" s="1"/>
  <c r="N10" i="17"/>
  <c r="E95" i="17" s="1"/>
  <c r="E56" i="17"/>
  <c r="N11" i="17" s="1"/>
  <c r="E100" i="17"/>
  <c r="N68" i="17"/>
  <c r="N69" i="17" s="1"/>
  <c r="E60" i="17"/>
  <c r="E62" i="17" s="1"/>
  <c r="E64" i="17" s="1"/>
  <c r="E65" i="17" s="1"/>
  <c r="F46" i="17"/>
  <c r="N6" i="17"/>
  <c r="E91" i="17" s="1"/>
  <c r="F34" i="17"/>
  <c r="H31" i="17"/>
  <c r="R25" i="16"/>
  <c r="R26" i="16" s="1"/>
  <c r="E40" i="16"/>
  <c r="E87" i="16"/>
  <c r="E37" i="16"/>
  <c r="E41" i="16"/>
  <c r="E69" i="16" s="1"/>
  <c r="H31" i="16"/>
  <c r="E37" i="15"/>
  <c r="E87" i="15"/>
  <c r="E40" i="15"/>
  <c r="E41" i="15"/>
  <c r="E69" i="15" s="1"/>
  <c r="H84" i="15"/>
  <c r="H28" i="15"/>
  <c r="R20" i="15" s="1"/>
  <c r="R23" i="15" s="1"/>
  <c r="R25" i="15" s="1"/>
  <c r="R26" i="15" s="1"/>
  <c r="H27" i="15"/>
  <c r="I26" i="15"/>
  <c r="J26" i="15" s="1"/>
  <c r="G85" i="14"/>
  <c r="E35" i="14"/>
  <c r="E36" i="14" s="1"/>
  <c r="H30" i="14"/>
  <c r="H50" i="14" s="1"/>
  <c r="Q5" i="14" s="1"/>
  <c r="H90" i="14" s="1"/>
  <c r="H26" i="14"/>
  <c r="D56" i="14"/>
  <c r="M11" i="14" s="1"/>
  <c r="M10" i="14"/>
  <c r="D95" i="14" s="1"/>
  <c r="F31" i="13"/>
  <c r="F85" i="13" s="1"/>
  <c r="D86" i="13"/>
  <c r="D47" i="13"/>
  <c r="D51" i="13" s="1"/>
  <c r="H15" i="13"/>
  <c r="H21" i="13"/>
  <c r="G26" i="13"/>
  <c r="G30" i="13"/>
  <c r="G50" i="13" s="1"/>
  <c r="D55" i="13"/>
  <c r="M8" i="13"/>
  <c r="D93" i="13" s="1"/>
  <c r="D70" i="13"/>
  <c r="D99" i="13"/>
  <c r="G26" i="12"/>
  <c r="G30" i="12"/>
  <c r="G50" i="12" s="1"/>
  <c r="H15" i="12"/>
  <c r="H16" i="12" s="1"/>
  <c r="H22" i="12" s="1"/>
  <c r="H21" i="12"/>
  <c r="D70" i="12"/>
  <c r="D99" i="12"/>
  <c r="D86" i="12"/>
  <c r="D47" i="12"/>
  <c r="D51" i="12" s="1"/>
  <c r="D53" i="12"/>
  <c r="P5" i="11"/>
  <c r="G90" i="11" s="1"/>
  <c r="D87" i="11"/>
  <c r="D41" i="11"/>
  <c r="D69" i="11" s="1"/>
  <c r="D37" i="11"/>
  <c r="D40" i="11"/>
  <c r="F32" i="11"/>
  <c r="F85" i="11"/>
  <c r="H21" i="11"/>
  <c r="H15" i="11"/>
  <c r="G84" i="11"/>
  <c r="G27" i="11"/>
  <c r="G28" i="11"/>
  <c r="B33" i="7"/>
  <c r="B39" i="7"/>
  <c r="B42" i="7" s="1"/>
  <c r="C21" i="7"/>
  <c r="C18" i="7"/>
  <c r="H15" i="10"/>
  <c r="H16" i="10" s="1"/>
  <c r="H22" i="10" s="1"/>
  <c r="H21" i="10"/>
  <c r="P5" i="10"/>
  <c r="G91" i="10" s="1"/>
  <c r="D37" i="10"/>
  <c r="D41" i="10"/>
  <c r="D69" i="10" s="1"/>
  <c r="D40" i="10"/>
  <c r="D88" i="10"/>
  <c r="G85" i="10"/>
  <c r="G27" i="10"/>
  <c r="G28" i="10"/>
  <c r="E31" i="9"/>
  <c r="E32" i="9" s="1"/>
  <c r="L8" i="9"/>
  <c r="C94" i="9" s="1"/>
  <c r="H63" i="9"/>
  <c r="Q9" i="9"/>
  <c r="H95" i="9" s="1"/>
  <c r="C56" i="9"/>
  <c r="L11" i="9" s="1"/>
  <c r="L10" i="9"/>
  <c r="C96" i="9" s="1"/>
  <c r="G90" i="9"/>
  <c r="G98" i="9" s="1"/>
  <c r="G84" i="9"/>
  <c r="C60" i="9"/>
  <c r="C62" i="9" s="1"/>
  <c r="C64" i="9" s="1"/>
  <c r="C65" i="9" s="1"/>
  <c r="D46" i="9"/>
  <c r="L6" i="9"/>
  <c r="C92" i="9" s="1"/>
  <c r="D34" i="9"/>
  <c r="G21" i="9"/>
  <c r="G15" i="9"/>
  <c r="C101" i="9"/>
  <c r="L68" i="9"/>
  <c r="L69" i="9" s="1"/>
  <c r="F30" i="9"/>
  <c r="F50" i="9" s="1"/>
  <c r="F26" i="9"/>
  <c r="H90" i="9"/>
  <c r="H98" i="9" s="1"/>
  <c r="H84" i="9"/>
  <c r="C22" i="7"/>
  <c r="C25" i="7" s="1"/>
  <c r="D40" i="7"/>
  <c r="D20" i="7"/>
  <c r="C32" i="7"/>
  <c r="B37" i="7"/>
  <c r="B43" i="7" s="1"/>
  <c r="D17" i="7"/>
  <c r="D18" i="7" s="1"/>
  <c r="F12" i="7"/>
  <c r="E14" i="7"/>
  <c r="E13" i="7"/>
  <c r="C31" i="6"/>
  <c r="C85" i="6" s="1"/>
  <c r="C89" i="6"/>
  <c r="C97" i="6" s="1"/>
  <c r="C83" i="6"/>
  <c r="E21" i="6"/>
  <c r="E15" i="6"/>
  <c r="E16" i="6" s="1"/>
  <c r="E22" i="6" s="1"/>
  <c r="D49" i="6"/>
  <c r="D39" i="6"/>
  <c r="B100" i="6"/>
  <c r="K68" i="6"/>
  <c r="B77" i="6"/>
  <c r="B74" i="6"/>
  <c r="E81" i="6"/>
  <c r="F17" i="6"/>
  <c r="E18" i="6"/>
  <c r="D45" i="6"/>
  <c r="D43" i="6" s="1"/>
  <c r="E33" i="6"/>
  <c r="E20" i="6"/>
  <c r="E25" i="6" s="1"/>
  <c r="F11" i="6"/>
  <c r="B60" i="6"/>
  <c r="B65" i="6" s="1"/>
  <c r="C46" i="6"/>
  <c r="K6" i="6"/>
  <c r="B91" i="6"/>
  <c r="B56" i="6"/>
  <c r="K11" i="6" s="1"/>
  <c r="C50" i="6"/>
  <c r="C43" i="6"/>
  <c r="C54" i="6" s="1"/>
  <c r="C34" i="6" s="1"/>
  <c r="D84" i="6"/>
  <c r="D28" i="6"/>
  <c r="D27" i="6"/>
  <c r="F10" i="3"/>
  <c r="F15" i="3" s="1"/>
  <c r="F16" i="3" s="1"/>
  <c r="F14" i="3"/>
  <c r="B15" i="3"/>
  <c r="B16" i="3"/>
  <c r="B17" i="3" s="1"/>
  <c r="B10" i="3"/>
  <c r="B14" i="3"/>
  <c r="C98" i="5"/>
  <c r="D98" i="5"/>
  <c r="E98" i="5"/>
  <c r="F98" i="5"/>
  <c r="G98" i="5"/>
  <c r="H98" i="5"/>
  <c r="B99" i="5"/>
  <c r="B94" i="5"/>
  <c r="B90" i="5"/>
  <c r="C33" i="5"/>
  <c r="C17" i="5"/>
  <c r="C81" i="5" s="1"/>
  <c r="F32" i="13" l="1"/>
  <c r="F35" i="17"/>
  <c r="F36" i="17" s="1"/>
  <c r="H85" i="17"/>
  <c r="H32" i="17"/>
  <c r="H85" i="16"/>
  <c r="H32" i="16"/>
  <c r="E99" i="16"/>
  <c r="E70" i="16"/>
  <c r="E53" i="16"/>
  <c r="E86" i="16"/>
  <c r="E47" i="16"/>
  <c r="E51" i="16" s="1"/>
  <c r="E99" i="15"/>
  <c r="E70" i="15"/>
  <c r="E47" i="15"/>
  <c r="E51" i="15" s="1"/>
  <c r="E86" i="15"/>
  <c r="H31" i="15"/>
  <c r="E53" i="15"/>
  <c r="E87" i="14"/>
  <c r="E37" i="14"/>
  <c r="E41" i="14"/>
  <c r="E69" i="14" s="1"/>
  <c r="E40" i="14"/>
  <c r="H84" i="14"/>
  <c r="H28" i="14"/>
  <c r="R20" i="14" s="1"/>
  <c r="R23" i="14" s="1"/>
  <c r="H27" i="14"/>
  <c r="I26" i="14"/>
  <c r="J26" i="14" s="1"/>
  <c r="H80" i="13"/>
  <c r="H59" i="13"/>
  <c r="H23" i="13"/>
  <c r="G84" i="13"/>
  <c r="G27" i="13"/>
  <c r="G28" i="13"/>
  <c r="M10" i="13"/>
  <c r="D95" i="13" s="1"/>
  <c r="D56" i="13"/>
  <c r="M11" i="13" s="1"/>
  <c r="H16" i="13"/>
  <c r="H22" i="13" s="1"/>
  <c r="E46" i="13"/>
  <c r="M6" i="13"/>
  <c r="D91" i="13" s="1"/>
  <c r="D60" i="13"/>
  <c r="D62" i="13" s="1"/>
  <c r="D64" i="13" s="1"/>
  <c r="D65" i="13" s="1"/>
  <c r="E34" i="13"/>
  <c r="P5" i="13"/>
  <c r="G90" i="13" s="1"/>
  <c r="D100" i="13"/>
  <c r="M68" i="13"/>
  <c r="M69" i="13" s="1"/>
  <c r="H26" i="12"/>
  <c r="H30" i="12"/>
  <c r="D55" i="12"/>
  <c r="M8" i="12"/>
  <c r="D93" i="12" s="1"/>
  <c r="E46" i="12"/>
  <c r="D60" i="12"/>
  <c r="D62" i="12" s="1"/>
  <c r="D64" i="12" s="1"/>
  <c r="D65" i="12" s="1"/>
  <c r="M6" i="12"/>
  <c r="D91" i="12" s="1"/>
  <c r="E34" i="12"/>
  <c r="D100" i="12"/>
  <c r="M68" i="12"/>
  <c r="M69" i="12" s="1"/>
  <c r="H50" i="12"/>
  <c r="Q5" i="12" s="1"/>
  <c r="H90" i="12" s="1"/>
  <c r="P5" i="12"/>
  <c r="G90" i="12" s="1"/>
  <c r="H59" i="12"/>
  <c r="H23" i="12"/>
  <c r="H80" i="12"/>
  <c r="G84" i="12"/>
  <c r="G27" i="12"/>
  <c r="G28" i="12"/>
  <c r="I26" i="12"/>
  <c r="J26" i="12" s="1"/>
  <c r="G31" i="11"/>
  <c r="G32" i="11" s="1"/>
  <c r="H80" i="11"/>
  <c r="H23" i="11"/>
  <c r="H59" i="11"/>
  <c r="D70" i="11"/>
  <c r="D99" i="11"/>
  <c r="H16" i="11"/>
  <c r="H22" i="11" s="1"/>
  <c r="D53" i="11"/>
  <c r="D86" i="11"/>
  <c r="D47" i="11"/>
  <c r="D51" i="11" s="1"/>
  <c r="C33" i="7"/>
  <c r="D32" i="7" s="1"/>
  <c r="C39" i="7"/>
  <c r="E86" i="9"/>
  <c r="G31" i="10"/>
  <c r="G86" i="10" s="1"/>
  <c r="D87" i="10"/>
  <c r="D47" i="10"/>
  <c r="D51" i="10" s="1"/>
  <c r="D70" i="10"/>
  <c r="D100" i="10"/>
  <c r="D53" i="10"/>
  <c r="H59" i="10"/>
  <c r="H23" i="10"/>
  <c r="H81" i="10"/>
  <c r="H30" i="10"/>
  <c r="H50" i="10" s="1"/>
  <c r="Q5" i="10" s="1"/>
  <c r="H91" i="10" s="1"/>
  <c r="H26" i="10"/>
  <c r="D35" i="9"/>
  <c r="D36" i="9" s="1"/>
  <c r="F85" i="9"/>
  <c r="F27" i="9"/>
  <c r="F28" i="9"/>
  <c r="O5" i="9"/>
  <c r="F91" i="9" s="1"/>
  <c r="G81" i="9"/>
  <c r="H12" i="9"/>
  <c r="G23" i="9"/>
  <c r="G16" i="9"/>
  <c r="G22" i="9" s="1"/>
  <c r="C18" i="5"/>
  <c r="C45" i="5" s="1"/>
  <c r="C43" i="5" s="1"/>
  <c r="D17" i="5"/>
  <c r="E40" i="7"/>
  <c r="E20" i="7"/>
  <c r="E17" i="7"/>
  <c r="C32" i="6"/>
  <c r="D21" i="7"/>
  <c r="D22" i="7" s="1"/>
  <c r="C42" i="7"/>
  <c r="G12" i="7"/>
  <c r="F14" i="7"/>
  <c r="F13" i="7"/>
  <c r="C35" i="6"/>
  <c r="C36" i="6" s="1"/>
  <c r="D31" i="6"/>
  <c r="D85" i="6" s="1"/>
  <c r="E49" i="6"/>
  <c r="E39" i="6"/>
  <c r="F81" i="6"/>
  <c r="F18" i="6"/>
  <c r="G17" i="6"/>
  <c r="B83" i="6"/>
  <c r="B89" i="6"/>
  <c r="B97" i="6" s="1"/>
  <c r="D50" i="6"/>
  <c r="L5" i="6"/>
  <c r="C90" i="6" s="1"/>
  <c r="F20" i="6"/>
  <c r="F25" i="6" s="1"/>
  <c r="G11" i="6"/>
  <c r="E45" i="6"/>
  <c r="E43" i="6" s="1"/>
  <c r="F33" i="6"/>
  <c r="E80" i="6"/>
  <c r="E59" i="6"/>
  <c r="F12" i="6"/>
  <c r="E23" i="6"/>
  <c r="C63" i="6"/>
  <c r="D42" i="6"/>
  <c r="D54" i="6" s="1"/>
  <c r="L9" i="6"/>
  <c r="C94" i="6" s="1"/>
  <c r="M4" i="6"/>
  <c r="D58" i="6"/>
  <c r="D67" i="6" s="1"/>
  <c r="E30" i="6"/>
  <c r="E26" i="6"/>
  <c r="B18" i="3"/>
  <c r="B19" i="3" s="1"/>
  <c r="F17" i="3"/>
  <c r="F21" i="3" s="1"/>
  <c r="D81" i="5"/>
  <c r="D18" i="5"/>
  <c r="E17" i="5"/>
  <c r="D33" i="5"/>
  <c r="D78" i="5"/>
  <c r="E78" i="5"/>
  <c r="F78" i="5"/>
  <c r="G78" i="5"/>
  <c r="H78" i="5"/>
  <c r="D79" i="5"/>
  <c r="E79" i="5"/>
  <c r="F79" i="5"/>
  <c r="G79" i="5"/>
  <c r="H79" i="5"/>
  <c r="C79" i="5"/>
  <c r="C78" i="5"/>
  <c r="F40" i="17" l="1"/>
  <c r="F87" i="17"/>
  <c r="F37" i="17"/>
  <c r="F41" i="17"/>
  <c r="F69" i="17" s="1"/>
  <c r="E100" i="16"/>
  <c r="N68" i="16"/>
  <c r="N69" i="16" s="1"/>
  <c r="E55" i="16"/>
  <c r="N8" i="16"/>
  <c r="E93" i="16" s="1"/>
  <c r="E60" i="16"/>
  <c r="E62" i="16" s="1"/>
  <c r="E64" i="16" s="1"/>
  <c r="E65" i="16" s="1"/>
  <c r="F46" i="16"/>
  <c r="N6" i="16"/>
  <c r="E91" i="16" s="1"/>
  <c r="F34" i="16"/>
  <c r="H85" i="15"/>
  <c r="H32" i="15"/>
  <c r="E60" i="15"/>
  <c r="E62" i="15" s="1"/>
  <c r="E64" i="15" s="1"/>
  <c r="E65" i="15" s="1"/>
  <c r="F46" i="15"/>
  <c r="N6" i="15"/>
  <c r="E91" i="15" s="1"/>
  <c r="F34" i="15"/>
  <c r="N8" i="15"/>
  <c r="E93" i="15" s="1"/>
  <c r="E55" i="15"/>
  <c r="E100" i="15"/>
  <c r="N68" i="15"/>
  <c r="N69" i="15" s="1"/>
  <c r="R25" i="14"/>
  <c r="R26" i="14" s="1"/>
  <c r="H31" i="14"/>
  <c r="H85" i="14" s="1"/>
  <c r="E47" i="14"/>
  <c r="E51" i="14" s="1"/>
  <c r="E86" i="14"/>
  <c r="E70" i="14"/>
  <c r="E99" i="14"/>
  <c r="E53" i="14"/>
  <c r="G31" i="13"/>
  <c r="G32" i="13" s="1"/>
  <c r="E35" i="13"/>
  <c r="E36" i="13" s="1"/>
  <c r="H30" i="13"/>
  <c r="H50" i="13" s="1"/>
  <c r="Q5" i="13" s="1"/>
  <c r="H90" i="13" s="1"/>
  <c r="H26" i="13"/>
  <c r="G31" i="12"/>
  <c r="M10" i="12"/>
  <c r="D95" i="12" s="1"/>
  <c r="D56" i="12"/>
  <c r="M11" i="12" s="1"/>
  <c r="G32" i="12"/>
  <c r="G85" i="12"/>
  <c r="E35" i="12"/>
  <c r="E36" i="12" s="1"/>
  <c r="H84" i="12"/>
  <c r="H28" i="12"/>
  <c r="R20" i="12" s="1"/>
  <c r="R23" i="12" s="1"/>
  <c r="R25" i="12" s="1"/>
  <c r="R26" i="12" s="1"/>
  <c r="H27" i="12"/>
  <c r="G85" i="11"/>
  <c r="M68" i="11"/>
  <c r="M69" i="11" s="1"/>
  <c r="D100" i="11"/>
  <c r="D55" i="11"/>
  <c r="M8" i="11"/>
  <c r="D93" i="11" s="1"/>
  <c r="H26" i="11"/>
  <c r="H30" i="11"/>
  <c r="H50" i="11" s="1"/>
  <c r="Q5" i="11" s="1"/>
  <c r="H90" i="11" s="1"/>
  <c r="D60" i="11"/>
  <c r="D62" i="11" s="1"/>
  <c r="D64" i="11" s="1"/>
  <c r="D65" i="11" s="1"/>
  <c r="E46" i="11"/>
  <c r="M6" i="11"/>
  <c r="D91" i="11" s="1"/>
  <c r="E34" i="11"/>
  <c r="C37" i="7"/>
  <c r="E21" i="7"/>
  <c r="E22" i="7" s="1"/>
  <c r="E25" i="7" s="1"/>
  <c r="E18" i="7"/>
  <c r="G32" i="10"/>
  <c r="H85" i="10"/>
  <c r="H28" i="10"/>
  <c r="R20" i="10" s="1"/>
  <c r="R23" i="10" s="1"/>
  <c r="H27" i="10"/>
  <c r="E46" i="10"/>
  <c r="D60" i="10"/>
  <c r="D62" i="10" s="1"/>
  <c r="D64" i="10" s="1"/>
  <c r="D65" i="10" s="1"/>
  <c r="M6" i="10"/>
  <c r="D92" i="10" s="1"/>
  <c r="E34" i="10"/>
  <c r="D101" i="10"/>
  <c r="M68" i="10"/>
  <c r="M69" i="10" s="1"/>
  <c r="D55" i="10"/>
  <c r="M8" i="10"/>
  <c r="D94" i="10" s="1"/>
  <c r="D88" i="9"/>
  <c r="D37" i="9"/>
  <c r="D41" i="9"/>
  <c r="D69" i="9" s="1"/>
  <c r="D40" i="9"/>
  <c r="F31" i="9"/>
  <c r="G30" i="9"/>
  <c r="G50" i="9" s="1"/>
  <c r="G26" i="9"/>
  <c r="H15" i="9"/>
  <c r="H21" i="9"/>
  <c r="H16" i="9"/>
  <c r="H22" i="9" s="1"/>
  <c r="F20" i="7"/>
  <c r="F40" i="7"/>
  <c r="F17" i="7"/>
  <c r="C41" i="6"/>
  <c r="C69" i="6" s="1"/>
  <c r="C43" i="7"/>
  <c r="D25" i="7"/>
  <c r="D33" i="7" s="1"/>
  <c r="D39" i="7"/>
  <c r="H12" i="7"/>
  <c r="G14" i="7"/>
  <c r="G13" i="7"/>
  <c r="C40" i="6"/>
  <c r="C87" i="6"/>
  <c r="D32" i="6"/>
  <c r="D63" i="6"/>
  <c r="E42" i="6"/>
  <c r="E54" i="6" s="1"/>
  <c r="M9" i="6"/>
  <c r="D94" i="6" s="1"/>
  <c r="E84" i="6"/>
  <c r="E28" i="6"/>
  <c r="E27" i="6"/>
  <c r="D74" i="6"/>
  <c r="D77" i="6"/>
  <c r="G81" i="6"/>
  <c r="H17" i="6"/>
  <c r="G18" i="6"/>
  <c r="F49" i="6"/>
  <c r="F39" i="6"/>
  <c r="M5" i="6"/>
  <c r="D90" i="6" s="1"/>
  <c r="E50" i="6"/>
  <c r="F45" i="6"/>
  <c r="F43" i="6" s="1"/>
  <c r="G33" i="6"/>
  <c r="C86" i="6"/>
  <c r="F21" i="6"/>
  <c r="F15" i="6"/>
  <c r="G20" i="6"/>
  <c r="G25" i="6" s="1"/>
  <c r="H11" i="6"/>
  <c r="H20" i="6" s="1"/>
  <c r="H25" i="6" s="1"/>
  <c r="E58" i="6"/>
  <c r="E67" i="6" s="1"/>
  <c r="N4" i="6"/>
  <c r="E33" i="5"/>
  <c r="D45" i="5"/>
  <c r="D43" i="5" s="1"/>
  <c r="F17" i="5"/>
  <c r="E81" i="5"/>
  <c r="E18" i="5"/>
  <c r="B46" i="1"/>
  <c r="C75" i="5"/>
  <c r="D75" i="5" s="1"/>
  <c r="E75" i="5" s="1"/>
  <c r="F75" i="5" s="1"/>
  <c r="G75" i="5" s="1"/>
  <c r="H75" i="5" s="1"/>
  <c r="B63" i="5"/>
  <c r="B59" i="5"/>
  <c r="I54" i="5"/>
  <c r="B53" i="5"/>
  <c r="H44" i="5"/>
  <c r="G44" i="5"/>
  <c r="F44" i="5"/>
  <c r="E44" i="5"/>
  <c r="D44" i="5"/>
  <c r="C44" i="5"/>
  <c r="C54" i="5"/>
  <c r="C34" i="5" s="1"/>
  <c r="H29" i="5"/>
  <c r="G29" i="5"/>
  <c r="F29" i="5"/>
  <c r="E29" i="5"/>
  <c r="D29" i="5"/>
  <c r="C29" i="5"/>
  <c r="R21" i="5"/>
  <c r="B20" i="5"/>
  <c r="B25" i="5" s="1"/>
  <c r="B49" i="5" s="1"/>
  <c r="B15" i="5"/>
  <c r="C12" i="5" s="1"/>
  <c r="C21" i="5" s="1"/>
  <c r="C11" i="5"/>
  <c r="C20" i="5" s="1"/>
  <c r="C25" i="5" s="1"/>
  <c r="K9" i="5"/>
  <c r="K8" i="5"/>
  <c r="K5" i="5"/>
  <c r="A1" i="5"/>
  <c r="A3" i="5" s="1"/>
  <c r="D38" i="1"/>
  <c r="E38" i="1"/>
  <c r="F38" i="1"/>
  <c r="G38" i="1"/>
  <c r="H38" i="1"/>
  <c r="C38" i="1"/>
  <c r="B48" i="1"/>
  <c r="R20" i="1"/>
  <c r="D26" i="1"/>
  <c r="E26" i="1"/>
  <c r="F26" i="1"/>
  <c r="G26" i="1"/>
  <c r="H26" i="1"/>
  <c r="C26" i="1"/>
  <c r="F53" i="17" l="1"/>
  <c r="O8" i="17" s="1"/>
  <c r="F93" i="17" s="1"/>
  <c r="F86" i="17"/>
  <c r="F47" i="17"/>
  <c r="F51" i="17" s="1"/>
  <c r="F70" i="17"/>
  <c r="F99" i="17"/>
  <c r="N10" i="16"/>
  <c r="E95" i="16" s="1"/>
  <c r="E56" i="16"/>
  <c r="N11" i="16" s="1"/>
  <c r="F35" i="16"/>
  <c r="F36" i="16" s="1"/>
  <c r="F36" i="15"/>
  <c r="F35" i="15"/>
  <c r="E56" i="15"/>
  <c r="N11" i="15" s="1"/>
  <c r="N10" i="15"/>
  <c r="E95" i="15" s="1"/>
  <c r="H32" i="14"/>
  <c r="N68" i="14"/>
  <c r="N69" i="14" s="1"/>
  <c r="E100" i="14"/>
  <c r="E55" i="14"/>
  <c r="N8" i="14"/>
  <c r="E93" i="14" s="1"/>
  <c r="F46" i="14"/>
  <c r="N6" i="14"/>
  <c r="E91" i="14" s="1"/>
  <c r="E60" i="14"/>
  <c r="E62" i="14" s="1"/>
  <c r="E64" i="14" s="1"/>
  <c r="E65" i="14" s="1"/>
  <c r="F34" i="14"/>
  <c r="G85" i="13"/>
  <c r="E87" i="13"/>
  <c r="E41" i="13"/>
  <c r="E69" i="13" s="1"/>
  <c r="E37" i="13"/>
  <c r="E40" i="13"/>
  <c r="H84" i="13"/>
  <c r="H28" i="13"/>
  <c r="R20" i="13" s="1"/>
  <c r="R23" i="13" s="1"/>
  <c r="H27" i="13"/>
  <c r="I26" i="13"/>
  <c r="J26" i="13" s="1"/>
  <c r="E87" i="12"/>
  <c r="E41" i="12"/>
  <c r="E69" i="12" s="1"/>
  <c r="E37" i="12"/>
  <c r="E40" i="12"/>
  <c r="H31" i="12"/>
  <c r="D56" i="11"/>
  <c r="M11" i="11" s="1"/>
  <c r="M10" i="11"/>
  <c r="D95" i="11" s="1"/>
  <c r="H28" i="11"/>
  <c r="R20" i="11" s="1"/>
  <c r="R23" i="11" s="1"/>
  <c r="H84" i="11"/>
  <c r="H27" i="11"/>
  <c r="I26" i="11"/>
  <c r="J26" i="11" s="1"/>
  <c r="E35" i="11"/>
  <c r="E36" i="11" s="1"/>
  <c r="F21" i="7"/>
  <c r="F22" i="7" s="1"/>
  <c r="G17" i="7"/>
  <c r="F18" i="7"/>
  <c r="H31" i="10"/>
  <c r="H32" i="10" s="1"/>
  <c r="D56" i="10"/>
  <c r="M11" i="10" s="1"/>
  <c r="M10" i="10"/>
  <c r="D96" i="10" s="1"/>
  <c r="E35" i="10"/>
  <c r="E36" i="10" s="1"/>
  <c r="D53" i="9"/>
  <c r="D55" i="9" s="1"/>
  <c r="G85" i="9"/>
  <c r="G27" i="9"/>
  <c r="G28" i="9"/>
  <c r="H30" i="9"/>
  <c r="H50" i="9" s="1"/>
  <c r="Q5" i="9" s="1"/>
  <c r="H91" i="9" s="1"/>
  <c r="H26" i="9"/>
  <c r="P5" i="9"/>
  <c r="G91" i="9" s="1"/>
  <c r="D87" i="9"/>
  <c r="D47" i="9"/>
  <c r="D51" i="9" s="1"/>
  <c r="H23" i="9"/>
  <c r="H81" i="9"/>
  <c r="F86" i="9"/>
  <c r="F32" i="9"/>
  <c r="D70" i="9"/>
  <c r="D100" i="9"/>
  <c r="G40" i="7"/>
  <c r="G20" i="7"/>
  <c r="C99" i="6"/>
  <c r="C70" i="6"/>
  <c r="C47" i="6"/>
  <c r="C51" i="6" s="1"/>
  <c r="C53" i="6"/>
  <c r="D37" i="7"/>
  <c r="E32" i="7"/>
  <c r="E33" i="7" s="1"/>
  <c r="D42" i="7"/>
  <c r="E39" i="7"/>
  <c r="E42" i="7" s="1"/>
  <c r="F25" i="7"/>
  <c r="G21" i="7"/>
  <c r="G22" i="7" s="1"/>
  <c r="G25" i="7" s="1"/>
  <c r="G18" i="7"/>
  <c r="I12" i="7"/>
  <c r="H14" i="7"/>
  <c r="H13" i="7"/>
  <c r="E31" i="6"/>
  <c r="E32" i="6" s="1"/>
  <c r="E63" i="6"/>
  <c r="F42" i="6"/>
  <c r="F54" i="6" s="1"/>
  <c r="N9" i="6"/>
  <c r="E94" i="6" s="1"/>
  <c r="F59" i="6"/>
  <c r="F23" i="6"/>
  <c r="G12" i="6"/>
  <c r="F80" i="6"/>
  <c r="F58" i="6"/>
  <c r="F67" i="6" s="1"/>
  <c r="O4" i="6"/>
  <c r="E77" i="6"/>
  <c r="E74" i="6"/>
  <c r="G49" i="6"/>
  <c r="G39" i="6"/>
  <c r="F16" i="6"/>
  <c r="F22" i="6" s="1"/>
  <c r="C60" i="6"/>
  <c r="C62" i="6" s="1"/>
  <c r="C64" i="6" s="1"/>
  <c r="C65" i="6" s="1"/>
  <c r="D46" i="6"/>
  <c r="L6" i="6"/>
  <c r="C91" i="6" s="1"/>
  <c r="D34" i="6"/>
  <c r="N5" i="6"/>
  <c r="E90" i="6" s="1"/>
  <c r="G45" i="6"/>
  <c r="G43" i="6" s="1"/>
  <c r="H33" i="6"/>
  <c r="H49" i="6"/>
  <c r="H39" i="6"/>
  <c r="H18" i="6"/>
  <c r="H45" i="6" s="1"/>
  <c r="H43" i="6" s="1"/>
  <c r="H81" i="6"/>
  <c r="D83" i="6"/>
  <c r="D89" i="6"/>
  <c r="D97" i="6" s="1"/>
  <c r="B62" i="5"/>
  <c r="B68" i="5" s="1"/>
  <c r="B93" i="5"/>
  <c r="E45" i="5"/>
  <c r="E43" i="5" s="1"/>
  <c r="F33" i="5"/>
  <c r="G17" i="5"/>
  <c r="F81" i="5"/>
  <c r="F18" i="5"/>
  <c r="C15" i="5"/>
  <c r="R22" i="5"/>
  <c r="D42" i="5"/>
  <c r="D54" i="5" s="1"/>
  <c r="L9" i="5"/>
  <c r="C94" i="5" s="1"/>
  <c r="C49" i="5"/>
  <c r="C39" i="5"/>
  <c r="B58" i="5"/>
  <c r="B67" i="5" s="1"/>
  <c r="K4" i="5"/>
  <c r="A76" i="5"/>
  <c r="A73" i="5"/>
  <c r="A66" i="5"/>
  <c r="A57" i="5"/>
  <c r="A48" i="5"/>
  <c r="D11" i="5"/>
  <c r="B39" i="5"/>
  <c r="A10" i="5"/>
  <c r="C16" i="5"/>
  <c r="C22" i="5" s="1"/>
  <c r="C30" i="5" s="1"/>
  <c r="A19" i="5"/>
  <c r="A24" i="5"/>
  <c r="A38" i="5"/>
  <c r="C63" i="5"/>
  <c r="B55" i="5"/>
  <c r="R21" i="1"/>
  <c r="R18" i="1"/>
  <c r="F55" i="17" l="1"/>
  <c r="F100" i="17"/>
  <c r="O68" i="17"/>
  <c r="O69" i="17" s="1"/>
  <c r="F60" i="17"/>
  <c r="F62" i="17" s="1"/>
  <c r="F64" i="17" s="1"/>
  <c r="F65" i="17" s="1"/>
  <c r="G46" i="17"/>
  <c r="O6" i="17"/>
  <c r="F91" i="17" s="1"/>
  <c r="G34" i="17"/>
  <c r="F56" i="17"/>
  <c r="O11" i="17" s="1"/>
  <c r="O10" i="17"/>
  <c r="F95" i="17" s="1"/>
  <c r="F87" i="16"/>
  <c r="F37" i="16"/>
  <c r="F40" i="16"/>
  <c r="F41" i="16"/>
  <c r="F69" i="16" s="1"/>
  <c r="F40" i="15"/>
  <c r="F37" i="15"/>
  <c r="F87" i="15"/>
  <c r="F41" i="15"/>
  <c r="F69" i="15" s="1"/>
  <c r="F53" i="15"/>
  <c r="R25" i="13"/>
  <c r="R26" i="13" s="1"/>
  <c r="E56" i="14"/>
  <c r="N11" i="14" s="1"/>
  <c r="N10" i="14"/>
  <c r="E95" i="14" s="1"/>
  <c r="F35" i="14"/>
  <c r="F36" i="14" s="1"/>
  <c r="E70" i="13"/>
  <c r="E99" i="13"/>
  <c r="E53" i="13"/>
  <c r="H31" i="13"/>
  <c r="E47" i="13"/>
  <c r="E51" i="13" s="1"/>
  <c r="E86" i="13"/>
  <c r="H32" i="12"/>
  <c r="H85" i="12"/>
  <c r="E70" i="12"/>
  <c r="E99" i="12"/>
  <c r="E47" i="12"/>
  <c r="E51" i="12" s="1"/>
  <c r="E86" i="12"/>
  <c r="E53" i="12"/>
  <c r="E87" i="11"/>
  <c r="E41" i="11"/>
  <c r="E69" i="11" s="1"/>
  <c r="E37" i="11"/>
  <c r="E40" i="11"/>
  <c r="R25" i="11"/>
  <c r="R26" i="11" s="1"/>
  <c r="H31" i="11"/>
  <c r="D43" i="7"/>
  <c r="F39" i="7"/>
  <c r="G39" i="7" s="1"/>
  <c r="H86" i="10"/>
  <c r="E88" i="10"/>
  <c r="E40" i="10"/>
  <c r="E41" i="10"/>
  <c r="E69" i="10" s="1"/>
  <c r="E37" i="10"/>
  <c r="G31" i="9"/>
  <c r="G32" i="9" s="1"/>
  <c r="M8" i="9"/>
  <c r="D94" i="9" s="1"/>
  <c r="D101" i="9"/>
  <c r="M68" i="9"/>
  <c r="M69" i="9" s="1"/>
  <c r="D60" i="9"/>
  <c r="D62" i="9" s="1"/>
  <c r="D64" i="9" s="1"/>
  <c r="D65" i="9" s="1"/>
  <c r="E46" i="9"/>
  <c r="M6" i="9"/>
  <c r="D92" i="9" s="1"/>
  <c r="E34" i="9"/>
  <c r="D56" i="9"/>
  <c r="M11" i="9" s="1"/>
  <c r="M10" i="9"/>
  <c r="D96" i="9" s="1"/>
  <c r="H85" i="9"/>
  <c r="H28" i="9"/>
  <c r="R20" i="9" s="1"/>
  <c r="R23" i="9" s="1"/>
  <c r="H27" i="9"/>
  <c r="B70" i="5"/>
  <c r="B98" i="5"/>
  <c r="H40" i="7"/>
  <c r="H20" i="7"/>
  <c r="L8" i="6"/>
  <c r="C93" i="6" s="1"/>
  <c r="C55" i="6"/>
  <c r="L68" i="6"/>
  <c r="L69" i="6" s="1"/>
  <c r="C100" i="6"/>
  <c r="F32" i="7"/>
  <c r="F33" i="7" s="1"/>
  <c r="E37" i="7"/>
  <c r="E43" i="7" s="1"/>
  <c r="F42" i="7"/>
  <c r="H17" i="7"/>
  <c r="H18" i="7" s="1"/>
  <c r="I14" i="7"/>
  <c r="I13" i="7"/>
  <c r="E85" i="6"/>
  <c r="Q4" i="6"/>
  <c r="H58" i="6"/>
  <c r="H67" i="6" s="1"/>
  <c r="D35" i="6"/>
  <c r="D36" i="6" s="1"/>
  <c r="D41" i="6" s="1"/>
  <c r="F30" i="6"/>
  <c r="F50" i="6" s="1"/>
  <c r="F26" i="6"/>
  <c r="G58" i="6"/>
  <c r="G67" i="6" s="1"/>
  <c r="P4" i="6"/>
  <c r="E89" i="6"/>
  <c r="E97" i="6" s="1"/>
  <c r="E83" i="6"/>
  <c r="F77" i="6"/>
  <c r="F74" i="6"/>
  <c r="G21" i="6"/>
  <c r="G15" i="6"/>
  <c r="O9" i="6"/>
  <c r="F94" i="6" s="1"/>
  <c r="F63" i="6"/>
  <c r="G42" i="6"/>
  <c r="G54" i="6" s="1"/>
  <c r="B74" i="5"/>
  <c r="B77" i="5"/>
  <c r="D12" i="5"/>
  <c r="D21" i="5" s="1"/>
  <c r="C23" i="5"/>
  <c r="B51" i="5"/>
  <c r="B91" i="5" s="1"/>
  <c r="B95" i="5"/>
  <c r="G33" i="5"/>
  <c r="F45" i="5"/>
  <c r="F43" i="5" s="1"/>
  <c r="H17" i="5"/>
  <c r="G81" i="5"/>
  <c r="G18" i="5"/>
  <c r="K6" i="5"/>
  <c r="C46" i="5"/>
  <c r="C59" i="5"/>
  <c r="C80" i="5"/>
  <c r="E11" i="5"/>
  <c r="D20" i="5"/>
  <c r="D25" i="5" s="1"/>
  <c r="C58" i="5"/>
  <c r="C67" i="5" s="1"/>
  <c r="L4" i="5"/>
  <c r="B64" i="5"/>
  <c r="B56" i="5"/>
  <c r="K11" i="5" s="1"/>
  <c r="K10" i="5"/>
  <c r="C50" i="5"/>
  <c r="C26" i="5"/>
  <c r="C84" i="5" s="1"/>
  <c r="D63" i="5"/>
  <c r="E42" i="5"/>
  <c r="E54" i="5" s="1"/>
  <c r="M9" i="5"/>
  <c r="D94" i="5" s="1"/>
  <c r="C70" i="1"/>
  <c r="D70" i="1" s="1"/>
  <c r="G35" i="17" l="1"/>
  <c r="G36" i="17" s="1"/>
  <c r="F86" i="16"/>
  <c r="F47" i="16"/>
  <c r="F51" i="16" s="1"/>
  <c r="F70" i="16"/>
  <c r="F99" i="16"/>
  <c r="F53" i="16"/>
  <c r="F55" i="15"/>
  <c r="O8" i="15"/>
  <c r="F93" i="15" s="1"/>
  <c r="F86" i="15"/>
  <c r="F47" i="15"/>
  <c r="F51" i="15" s="1"/>
  <c r="F70" i="15"/>
  <c r="F99" i="15"/>
  <c r="F87" i="14"/>
  <c r="F40" i="14"/>
  <c r="F41" i="14"/>
  <c r="F69" i="14" s="1"/>
  <c r="F37" i="14"/>
  <c r="H85" i="13"/>
  <c r="H32" i="13"/>
  <c r="E55" i="13"/>
  <c r="N8" i="13"/>
  <c r="E93" i="13" s="1"/>
  <c r="E60" i="13"/>
  <c r="E62" i="13" s="1"/>
  <c r="E64" i="13" s="1"/>
  <c r="E65" i="13" s="1"/>
  <c r="F46" i="13"/>
  <c r="N6" i="13"/>
  <c r="E91" i="13" s="1"/>
  <c r="F34" i="13"/>
  <c r="E100" i="13"/>
  <c r="N68" i="13"/>
  <c r="N69" i="13" s="1"/>
  <c r="F46" i="12"/>
  <c r="E60" i="12"/>
  <c r="E62" i="12" s="1"/>
  <c r="E64" i="12" s="1"/>
  <c r="E65" i="12" s="1"/>
  <c r="N6" i="12"/>
  <c r="E91" i="12" s="1"/>
  <c r="F34" i="12"/>
  <c r="E55" i="12"/>
  <c r="N8" i="12"/>
  <c r="E93" i="12" s="1"/>
  <c r="N68" i="12"/>
  <c r="N69" i="12" s="1"/>
  <c r="E100" i="12"/>
  <c r="H85" i="11"/>
  <c r="H32" i="11"/>
  <c r="E47" i="11"/>
  <c r="E51" i="11" s="1"/>
  <c r="E86" i="11"/>
  <c r="E99" i="11"/>
  <c r="E70" i="11"/>
  <c r="E53" i="11"/>
  <c r="E53" i="10"/>
  <c r="E55" i="10" s="1"/>
  <c r="E100" i="10"/>
  <c r="E70" i="10"/>
  <c r="E47" i="10"/>
  <c r="E51" i="10" s="1"/>
  <c r="E87" i="10"/>
  <c r="G86" i="9"/>
  <c r="H31" i="9"/>
  <c r="H32" i="9" s="1"/>
  <c r="E35" i="9"/>
  <c r="E36" i="9" s="1"/>
  <c r="B60" i="5"/>
  <c r="B65" i="5" s="1"/>
  <c r="D15" i="5"/>
  <c r="D23" i="5" s="1"/>
  <c r="B89" i="5"/>
  <c r="B97" i="5" s="1"/>
  <c r="B83" i="5"/>
  <c r="B100" i="5"/>
  <c r="K68" i="5"/>
  <c r="I20" i="7"/>
  <c r="I40" i="7"/>
  <c r="N37" i="7" s="1"/>
  <c r="L10" i="6"/>
  <c r="C95" i="6" s="1"/>
  <c r="C56" i="6"/>
  <c r="L11" i="6" s="1"/>
  <c r="F37" i="7"/>
  <c r="F43" i="7" s="1"/>
  <c r="G32" i="7"/>
  <c r="G33" i="7" s="1"/>
  <c r="G37" i="7" s="1"/>
  <c r="G42" i="7"/>
  <c r="H21" i="7"/>
  <c r="H22" i="7" s="1"/>
  <c r="H25" i="7" s="1"/>
  <c r="I17" i="7"/>
  <c r="I21" i="7" s="1"/>
  <c r="I22" i="7" s="1"/>
  <c r="I25" i="7" s="1"/>
  <c r="G63" i="6"/>
  <c r="H42" i="6"/>
  <c r="H54" i="6" s="1"/>
  <c r="P9" i="6"/>
  <c r="G94" i="6" s="1"/>
  <c r="D87" i="6"/>
  <c r="D40" i="6"/>
  <c r="D69" i="6"/>
  <c r="F84" i="6"/>
  <c r="F27" i="6"/>
  <c r="F28" i="6"/>
  <c r="H77" i="6"/>
  <c r="H74" i="6"/>
  <c r="G80" i="6"/>
  <c r="G23" i="6"/>
  <c r="H12" i="6"/>
  <c r="G59" i="6"/>
  <c r="G16" i="6"/>
  <c r="G22" i="6" s="1"/>
  <c r="F83" i="6"/>
  <c r="F89" i="6"/>
  <c r="F97" i="6" s="1"/>
  <c r="G77" i="6"/>
  <c r="G74" i="6"/>
  <c r="O5" i="6"/>
  <c r="F90" i="6" s="1"/>
  <c r="G45" i="5"/>
  <c r="G43" i="5" s="1"/>
  <c r="H33" i="5"/>
  <c r="H81" i="5"/>
  <c r="H18" i="5"/>
  <c r="H45" i="5" s="1"/>
  <c r="H43" i="5" s="1"/>
  <c r="C74" i="5"/>
  <c r="C77" i="5"/>
  <c r="C27" i="5"/>
  <c r="E63" i="5"/>
  <c r="N9" i="5"/>
  <c r="E94" i="5" s="1"/>
  <c r="F42" i="5"/>
  <c r="F54" i="5" s="1"/>
  <c r="L5" i="5"/>
  <c r="C90" i="5" s="1"/>
  <c r="D49" i="5"/>
  <c r="D39" i="5"/>
  <c r="C28" i="5"/>
  <c r="E20" i="5"/>
  <c r="E25" i="5" s="1"/>
  <c r="F11" i="5"/>
  <c r="E70" i="1"/>
  <c r="I49" i="1"/>
  <c r="K5" i="1"/>
  <c r="K6" i="1"/>
  <c r="K8" i="1"/>
  <c r="K9" i="1"/>
  <c r="G87" i="17" l="1"/>
  <c r="G41" i="17"/>
  <c r="G69" i="17" s="1"/>
  <c r="G37" i="17"/>
  <c r="G40" i="17"/>
  <c r="O68" i="16"/>
  <c r="O69" i="16" s="1"/>
  <c r="F100" i="16"/>
  <c r="G46" i="16"/>
  <c r="F60" i="16"/>
  <c r="F62" i="16" s="1"/>
  <c r="F64" i="16" s="1"/>
  <c r="F65" i="16" s="1"/>
  <c r="O6" i="16"/>
  <c r="F91" i="16" s="1"/>
  <c r="G34" i="16"/>
  <c r="F55" i="16"/>
  <c r="O8" i="16"/>
  <c r="F93" i="16" s="1"/>
  <c r="F60" i="15"/>
  <c r="F62" i="15" s="1"/>
  <c r="F64" i="15" s="1"/>
  <c r="F65" i="15" s="1"/>
  <c r="G46" i="15"/>
  <c r="O6" i="15"/>
  <c r="F91" i="15" s="1"/>
  <c r="G34" i="15"/>
  <c r="F100" i="15"/>
  <c r="O68" i="15"/>
  <c r="O69" i="15" s="1"/>
  <c r="F56" i="15"/>
  <c r="O11" i="15" s="1"/>
  <c r="O10" i="15"/>
  <c r="F95" i="15" s="1"/>
  <c r="F99" i="14"/>
  <c r="F70" i="14"/>
  <c r="F86" i="14"/>
  <c r="F47" i="14"/>
  <c r="F51" i="14" s="1"/>
  <c r="F53" i="14"/>
  <c r="F35" i="13"/>
  <c r="F36" i="13" s="1"/>
  <c r="E56" i="13"/>
  <c r="N11" i="13" s="1"/>
  <c r="N10" i="13"/>
  <c r="E95" i="13" s="1"/>
  <c r="F35" i="12"/>
  <c r="F36" i="12" s="1"/>
  <c r="E56" i="12"/>
  <c r="N11" i="12" s="1"/>
  <c r="N10" i="12"/>
  <c r="E95" i="12" s="1"/>
  <c r="E55" i="11"/>
  <c r="N8" i="11"/>
  <c r="E93" i="11" s="1"/>
  <c r="E60" i="11"/>
  <c r="E62" i="11" s="1"/>
  <c r="E64" i="11" s="1"/>
  <c r="E65" i="11" s="1"/>
  <c r="F46" i="11"/>
  <c r="N6" i="11"/>
  <c r="E91" i="11" s="1"/>
  <c r="F34" i="11"/>
  <c r="E100" i="11"/>
  <c r="N68" i="11"/>
  <c r="N69" i="11" s="1"/>
  <c r="E12" i="5"/>
  <c r="E21" i="5" s="1"/>
  <c r="D16" i="5"/>
  <c r="D22" i="5" s="1"/>
  <c r="D30" i="5" s="1"/>
  <c r="D50" i="5" s="1"/>
  <c r="M5" i="5" s="1"/>
  <c r="D90" i="5" s="1"/>
  <c r="I18" i="7"/>
  <c r="D80" i="5"/>
  <c r="D59" i="5"/>
  <c r="H32" i="7"/>
  <c r="H33" i="7" s="1"/>
  <c r="I32" i="7" s="1"/>
  <c r="I33" i="7" s="1"/>
  <c r="I37" i="7" s="1"/>
  <c r="N8" i="10"/>
  <c r="E94" i="10" s="1"/>
  <c r="E60" i="10"/>
  <c r="E62" i="10" s="1"/>
  <c r="E64" i="10" s="1"/>
  <c r="E65" i="10" s="1"/>
  <c r="F46" i="10"/>
  <c r="N6" i="10"/>
  <c r="E92" i="10" s="1"/>
  <c r="F34" i="10"/>
  <c r="N10" i="10"/>
  <c r="E96" i="10" s="1"/>
  <c r="E56" i="10"/>
  <c r="N11" i="10" s="1"/>
  <c r="N68" i="10"/>
  <c r="N69" i="10" s="1"/>
  <c r="E101" i="10"/>
  <c r="H86" i="9"/>
  <c r="E88" i="9"/>
  <c r="E41" i="9"/>
  <c r="E69" i="9" s="1"/>
  <c r="E37" i="9"/>
  <c r="E40" i="9"/>
  <c r="C89" i="5"/>
  <c r="C97" i="5" s="1"/>
  <c r="C83" i="5"/>
  <c r="G43" i="7"/>
  <c r="H39" i="7"/>
  <c r="I39" i="7" s="1"/>
  <c r="F31" i="6"/>
  <c r="F85" i="6" s="1"/>
  <c r="G30" i="6"/>
  <c r="G50" i="6" s="1"/>
  <c r="G26" i="6"/>
  <c r="H21" i="6"/>
  <c r="H15" i="6"/>
  <c r="H16" i="6" s="1"/>
  <c r="H22" i="6" s="1"/>
  <c r="H83" i="6"/>
  <c r="H89" i="6"/>
  <c r="H97" i="6" s="1"/>
  <c r="D99" i="6"/>
  <c r="D70" i="6"/>
  <c r="H63" i="6"/>
  <c r="Q9" i="6"/>
  <c r="H94" i="6" s="1"/>
  <c r="G89" i="6"/>
  <c r="G97" i="6" s="1"/>
  <c r="G83" i="6"/>
  <c r="D53" i="6"/>
  <c r="D86" i="6"/>
  <c r="D47" i="6"/>
  <c r="D51" i="6" s="1"/>
  <c r="C31" i="5"/>
  <c r="C32" i="5" s="1"/>
  <c r="F63" i="5"/>
  <c r="G42" i="5"/>
  <c r="G54" i="5" s="1"/>
  <c r="O9" i="5"/>
  <c r="F94" i="5" s="1"/>
  <c r="E49" i="5"/>
  <c r="E39" i="5"/>
  <c r="D58" i="5"/>
  <c r="D67" i="5" s="1"/>
  <c r="M4" i="5"/>
  <c r="G11" i="5"/>
  <c r="F20" i="5"/>
  <c r="F25" i="5" s="1"/>
  <c r="F70" i="1"/>
  <c r="C49" i="1"/>
  <c r="L9" i="1" s="1"/>
  <c r="C64" i="1"/>
  <c r="C65" i="1" s="1"/>
  <c r="L64" i="1" s="1"/>
  <c r="B55" i="1"/>
  <c r="B57" i="1"/>
  <c r="B63" i="1" s="1"/>
  <c r="B65" i="1" s="1"/>
  <c r="K64" i="1" s="1"/>
  <c r="L65" i="1" s="1"/>
  <c r="B58" i="1"/>
  <c r="B54" i="1"/>
  <c r="G53" i="17" l="1"/>
  <c r="G55" i="17" s="1"/>
  <c r="G86" i="17"/>
  <c r="G47" i="17"/>
  <c r="G51" i="17" s="1"/>
  <c r="G70" i="17"/>
  <c r="G99" i="17"/>
  <c r="O10" i="16"/>
  <c r="F95" i="16" s="1"/>
  <c r="F56" i="16"/>
  <c r="O11" i="16" s="1"/>
  <c r="G35" i="16"/>
  <c r="G36" i="16" s="1"/>
  <c r="G35" i="15"/>
  <c r="G36" i="15" s="1"/>
  <c r="F100" i="14"/>
  <c r="O68" i="14"/>
  <c r="O69" i="14" s="1"/>
  <c r="O8" i="14"/>
  <c r="F93" i="14" s="1"/>
  <c r="F55" i="14"/>
  <c r="F60" i="14"/>
  <c r="F62" i="14" s="1"/>
  <c r="F64" i="14" s="1"/>
  <c r="F65" i="14" s="1"/>
  <c r="G46" i="14"/>
  <c r="O6" i="14"/>
  <c r="F91" i="14" s="1"/>
  <c r="G34" i="14"/>
  <c r="F87" i="13"/>
  <c r="F41" i="13"/>
  <c r="F69" i="13" s="1"/>
  <c r="F40" i="13"/>
  <c r="F37" i="13"/>
  <c r="F87" i="12"/>
  <c r="F41" i="12"/>
  <c r="F69" i="12" s="1"/>
  <c r="F40" i="12"/>
  <c r="F37" i="12"/>
  <c r="F35" i="11"/>
  <c r="F36" i="11" s="1"/>
  <c r="E56" i="11"/>
  <c r="N11" i="11" s="1"/>
  <c r="N10" i="11"/>
  <c r="E95" i="11" s="1"/>
  <c r="D26" i="5"/>
  <c r="D84" i="5" s="1"/>
  <c r="E15" i="5"/>
  <c r="E59" i="5"/>
  <c r="H42" i="7"/>
  <c r="F35" i="10"/>
  <c r="F36" i="10" s="1"/>
  <c r="E100" i="9"/>
  <c r="E70" i="9"/>
  <c r="E47" i="9"/>
  <c r="E51" i="9" s="1"/>
  <c r="E87" i="9"/>
  <c r="E53" i="9"/>
  <c r="I42" i="7"/>
  <c r="I43" i="7" s="1"/>
  <c r="N36" i="7"/>
  <c r="N38" i="7"/>
  <c r="N39" i="7"/>
  <c r="H37" i="7"/>
  <c r="F32" i="6"/>
  <c r="H26" i="6"/>
  <c r="H30" i="6"/>
  <c r="D55" i="6"/>
  <c r="M8" i="6"/>
  <c r="D93" i="6" s="1"/>
  <c r="G28" i="6"/>
  <c r="G27" i="6"/>
  <c r="G84" i="6"/>
  <c r="M6" i="6"/>
  <c r="D91" i="6" s="1"/>
  <c r="D60" i="6"/>
  <c r="D62" i="6" s="1"/>
  <c r="D64" i="6" s="1"/>
  <c r="D65" i="6" s="1"/>
  <c r="E46" i="6"/>
  <c r="E34" i="6"/>
  <c r="D100" i="6"/>
  <c r="M68" i="6"/>
  <c r="M69" i="6" s="1"/>
  <c r="H80" i="6"/>
  <c r="H59" i="6"/>
  <c r="H23" i="6"/>
  <c r="H50" i="6"/>
  <c r="Q5" i="6" s="1"/>
  <c r="H90" i="6" s="1"/>
  <c r="P5" i="6"/>
  <c r="G90" i="6" s="1"/>
  <c r="C85" i="5"/>
  <c r="C35" i="5"/>
  <c r="C36" i="5" s="1"/>
  <c r="D74" i="5"/>
  <c r="D77" i="5"/>
  <c r="F49" i="5"/>
  <c r="F39" i="5"/>
  <c r="E58" i="5"/>
  <c r="E67" i="5" s="1"/>
  <c r="N4" i="5"/>
  <c r="G20" i="5"/>
  <c r="G25" i="5" s="1"/>
  <c r="H11" i="5"/>
  <c r="H20" i="5" s="1"/>
  <c r="H25" i="5" s="1"/>
  <c r="G63" i="5"/>
  <c r="H42" i="5"/>
  <c r="H54" i="5" s="1"/>
  <c r="P9" i="5"/>
  <c r="G94" i="5" s="1"/>
  <c r="G70" i="1"/>
  <c r="D40" i="1"/>
  <c r="E40" i="1"/>
  <c r="F40" i="1"/>
  <c r="G40" i="1"/>
  <c r="H40" i="1"/>
  <c r="C40" i="1"/>
  <c r="E39" i="1"/>
  <c r="F39" i="1"/>
  <c r="G39" i="1"/>
  <c r="H39" i="1"/>
  <c r="E29" i="1"/>
  <c r="F29" i="1"/>
  <c r="G29" i="1"/>
  <c r="H29" i="1"/>
  <c r="D29" i="1"/>
  <c r="C29" i="1"/>
  <c r="D39" i="1"/>
  <c r="C39" i="1"/>
  <c r="B18" i="1"/>
  <c r="C11" i="1"/>
  <c r="D11" i="1" s="1"/>
  <c r="P8" i="17" l="1"/>
  <c r="G93" i="17" s="1"/>
  <c r="G100" i="17"/>
  <c r="P68" i="17"/>
  <c r="P69" i="17" s="1"/>
  <c r="G60" i="17"/>
  <c r="G62" i="17" s="1"/>
  <c r="G64" i="17" s="1"/>
  <c r="G65" i="17" s="1"/>
  <c r="H46" i="17"/>
  <c r="P6" i="17"/>
  <c r="G91" i="17" s="1"/>
  <c r="H34" i="17"/>
  <c r="G56" i="17"/>
  <c r="P11" i="17" s="1"/>
  <c r="P10" i="17"/>
  <c r="G95" i="17" s="1"/>
  <c r="G87" i="16"/>
  <c r="G41" i="16"/>
  <c r="G69" i="16" s="1"/>
  <c r="G37" i="16"/>
  <c r="G40" i="16"/>
  <c r="G87" i="15"/>
  <c r="G41" i="15"/>
  <c r="G69" i="15" s="1"/>
  <c r="G40" i="15"/>
  <c r="G37" i="15"/>
  <c r="G35" i="14"/>
  <c r="G36" i="14" s="1"/>
  <c r="F56" i="14"/>
  <c r="O11" i="14" s="1"/>
  <c r="O10" i="14"/>
  <c r="F95" i="14" s="1"/>
  <c r="F99" i="13"/>
  <c r="F70" i="13"/>
  <c r="F47" i="13"/>
  <c r="F51" i="13" s="1"/>
  <c r="F86" i="13"/>
  <c r="F53" i="13"/>
  <c r="F47" i="12"/>
  <c r="F51" i="12" s="1"/>
  <c r="F86" i="12"/>
  <c r="F99" i="12"/>
  <c r="F70" i="12"/>
  <c r="F53" i="12"/>
  <c r="F40" i="11"/>
  <c r="F41" i="11"/>
  <c r="F69" i="11" s="1"/>
  <c r="F87" i="11"/>
  <c r="F37" i="11"/>
  <c r="D27" i="5"/>
  <c r="E23" i="5"/>
  <c r="E16" i="5"/>
  <c r="E22" i="5" s="1"/>
  <c r="E80" i="5"/>
  <c r="D28" i="5"/>
  <c r="F12" i="5"/>
  <c r="H43" i="7"/>
  <c r="C41" i="5"/>
  <c r="C69" i="5" s="1"/>
  <c r="C99" i="5" s="1"/>
  <c r="C37" i="5"/>
  <c r="F88" i="10"/>
  <c r="F40" i="10"/>
  <c r="F37" i="10"/>
  <c r="F41" i="10"/>
  <c r="F69" i="10" s="1"/>
  <c r="N68" i="9"/>
  <c r="N69" i="9" s="1"/>
  <c r="E101" i="9"/>
  <c r="E55" i="9"/>
  <c r="N8" i="9"/>
  <c r="E94" i="9" s="1"/>
  <c r="F46" i="9"/>
  <c r="E60" i="9"/>
  <c r="E62" i="9" s="1"/>
  <c r="E64" i="9" s="1"/>
  <c r="E65" i="9" s="1"/>
  <c r="N6" i="9"/>
  <c r="E92" i="9" s="1"/>
  <c r="F34" i="9"/>
  <c r="D89" i="5"/>
  <c r="D97" i="5" s="1"/>
  <c r="D83" i="5"/>
  <c r="C70" i="5"/>
  <c r="G31" i="6"/>
  <c r="G85" i="6" s="1"/>
  <c r="E35" i="6"/>
  <c r="E36" i="6" s="1"/>
  <c r="E41" i="6" s="1"/>
  <c r="M10" i="6"/>
  <c r="D95" i="6" s="1"/>
  <c r="D56" i="6"/>
  <c r="M11" i="6" s="1"/>
  <c r="H84" i="6"/>
  <c r="H28" i="6"/>
  <c r="H27" i="6"/>
  <c r="C40" i="5"/>
  <c r="C86" i="5" s="1"/>
  <c r="C87" i="5"/>
  <c r="D31" i="5"/>
  <c r="E74" i="5"/>
  <c r="E77" i="5"/>
  <c r="H63" i="5"/>
  <c r="Q9" i="5"/>
  <c r="H94" i="5" s="1"/>
  <c r="G49" i="5"/>
  <c r="G39" i="5"/>
  <c r="H49" i="5"/>
  <c r="H39" i="5"/>
  <c r="F58" i="5"/>
  <c r="F67" i="5" s="1"/>
  <c r="O4" i="5"/>
  <c r="H70" i="1"/>
  <c r="E11" i="1"/>
  <c r="D18" i="1"/>
  <c r="C18" i="1"/>
  <c r="C41" i="1"/>
  <c r="B50" i="1"/>
  <c r="K10" i="1" s="1"/>
  <c r="B23" i="1"/>
  <c r="B15" i="1"/>
  <c r="C12" i="1" s="1"/>
  <c r="A1" i="1"/>
  <c r="A71" i="1" s="1"/>
  <c r="H35" i="17" l="1"/>
  <c r="H36" i="17" s="1"/>
  <c r="G86" i="16"/>
  <c r="G47" i="16"/>
  <c r="G51" i="16" s="1"/>
  <c r="G99" i="16"/>
  <c r="G70" i="16"/>
  <c r="G53" i="16"/>
  <c r="G70" i="15"/>
  <c r="G99" i="15"/>
  <c r="I99" i="15" s="1"/>
  <c r="G86" i="15"/>
  <c r="G47" i="15"/>
  <c r="G51" i="15" s="1"/>
  <c r="G53" i="15"/>
  <c r="G40" i="14"/>
  <c r="G37" i="14"/>
  <c r="G87" i="14"/>
  <c r="G41" i="14"/>
  <c r="G69" i="14" s="1"/>
  <c r="F60" i="13"/>
  <c r="F62" i="13" s="1"/>
  <c r="F64" i="13" s="1"/>
  <c r="F65" i="13" s="1"/>
  <c r="G46" i="13"/>
  <c r="O6" i="13"/>
  <c r="F91" i="13" s="1"/>
  <c r="G34" i="13"/>
  <c r="O68" i="13"/>
  <c r="O69" i="13" s="1"/>
  <c r="F100" i="13"/>
  <c r="F55" i="13"/>
  <c r="O8" i="13"/>
  <c r="F93" i="13" s="1"/>
  <c r="O68" i="12"/>
  <c r="O69" i="12" s="1"/>
  <c r="F100" i="12"/>
  <c r="O8" i="12"/>
  <c r="F93" i="12" s="1"/>
  <c r="F55" i="12"/>
  <c r="F60" i="12"/>
  <c r="F62" i="12" s="1"/>
  <c r="F64" i="12" s="1"/>
  <c r="F65" i="12" s="1"/>
  <c r="O6" i="12"/>
  <c r="F91" i="12" s="1"/>
  <c r="G46" i="12"/>
  <c r="G34" i="12"/>
  <c r="F99" i="11"/>
  <c r="F70" i="11"/>
  <c r="F53" i="11"/>
  <c r="F86" i="11"/>
  <c r="F47" i="11"/>
  <c r="F51" i="11" s="1"/>
  <c r="E30" i="5"/>
  <c r="E50" i="5" s="1"/>
  <c r="N5" i="5" s="1"/>
  <c r="E90" i="5" s="1"/>
  <c r="E26" i="5"/>
  <c r="F21" i="5"/>
  <c r="F15" i="5"/>
  <c r="C47" i="5"/>
  <c r="C51" i="5" s="1"/>
  <c r="D46" i="5" s="1"/>
  <c r="C53" i="5"/>
  <c r="F87" i="10"/>
  <c r="F47" i="10"/>
  <c r="F51" i="10" s="1"/>
  <c r="F100" i="10"/>
  <c r="F70" i="10"/>
  <c r="F53" i="10"/>
  <c r="F35" i="9"/>
  <c r="F36" i="9" s="1"/>
  <c r="E56" i="9"/>
  <c r="N11" i="9" s="1"/>
  <c r="N10" i="9"/>
  <c r="E96" i="9" s="1"/>
  <c r="E89" i="5"/>
  <c r="E97" i="5" s="1"/>
  <c r="E83" i="5"/>
  <c r="L68" i="5"/>
  <c r="L69" i="5" s="1"/>
  <c r="C100" i="5"/>
  <c r="R20" i="6"/>
  <c r="R23" i="6" s="1"/>
  <c r="G32" i="6"/>
  <c r="H31" i="6"/>
  <c r="E69" i="6"/>
  <c r="E87" i="6"/>
  <c r="E40" i="6"/>
  <c r="D32" i="5"/>
  <c r="D85" i="5"/>
  <c r="F74" i="5"/>
  <c r="F77" i="5"/>
  <c r="G58" i="5"/>
  <c r="G67" i="5" s="1"/>
  <c r="P4" i="5"/>
  <c r="H58" i="5"/>
  <c r="H67" i="5" s="1"/>
  <c r="Q4" i="5"/>
  <c r="A43" i="1"/>
  <c r="A61" i="1"/>
  <c r="A68" i="1"/>
  <c r="C58" i="1"/>
  <c r="D37" i="1"/>
  <c r="D49" i="1" s="1"/>
  <c r="M9" i="1" s="1"/>
  <c r="B51" i="1"/>
  <c r="K11" i="1" s="1"/>
  <c r="B59" i="1"/>
  <c r="B60" i="1" s="1"/>
  <c r="F11" i="1"/>
  <c r="E18" i="1"/>
  <c r="B34" i="1"/>
  <c r="B44" i="1"/>
  <c r="D23" i="1"/>
  <c r="C15" i="1"/>
  <c r="C54" i="1" s="1"/>
  <c r="A17" i="1"/>
  <c r="C19" i="1"/>
  <c r="C23" i="1"/>
  <c r="A52" i="1"/>
  <c r="A3" i="1"/>
  <c r="A10" i="1"/>
  <c r="A22" i="1"/>
  <c r="A33" i="1"/>
  <c r="H87" i="17" l="1"/>
  <c r="H41" i="17"/>
  <c r="H37" i="17"/>
  <c r="H40" i="17"/>
  <c r="G60" i="16"/>
  <c r="G62" i="16" s="1"/>
  <c r="G64" i="16" s="1"/>
  <c r="G65" i="16" s="1"/>
  <c r="P6" i="16"/>
  <c r="G91" i="16" s="1"/>
  <c r="H46" i="16"/>
  <c r="H34" i="16"/>
  <c r="P68" i="16"/>
  <c r="P69" i="16" s="1"/>
  <c r="G100" i="16"/>
  <c r="P8" i="16"/>
  <c r="G93" i="16" s="1"/>
  <c r="G55" i="16"/>
  <c r="H46" i="15"/>
  <c r="G60" i="15"/>
  <c r="G62" i="15" s="1"/>
  <c r="G64" i="15" s="1"/>
  <c r="G65" i="15" s="1"/>
  <c r="P6" i="15"/>
  <c r="G91" i="15" s="1"/>
  <c r="H34" i="15"/>
  <c r="G55" i="15"/>
  <c r="P8" i="15"/>
  <c r="G93" i="15" s="1"/>
  <c r="G100" i="15"/>
  <c r="P68" i="15"/>
  <c r="P69" i="15" s="1"/>
  <c r="G53" i="14"/>
  <c r="P8" i="14" s="1"/>
  <c r="G93" i="14" s="1"/>
  <c r="G86" i="14"/>
  <c r="G47" i="14"/>
  <c r="G51" i="14" s="1"/>
  <c r="G99" i="14"/>
  <c r="G70" i="14"/>
  <c r="F56" i="13"/>
  <c r="O11" i="13" s="1"/>
  <c r="O10" i="13"/>
  <c r="F95" i="13" s="1"/>
  <c r="G35" i="13"/>
  <c r="G36" i="13" s="1"/>
  <c r="G35" i="12"/>
  <c r="G36" i="12" s="1"/>
  <c r="F56" i="12"/>
  <c r="O11" i="12" s="1"/>
  <c r="O10" i="12"/>
  <c r="F95" i="12" s="1"/>
  <c r="F55" i="11"/>
  <c r="O8" i="11"/>
  <c r="F93" i="11" s="1"/>
  <c r="F100" i="11"/>
  <c r="O68" i="11"/>
  <c r="O69" i="11" s="1"/>
  <c r="F60" i="11"/>
  <c r="F62" i="11" s="1"/>
  <c r="F64" i="11" s="1"/>
  <c r="F65" i="11" s="1"/>
  <c r="G46" i="11"/>
  <c r="O6" i="11"/>
  <c r="F91" i="11" s="1"/>
  <c r="G34" i="11"/>
  <c r="C60" i="5"/>
  <c r="C62" i="5" s="1"/>
  <c r="C64" i="5" s="1"/>
  <c r="C65" i="5" s="1"/>
  <c r="F23" i="5"/>
  <c r="G12" i="5"/>
  <c r="F16" i="5"/>
  <c r="F22" i="5" s="1"/>
  <c r="F30" i="5" s="1"/>
  <c r="F50" i="5" s="1"/>
  <c r="O5" i="5" s="1"/>
  <c r="F90" i="5" s="1"/>
  <c r="F59" i="5"/>
  <c r="F80" i="5"/>
  <c r="E84" i="5"/>
  <c r="E28" i="5"/>
  <c r="E27" i="5"/>
  <c r="D34" i="5"/>
  <c r="D35" i="5" s="1"/>
  <c r="D36" i="5" s="1"/>
  <c r="D37" i="5" s="1"/>
  <c r="L6" i="5"/>
  <c r="C91" i="5" s="1"/>
  <c r="C55" i="5"/>
  <c r="L8" i="5"/>
  <c r="C93" i="5" s="1"/>
  <c r="F55" i="10"/>
  <c r="O8" i="10"/>
  <c r="F94" i="10" s="1"/>
  <c r="O68" i="10"/>
  <c r="O69" i="10" s="1"/>
  <c r="F101" i="10"/>
  <c r="F60" i="10"/>
  <c r="F62" i="10" s="1"/>
  <c r="F64" i="10" s="1"/>
  <c r="F65" i="10" s="1"/>
  <c r="G46" i="10"/>
  <c r="O6" i="10"/>
  <c r="F92" i="10" s="1"/>
  <c r="G34" i="10"/>
  <c r="F88" i="9"/>
  <c r="F41" i="9"/>
  <c r="F69" i="9" s="1"/>
  <c r="F40" i="9"/>
  <c r="F37" i="9"/>
  <c r="F89" i="5"/>
  <c r="F97" i="5" s="1"/>
  <c r="F83" i="5"/>
  <c r="E86" i="6"/>
  <c r="E47" i="6"/>
  <c r="E51" i="6" s="1"/>
  <c r="E99" i="6"/>
  <c r="E70" i="6"/>
  <c r="E53" i="6"/>
  <c r="H85" i="6"/>
  <c r="H32" i="6"/>
  <c r="H74" i="5"/>
  <c r="H77" i="5"/>
  <c r="G74" i="5"/>
  <c r="G77" i="5"/>
  <c r="C16" i="1"/>
  <c r="C20" i="1" s="1"/>
  <c r="C24" i="1" s="1"/>
  <c r="K4" i="1"/>
  <c r="B53" i="1"/>
  <c r="B62" i="1" s="1"/>
  <c r="B69" i="1" s="1"/>
  <c r="E37" i="1"/>
  <c r="E49" i="1" s="1"/>
  <c r="N9" i="1" s="1"/>
  <c r="G11" i="1"/>
  <c r="F18" i="1"/>
  <c r="C44" i="1"/>
  <c r="C34" i="1"/>
  <c r="C27" i="1"/>
  <c r="D34" i="1"/>
  <c r="D44" i="1"/>
  <c r="D12" i="1"/>
  <c r="C21" i="1"/>
  <c r="E23" i="1"/>
  <c r="H53" i="17" l="1"/>
  <c r="H47" i="17"/>
  <c r="H51" i="17" s="1"/>
  <c r="H86" i="17"/>
  <c r="H35" i="16"/>
  <c r="H36" i="16" s="1"/>
  <c r="G56" i="16"/>
  <c r="P11" i="16" s="1"/>
  <c r="P10" i="16"/>
  <c r="G95" i="16" s="1"/>
  <c r="H35" i="15"/>
  <c r="H36" i="15" s="1"/>
  <c r="P10" i="15"/>
  <c r="G95" i="15" s="1"/>
  <c r="G56" i="15"/>
  <c r="P11" i="15" s="1"/>
  <c r="G55" i="14"/>
  <c r="P10" i="14" s="1"/>
  <c r="G95" i="14" s="1"/>
  <c r="G100" i="14"/>
  <c r="P68" i="14"/>
  <c r="P69" i="14" s="1"/>
  <c r="G60" i="14"/>
  <c r="G62" i="14" s="1"/>
  <c r="G64" i="14" s="1"/>
  <c r="G65" i="14" s="1"/>
  <c r="P6" i="14"/>
  <c r="G91" i="14" s="1"/>
  <c r="H46" i="14"/>
  <c r="H34" i="14"/>
  <c r="G40" i="13"/>
  <c r="G87" i="13"/>
  <c r="G37" i="13"/>
  <c r="G41" i="13"/>
  <c r="G69" i="13" s="1"/>
  <c r="G40" i="12"/>
  <c r="G87" i="12"/>
  <c r="G41" i="12"/>
  <c r="G69" i="12" s="1"/>
  <c r="G37" i="12"/>
  <c r="G35" i="11"/>
  <c r="G36" i="11" s="1"/>
  <c r="F56" i="11"/>
  <c r="O11" i="11" s="1"/>
  <c r="O10" i="11"/>
  <c r="F95" i="11" s="1"/>
  <c r="E31" i="5"/>
  <c r="E32" i="5" s="1"/>
  <c r="G21" i="5"/>
  <c r="G15" i="5"/>
  <c r="F26" i="5"/>
  <c r="F84" i="5" s="1"/>
  <c r="D87" i="5"/>
  <c r="D40" i="5"/>
  <c r="D86" i="5" s="1"/>
  <c r="D41" i="5"/>
  <c r="D69" i="5" s="1"/>
  <c r="D70" i="5" s="1"/>
  <c r="C56" i="5"/>
  <c r="L11" i="5" s="1"/>
  <c r="L10" i="5"/>
  <c r="C95" i="5" s="1"/>
  <c r="G35" i="10"/>
  <c r="G36" i="10" s="1"/>
  <c r="F56" i="10"/>
  <c r="O11" i="10" s="1"/>
  <c r="O10" i="10"/>
  <c r="F96" i="10" s="1"/>
  <c r="F100" i="9"/>
  <c r="F70" i="9"/>
  <c r="F53" i="9"/>
  <c r="F47" i="9"/>
  <c r="F51" i="9" s="1"/>
  <c r="F87" i="9"/>
  <c r="G89" i="5"/>
  <c r="G97" i="5" s="1"/>
  <c r="G83" i="5"/>
  <c r="H89" i="5"/>
  <c r="H97" i="5" s="1"/>
  <c r="H83" i="5"/>
  <c r="E100" i="6"/>
  <c r="N68" i="6"/>
  <c r="N69" i="6" s="1"/>
  <c r="E60" i="6"/>
  <c r="E62" i="6" s="1"/>
  <c r="E64" i="6" s="1"/>
  <c r="E65" i="6" s="1"/>
  <c r="F46" i="6"/>
  <c r="N6" i="6"/>
  <c r="E91" i="6" s="1"/>
  <c r="F34" i="6"/>
  <c r="E55" i="6"/>
  <c r="N8" i="6"/>
  <c r="E93" i="6" s="1"/>
  <c r="F28" i="5"/>
  <c r="C28" i="1"/>
  <c r="C25" i="1"/>
  <c r="C45" i="1"/>
  <c r="L5" i="1" s="1"/>
  <c r="L4" i="1"/>
  <c r="C53" i="1"/>
  <c r="C62" i="1" s="1"/>
  <c r="C69" i="1" s="1"/>
  <c r="M4" i="1"/>
  <c r="D53" i="1"/>
  <c r="D62" i="1" s="1"/>
  <c r="D69" i="1" s="1"/>
  <c r="F37" i="1"/>
  <c r="F49" i="1" s="1"/>
  <c r="O9" i="1" s="1"/>
  <c r="D58" i="1"/>
  <c r="H11" i="1"/>
  <c r="H18" i="1" s="1"/>
  <c r="G18" i="1"/>
  <c r="E44" i="1"/>
  <c r="E34" i="1"/>
  <c r="F23" i="1"/>
  <c r="D15" i="1"/>
  <c r="D54" i="1" s="1"/>
  <c r="D19" i="1"/>
  <c r="H60" i="17" l="1"/>
  <c r="H62" i="17" s="1"/>
  <c r="Q6" i="17"/>
  <c r="H91" i="17" s="1"/>
  <c r="Q8" i="17"/>
  <c r="H93" i="17" s="1"/>
  <c r="H55" i="17"/>
  <c r="H37" i="16"/>
  <c r="H41" i="16"/>
  <c r="H53" i="16" s="1"/>
  <c r="H40" i="16"/>
  <c r="H87" i="16"/>
  <c r="H87" i="15"/>
  <c r="H41" i="15"/>
  <c r="H37" i="15"/>
  <c r="H40" i="15"/>
  <c r="G56" i="14"/>
  <c r="P11" i="14" s="1"/>
  <c r="H35" i="14"/>
  <c r="H36" i="14" s="1"/>
  <c r="G53" i="13"/>
  <c r="G55" i="13" s="1"/>
  <c r="G86" i="13"/>
  <c r="G47" i="13"/>
  <c r="G51" i="13" s="1"/>
  <c r="G99" i="13"/>
  <c r="I99" i="13" s="1"/>
  <c r="G70" i="13"/>
  <c r="G99" i="12"/>
  <c r="G70" i="12"/>
  <c r="G53" i="12"/>
  <c r="G86" i="12"/>
  <c r="G47" i="12"/>
  <c r="G51" i="12" s="1"/>
  <c r="G40" i="11"/>
  <c r="G37" i="11"/>
  <c r="G87" i="11"/>
  <c r="G41" i="11"/>
  <c r="G69" i="11" s="1"/>
  <c r="E85" i="5"/>
  <c r="F27" i="5"/>
  <c r="G23" i="5"/>
  <c r="G80" i="5"/>
  <c r="G59" i="5"/>
  <c r="H12" i="5"/>
  <c r="G16" i="5"/>
  <c r="G22" i="5" s="1"/>
  <c r="G30" i="5" s="1"/>
  <c r="G50" i="5" s="1"/>
  <c r="P5" i="5" s="1"/>
  <c r="G90" i="5" s="1"/>
  <c r="D47" i="5"/>
  <c r="D51" i="5" s="1"/>
  <c r="D60" i="5" s="1"/>
  <c r="D62" i="5" s="1"/>
  <c r="D64" i="5" s="1"/>
  <c r="D65" i="5" s="1"/>
  <c r="D53" i="5"/>
  <c r="D55" i="5" s="1"/>
  <c r="D99" i="5"/>
  <c r="D100" i="5"/>
  <c r="M68" i="5"/>
  <c r="M69" i="5" s="1"/>
  <c r="G41" i="10"/>
  <c r="G69" i="10" s="1"/>
  <c r="G37" i="10"/>
  <c r="G88" i="10"/>
  <c r="G40" i="10"/>
  <c r="F101" i="9"/>
  <c r="O68" i="9"/>
  <c r="O69" i="9" s="1"/>
  <c r="F60" i="9"/>
  <c r="F62" i="9" s="1"/>
  <c r="F64" i="9" s="1"/>
  <c r="F65" i="9" s="1"/>
  <c r="G46" i="9"/>
  <c r="O6" i="9"/>
  <c r="F92" i="9" s="1"/>
  <c r="G34" i="9"/>
  <c r="O8" i="9"/>
  <c r="F94" i="9" s="1"/>
  <c r="F55" i="9"/>
  <c r="E56" i="6"/>
  <c r="N11" i="6" s="1"/>
  <c r="N10" i="6"/>
  <c r="E95" i="6" s="1"/>
  <c r="F35" i="6"/>
  <c r="F36" i="6" s="1"/>
  <c r="F41" i="6" s="1"/>
  <c r="F31" i="5"/>
  <c r="G26" i="5"/>
  <c r="G84" i="5" s="1"/>
  <c r="N4" i="1"/>
  <c r="E53" i="1"/>
  <c r="E62" i="1" s="1"/>
  <c r="E69" i="1" s="1"/>
  <c r="G37" i="1"/>
  <c r="G49" i="1" s="1"/>
  <c r="P9" i="1" s="1"/>
  <c r="E58" i="1"/>
  <c r="C31" i="1"/>
  <c r="C32" i="1" s="1"/>
  <c r="D21" i="1"/>
  <c r="E12" i="1"/>
  <c r="D16" i="1"/>
  <c r="D20" i="1" s="1"/>
  <c r="D24" i="1" s="1"/>
  <c r="H23" i="1"/>
  <c r="G23" i="1"/>
  <c r="F34" i="1"/>
  <c r="F44" i="1"/>
  <c r="H64" i="17" l="1"/>
  <c r="H65" i="17" s="1"/>
  <c r="H69" i="17"/>
  <c r="H56" i="17"/>
  <c r="Q11" i="17" s="1"/>
  <c r="Q10" i="17"/>
  <c r="H95" i="17" s="1"/>
  <c r="H47" i="16"/>
  <c r="H51" i="16" s="1"/>
  <c r="H86" i="16"/>
  <c r="H55" i="16"/>
  <c r="Q8" i="16"/>
  <c r="H93" i="16" s="1"/>
  <c r="H47" i="15"/>
  <c r="H51" i="15" s="1"/>
  <c r="H86" i="15"/>
  <c r="H53" i="15"/>
  <c r="H87" i="14"/>
  <c r="H41" i="14"/>
  <c r="H37" i="14"/>
  <c r="H40" i="14"/>
  <c r="P8" i="13"/>
  <c r="G93" i="13" s="1"/>
  <c r="G56" i="13"/>
  <c r="P11" i="13" s="1"/>
  <c r="P10" i="13"/>
  <c r="G95" i="13" s="1"/>
  <c r="G100" i="13"/>
  <c r="P68" i="13"/>
  <c r="P69" i="13" s="1"/>
  <c r="G60" i="13"/>
  <c r="G62" i="13" s="1"/>
  <c r="G64" i="13" s="1"/>
  <c r="G65" i="13" s="1"/>
  <c r="H46" i="13"/>
  <c r="P6" i="13"/>
  <c r="G91" i="13" s="1"/>
  <c r="H34" i="13"/>
  <c r="G55" i="12"/>
  <c r="P8" i="12"/>
  <c r="G93" i="12" s="1"/>
  <c r="G100" i="12"/>
  <c r="P68" i="12"/>
  <c r="P69" i="12" s="1"/>
  <c r="G60" i="12"/>
  <c r="G62" i="12" s="1"/>
  <c r="G64" i="12" s="1"/>
  <c r="G65" i="12" s="1"/>
  <c r="H46" i="12"/>
  <c r="P6" i="12"/>
  <c r="G91" i="12" s="1"/>
  <c r="H34" i="12"/>
  <c r="G70" i="11"/>
  <c r="G99" i="11"/>
  <c r="G53" i="11"/>
  <c r="G86" i="11"/>
  <c r="G47" i="11"/>
  <c r="G51" i="11" s="1"/>
  <c r="D56" i="5"/>
  <c r="M11" i="5" s="1"/>
  <c r="E34" i="5"/>
  <c r="E35" i="5" s="1"/>
  <c r="E36" i="5" s="1"/>
  <c r="E37" i="5" s="1"/>
  <c r="M6" i="5"/>
  <c r="D91" i="5" s="1"/>
  <c r="M10" i="5"/>
  <c r="D95" i="5" s="1"/>
  <c r="E46" i="5"/>
  <c r="M8" i="5"/>
  <c r="D93" i="5" s="1"/>
  <c r="H21" i="5"/>
  <c r="H15" i="5"/>
  <c r="G53" i="10"/>
  <c r="G55" i="10" s="1"/>
  <c r="G100" i="10"/>
  <c r="G70" i="10"/>
  <c r="G87" i="10"/>
  <c r="G47" i="10"/>
  <c r="G51" i="10" s="1"/>
  <c r="G35" i="9"/>
  <c r="G36" i="9" s="1"/>
  <c r="F56" i="9"/>
  <c r="O11" i="9" s="1"/>
  <c r="O10" i="9"/>
  <c r="F96" i="9" s="1"/>
  <c r="F87" i="6"/>
  <c r="F40" i="6"/>
  <c r="F69" i="6"/>
  <c r="F32" i="5"/>
  <c r="F85" i="5"/>
  <c r="G27" i="5"/>
  <c r="G28" i="5"/>
  <c r="O4" i="1"/>
  <c r="F53" i="1"/>
  <c r="F62" i="1" s="1"/>
  <c r="F69" i="1" s="1"/>
  <c r="H37" i="1"/>
  <c r="H49" i="1" s="1"/>
  <c r="Q9" i="1" s="1"/>
  <c r="F58" i="1"/>
  <c r="D25" i="1"/>
  <c r="D27" i="1"/>
  <c r="D45" i="1" s="1"/>
  <c r="M5" i="1" s="1"/>
  <c r="E19" i="1"/>
  <c r="E15" i="1"/>
  <c r="E54" i="1" s="1"/>
  <c r="H34" i="1"/>
  <c r="H44" i="1"/>
  <c r="G44" i="1"/>
  <c r="G34" i="1"/>
  <c r="H99" i="17" l="1"/>
  <c r="H70" i="17"/>
  <c r="H56" i="16"/>
  <c r="Q11" i="16" s="1"/>
  <c r="Q10" i="16"/>
  <c r="H95" i="16" s="1"/>
  <c r="H60" i="16"/>
  <c r="H62" i="16" s="1"/>
  <c r="Q6" i="16"/>
  <c r="H91" i="16" s="1"/>
  <c r="H55" i="15"/>
  <c r="Q8" i="15"/>
  <c r="H93" i="15" s="1"/>
  <c r="H60" i="15"/>
  <c r="H62" i="15" s="1"/>
  <c r="Q6" i="15"/>
  <c r="H91" i="15" s="1"/>
  <c r="H86" i="14"/>
  <c r="H47" i="14"/>
  <c r="H51" i="14" s="1"/>
  <c r="H53" i="14"/>
  <c r="H35" i="13"/>
  <c r="H36" i="13" s="1"/>
  <c r="G56" i="12"/>
  <c r="P11" i="12" s="1"/>
  <c r="P10" i="12"/>
  <c r="G95" i="12" s="1"/>
  <c r="H35" i="12"/>
  <c r="H36" i="12" s="1"/>
  <c r="G55" i="11"/>
  <c r="P8" i="11"/>
  <c r="G93" i="11" s="1"/>
  <c r="G60" i="11"/>
  <c r="G62" i="11" s="1"/>
  <c r="G64" i="11" s="1"/>
  <c r="G65" i="11" s="1"/>
  <c r="H46" i="11"/>
  <c r="P6" i="11"/>
  <c r="G91" i="11" s="1"/>
  <c r="H34" i="11"/>
  <c r="G100" i="11"/>
  <c r="P68" i="11"/>
  <c r="P69" i="11" s="1"/>
  <c r="H23" i="5"/>
  <c r="H80" i="5"/>
  <c r="H16" i="5"/>
  <c r="H22" i="5" s="1"/>
  <c r="H30" i="5" s="1"/>
  <c r="H50" i="5" s="1"/>
  <c r="Q5" i="5" s="1"/>
  <c r="H90" i="5" s="1"/>
  <c r="H59" i="5"/>
  <c r="P8" i="10"/>
  <c r="G94" i="10" s="1"/>
  <c r="G101" i="10"/>
  <c r="P68" i="10"/>
  <c r="P69" i="10" s="1"/>
  <c r="H46" i="10"/>
  <c r="G60" i="10"/>
  <c r="G62" i="10" s="1"/>
  <c r="G64" i="10" s="1"/>
  <c r="G65" i="10" s="1"/>
  <c r="P6" i="10"/>
  <c r="G92" i="10" s="1"/>
  <c r="H34" i="10"/>
  <c r="G56" i="10"/>
  <c r="P11" i="10" s="1"/>
  <c r="P10" i="10"/>
  <c r="G96" i="10" s="1"/>
  <c r="G40" i="9"/>
  <c r="G41" i="9"/>
  <c r="G69" i="9" s="1"/>
  <c r="G88" i="9"/>
  <c r="G37" i="9"/>
  <c r="E87" i="5"/>
  <c r="E41" i="5"/>
  <c r="E69" i="5" s="1"/>
  <c r="F53" i="6"/>
  <c r="F55" i="6" s="1"/>
  <c r="F86" i="6"/>
  <c r="F47" i="6"/>
  <c r="F51" i="6" s="1"/>
  <c r="F99" i="6"/>
  <c r="F70" i="6"/>
  <c r="G31" i="5"/>
  <c r="E40" i="5"/>
  <c r="E86" i="5" s="1"/>
  <c r="D28" i="1"/>
  <c r="P4" i="1"/>
  <c r="G53" i="1"/>
  <c r="G62" i="1" s="1"/>
  <c r="G69" i="1" s="1"/>
  <c r="Q4" i="1"/>
  <c r="H53" i="1"/>
  <c r="H62" i="1" s="1"/>
  <c r="H69" i="1" s="1"/>
  <c r="G58" i="1"/>
  <c r="H58" i="1"/>
  <c r="F12" i="1"/>
  <c r="E21" i="1"/>
  <c r="E16" i="1"/>
  <c r="E20" i="1" s="1"/>
  <c r="E24" i="1" s="1"/>
  <c r="C35" i="1"/>
  <c r="H100" i="17" l="1"/>
  <c r="Q68" i="17"/>
  <c r="Q69" i="17" s="1"/>
  <c r="B72" i="17" s="1"/>
  <c r="B71" i="17"/>
  <c r="H64" i="16"/>
  <c r="H65" i="16" s="1"/>
  <c r="H69" i="16"/>
  <c r="H64" i="15"/>
  <c r="H65" i="15" s="1"/>
  <c r="H69" i="15"/>
  <c r="H56" i="15"/>
  <c r="Q11" i="15" s="1"/>
  <c r="Q10" i="15"/>
  <c r="H95" i="15" s="1"/>
  <c r="H60" i="14"/>
  <c r="H62" i="14" s="1"/>
  <c r="Q6" i="14"/>
  <c r="H91" i="14" s="1"/>
  <c r="H55" i="14"/>
  <c r="Q8" i="14"/>
  <c r="H93" i="14" s="1"/>
  <c r="H37" i="13"/>
  <c r="H41" i="13"/>
  <c r="H87" i="13"/>
  <c r="H40" i="13"/>
  <c r="H87" i="12"/>
  <c r="H37" i="12"/>
  <c r="H40" i="12"/>
  <c r="H41" i="12"/>
  <c r="H35" i="11"/>
  <c r="H36" i="11" s="1"/>
  <c r="G56" i="11"/>
  <c r="P11" i="11" s="1"/>
  <c r="P10" i="11"/>
  <c r="G95" i="11" s="1"/>
  <c r="H26" i="5"/>
  <c r="H84" i="5" s="1"/>
  <c r="H35" i="10"/>
  <c r="H36" i="10" s="1"/>
  <c r="G100" i="9"/>
  <c r="G70" i="9"/>
  <c r="G53" i="9"/>
  <c r="G87" i="9"/>
  <c r="G47" i="9"/>
  <c r="G51" i="9" s="1"/>
  <c r="O8" i="6"/>
  <c r="F93" i="6" s="1"/>
  <c r="F100" i="6"/>
  <c r="O68" i="6"/>
  <c r="O69" i="6" s="1"/>
  <c r="F60" i="6"/>
  <c r="F62" i="6" s="1"/>
  <c r="F64" i="6" s="1"/>
  <c r="F65" i="6" s="1"/>
  <c r="G46" i="6"/>
  <c r="O6" i="6"/>
  <c r="F91" i="6" s="1"/>
  <c r="G34" i="6"/>
  <c r="F56" i="6"/>
  <c r="O11" i="6" s="1"/>
  <c r="O10" i="6"/>
  <c r="F95" i="6" s="1"/>
  <c r="E70" i="5"/>
  <c r="E100" i="5" s="1"/>
  <c r="E99" i="5"/>
  <c r="G32" i="5"/>
  <c r="G85" i="5"/>
  <c r="H27" i="5"/>
  <c r="E53" i="5"/>
  <c r="E47" i="5"/>
  <c r="E51" i="5" s="1"/>
  <c r="C42" i="1"/>
  <c r="C46" i="1" s="1"/>
  <c r="E25" i="1"/>
  <c r="E28" i="1" s="1"/>
  <c r="E27" i="1"/>
  <c r="E45" i="1" s="1"/>
  <c r="N5" i="1" s="1"/>
  <c r="F19" i="1"/>
  <c r="F15" i="1"/>
  <c r="F54" i="1" s="1"/>
  <c r="C48" i="1"/>
  <c r="B101" i="17" l="1"/>
  <c r="K13" i="17"/>
  <c r="B102" i="17"/>
  <c r="K14" i="17"/>
  <c r="H99" i="16"/>
  <c r="H70" i="16"/>
  <c r="H99" i="15"/>
  <c r="J99" i="15" s="1"/>
  <c r="K99" i="15" s="1"/>
  <c r="L99" i="15" s="1"/>
  <c r="H70" i="15"/>
  <c r="H56" i="14"/>
  <c r="Q11" i="14" s="1"/>
  <c r="Q10" i="14"/>
  <c r="H95" i="14" s="1"/>
  <c r="H64" i="14"/>
  <c r="H65" i="14" s="1"/>
  <c r="H69" i="14"/>
  <c r="H86" i="13"/>
  <c r="H47" i="13"/>
  <c r="H51" i="13" s="1"/>
  <c r="H53" i="13"/>
  <c r="H86" i="12"/>
  <c r="H47" i="12"/>
  <c r="H51" i="12" s="1"/>
  <c r="H53" i="12"/>
  <c r="H87" i="11"/>
  <c r="H41" i="11"/>
  <c r="H53" i="11" s="1"/>
  <c r="H37" i="11"/>
  <c r="H40" i="11"/>
  <c r="H28" i="5"/>
  <c r="R20" i="5" s="1"/>
  <c r="R23" i="5" s="1"/>
  <c r="H88" i="10"/>
  <c r="H37" i="10"/>
  <c r="H40" i="10"/>
  <c r="H41" i="10"/>
  <c r="H53" i="10" s="1"/>
  <c r="G101" i="9"/>
  <c r="P68" i="9"/>
  <c r="P69" i="9" s="1"/>
  <c r="G60" i="9"/>
  <c r="G62" i="9" s="1"/>
  <c r="G64" i="9" s="1"/>
  <c r="G65" i="9" s="1"/>
  <c r="H46" i="9"/>
  <c r="P6" i="9"/>
  <c r="G92" i="9" s="1"/>
  <c r="H34" i="9"/>
  <c r="G55" i="9"/>
  <c r="P8" i="9"/>
  <c r="G94" i="9" s="1"/>
  <c r="G35" i="6"/>
  <c r="G36" i="6" s="1"/>
  <c r="G41" i="6" s="1"/>
  <c r="N68" i="5"/>
  <c r="N69" i="5" s="1"/>
  <c r="E55" i="5"/>
  <c r="N8" i="5"/>
  <c r="E93" i="5" s="1"/>
  <c r="E60" i="5"/>
  <c r="E62" i="5" s="1"/>
  <c r="E64" i="5" s="1"/>
  <c r="E65" i="5" s="1"/>
  <c r="F46" i="5"/>
  <c r="N6" i="5"/>
  <c r="E91" i="5" s="1"/>
  <c r="F34" i="5"/>
  <c r="C50" i="1"/>
  <c r="L10" i="1" s="1"/>
  <c r="L8" i="1"/>
  <c r="C55" i="1"/>
  <c r="C57" i="1" s="1"/>
  <c r="C59" i="1" s="1"/>
  <c r="C60" i="1" s="1"/>
  <c r="L6" i="1"/>
  <c r="D41" i="1"/>
  <c r="D30" i="1"/>
  <c r="D31" i="1" s="1"/>
  <c r="D32" i="1" s="1"/>
  <c r="D36" i="1" s="1"/>
  <c r="C51" i="1"/>
  <c r="L11" i="1" s="1"/>
  <c r="F21" i="1"/>
  <c r="G12" i="1"/>
  <c r="F16" i="1"/>
  <c r="F20" i="1" s="1"/>
  <c r="F24" i="1" s="1"/>
  <c r="H100" i="16" l="1"/>
  <c r="Q68" i="16"/>
  <c r="Q69" i="16" s="1"/>
  <c r="B72" i="16" s="1"/>
  <c r="B71" i="16"/>
  <c r="Q68" i="15"/>
  <c r="Q69" i="15" s="1"/>
  <c r="B72" i="15" s="1"/>
  <c r="H100" i="15"/>
  <c r="B71" i="15"/>
  <c r="H99" i="14"/>
  <c r="K99" i="14" s="1"/>
  <c r="L99" i="14" s="1"/>
  <c r="H70" i="14"/>
  <c r="H55" i="13"/>
  <c r="Q8" i="13"/>
  <c r="H93" i="13" s="1"/>
  <c r="H60" i="13"/>
  <c r="H62" i="13" s="1"/>
  <c r="Q6" i="13"/>
  <c r="H91" i="13" s="1"/>
  <c r="H55" i="12"/>
  <c r="Q8" i="12"/>
  <c r="H93" i="12" s="1"/>
  <c r="H60" i="12"/>
  <c r="H62" i="12" s="1"/>
  <c r="Q6" i="12"/>
  <c r="H91" i="12" s="1"/>
  <c r="H86" i="11"/>
  <c r="H47" i="11"/>
  <c r="H51" i="11" s="1"/>
  <c r="H55" i="11"/>
  <c r="Q8" i="11"/>
  <c r="H93" i="11" s="1"/>
  <c r="H31" i="5"/>
  <c r="H32" i="5" s="1"/>
  <c r="H55" i="10"/>
  <c r="Q8" i="10"/>
  <c r="H94" i="10" s="1"/>
  <c r="H87" i="10"/>
  <c r="H47" i="10"/>
  <c r="H51" i="10" s="1"/>
  <c r="G56" i="9"/>
  <c r="P11" i="9" s="1"/>
  <c r="P10" i="9"/>
  <c r="G96" i="9" s="1"/>
  <c r="H35" i="9"/>
  <c r="H36" i="9" s="1"/>
  <c r="G87" i="6"/>
  <c r="G69" i="6"/>
  <c r="G40" i="6"/>
  <c r="E56" i="5"/>
  <c r="N11" i="5" s="1"/>
  <c r="N10" i="5"/>
  <c r="E95" i="5" s="1"/>
  <c r="F35" i="5"/>
  <c r="F36" i="5" s="1"/>
  <c r="F37" i="5" s="1"/>
  <c r="D35" i="1"/>
  <c r="D48" i="1"/>
  <c r="G19" i="1"/>
  <c r="G15" i="1"/>
  <c r="G54" i="1" s="1"/>
  <c r="F25" i="1"/>
  <c r="F28" i="1" s="1"/>
  <c r="F27" i="1"/>
  <c r="F45" i="1" s="1"/>
  <c r="O5" i="1" s="1"/>
  <c r="B101" i="16" l="1"/>
  <c r="K13" i="16"/>
  <c r="K14" i="16"/>
  <c r="B102" i="16"/>
  <c r="B101" i="15"/>
  <c r="K13" i="15"/>
  <c r="B102" i="15"/>
  <c r="K14" i="15"/>
  <c r="H100" i="14"/>
  <c r="Q68" i="14"/>
  <c r="Q69" i="14" s="1"/>
  <c r="B72" i="14" s="1"/>
  <c r="B71" i="14"/>
  <c r="H64" i="13"/>
  <c r="H65" i="13" s="1"/>
  <c r="H69" i="13"/>
  <c r="H56" i="13"/>
  <c r="Q11" i="13" s="1"/>
  <c r="Q10" i="13"/>
  <c r="H95" i="13" s="1"/>
  <c r="H64" i="12"/>
  <c r="H65" i="12" s="1"/>
  <c r="H69" i="12"/>
  <c r="H56" i="12"/>
  <c r="Q11" i="12" s="1"/>
  <c r="Q10" i="12"/>
  <c r="H95" i="12" s="1"/>
  <c r="H56" i="11"/>
  <c r="Q11" i="11" s="1"/>
  <c r="Q10" i="11"/>
  <c r="H95" i="11" s="1"/>
  <c r="H60" i="11"/>
  <c r="H62" i="11" s="1"/>
  <c r="Q6" i="11"/>
  <c r="H91" i="11" s="1"/>
  <c r="H85" i="5"/>
  <c r="H60" i="10"/>
  <c r="H62" i="10" s="1"/>
  <c r="Q6" i="10"/>
  <c r="H92" i="10" s="1"/>
  <c r="H56" i="10"/>
  <c r="Q11" i="10" s="1"/>
  <c r="Q10" i="10"/>
  <c r="H96" i="10" s="1"/>
  <c r="H88" i="9"/>
  <c r="H37" i="9"/>
  <c r="H40" i="9"/>
  <c r="H41" i="9"/>
  <c r="H53" i="9" s="1"/>
  <c r="F87" i="5"/>
  <c r="F41" i="5"/>
  <c r="F69" i="5" s="1"/>
  <c r="G53" i="6"/>
  <c r="P8" i="6" s="1"/>
  <c r="G93" i="6" s="1"/>
  <c r="G99" i="6"/>
  <c r="G70" i="6"/>
  <c r="G86" i="6"/>
  <c r="G47" i="6"/>
  <c r="G51" i="6" s="1"/>
  <c r="F40" i="5"/>
  <c r="F86" i="5" s="1"/>
  <c r="D50" i="1"/>
  <c r="M10" i="1" s="1"/>
  <c r="M8" i="1"/>
  <c r="D42" i="1"/>
  <c r="D46" i="1" s="1"/>
  <c r="E30" i="1" s="1"/>
  <c r="E31" i="1" s="1"/>
  <c r="E32" i="1" s="1"/>
  <c r="E36" i="1" s="1"/>
  <c r="D64" i="1"/>
  <c r="D65" i="1" s="1"/>
  <c r="M64" i="1" s="1"/>
  <c r="M65" i="1" s="1"/>
  <c r="H12" i="1"/>
  <c r="G21" i="1"/>
  <c r="G16" i="1"/>
  <c r="G20" i="1" s="1"/>
  <c r="G24" i="1" s="1"/>
  <c r="B102" i="14" l="1"/>
  <c r="K14" i="14"/>
  <c r="B101" i="14"/>
  <c r="K13" i="14"/>
  <c r="H70" i="13"/>
  <c r="H99" i="13"/>
  <c r="J99" i="13" s="1"/>
  <c r="K99" i="13" s="1"/>
  <c r="L99" i="13" s="1"/>
  <c r="H70" i="12"/>
  <c r="H99" i="12"/>
  <c r="H64" i="11"/>
  <c r="H65" i="11" s="1"/>
  <c r="H69" i="11"/>
  <c r="H64" i="10"/>
  <c r="H65" i="10" s="1"/>
  <c r="H69" i="10"/>
  <c r="H55" i="9"/>
  <c r="Q8" i="9"/>
  <c r="H94" i="9" s="1"/>
  <c r="H87" i="9"/>
  <c r="H47" i="9"/>
  <c r="H51" i="9" s="1"/>
  <c r="G55" i="6"/>
  <c r="G56" i="6" s="1"/>
  <c r="P11" i="6" s="1"/>
  <c r="G60" i="6"/>
  <c r="G62" i="6" s="1"/>
  <c r="G64" i="6" s="1"/>
  <c r="G65" i="6" s="1"/>
  <c r="H46" i="6"/>
  <c r="P6" i="6"/>
  <c r="G91" i="6" s="1"/>
  <c r="H34" i="6"/>
  <c r="P68" i="6"/>
  <c r="P69" i="6" s="1"/>
  <c r="G100" i="6"/>
  <c r="P10" i="6"/>
  <c r="G95" i="6" s="1"/>
  <c r="F70" i="5"/>
  <c r="F100" i="5" s="1"/>
  <c r="F99" i="5"/>
  <c r="F53" i="5"/>
  <c r="O8" i="5" s="1"/>
  <c r="F93" i="5" s="1"/>
  <c r="F47" i="5"/>
  <c r="F51" i="5" s="1"/>
  <c r="F60" i="5" s="1"/>
  <c r="F62" i="5" s="1"/>
  <c r="F64" i="5" s="1"/>
  <c r="F65" i="5" s="1"/>
  <c r="D55" i="1"/>
  <c r="D57" i="1" s="1"/>
  <c r="D59" i="1" s="1"/>
  <c r="D60" i="1" s="1"/>
  <c r="M6" i="1"/>
  <c r="D51" i="1"/>
  <c r="M11" i="1" s="1"/>
  <c r="E41" i="1"/>
  <c r="E35" i="1"/>
  <c r="E48" i="1"/>
  <c r="G25" i="1"/>
  <c r="G28" i="1" s="1"/>
  <c r="G27" i="1"/>
  <c r="G45" i="1" s="1"/>
  <c r="P5" i="1" s="1"/>
  <c r="H15" i="1"/>
  <c r="H54" i="1" s="1"/>
  <c r="H19" i="1"/>
  <c r="H100" i="13" l="1"/>
  <c r="Q68" i="13"/>
  <c r="Q69" i="13" s="1"/>
  <c r="B72" i="13" s="1"/>
  <c r="B71" i="13"/>
  <c r="H100" i="12"/>
  <c r="Q68" i="12"/>
  <c r="Q69" i="12" s="1"/>
  <c r="B72" i="12" s="1"/>
  <c r="B71" i="12"/>
  <c r="H70" i="11"/>
  <c r="H99" i="11"/>
  <c r="H100" i="10"/>
  <c r="H70" i="10"/>
  <c r="Q6" i="9"/>
  <c r="H92" i="9" s="1"/>
  <c r="H60" i="9"/>
  <c r="H62" i="9" s="1"/>
  <c r="H56" i="9"/>
  <c r="Q11" i="9" s="1"/>
  <c r="Q10" i="9"/>
  <c r="H96" i="9" s="1"/>
  <c r="H35" i="6"/>
  <c r="H36" i="6" s="1"/>
  <c r="O68" i="5"/>
  <c r="O69" i="5" s="1"/>
  <c r="F55" i="5"/>
  <c r="O10" i="5" s="1"/>
  <c r="F95" i="5" s="1"/>
  <c r="G34" i="5"/>
  <c r="G35" i="5" s="1"/>
  <c r="G36" i="5" s="1"/>
  <c r="G37" i="5" s="1"/>
  <c r="G46" i="5"/>
  <c r="O6" i="5"/>
  <c r="F91" i="5" s="1"/>
  <c r="E50" i="1"/>
  <c r="N10" i="1" s="1"/>
  <c r="N8" i="1"/>
  <c r="E42" i="1"/>
  <c r="E46" i="1" s="1"/>
  <c r="E64" i="1"/>
  <c r="E65" i="1" s="1"/>
  <c r="N64" i="1" s="1"/>
  <c r="N65" i="1" s="1"/>
  <c r="H21" i="1"/>
  <c r="H16" i="1"/>
  <c r="H20" i="1" s="1"/>
  <c r="B102" i="13" l="1"/>
  <c r="K14" i="13"/>
  <c r="K13" i="13"/>
  <c r="B101" i="13"/>
  <c r="B102" i="12"/>
  <c r="K14" i="12"/>
  <c r="B101" i="12"/>
  <c r="K13" i="12"/>
  <c r="H100" i="11"/>
  <c r="Q68" i="11"/>
  <c r="Q69" i="11" s="1"/>
  <c r="B72" i="11" s="1"/>
  <c r="B71" i="11"/>
  <c r="H101" i="10"/>
  <c r="Q68" i="10"/>
  <c r="Q69" i="10" s="1"/>
  <c r="B72" i="10" s="1"/>
  <c r="B71" i="10"/>
  <c r="H64" i="9"/>
  <c r="H65" i="9" s="1"/>
  <c r="H69" i="9"/>
  <c r="H41" i="6"/>
  <c r="H37" i="6"/>
  <c r="G87" i="5"/>
  <c r="G41" i="5"/>
  <c r="G69" i="5" s="1"/>
  <c r="H87" i="6"/>
  <c r="H40" i="6"/>
  <c r="H53" i="6"/>
  <c r="F56" i="5"/>
  <c r="O11" i="5" s="1"/>
  <c r="G40" i="5"/>
  <c r="G86" i="5" s="1"/>
  <c r="H27" i="1"/>
  <c r="H45" i="1" s="1"/>
  <c r="Q5" i="1" s="1"/>
  <c r="H24" i="1"/>
  <c r="E55" i="1"/>
  <c r="E57" i="1" s="1"/>
  <c r="E59" i="1" s="1"/>
  <c r="E60" i="1" s="1"/>
  <c r="N6" i="1"/>
  <c r="F41" i="1"/>
  <c r="F30" i="1"/>
  <c r="F31" i="1" s="1"/>
  <c r="F32" i="1" s="1"/>
  <c r="F36" i="1" s="1"/>
  <c r="E51" i="1"/>
  <c r="N11" i="1" s="1"/>
  <c r="B101" i="11" l="1"/>
  <c r="K13" i="11"/>
  <c r="B102" i="11"/>
  <c r="K14" i="11"/>
  <c r="B103" i="10"/>
  <c r="K14" i="10"/>
  <c r="B102" i="10"/>
  <c r="K13" i="10"/>
  <c r="H70" i="9"/>
  <c r="H100" i="9"/>
  <c r="H55" i="6"/>
  <c r="Q8" i="6"/>
  <c r="H93" i="6" s="1"/>
  <c r="H86" i="6"/>
  <c r="H47" i="6"/>
  <c r="H51" i="6" s="1"/>
  <c r="G70" i="5"/>
  <c r="G100" i="5" s="1"/>
  <c r="G99" i="5"/>
  <c r="G53" i="5"/>
  <c r="P8" i="5" s="1"/>
  <c r="G93" i="5" s="1"/>
  <c r="G47" i="5"/>
  <c r="G51" i="5" s="1"/>
  <c r="F64" i="1"/>
  <c r="F65" i="1" s="1"/>
  <c r="O64" i="1" s="1"/>
  <c r="O65" i="1" s="1"/>
  <c r="F35" i="1"/>
  <c r="F42" i="1" s="1"/>
  <c r="F46" i="1" s="1"/>
  <c r="F48" i="1"/>
  <c r="H25" i="1"/>
  <c r="H28" i="1" s="1"/>
  <c r="H101" i="9" l="1"/>
  <c r="Q68" i="9"/>
  <c r="Q69" i="9" s="1"/>
  <c r="B72" i="9" s="1"/>
  <c r="B71" i="9"/>
  <c r="Q6" i="6"/>
  <c r="H91" i="6" s="1"/>
  <c r="H60" i="6"/>
  <c r="H62" i="6" s="1"/>
  <c r="Q10" i="6"/>
  <c r="H95" i="6" s="1"/>
  <c r="H56" i="6"/>
  <c r="Q11" i="6" s="1"/>
  <c r="P68" i="5"/>
  <c r="P69" i="5" s="1"/>
  <c r="G55" i="5"/>
  <c r="G56" i="5" s="1"/>
  <c r="P11" i="5" s="1"/>
  <c r="G60" i="5"/>
  <c r="G62" i="5" s="1"/>
  <c r="G64" i="5" s="1"/>
  <c r="G65" i="5" s="1"/>
  <c r="H46" i="5"/>
  <c r="P6" i="5"/>
  <c r="G91" i="5" s="1"/>
  <c r="H34" i="5"/>
  <c r="R19" i="1"/>
  <c r="R22" i="1" s="1"/>
  <c r="F55" i="1"/>
  <c r="F57" i="1" s="1"/>
  <c r="F59" i="1" s="1"/>
  <c r="F60" i="1" s="1"/>
  <c r="O6" i="1"/>
  <c r="F50" i="1"/>
  <c r="O10" i="1" s="1"/>
  <c r="O8" i="1"/>
  <c r="G30" i="1"/>
  <c r="G31" i="1" s="1"/>
  <c r="G32" i="1" s="1"/>
  <c r="G36" i="1" s="1"/>
  <c r="G41" i="1"/>
  <c r="K13" i="9" l="1"/>
  <c r="B102" i="9"/>
  <c r="K14" i="9"/>
  <c r="B103" i="9"/>
  <c r="H64" i="6"/>
  <c r="H65" i="6" s="1"/>
  <c r="H69" i="6"/>
  <c r="P10" i="5"/>
  <c r="G95" i="5" s="1"/>
  <c r="H35" i="5"/>
  <c r="H36" i="5" s="1"/>
  <c r="H37" i="5" s="1"/>
  <c r="G35" i="1"/>
  <c r="G42" i="1" s="1"/>
  <c r="G46" i="1" s="1"/>
  <c r="F51" i="1"/>
  <c r="O11" i="1" s="1"/>
  <c r="H87" i="5" l="1"/>
  <c r="H41" i="5"/>
  <c r="H53" i="5" s="1"/>
  <c r="H99" i="6"/>
  <c r="H70" i="6"/>
  <c r="H40" i="5"/>
  <c r="H86" i="5" s="1"/>
  <c r="G55" i="1"/>
  <c r="G57" i="1" s="1"/>
  <c r="G59" i="1" s="1"/>
  <c r="G60" i="1" s="1"/>
  <c r="P6" i="1"/>
  <c r="G64" i="1"/>
  <c r="G65" i="1" s="1"/>
  <c r="P64" i="1" s="1"/>
  <c r="P65" i="1" s="1"/>
  <c r="G48" i="1"/>
  <c r="H30" i="1"/>
  <c r="H31" i="1" s="1"/>
  <c r="H32" i="1" s="1"/>
  <c r="H36" i="1" s="1"/>
  <c r="H41" i="1"/>
  <c r="H100" i="6" l="1"/>
  <c r="Q68" i="6"/>
  <c r="Q69" i="6" s="1"/>
  <c r="B72" i="6" s="1"/>
  <c r="B71" i="6"/>
  <c r="H47" i="5"/>
  <c r="H51" i="5" s="1"/>
  <c r="H60" i="5" s="1"/>
  <c r="H62" i="5" s="1"/>
  <c r="H64" i="5" s="1"/>
  <c r="H65" i="5" s="1"/>
  <c r="H55" i="5"/>
  <c r="Q8" i="5"/>
  <c r="H93" i="5" s="1"/>
  <c r="H35" i="1"/>
  <c r="G50" i="1"/>
  <c r="P8" i="1"/>
  <c r="B102" i="6" l="1"/>
  <c r="K14" i="6"/>
  <c r="B101" i="6"/>
  <c r="K13" i="6"/>
  <c r="Q6" i="5"/>
  <c r="H91" i="5" s="1"/>
  <c r="H69" i="5"/>
  <c r="H56" i="5"/>
  <c r="Q11" i="5" s="1"/>
  <c r="Q10" i="5"/>
  <c r="H95" i="5" s="1"/>
  <c r="G51" i="1"/>
  <c r="P11" i="1" s="1"/>
  <c r="P10" i="1"/>
  <c r="H42" i="1"/>
  <c r="H46" i="1" s="1"/>
  <c r="H48" i="1"/>
  <c r="H70" i="5" l="1"/>
  <c r="H100" i="5" s="1"/>
  <c r="H99" i="5"/>
  <c r="H55" i="1"/>
  <c r="H57" i="1" s="1"/>
  <c r="H59" i="1" s="1"/>
  <c r="H60" i="1" s="1"/>
  <c r="Q6" i="1"/>
  <c r="H50" i="1"/>
  <c r="Q10" i="1" s="1"/>
  <c r="Q8" i="1"/>
  <c r="Q68" i="5" l="1"/>
  <c r="Q69" i="5" s="1"/>
  <c r="B72" i="5" s="1"/>
  <c r="K14" i="5" s="1"/>
  <c r="B71" i="5"/>
  <c r="K13" i="5" s="1"/>
  <c r="H51" i="1"/>
  <c r="Q11" i="1" s="1"/>
  <c r="H64" i="1"/>
  <c r="H65" i="1" s="1"/>
  <c r="B102" i="5" l="1"/>
  <c r="B101" i="5"/>
  <c r="B66" i="1"/>
  <c r="K13" i="1" s="1"/>
  <c r="Q64" i="1"/>
  <c r="Q65" i="1" s="1"/>
  <c r="B67" i="1" s="1"/>
  <c r="K14" i="1" s="1"/>
</calcChain>
</file>

<file path=xl/comments1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10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11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12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2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3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4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0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5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6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7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8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comments9.xml><?xml version="1.0" encoding="utf-8"?>
<comments xmlns="http://schemas.openxmlformats.org/spreadsheetml/2006/main">
  <authors>
    <author>Jean SAINT-CRICQ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7% de notaire+5% d'agence (dont 1% pour apport d'affaire et 4% intermédiation pour JSCC)</t>
        </r>
      </text>
    </comment>
    <comment ref="Q21" authorId="0">
      <text>
        <r>
          <rPr>
            <b/>
            <sz val="9"/>
            <color indexed="81"/>
            <rFont val="Tahoma"/>
            <family val="2"/>
          </rPr>
          <t>facturés à l'acheteur, pas d'impact sur Pharmamurs</t>
        </r>
      </text>
    </comment>
  </commentList>
</comments>
</file>

<file path=xl/sharedStrings.xml><?xml version="1.0" encoding="utf-8"?>
<sst xmlns="http://schemas.openxmlformats.org/spreadsheetml/2006/main" count="1727" uniqueCount="242">
  <si>
    <t>PROJET PHARMAMURS :</t>
  </si>
  <si>
    <t>JSC le 21 novembre 2011</t>
  </si>
  <si>
    <t>DP</t>
  </si>
  <si>
    <t>+</t>
  </si>
  <si>
    <t>-</t>
  </si>
  <si>
    <t>FP</t>
  </si>
  <si>
    <t>Prix moyen murs</t>
  </si>
  <si>
    <t>Loyer</t>
  </si>
  <si>
    <t>Frais acquisition</t>
  </si>
  <si>
    <t>Frais de gestion</t>
  </si>
  <si>
    <t>Amortissement</t>
  </si>
  <si>
    <t>Moy Période</t>
  </si>
  <si>
    <t>Loyers</t>
  </si>
  <si>
    <t>Frais gestion</t>
  </si>
  <si>
    <t>Amortissements</t>
  </si>
  <si>
    <t>EBIT</t>
  </si>
  <si>
    <t>Frais Fi</t>
  </si>
  <si>
    <t>RN</t>
  </si>
  <si>
    <t>IS</t>
  </si>
  <si>
    <t>Immobilisations</t>
  </si>
  <si>
    <t>Dispo</t>
  </si>
  <si>
    <t>Capropres</t>
  </si>
  <si>
    <t>Defi</t>
  </si>
  <si>
    <t>total</t>
  </si>
  <si>
    <t>check</t>
  </si>
  <si>
    <t>MBA</t>
  </si>
  <si>
    <t>Dispo DP</t>
  </si>
  <si>
    <t>Dispo FP</t>
  </si>
  <si>
    <t>Valo marché DP</t>
  </si>
  <si>
    <t>Valo marché mi période</t>
  </si>
  <si>
    <t>Valo marchéFP</t>
  </si>
  <si>
    <t>Financement</t>
  </si>
  <si>
    <t>Gestion du parc</t>
  </si>
  <si>
    <t>Exploitation</t>
  </si>
  <si>
    <t xml:space="preserve">Frais fi </t>
  </si>
  <si>
    <t>Taux IS</t>
  </si>
  <si>
    <t>+/- values</t>
  </si>
  <si>
    <t>Immob vendues</t>
  </si>
  <si>
    <t>Immob achetées</t>
  </si>
  <si>
    <t>Bilan ANR</t>
  </si>
  <si>
    <t>Bilans comptable</t>
  </si>
  <si>
    <t>Cash out</t>
  </si>
  <si>
    <t>Cash in</t>
  </si>
  <si>
    <t>Flux</t>
  </si>
  <si>
    <t>Rentabilité</t>
  </si>
  <si>
    <t>Defi remboursée</t>
  </si>
  <si>
    <t>Inflation murs</t>
  </si>
  <si>
    <t>Coefficient de rev</t>
  </si>
  <si>
    <t>Inflation loyer</t>
  </si>
  <si>
    <t>Rémunération de JSCC :</t>
  </si>
  <si>
    <t>50% des variables de gestion =</t>
  </si>
  <si>
    <t>4% sur les 5% frais d'acquisition, soit 5/12=41.7% des frais d'acquisition =</t>
  </si>
  <si>
    <t>=+value de revente</t>
  </si>
  <si>
    <t xml:space="preserve"> </t>
  </si>
  <si>
    <t>X% sur les reventes =</t>
  </si>
  <si>
    <t>X% de la +value de revente</t>
  </si>
  <si>
    <t>Rému JSCC/+V revente</t>
  </si>
  <si>
    <t>Nvle Dette Financière</t>
  </si>
  <si>
    <t>Capitaux propres</t>
  </si>
  <si>
    <t>TRI 1</t>
  </si>
  <si>
    <t>TRI 2</t>
  </si>
  <si>
    <t>Dette/valo mur</t>
  </si>
  <si>
    <t>EBIT % CA</t>
  </si>
  <si>
    <t>Vacances</t>
  </si>
  <si>
    <t>Nbre acquisitions</t>
  </si>
  <si>
    <t>Nbre ventes</t>
  </si>
  <si>
    <t>Parc fin d'année</t>
  </si>
  <si>
    <t>ajuster prix d'achat et vente par an</t>
  </si>
  <si>
    <t>MURS-PHARMA</t>
  </si>
  <si>
    <t>Prix achat murs TTC</t>
  </si>
  <si>
    <t>Valeur marché murs</t>
  </si>
  <si>
    <t>Prix marché moyen</t>
  </si>
  <si>
    <t>TRI 1 6ans</t>
  </si>
  <si>
    <t>TRI 2 5ans</t>
  </si>
  <si>
    <t>Société de gestion</t>
  </si>
  <si>
    <t>Investisseurs</t>
  </si>
  <si>
    <t>Foncière Murs-Pharma</t>
  </si>
  <si>
    <t>SCI d'exploitation (une par bien)</t>
  </si>
  <si>
    <t>charges</t>
  </si>
  <si>
    <t>amort</t>
  </si>
  <si>
    <t>R Fi</t>
  </si>
  <si>
    <t>Dividende</t>
  </si>
  <si>
    <t>IR tranche sup</t>
  </si>
  <si>
    <t>Cash net</t>
  </si>
  <si>
    <t>RCAI</t>
  </si>
  <si>
    <t>CSG</t>
  </si>
  <si>
    <t>Cash total</t>
  </si>
  <si>
    <t>TRANSPARENCE</t>
  </si>
  <si>
    <t>assiette IR</t>
  </si>
  <si>
    <t>-CSG</t>
  </si>
  <si>
    <t>abattement</t>
  </si>
  <si>
    <t>dividendes</t>
  </si>
  <si>
    <t>INDIRECT A L'IS</t>
  </si>
  <si>
    <t>Impöt/cash</t>
  </si>
  <si>
    <t>Prix achat moy murs</t>
  </si>
  <si>
    <t>% des variables de gestion =</t>
  </si>
  <si>
    <t>dont</t>
  </si>
  <si>
    <t>Cptes fnct</t>
  </si>
  <si>
    <t>Cpte crt</t>
  </si>
  <si>
    <t>COMPTES DE PREMIERE SCI ACHETEE AU 31/12 DE L'ANNEE N-1 :</t>
  </si>
  <si>
    <t>valeur comptable</t>
  </si>
  <si>
    <t>valeur vénale</t>
  </si>
  <si>
    <t>valeur de réalisation</t>
  </si>
  <si>
    <t>valeur de reconstitution</t>
  </si>
  <si>
    <t>si</t>
  </si>
  <si>
    <t>par an</t>
  </si>
  <si>
    <t xml:space="preserve">CP % </t>
  </si>
  <si>
    <t>Loyer (taux de cap)</t>
  </si>
  <si>
    <t>4% sur les 5% frais d'acquisition</t>
  </si>
  <si>
    <t>VILLE</t>
  </si>
  <si>
    <t>nature</t>
  </si>
  <si>
    <t>m²</t>
  </si>
  <si>
    <t>Troyes</t>
  </si>
  <si>
    <t>C</t>
  </si>
  <si>
    <t>C = commerce</t>
  </si>
  <si>
    <t>taux cap</t>
  </si>
  <si>
    <t>Saint Victoret</t>
  </si>
  <si>
    <t>CC</t>
  </si>
  <si>
    <t>CC=centre commercial</t>
  </si>
  <si>
    <t>Nimes</t>
  </si>
  <si>
    <t>Saint Etienne</t>
  </si>
  <si>
    <t>Code P</t>
  </si>
  <si>
    <t>La Baule</t>
  </si>
  <si>
    <t>Epernay</t>
  </si>
  <si>
    <t>Nancy</t>
  </si>
  <si>
    <t>Lille</t>
  </si>
  <si>
    <t>LC</t>
  </si>
  <si>
    <t>LC=local commercial</t>
  </si>
  <si>
    <t>moyenne</t>
  </si>
  <si>
    <t>écart-type</t>
  </si>
  <si>
    <t>Boulogne/mer</t>
  </si>
  <si>
    <t>Lyon</t>
  </si>
  <si>
    <t>Aix les Bains</t>
  </si>
  <si>
    <t>Paris</t>
  </si>
  <si>
    <t>R</t>
  </si>
  <si>
    <t>R=restaurant</t>
  </si>
  <si>
    <t>Poitiers</t>
  </si>
  <si>
    <t>Longjumeau</t>
  </si>
  <si>
    <t>Nogent</t>
  </si>
  <si>
    <t>Levallois</t>
  </si>
  <si>
    <t>Versailles</t>
  </si>
  <si>
    <t>Saint Germain</t>
  </si>
  <si>
    <t>Beauvais</t>
  </si>
  <si>
    <t>Poissy</t>
  </si>
  <si>
    <t>Alfortville</t>
  </si>
  <si>
    <t>B</t>
  </si>
  <si>
    <t>E</t>
  </si>
  <si>
    <t>Bo=boutique</t>
  </si>
  <si>
    <t>Bo</t>
  </si>
  <si>
    <t>B=bureaux</t>
  </si>
  <si>
    <t>E=entrepôts</t>
  </si>
  <si>
    <t>A</t>
  </si>
  <si>
    <t>A=activités</t>
  </si>
  <si>
    <t>loyer 2010 K€</t>
  </si>
  <si>
    <t>loyer2010/m²</t>
  </si>
  <si>
    <t>Valo 2010/m²</t>
  </si>
  <si>
    <t>valo 2010 K€</t>
  </si>
  <si>
    <t>Trappes</t>
  </si>
  <si>
    <t>Bièvres</t>
  </si>
  <si>
    <t>St Nazaire</t>
  </si>
  <si>
    <t>Chartres</t>
  </si>
  <si>
    <t>Charenton</t>
  </si>
  <si>
    <t>Pantin</t>
  </si>
  <si>
    <t>St Mandé</t>
  </si>
  <si>
    <t>Noisy le Grand</t>
  </si>
  <si>
    <t>Grenoble</t>
  </si>
  <si>
    <t>Le Mans</t>
  </si>
  <si>
    <t>Bailleux</t>
  </si>
  <si>
    <t>Saumur</t>
  </si>
  <si>
    <t>La Rochelle</t>
  </si>
  <si>
    <t>Rouen</t>
  </si>
  <si>
    <t>Clamart</t>
  </si>
  <si>
    <t>Dispersion</t>
  </si>
  <si>
    <t>Maison Alfort</t>
  </si>
  <si>
    <t>Montivilliers</t>
  </si>
  <si>
    <t>Sens</t>
  </si>
  <si>
    <t>Fresnes</t>
  </si>
  <si>
    <t>Reims</t>
  </si>
  <si>
    <t>Sartrouville</t>
  </si>
  <si>
    <t>Vélizy</t>
  </si>
  <si>
    <t>Puteaux</t>
  </si>
  <si>
    <t>Dijon</t>
  </si>
  <si>
    <t>Nevers</t>
  </si>
  <si>
    <t>Courbevoie</t>
  </si>
  <si>
    <t>St Maurice</t>
  </si>
  <si>
    <t>St Denis</t>
  </si>
  <si>
    <t>Le Chesnay</t>
  </si>
  <si>
    <t>Pithiviers</t>
  </si>
  <si>
    <t>Massy</t>
  </si>
  <si>
    <t>St Dizier</t>
  </si>
  <si>
    <t>Limoges</t>
  </si>
  <si>
    <t>Rivesaltes</t>
  </si>
  <si>
    <t>Touques</t>
  </si>
  <si>
    <t>P=parking</t>
  </si>
  <si>
    <t>P</t>
  </si>
  <si>
    <t>Le Raincy</t>
  </si>
  <si>
    <t>Creynet Troyes</t>
  </si>
  <si>
    <t>St Germain</t>
  </si>
  <si>
    <t>Loudun</t>
  </si>
  <si>
    <t>St Estève</t>
  </si>
  <si>
    <t>Vendeville</t>
  </si>
  <si>
    <t>Le Havre</t>
  </si>
  <si>
    <t>Chatellerault</t>
  </si>
  <si>
    <t>St Cyr l'Ecole</t>
  </si>
  <si>
    <t>Velizy</t>
  </si>
  <si>
    <t>Chatenay</t>
  </si>
  <si>
    <t>RN net%loyers</t>
  </si>
  <si>
    <t>MAJ 02 01 2012</t>
  </si>
  <si>
    <t>TRI  5ans</t>
  </si>
  <si>
    <t>champs modifiés</t>
  </si>
  <si>
    <t>Coef reval loyer</t>
  </si>
  <si>
    <t>Coef reval murs</t>
  </si>
  <si>
    <t>MAJ 11 01 2012</t>
  </si>
  <si>
    <t>Rémunération de la société de gestion :</t>
  </si>
  <si>
    <t>Total</t>
  </si>
  <si>
    <t>gestion locative</t>
  </si>
  <si>
    <t>net de gestion loc</t>
  </si>
  <si>
    <t>Net annuel</t>
  </si>
  <si>
    <t>Compte d'exploit avec 50K brut/pers</t>
  </si>
  <si>
    <t>250K/an</t>
  </si>
  <si>
    <t>300K/an</t>
  </si>
  <si>
    <t>Dividendes</t>
  </si>
  <si>
    <t>Capital</t>
  </si>
  <si>
    <t>Si % K</t>
  </si>
  <si>
    <t>Dettes bancaires sur immobilier levier 0.65</t>
  </si>
  <si>
    <t>Nbre opérations</t>
  </si>
  <si>
    <t>Marge/op</t>
  </si>
  <si>
    <t>Global</t>
  </si>
  <si>
    <t>modif des hypothéses</t>
  </si>
  <si>
    <t>1 à 2,5%</t>
  </si>
  <si>
    <t>car bail triple net</t>
  </si>
  <si>
    <t>hors sujet, traité à part</t>
  </si>
  <si>
    <t>normal</t>
  </si>
  <si>
    <t>suite RDV avec GH</t>
  </si>
  <si>
    <t>Porte feuille début de période</t>
  </si>
  <si>
    <t>Porte feuille fin de période</t>
  </si>
  <si>
    <t>Achats période</t>
  </si>
  <si>
    <t>Ventes période</t>
  </si>
  <si>
    <t>8 000K€</t>
  </si>
  <si>
    <t>Début Période</t>
  </si>
  <si>
    <t>Fin Période</t>
  </si>
  <si>
    <t>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</si>
</sst>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0.0000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1" xfId="0" applyNumberFormat="1" applyFont="1" applyBorder="1"/>
    <xf numFmtId="1" fontId="0" fillId="0" borderId="1" xfId="0" applyNumberFormat="1" applyBorder="1"/>
    <xf numFmtId="1" fontId="0" fillId="0" borderId="1" xfId="0" quotePrefix="1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/>
    <xf numFmtId="9" fontId="0" fillId="2" borderId="1" xfId="0" applyNumberFormat="1" applyFill="1" applyBorder="1"/>
    <xf numFmtId="1" fontId="0" fillId="2" borderId="1" xfId="0" applyNumberFormat="1" applyFill="1" applyBorder="1"/>
    <xf numFmtId="10" fontId="0" fillId="2" borderId="1" xfId="0" applyNumberFormat="1" applyFill="1" applyBorder="1"/>
    <xf numFmtId="1" fontId="0" fillId="0" borderId="1" xfId="0" applyNumberFormat="1" applyFont="1" applyBorder="1"/>
    <xf numFmtId="164" fontId="0" fillId="0" borderId="1" xfId="1" applyNumberFormat="1" applyFont="1" applyBorder="1"/>
    <xf numFmtId="1" fontId="0" fillId="2" borderId="1" xfId="0" quotePrefix="1" applyNumberFormat="1" applyFill="1" applyBorder="1"/>
    <xf numFmtId="0" fontId="0" fillId="0" borderId="1" xfId="0" applyFill="1" applyBorder="1"/>
    <xf numFmtId="1" fontId="0" fillId="0" borderId="1" xfId="0" applyNumberFormat="1" applyFill="1" applyBorder="1"/>
    <xf numFmtId="165" fontId="0" fillId="0" borderId="1" xfId="0" applyNumberFormat="1" applyBorder="1"/>
    <xf numFmtId="166" fontId="0" fillId="0" borderId="1" xfId="0" applyNumberFormat="1" applyBorder="1"/>
    <xf numFmtId="0" fontId="0" fillId="0" borderId="2" xfId="0" applyFill="1" applyBorder="1"/>
    <xf numFmtId="164" fontId="0" fillId="2" borderId="1" xfId="0" applyNumberFormat="1" applyFill="1" applyBorder="1"/>
    <xf numFmtId="0" fontId="0" fillId="0" borderId="1" xfId="0" quotePrefix="1" applyBorder="1"/>
    <xf numFmtId="164" fontId="0" fillId="0" borderId="1" xfId="0" applyNumberFormat="1" applyBorder="1"/>
    <xf numFmtId="164" fontId="0" fillId="0" borderId="0" xfId="1" applyNumberFormat="1" applyFont="1"/>
    <xf numFmtId="0" fontId="0" fillId="3" borderId="1" xfId="0" applyFill="1" applyBorder="1"/>
    <xf numFmtId="9" fontId="0" fillId="2" borderId="0" xfId="0" applyNumberFormat="1" applyFill="1"/>
    <xf numFmtId="9" fontId="1" fillId="0" borderId="1" xfId="1" applyFont="1" applyBorder="1"/>
    <xf numFmtId="9" fontId="0" fillId="0" borderId="0" xfId="1" applyFont="1"/>
    <xf numFmtId="167" fontId="0" fillId="0" borderId="1" xfId="0" applyNumberFormat="1" applyFont="1" applyBorder="1"/>
    <xf numFmtId="0" fontId="0" fillId="4" borderId="0" xfId="0" applyFill="1"/>
    <xf numFmtId="1" fontId="0" fillId="4" borderId="0" xfId="0" applyNumberFormat="1" applyFill="1"/>
    <xf numFmtId="1" fontId="0" fillId="0" borderId="0" xfId="0" applyNumberFormat="1" applyBorder="1"/>
    <xf numFmtId="0" fontId="1" fillId="0" borderId="1" xfId="0" applyFont="1" applyBorder="1"/>
    <xf numFmtId="0" fontId="1" fillId="0" borderId="1" xfId="0" applyFont="1" applyFill="1" applyBorder="1"/>
    <xf numFmtId="1" fontId="1" fillId="0" borderId="1" xfId="0" applyNumberFormat="1" applyFont="1" applyFill="1" applyBorder="1"/>
    <xf numFmtId="0" fontId="0" fillId="5" borderId="0" xfId="0" applyFill="1"/>
    <xf numFmtId="164" fontId="1" fillId="0" borderId="1" xfId="1" applyNumberFormat="1" applyFont="1" applyBorder="1"/>
    <xf numFmtId="164" fontId="1" fillId="0" borderId="1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6" fillId="0" borderId="0" xfId="0" applyNumberFormat="1" applyFont="1" applyBorder="1"/>
    <xf numFmtId="0" fontId="5" fillId="0" borderId="0" xfId="0" applyFont="1" applyBorder="1"/>
    <xf numFmtId="0" fontId="0" fillId="0" borderId="13" xfId="0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9" fontId="0" fillId="0" borderId="1" xfId="0" applyNumberFormat="1" applyBorder="1"/>
    <xf numFmtId="167" fontId="0" fillId="0" borderId="1" xfId="0" applyNumberFormat="1" applyBorder="1"/>
    <xf numFmtId="167" fontId="0" fillId="0" borderId="1" xfId="0" quotePrefix="1" applyNumberFormat="1" applyBorder="1"/>
    <xf numFmtId="167" fontId="1" fillId="0" borderId="1" xfId="0" applyNumberFormat="1" applyFont="1" applyBorder="1"/>
    <xf numFmtId="167" fontId="0" fillId="0" borderId="1" xfId="1" applyNumberFormat="1" applyFont="1" applyBorder="1"/>
    <xf numFmtId="14" fontId="0" fillId="0" borderId="0" xfId="0" applyNumberFormat="1"/>
    <xf numFmtId="1" fontId="0" fillId="0" borderId="0" xfId="1" applyNumberFormat="1" applyFont="1"/>
    <xf numFmtId="9" fontId="0" fillId="0" borderId="1" xfId="1" applyFont="1" applyBorder="1"/>
    <xf numFmtId="167" fontId="0" fillId="0" borderId="0" xfId="0" applyNumberFormat="1"/>
    <xf numFmtId="9" fontId="0" fillId="0" borderId="0" xfId="0" applyNumberFormat="1"/>
    <xf numFmtId="10" fontId="0" fillId="0" borderId="1" xfId="0" applyNumberForma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center"/>
    </xf>
    <xf numFmtId="0" fontId="7" fillId="0" borderId="14" xfId="0" applyFont="1" applyBorder="1"/>
    <xf numFmtId="0" fontId="7" fillId="0" borderId="3" xfId="0" applyFont="1" applyBorder="1"/>
    <xf numFmtId="0" fontId="8" fillId="0" borderId="2" xfId="0" applyFont="1" applyBorder="1"/>
    <xf numFmtId="164" fontId="0" fillId="2" borderId="14" xfId="0" applyNumberFormat="1" applyFill="1" applyBorder="1" applyAlignment="1">
      <alignment horizontal="center"/>
    </xf>
    <xf numFmtId="9" fontId="0" fillId="2" borderId="0" xfId="1" applyFont="1" applyFill="1"/>
    <xf numFmtId="0" fontId="1" fillId="0" borderId="1" xfId="0" applyFont="1" applyBorder="1" applyAlignment="1">
      <alignment horizontal="center"/>
    </xf>
    <xf numFmtId="1" fontId="1" fillId="0" borderId="0" xfId="0" applyNumberFormat="1" applyFont="1"/>
    <xf numFmtId="1" fontId="0" fillId="0" borderId="2" xfId="0" applyNumberFormat="1" applyBorder="1"/>
    <xf numFmtId="1" fontId="0" fillId="0" borderId="14" xfId="0" applyNumberFormat="1" applyBorder="1"/>
    <xf numFmtId="0" fontId="0" fillId="0" borderId="14" xfId="0" applyBorder="1"/>
    <xf numFmtId="0" fontId="1" fillId="0" borderId="1" xfId="0" applyFont="1" applyBorder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1" fillId="0" borderId="1" xfId="0" applyNumberFormat="1" applyFont="1" applyBorder="1"/>
    <xf numFmtId="10" fontId="1" fillId="0" borderId="1" xfId="1" applyNumberFormat="1" applyFont="1" applyBorder="1"/>
    <xf numFmtId="0" fontId="0" fillId="2" borderId="0" xfId="0" applyFill="1"/>
    <xf numFmtId="9" fontId="0" fillId="6" borderId="1" xfId="0" applyNumberFormat="1" applyFill="1" applyBorder="1"/>
    <xf numFmtId="0" fontId="0" fillId="6" borderId="1" xfId="0" applyFill="1" applyBorder="1"/>
    <xf numFmtId="0" fontId="0" fillId="6" borderId="0" xfId="0" applyFill="1"/>
    <xf numFmtId="0" fontId="0" fillId="0" borderId="0" xfId="0" applyFill="1"/>
    <xf numFmtId="0" fontId="0" fillId="0" borderId="3" xfId="0" applyFill="1" applyBorder="1"/>
    <xf numFmtId="9" fontId="0" fillId="0" borderId="1" xfId="0" applyNumberFormat="1" applyFill="1" applyBorder="1"/>
    <xf numFmtId="164" fontId="0" fillId="0" borderId="1" xfId="0" applyNumberFormat="1" applyFill="1" applyBorder="1"/>
    <xf numFmtId="1" fontId="0" fillId="0" borderId="1" xfId="0" applyNumberFormat="1" applyFont="1" applyFill="1" applyBorder="1"/>
    <xf numFmtId="10" fontId="0" fillId="0" borderId="1" xfId="0" applyNumberFormat="1" applyFill="1" applyBorder="1"/>
    <xf numFmtId="1" fontId="0" fillId="0" borderId="0" xfId="0" applyNumberFormat="1" applyFill="1"/>
    <xf numFmtId="1" fontId="0" fillId="0" borderId="1" xfId="0" quotePrefix="1" applyNumberFormat="1" applyFill="1" applyBorder="1"/>
    <xf numFmtId="10" fontId="1" fillId="0" borderId="1" xfId="1" applyNumberFormat="1" applyFont="1" applyFill="1" applyBorder="1"/>
    <xf numFmtId="1" fontId="1" fillId="0" borderId="0" xfId="0" applyNumberFormat="1" applyFont="1" applyFill="1"/>
    <xf numFmtId="1" fontId="0" fillId="0" borderId="2" xfId="0" applyNumberFormat="1" applyFill="1" applyBorder="1"/>
    <xf numFmtId="1" fontId="0" fillId="0" borderId="14" xfId="0" applyNumberFormat="1" applyFill="1" applyBorder="1"/>
    <xf numFmtId="0" fontId="0" fillId="0" borderId="14" xfId="0" applyFill="1" applyBorder="1"/>
    <xf numFmtId="10" fontId="1" fillId="0" borderId="1" xfId="0" applyNumberFormat="1" applyFont="1" applyBorder="1"/>
    <xf numFmtId="14" fontId="0" fillId="2" borderId="0" xfId="0" applyNumberFormat="1" applyFill="1"/>
    <xf numFmtId="1" fontId="0" fillId="0" borderId="1" xfId="0" applyNumberFormat="1" applyBorder="1" applyAlignment="1">
      <alignment horizontal="center"/>
    </xf>
    <xf numFmtId="0" fontId="9" fillId="2" borderId="1" xfId="0" applyFont="1" applyFill="1" applyBorder="1"/>
    <xf numFmtId="1" fontId="9" fillId="2" borderId="1" xfId="0" applyNumberFormat="1" applyFont="1" applyFill="1" applyBorder="1"/>
    <xf numFmtId="0" fontId="1" fillId="2" borderId="1" xfId="0" applyFont="1" applyFill="1" applyBorder="1"/>
    <xf numFmtId="0" fontId="0" fillId="0" borderId="15" xfId="0" applyBorder="1"/>
    <xf numFmtId="0" fontId="9" fillId="2" borderId="0" xfId="0" applyFont="1" applyFill="1"/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quotePrefix="1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" fontId="0" fillId="7" borderId="1" xfId="0" applyNumberFormat="1" applyFill="1" applyBorder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7</xdr:row>
      <xdr:rowOff>19050</xdr:rowOff>
    </xdr:from>
    <xdr:to>
      <xdr:col>6</xdr:col>
      <xdr:colOff>257175</xdr:colOff>
      <xdr:row>10</xdr:row>
      <xdr:rowOff>133350</xdr:rowOff>
    </xdr:to>
    <xdr:sp macro="" textlink="">
      <xdr:nvSpPr>
        <xdr:cNvPr id="2" name="Line 10"/>
        <xdr:cNvSpPr>
          <a:spLocks noChangeShapeType="1"/>
        </xdr:cNvSpPr>
      </xdr:nvSpPr>
      <xdr:spPr bwMode="auto">
        <a:xfrm>
          <a:off x="2295525" y="14020800"/>
          <a:ext cx="69532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7</xdr:row>
      <xdr:rowOff>19050</xdr:rowOff>
    </xdr:from>
    <xdr:to>
      <xdr:col>9</xdr:col>
      <xdr:colOff>247650</xdr:colOff>
      <xdr:row>10</xdr:row>
      <xdr:rowOff>133350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 flipH="1">
          <a:off x="3009900" y="14020800"/>
          <a:ext cx="790575" cy="600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304800</xdr:colOff>
      <xdr:row>10</xdr:row>
      <xdr:rowOff>38100</xdr:rowOff>
    </xdr:from>
    <xdr:to>
      <xdr:col>13</xdr:col>
      <xdr:colOff>314325</xdr:colOff>
      <xdr:row>13</xdr:row>
      <xdr:rowOff>76200</xdr:rowOff>
    </xdr:to>
    <xdr:sp macro="" textlink="">
      <xdr:nvSpPr>
        <xdr:cNvPr id="5" name="Oval 13"/>
        <xdr:cNvSpPr>
          <a:spLocks noChangeArrowheads="1"/>
        </xdr:cNvSpPr>
      </xdr:nvSpPr>
      <xdr:spPr bwMode="auto">
        <a:xfrm>
          <a:off x="3733800" y="1990725"/>
          <a:ext cx="1038225" cy="6286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5</xdr:row>
      <xdr:rowOff>38100</xdr:rowOff>
    </xdr:from>
    <xdr:to>
      <xdr:col>8</xdr:col>
      <xdr:colOff>238125</xdr:colOff>
      <xdr:row>6</xdr:row>
      <xdr:rowOff>28575</xdr:rowOff>
    </xdr:to>
    <xdr:sp macro="" textlink="">
      <xdr:nvSpPr>
        <xdr:cNvPr id="6" name="AutoShape 30"/>
        <xdr:cNvSpPr>
          <a:spLocks noChangeArrowheads="1"/>
        </xdr:cNvSpPr>
      </xdr:nvSpPr>
      <xdr:spPr bwMode="auto">
        <a:xfrm>
          <a:off x="2552700" y="13696950"/>
          <a:ext cx="962025" cy="161925"/>
        </a:xfrm>
        <a:prstGeom prst="leftRightArrow">
          <a:avLst>
            <a:gd name="adj1" fmla="val 50000"/>
            <a:gd name="adj2" fmla="val 12209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13</xdr:row>
      <xdr:rowOff>9526</xdr:rowOff>
    </xdr:from>
    <xdr:to>
      <xdr:col>6</xdr:col>
      <xdr:colOff>381000</xdr:colOff>
      <xdr:row>14</xdr:row>
      <xdr:rowOff>161926</xdr:rowOff>
    </xdr:to>
    <xdr:sp macro="" textlink="">
      <xdr:nvSpPr>
        <xdr:cNvPr id="7" name="Line 33"/>
        <xdr:cNvSpPr>
          <a:spLocks noChangeShapeType="1"/>
        </xdr:cNvSpPr>
      </xdr:nvSpPr>
      <xdr:spPr bwMode="auto">
        <a:xfrm>
          <a:off x="3171825" y="2562226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238125</xdr:colOff>
      <xdr:row>15</xdr:row>
      <xdr:rowOff>0</xdr:rowOff>
    </xdr:from>
    <xdr:to>
      <xdr:col>10</xdr:col>
      <xdr:colOff>142875</xdr:colOff>
      <xdr:row>15</xdr:row>
      <xdr:rowOff>2</xdr:rowOff>
    </xdr:to>
    <xdr:cxnSp macro="">
      <xdr:nvCxnSpPr>
        <xdr:cNvPr id="11" name="Connecteur droit 10"/>
        <xdr:cNvCxnSpPr/>
      </xdr:nvCxnSpPr>
      <xdr:spPr>
        <a:xfrm flipV="1">
          <a:off x="1838325" y="2933700"/>
          <a:ext cx="2705100" cy="2"/>
        </a:xfrm>
        <a:prstGeom prst="line">
          <a:avLst/>
        </a:prstGeom>
        <a:ln w="222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247650</xdr:colOff>
      <xdr:row>15</xdr:row>
      <xdr:rowOff>9525</xdr:rowOff>
    </xdr:from>
    <xdr:to>
      <xdr:col>3</xdr:col>
      <xdr:colOff>257175</xdr:colOff>
      <xdr:row>16</xdr:row>
      <xdr:rowOff>161925</xdr:rowOff>
    </xdr:to>
    <xdr:sp macro="" textlink="">
      <xdr:nvSpPr>
        <xdr:cNvPr id="12" name="Line 33"/>
        <xdr:cNvSpPr>
          <a:spLocks noChangeShapeType="1"/>
        </xdr:cNvSpPr>
      </xdr:nvSpPr>
      <xdr:spPr bwMode="auto">
        <a:xfrm>
          <a:off x="1847850" y="294322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76200</xdr:colOff>
      <xdr:row>15</xdr:row>
      <xdr:rowOff>0</xdr:rowOff>
    </xdr:from>
    <xdr:to>
      <xdr:col>5</xdr:col>
      <xdr:colOff>85725</xdr:colOff>
      <xdr:row>16</xdr:row>
      <xdr:rowOff>152400</xdr:rowOff>
    </xdr:to>
    <xdr:sp macro="" textlink="">
      <xdr:nvSpPr>
        <xdr:cNvPr id="13" name="Line 33"/>
        <xdr:cNvSpPr>
          <a:spLocks noChangeShapeType="1"/>
        </xdr:cNvSpPr>
      </xdr:nvSpPr>
      <xdr:spPr bwMode="auto">
        <a:xfrm>
          <a:off x="24098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14</xdr:row>
      <xdr:rowOff>180975</xdr:rowOff>
    </xdr:from>
    <xdr:to>
      <xdr:col>7</xdr:col>
      <xdr:colOff>19050</xdr:colOff>
      <xdr:row>16</xdr:row>
      <xdr:rowOff>142875</xdr:rowOff>
    </xdr:to>
    <xdr:sp macro="" textlink="">
      <xdr:nvSpPr>
        <xdr:cNvPr id="14" name="Line 33"/>
        <xdr:cNvSpPr>
          <a:spLocks noChangeShapeType="1"/>
        </xdr:cNvSpPr>
      </xdr:nvSpPr>
      <xdr:spPr bwMode="auto">
        <a:xfrm>
          <a:off x="26003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333375</xdr:colOff>
      <xdr:row>14</xdr:row>
      <xdr:rowOff>180975</xdr:rowOff>
    </xdr:from>
    <xdr:to>
      <xdr:col>8</xdr:col>
      <xdr:colOff>342900</xdr:colOff>
      <xdr:row>16</xdr:row>
      <xdr:rowOff>142875</xdr:rowOff>
    </xdr:to>
    <xdr:sp macro="" textlink="">
      <xdr:nvSpPr>
        <xdr:cNvPr id="15" name="Line 33"/>
        <xdr:cNvSpPr>
          <a:spLocks noChangeShapeType="1"/>
        </xdr:cNvSpPr>
      </xdr:nvSpPr>
      <xdr:spPr bwMode="auto">
        <a:xfrm>
          <a:off x="3933825" y="2924175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142875</xdr:colOff>
      <xdr:row>15</xdr:row>
      <xdr:rowOff>0</xdr:rowOff>
    </xdr:from>
    <xdr:to>
      <xdr:col>10</xdr:col>
      <xdr:colOff>152400</xdr:colOff>
      <xdr:row>16</xdr:row>
      <xdr:rowOff>152400</xdr:rowOff>
    </xdr:to>
    <xdr:sp macro="" textlink="">
      <xdr:nvSpPr>
        <xdr:cNvPr id="19" name="Line 33"/>
        <xdr:cNvSpPr>
          <a:spLocks noChangeShapeType="1"/>
        </xdr:cNvSpPr>
      </xdr:nvSpPr>
      <xdr:spPr bwMode="auto">
        <a:xfrm>
          <a:off x="4543425" y="2933700"/>
          <a:ext cx="9525" cy="34290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123825</xdr:colOff>
      <xdr:row>14</xdr:row>
      <xdr:rowOff>38100</xdr:rowOff>
    </xdr:from>
    <xdr:to>
      <xdr:col>12</xdr:col>
      <xdr:colOff>238125</xdr:colOff>
      <xdr:row>18</xdr:row>
      <xdr:rowOff>114300</xdr:rowOff>
    </xdr:to>
    <xdr:sp macro="" textlink="">
      <xdr:nvSpPr>
        <xdr:cNvPr id="23" name="Virage 22"/>
        <xdr:cNvSpPr/>
      </xdr:nvSpPr>
      <xdr:spPr>
        <a:xfrm rot="10800000">
          <a:off x="4667250" y="2781300"/>
          <a:ext cx="552450" cy="847725"/>
        </a:xfrm>
        <a:prstGeom prst="ben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zoomScale="80" zoomScaleNormal="80" workbookViewId="0">
      <selection activeCell="J29" sqref="J29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28515625" customWidth="1"/>
    <col min="9" max="9" width="11.2851562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40938</v>
      </c>
      <c r="J2" s="88"/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11580.828000000001</v>
      </c>
      <c r="N5" s="13">
        <f t="shared" si="0"/>
        <v>15681.625608000002</v>
      </c>
      <c r="O5" s="13">
        <f t="shared" si="0"/>
        <v>16999.436038680004</v>
      </c>
      <c r="P5" s="13">
        <f t="shared" si="0"/>
        <v>18330.984173579403</v>
      </c>
      <c r="Q5" s="13">
        <f t="shared" si="0"/>
        <v>16450.918377008995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I6" t="s">
        <v>53</v>
      </c>
      <c r="J6" s="4" t="s">
        <v>20</v>
      </c>
      <c r="K6" s="13">
        <f t="shared" si="0"/>
        <v>5000</v>
      </c>
      <c r="L6" s="13">
        <f t="shared" si="0"/>
        <v>2715.2</v>
      </c>
      <c r="M6" s="13">
        <f t="shared" si="0"/>
        <v>821.11200000000008</v>
      </c>
      <c r="N6" s="13">
        <f t="shared" si="0"/>
        <v>51.871105333333617</v>
      </c>
      <c r="O6" s="13">
        <f t="shared" si="0"/>
        <v>73.879640997778097</v>
      </c>
      <c r="P6" s="13">
        <f t="shared" si="0"/>
        <v>23.659989228359791</v>
      </c>
      <c r="Q6" s="13">
        <f t="shared" si="0"/>
        <v>1013.4161749449166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5000</v>
      </c>
      <c r="L8" s="13">
        <f t="shared" si="1"/>
        <v>5000</v>
      </c>
      <c r="M8" s="13">
        <f t="shared" si="1"/>
        <v>5000</v>
      </c>
      <c r="N8" s="13">
        <f t="shared" si="1"/>
        <v>5000</v>
      </c>
      <c r="O8" s="13">
        <f t="shared" si="1"/>
        <v>5000</v>
      </c>
      <c r="P8" s="13">
        <f t="shared" si="1"/>
        <v>5000</v>
      </c>
      <c r="Q8" s="13">
        <f t="shared" si="1"/>
        <v>5000</v>
      </c>
      <c r="R8" s="4"/>
    </row>
    <row r="9" spans="1:18" x14ac:dyDescent="0.25">
      <c r="A9" s="16" t="s">
        <v>58</v>
      </c>
      <c r="B9" s="9">
        <v>5000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4368.0000000000009</v>
      </c>
      <c r="M9" s="13">
        <f t="shared" si="1"/>
        <v>7401.9400000000014</v>
      </c>
      <c r="N9" s="13">
        <f t="shared" si="1"/>
        <v>10733.496713333334</v>
      </c>
      <c r="O9" s="13">
        <f t="shared" si="1"/>
        <v>12073.315679677778</v>
      </c>
      <c r="P9" s="13">
        <f t="shared" si="1"/>
        <v>13354.644162807759</v>
      </c>
      <c r="Q9" s="13">
        <f t="shared" si="1"/>
        <v>12464.334551953909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5000</v>
      </c>
      <c r="L10" s="13">
        <f t="shared" si="1"/>
        <v>9368</v>
      </c>
      <c r="M10" s="13">
        <f t="shared" si="1"/>
        <v>12401.940000000002</v>
      </c>
      <c r="N10" s="13">
        <f t="shared" si="1"/>
        <v>15733.496713333334</v>
      </c>
      <c r="O10" s="13">
        <f t="shared" si="1"/>
        <v>17073.315679677777</v>
      </c>
      <c r="P10" s="13">
        <f t="shared" si="1"/>
        <v>18354.644162807759</v>
      </c>
      <c r="Q10" s="13">
        <f t="shared" si="1"/>
        <v>17464.334551953907</v>
      </c>
      <c r="R10" s="4"/>
    </row>
    <row r="11" spans="1:18" x14ac:dyDescent="0.25">
      <c r="A11" s="113" t="s">
        <v>32</v>
      </c>
      <c r="B11" s="113">
        <v>2012</v>
      </c>
      <c r="C11" s="113">
        <f>B11+1</f>
        <v>2013</v>
      </c>
      <c r="D11" s="113">
        <f t="shared" ref="D11:H11" si="2">C11+1</f>
        <v>2014</v>
      </c>
      <c r="E11" s="113">
        <f t="shared" si="2"/>
        <v>2015</v>
      </c>
      <c r="F11" s="113">
        <f t="shared" si="2"/>
        <v>2016</v>
      </c>
      <c r="G11" s="113">
        <f t="shared" si="2"/>
        <v>2017</v>
      </c>
      <c r="H11" s="11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ht="30" x14ac:dyDescent="0.25">
      <c r="A12" s="114" t="s">
        <v>234</v>
      </c>
      <c r="B12" s="115">
        <v>0</v>
      </c>
      <c r="C12" s="115">
        <f>B15</f>
        <v>0</v>
      </c>
      <c r="D12" s="115">
        <f>C15</f>
        <v>20</v>
      </c>
      <c r="E12" s="115">
        <f t="shared" ref="E12:H12" si="3">D15</f>
        <v>35</v>
      </c>
      <c r="F12" s="115">
        <f t="shared" si="3"/>
        <v>47</v>
      </c>
      <c r="G12" s="115">
        <f t="shared" si="3"/>
        <v>51</v>
      </c>
      <c r="H12" s="115">
        <f t="shared" si="3"/>
        <v>55</v>
      </c>
      <c r="I12" s="2"/>
      <c r="J12" s="2"/>
      <c r="K12" s="2"/>
    </row>
    <row r="13" spans="1:18" x14ac:dyDescent="0.25">
      <c r="A13" s="115" t="s">
        <v>236</v>
      </c>
      <c r="B13" s="115"/>
      <c r="C13" s="115">
        <v>20</v>
      </c>
      <c r="D13" s="116">
        <v>15</v>
      </c>
      <c r="E13" s="115">
        <v>17</v>
      </c>
      <c r="F13" s="115">
        <v>9</v>
      </c>
      <c r="G13" s="115">
        <v>9</v>
      </c>
      <c r="H13" s="115"/>
      <c r="I13" s="2"/>
      <c r="J13" s="3" t="s">
        <v>59</v>
      </c>
      <c r="K13" s="87">
        <f>B71</f>
        <v>8.5891513698502342E-2</v>
      </c>
    </row>
    <row r="14" spans="1:18" x14ac:dyDescent="0.25">
      <c r="A14" s="115" t="s">
        <v>237</v>
      </c>
      <c r="B14" s="115"/>
      <c r="C14" s="115">
        <v>0</v>
      </c>
      <c r="D14" s="115">
        <v>0</v>
      </c>
      <c r="E14" s="115">
        <v>-5</v>
      </c>
      <c r="F14" s="115">
        <v>-5</v>
      </c>
      <c r="G14" s="115">
        <v>-5</v>
      </c>
      <c r="H14" s="115">
        <v>-5</v>
      </c>
      <c r="I14" s="2"/>
      <c r="J14" s="3" t="s">
        <v>60</v>
      </c>
      <c r="K14" s="87">
        <f>B72</f>
        <v>0.10733281689176444</v>
      </c>
    </row>
    <row r="15" spans="1:18" ht="30" x14ac:dyDescent="0.25">
      <c r="A15" s="114" t="s">
        <v>235</v>
      </c>
      <c r="B15" s="115">
        <f>B12+B13+B14</f>
        <v>0</v>
      </c>
      <c r="C15" s="115">
        <f>C12+C13+C14</f>
        <v>20</v>
      </c>
      <c r="D15" s="115">
        <f>D12+D13+D14</f>
        <v>35</v>
      </c>
      <c r="E15" s="115">
        <f t="shared" ref="E15:H15" si="4">E12+E13+E14</f>
        <v>47</v>
      </c>
      <c r="F15" s="115">
        <f t="shared" si="4"/>
        <v>51</v>
      </c>
      <c r="G15" s="115">
        <f t="shared" si="4"/>
        <v>55</v>
      </c>
      <c r="H15" s="115">
        <f t="shared" si="4"/>
        <v>50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27.5</v>
      </c>
      <c r="E16" s="4">
        <f t="shared" ref="E16:H16" si="5">(E12+E15)/2</f>
        <v>41</v>
      </c>
      <c r="F16" s="4">
        <f t="shared" si="5"/>
        <v>49</v>
      </c>
      <c r="G16" s="4">
        <f t="shared" si="5"/>
        <v>53</v>
      </c>
      <c r="H16" s="4">
        <f t="shared" si="5"/>
        <v>52.5</v>
      </c>
      <c r="I16" s="2"/>
      <c r="J16" s="2"/>
      <c r="K16" s="2"/>
    </row>
    <row r="17" spans="1:21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  <c r="S17" s="112" t="s">
        <v>233</v>
      </c>
      <c r="T17" s="112"/>
      <c r="U17" s="112"/>
    </row>
    <row r="18" spans="1:21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  <c r="S18" s="88" t="s">
        <v>228</v>
      </c>
      <c r="T18" s="88"/>
      <c r="U18" s="88"/>
    </row>
    <row r="19" spans="1:21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840</v>
      </c>
      <c r="S19" s="88" t="s">
        <v>229</v>
      </c>
      <c r="T19" s="88"/>
      <c r="U19" s="88"/>
    </row>
    <row r="20" spans="1:21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1</v>
      </c>
      <c r="R20" s="4">
        <f>SUM(C28:H28)*$Q$20</f>
        <v>713.75805147208473</v>
      </c>
      <c r="S20" s="88" t="s">
        <v>230</v>
      </c>
      <c r="T20" s="88"/>
      <c r="U20" s="88"/>
    </row>
    <row r="21" spans="1:21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10817.362499999997</v>
      </c>
      <c r="F21" s="4">
        <f t="shared" si="9"/>
        <v>14744.065087499997</v>
      </c>
      <c r="G21" s="4">
        <f t="shared" si="9"/>
        <v>16238.862324562495</v>
      </c>
      <c r="H21" s="4">
        <f t="shared" si="9"/>
        <v>17775.18606409218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375</v>
      </c>
      <c r="S21" s="88" t="s">
        <v>231</v>
      </c>
      <c r="T21" s="88"/>
      <c r="U21" s="88"/>
    </row>
    <row r="22" spans="1:21" x14ac:dyDescent="0.25">
      <c r="A22" s="4" t="s">
        <v>29</v>
      </c>
      <c r="B22" s="4"/>
      <c r="C22" s="4">
        <f>C16*C17</f>
        <v>3000</v>
      </c>
      <c r="D22" s="4">
        <f t="shared" ref="D22:H22" si="10">D16*D17</f>
        <v>8373.7499999999982</v>
      </c>
      <c r="E22" s="4">
        <f t="shared" si="10"/>
        <v>12671.767499999998</v>
      </c>
      <c r="F22" s="4">
        <f t="shared" si="10"/>
        <v>15371.472112499996</v>
      </c>
      <c r="G22" s="4">
        <f t="shared" si="10"/>
        <v>16875.680454937494</v>
      </c>
      <c r="H22" s="4">
        <f t="shared" si="10"/>
        <v>16967.223061178898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225</v>
      </c>
      <c r="S22" s="88" t="s">
        <v>232</v>
      </c>
      <c r="T22" s="88"/>
      <c r="U22" s="88"/>
    </row>
    <row r="23" spans="1:21" x14ac:dyDescent="0.25">
      <c r="A23" s="4" t="s">
        <v>30</v>
      </c>
      <c r="B23" s="4"/>
      <c r="C23" s="4">
        <f>C15*C17</f>
        <v>6000</v>
      </c>
      <c r="D23" s="4">
        <f t="shared" ref="D23:H23" si="11">D15*D17</f>
        <v>10657.499999999998</v>
      </c>
      <c r="E23" s="4">
        <f t="shared" si="11"/>
        <v>14526.172499999997</v>
      </c>
      <c r="F23" s="4">
        <f t="shared" si="11"/>
        <v>15998.879137499996</v>
      </c>
      <c r="G23" s="4">
        <f t="shared" si="11"/>
        <v>17512.498585312493</v>
      </c>
      <c r="H23" s="4">
        <f t="shared" si="11"/>
        <v>16159.26005826562</v>
      </c>
      <c r="I23" s="2" t="s">
        <v>53</v>
      </c>
      <c r="J23" s="2"/>
      <c r="K23" s="2"/>
      <c r="Q23" s="6" t="s">
        <v>23</v>
      </c>
      <c r="R23" s="4">
        <f>SUM(R19:R22)</f>
        <v>2153.7580514720848</v>
      </c>
    </row>
    <row r="24" spans="1:21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1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1904.2548308832511</v>
      </c>
    </row>
    <row r="26" spans="1:21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690.14772749999963</v>
      </c>
      <c r="E26" s="3">
        <f t="shared" si="13"/>
        <v>1060.0474598222245</v>
      </c>
      <c r="F26" s="3">
        <f t="shared" si="13"/>
        <v>1305.1776175724924</v>
      </c>
      <c r="G26" s="3">
        <f t="shared" si="13"/>
        <v>1454.3920487014675</v>
      </c>
      <c r="H26" s="3">
        <f t="shared" si="13"/>
        <v>1484.2156611246626</v>
      </c>
      <c r="I26" s="107">
        <f>SUM(C26:H26)</f>
        <v>6237.5805147208466</v>
      </c>
      <c r="J26" s="4">
        <f>I26*4%</f>
        <v>249.50322058883387</v>
      </c>
      <c r="K26" s="2"/>
      <c r="O26" s="108" t="s">
        <v>217</v>
      </c>
      <c r="P26" s="108"/>
      <c r="Q26" s="108"/>
      <c r="R26" s="109">
        <f>R25/6</f>
        <v>317.3758051472085</v>
      </c>
    </row>
    <row r="27" spans="1:21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4.1408863649999983</v>
      </c>
      <c r="E27" s="29">
        <f t="shared" si="14"/>
        <v>6.3602847589333473</v>
      </c>
      <c r="F27" s="29">
        <f t="shared" si="14"/>
        <v>7.8310657054349546</v>
      </c>
      <c r="G27" s="29">
        <f t="shared" si="14"/>
        <v>8.726352292208805</v>
      </c>
      <c r="H27" s="29">
        <f t="shared" si="14"/>
        <v>8.9052939667479762</v>
      </c>
      <c r="I27" s="14">
        <v>6.0000000000000001E-3</v>
      </c>
      <c r="J27" s="2"/>
      <c r="K27" s="2"/>
    </row>
    <row r="28" spans="1:21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84.014772749999963</v>
      </c>
      <c r="E28" s="4">
        <f t="shared" si="15"/>
        <v>121.00474598222246</v>
      </c>
      <c r="F28" s="4">
        <f t="shared" si="15"/>
        <v>145.51776175724925</v>
      </c>
      <c r="G28" s="4">
        <f t="shared" si="15"/>
        <v>160.43920487014677</v>
      </c>
      <c r="H28" s="4">
        <f t="shared" si="15"/>
        <v>163.42156611246625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21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56.25</v>
      </c>
      <c r="F29" s="4">
        <f t="shared" si="16"/>
        <v>56.25</v>
      </c>
      <c r="G29" s="4">
        <f t="shared" si="16"/>
        <v>56.25</v>
      </c>
      <c r="H29" s="4">
        <f t="shared" si="16"/>
        <v>56.25</v>
      </c>
      <c r="I29" s="2"/>
      <c r="J29" s="2"/>
      <c r="K29" s="2"/>
    </row>
    <row r="30" spans="1:21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187.57199999999997</v>
      </c>
      <c r="E30" s="4">
        <f t="shared" si="17"/>
        <v>283.84759200000002</v>
      </c>
      <c r="F30" s="4">
        <f t="shared" si="17"/>
        <v>344.32097531999995</v>
      </c>
      <c r="G30" s="4">
        <f t="shared" si="17"/>
        <v>378.01524219059991</v>
      </c>
      <c r="H30" s="4">
        <f t="shared" si="17"/>
        <v>380.06579657040737</v>
      </c>
      <c r="I30" s="2"/>
      <c r="J30" s="2"/>
      <c r="K30" s="2"/>
    </row>
    <row r="31" spans="1:21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414.42006838499975</v>
      </c>
      <c r="E31" s="3">
        <f t="shared" si="18"/>
        <v>592.5848370810686</v>
      </c>
      <c r="F31" s="3">
        <f t="shared" si="18"/>
        <v>751.25781478980832</v>
      </c>
      <c r="G31" s="3">
        <f t="shared" si="18"/>
        <v>850.96124934851196</v>
      </c>
      <c r="H31" s="3">
        <f t="shared" si="18"/>
        <v>875.57300447504088</v>
      </c>
      <c r="I31" s="2"/>
      <c r="J31" s="2"/>
      <c r="K31" s="2"/>
    </row>
    <row r="32" spans="1:21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0.60048023324832289</v>
      </c>
      <c r="E32" s="27">
        <f t="shared" si="19"/>
        <v>0.55901727001963497</v>
      </c>
      <c r="F32" s="27">
        <f t="shared" si="19"/>
        <v>0.57559814440204482</v>
      </c>
      <c r="G32" s="27">
        <f t="shared" si="19"/>
        <v>0.58509756713004601</v>
      </c>
      <c r="H32" s="27">
        <f t="shared" si="19"/>
        <v>0.58992303302579119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426.29999999999995</v>
      </c>
      <c r="F33" s="4">
        <f t="shared" si="20"/>
        <v>432.69449999999995</v>
      </c>
      <c r="G33" s="4">
        <f t="shared" si="20"/>
        <v>439.18491749999993</v>
      </c>
      <c r="H33" s="4">
        <f t="shared" si="20"/>
        <v>445.77269126249985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-98.280000000000015</v>
      </c>
      <c r="D34" s="4">
        <f t="shared" ref="D34:H34" si="21">-$F$6*(C54-C51)</f>
        <v>-74.376000000000047</v>
      </c>
      <c r="E34" s="4">
        <f t="shared" si="21"/>
        <v>-296.13726000000003</v>
      </c>
      <c r="F34" s="4">
        <f t="shared" si="21"/>
        <v>-480.67315236000002</v>
      </c>
      <c r="G34" s="4">
        <f t="shared" si="21"/>
        <v>-539.97462174060001</v>
      </c>
      <c r="H34" s="4">
        <f t="shared" si="21"/>
        <v>-599.89428781107301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-5.5947599999999911</v>
      </c>
      <c r="D35" s="4">
        <f>IF((D31+D33+D34)&gt;0,-(D31+D33+D34)*$F$7,0)</f>
        <v>-51.006610257749955</v>
      </c>
      <c r="E35" s="4">
        <f t="shared" ref="E35:H35" si="22">IF((E31+E33+E34)&gt;0,-(E31+E33+E34)*$F$7,0)</f>
        <v>-108.41213656216028</v>
      </c>
      <c r="F35" s="4">
        <f t="shared" si="22"/>
        <v>-105.49187436447123</v>
      </c>
      <c r="G35" s="4">
        <f t="shared" si="22"/>
        <v>-112.52573176618678</v>
      </c>
      <c r="H35" s="4">
        <f t="shared" si="22"/>
        <v>-108.21771118897014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31.703639999999954</v>
      </c>
      <c r="D36" s="3">
        <f>D31+D33+D34+D35</f>
        <v>289.03745812724975</v>
      </c>
      <c r="E36" s="3">
        <f t="shared" ref="E36:H36" si="23">E31+E33+E34+E35</f>
        <v>614.33544051890829</v>
      </c>
      <c r="F36" s="3">
        <f t="shared" si="23"/>
        <v>597.78728806533707</v>
      </c>
      <c r="G36" s="3">
        <f t="shared" si="23"/>
        <v>637.6458133417251</v>
      </c>
      <c r="H36" s="3">
        <f t="shared" si="23"/>
        <v>613.23369673749744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0.13014630541871905</v>
      </c>
      <c r="D37" s="27">
        <f t="shared" ref="D37:H37" si="24">D36/D26</f>
        <v>0.41880520156787721</v>
      </c>
      <c r="E37" s="27">
        <f t="shared" si="24"/>
        <v>0.57953578854095411</v>
      </c>
      <c r="F37" s="27">
        <f t="shared" si="24"/>
        <v>0.45801221229733097</v>
      </c>
      <c r="G37" s="27">
        <f t="shared" si="24"/>
        <v>0.43842773611904562</v>
      </c>
      <c r="H37" s="27">
        <f t="shared" si="24"/>
        <v>0.41317021023266953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98.903639999999953</v>
      </c>
      <c r="D40" s="4">
        <f t="shared" si="26"/>
        <v>476.6094581272497</v>
      </c>
      <c r="E40" s="4">
        <f t="shared" si="26"/>
        <v>898.18303251890825</v>
      </c>
      <c r="F40" s="4">
        <f t="shared" si="26"/>
        <v>942.10826338533707</v>
      </c>
      <c r="G40" s="4">
        <f t="shared" si="26"/>
        <v>1015.661055532325</v>
      </c>
      <c r="H40" s="4">
        <f t="shared" si="26"/>
        <v>993.29949330790487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-31.703639999999954</v>
      </c>
      <c r="D41" s="4">
        <f t="shared" si="27"/>
        <v>-289.03745812724975</v>
      </c>
      <c r="E41" s="4">
        <f t="shared" si="27"/>
        <v>-614.33544051890829</v>
      </c>
      <c r="F41" s="4">
        <f t="shared" si="27"/>
        <v>-597.78728806533707</v>
      </c>
      <c r="G41" s="4">
        <f t="shared" si="27"/>
        <v>-637.6458133417251</v>
      </c>
      <c r="H41" s="4">
        <f t="shared" si="27"/>
        <v>-613.23369673749744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-291.20000000000005</v>
      </c>
      <c r="E42" s="4">
        <f>-D54/$I$54</f>
        <v>-493.46266666666673</v>
      </c>
      <c r="F42" s="4">
        <f>-E54/$I$54</f>
        <v>-715.56644755555556</v>
      </c>
      <c r="G42" s="4">
        <f>-F54/$I$54</f>
        <v>-804.88771197851861</v>
      </c>
      <c r="H42" s="4">
        <f>-G54/$I$54</f>
        <v>-890.30961085385059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4368.0000000000009</v>
      </c>
      <c r="D43" s="4">
        <f t="shared" ref="D43:H43" si="28">-D45*$F$9</f>
        <v>3325.14</v>
      </c>
      <c r="E43" s="4">
        <f t="shared" si="28"/>
        <v>3825.0193799999993</v>
      </c>
      <c r="F43" s="4">
        <f t="shared" si="28"/>
        <v>2055.3854138999995</v>
      </c>
      <c r="G43" s="4">
        <f t="shared" si="28"/>
        <v>2086.2161951084995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1500</v>
      </c>
      <c r="F44" s="4">
        <f t="shared" si="29"/>
        <v>1500</v>
      </c>
      <c r="G44" s="4">
        <f t="shared" si="29"/>
        <v>1500</v>
      </c>
      <c r="H44" s="4">
        <f t="shared" si="29"/>
        <v>1500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-5115.5999999999995</v>
      </c>
      <c r="E45" s="4">
        <f t="shared" si="30"/>
        <v>-5884.645199999999</v>
      </c>
      <c r="F45" s="4">
        <f t="shared" si="30"/>
        <v>-3162.1314059999995</v>
      </c>
      <c r="G45" s="4">
        <f t="shared" si="30"/>
        <v>-3209.563377089999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5000</v>
      </c>
      <c r="D46" s="4">
        <f>C51</f>
        <v>2715.2</v>
      </c>
      <c r="E46" s="4">
        <f t="shared" ref="E46:H46" si="31">D51</f>
        <v>821.11200000000008</v>
      </c>
      <c r="F46" s="4">
        <f t="shared" si="31"/>
        <v>51.871105333333617</v>
      </c>
      <c r="G46" s="4">
        <f t="shared" si="31"/>
        <v>73.879640997778097</v>
      </c>
      <c r="H46" s="4">
        <f t="shared" si="31"/>
        <v>23.659989228359791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2715.2</v>
      </c>
      <c r="D47" s="4">
        <f>SUM(D40:D46)</f>
        <v>821.11200000000008</v>
      </c>
      <c r="E47" s="4">
        <f t="shared" ref="E47:H47" si="32">SUM(E40:E46)</f>
        <v>51.871105333333617</v>
      </c>
      <c r="F47" s="4">
        <f t="shared" si="32"/>
        <v>73.879640997778097</v>
      </c>
      <c r="G47" s="4">
        <f t="shared" si="32"/>
        <v>23.659989228359791</v>
      </c>
      <c r="H47" s="4">
        <f t="shared" si="32"/>
        <v>1013.4161749449166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11580.828000000001</v>
      </c>
      <c r="E50" s="4">
        <f t="shared" si="34"/>
        <v>15681.625608000002</v>
      </c>
      <c r="F50" s="4">
        <f t="shared" si="34"/>
        <v>16999.436038680004</v>
      </c>
      <c r="G50" s="4">
        <f t="shared" si="34"/>
        <v>18330.984173579403</v>
      </c>
      <c r="H50" s="4">
        <f t="shared" si="34"/>
        <v>16450.918377008995</v>
      </c>
      <c r="I50" s="4"/>
      <c r="J50" s="2"/>
      <c r="K50" s="2"/>
    </row>
    <row r="51" spans="1:11" x14ac:dyDescent="0.25">
      <c r="A51" s="4" t="s">
        <v>20</v>
      </c>
      <c r="B51" s="4">
        <f>B55</f>
        <v>5000</v>
      </c>
      <c r="C51" s="4">
        <f>C47</f>
        <v>2715.2</v>
      </c>
      <c r="D51" s="4">
        <f>D47</f>
        <v>821.11200000000008</v>
      </c>
      <c r="E51" s="4">
        <f t="shared" ref="E51:H51" si="35">E47</f>
        <v>51.871105333333617</v>
      </c>
      <c r="F51" s="4">
        <f t="shared" si="35"/>
        <v>73.879640997778097</v>
      </c>
      <c r="G51" s="4">
        <f t="shared" si="35"/>
        <v>23.659989228359791</v>
      </c>
      <c r="H51" s="4">
        <f t="shared" si="35"/>
        <v>1013.4161749449166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5000</v>
      </c>
      <c r="C53" s="4">
        <f t="shared" ref="C53:H53" si="36">B53+C36+C41</f>
        <v>5000</v>
      </c>
      <c r="D53" s="4">
        <f t="shared" si="36"/>
        <v>5000</v>
      </c>
      <c r="E53" s="4">
        <f t="shared" si="36"/>
        <v>5000</v>
      </c>
      <c r="F53" s="4">
        <f t="shared" si="36"/>
        <v>5000</v>
      </c>
      <c r="G53" s="4">
        <f t="shared" si="36"/>
        <v>5000</v>
      </c>
      <c r="H53" s="4">
        <f t="shared" si="36"/>
        <v>5000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4368.0000000000009</v>
      </c>
      <c r="D54" s="4">
        <f t="shared" ref="D54:H54" si="37">C54+D43+D42</f>
        <v>7401.9400000000014</v>
      </c>
      <c r="E54" s="4">
        <f t="shared" si="37"/>
        <v>10733.496713333334</v>
      </c>
      <c r="F54" s="4">
        <f t="shared" si="37"/>
        <v>12073.315679677778</v>
      </c>
      <c r="G54" s="4">
        <f t="shared" si="37"/>
        <v>13354.644162807759</v>
      </c>
      <c r="H54" s="4">
        <f t="shared" si="37"/>
        <v>12464.334551953909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5000</v>
      </c>
      <c r="C55" s="4">
        <f>SUM(C53:C54)</f>
        <v>9368</v>
      </c>
      <c r="D55" s="4">
        <f>SUM(D53:D54)</f>
        <v>12401.940000000002</v>
      </c>
      <c r="E55" s="4">
        <f t="shared" ref="E55:H55" si="38">SUM(E53:E54)</f>
        <v>15733.496713333334</v>
      </c>
      <c r="F55" s="4">
        <f t="shared" si="38"/>
        <v>17073.315679677777</v>
      </c>
      <c r="G55" s="4">
        <f t="shared" si="38"/>
        <v>18354.644162807759</v>
      </c>
      <c r="H55" s="4">
        <f t="shared" si="38"/>
        <v>17464.334551953907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10817.362499999997</v>
      </c>
      <c r="E59" s="4">
        <f>E15*$B$4*(1+$B$8)*(1+$B$8)*(1+$B$8)</f>
        <v>14744.065087499996</v>
      </c>
      <c r="F59" s="4">
        <f>F15*$B$4*(1+$B$8)*(1+$B$8)*(1+$B$8)*(1+$B$8)</f>
        <v>16238.862324562495</v>
      </c>
      <c r="G59" s="4">
        <f>G15*$B$4*(1+$B$8)*(1+$B$8)*(1+$B$8)*(1+$B$8)*(1+$B$8)</f>
        <v>17775.18606409218</v>
      </c>
      <c r="H59" s="4">
        <f>H15*$B$4*(1+$B$8)*(1+$B$8)*(1+$B$8)*(1+$B$8)*(1+$B$8)*(1+$B$8)</f>
        <v>16401.648959139602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5000</v>
      </c>
      <c r="C60" s="4">
        <f t="shared" si="41"/>
        <v>2715.2</v>
      </c>
      <c r="D60" s="4">
        <f t="shared" si="41"/>
        <v>821.11200000000008</v>
      </c>
      <c r="E60" s="4">
        <f t="shared" si="41"/>
        <v>51.871105333333617</v>
      </c>
      <c r="F60" s="4">
        <f t="shared" si="41"/>
        <v>73.879640997778097</v>
      </c>
      <c r="G60" s="4">
        <f t="shared" si="41"/>
        <v>23.659989228359791</v>
      </c>
      <c r="H60" s="4">
        <f t="shared" si="41"/>
        <v>1013.4161749449166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5000</v>
      </c>
      <c r="C62" s="4">
        <f>C59+C60-C63</f>
        <v>4437.199999999998</v>
      </c>
      <c r="D62" s="4">
        <f t="shared" ref="D62:H62" si="43">D59+D60-D63</f>
        <v>4236.5344999999952</v>
      </c>
      <c r="E62" s="4">
        <f t="shared" si="43"/>
        <v>4062.4394794999953</v>
      </c>
      <c r="F62" s="4">
        <f t="shared" si="43"/>
        <v>4239.426285882495</v>
      </c>
      <c r="G62" s="4">
        <f t="shared" si="43"/>
        <v>4444.2018905127807</v>
      </c>
      <c r="H62" s="4">
        <f t="shared" si="43"/>
        <v>4950.730582130609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4368.0000000000009</v>
      </c>
      <c r="D63" s="4">
        <f t="shared" si="42"/>
        <v>7401.9400000000014</v>
      </c>
      <c r="E63" s="4">
        <f t="shared" si="42"/>
        <v>10733.496713333334</v>
      </c>
      <c r="F63" s="4">
        <f t="shared" si="42"/>
        <v>12073.315679677778</v>
      </c>
      <c r="G63" s="4">
        <f t="shared" si="42"/>
        <v>13354.644162807759</v>
      </c>
      <c r="H63" s="4">
        <f t="shared" si="42"/>
        <v>12464.334551953909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5000</v>
      </c>
      <c r="C64" s="4">
        <f>C62+C63</f>
        <v>8805.1999999999989</v>
      </c>
      <c r="D64" s="4">
        <f t="shared" ref="D64:H64" si="44">D62+D63</f>
        <v>11638.474499999997</v>
      </c>
      <c r="E64" s="4">
        <f t="shared" si="44"/>
        <v>14795.936192833329</v>
      </c>
      <c r="F64" s="4">
        <f t="shared" si="44"/>
        <v>16312.741965560273</v>
      </c>
      <c r="G64" s="4">
        <f t="shared" si="44"/>
        <v>17798.84605332054</v>
      </c>
      <c r="H64" s="4">
        <f t="shared" si="44"/>
        <v>17415.065134084518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-5000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-5000</v>
      </c>
      <c r="L68" s="4">
        <f t="shared" si="47"/>
        <v>31.703639999999954</v>
      </c>
      <c r="M68" s="4">
        <f t="shared" si="47"/>
        <v>289.03745812724975</v>
      </c>
      <c r="N68" s="4">
        <f t="shared" si="47"/>
        <v>614.33544051890829</v>
      </c>
      <c r="O68" s="4">
        <f t="shared" si="47"/>
        <v>597.78728806533707</v>
      </c>
      <c r="P68" s="4">
        <f t="shared" si="47"/>
        <v>637.6458133417251</v>
      </c>
      <c r="Q68" s="4">
        <f t="shared" si="47"/>
        <v>5563.9642788681067</v>
      </c>
    </row>
    <row r="69" spans="1:17" x14ac:dyDescent="0.25">
      <c r="A69" s="4" t="s">
        <v>42</v>
      </c>
      <c r="B69" s="4"/>
      <c r="C69" s="4">
        <f>-C41</f>
        <v>31.703639999999954</v>
      </c>
      <c r="D69" s="4">
        <f t="shared" ref="D69:G69" si="48">-D41</f>
        <v>289.03745812724975</v>
      </c>
      <c r="E69" s="4">
        <f t="shared" si="48"/>
        <v>614.33544051890829</v>
      </c>
      <c r="F69" s="4">
        <f t="shared" si="48"/>
        <v>597.78728806533707</v>
      </c>
      <c r="G69" s="4">
        <f t="shared" si="48"/>
        <v>637.6458133417251</v>
      </c>
      <c r="H69" s="4">
        <f>-H41+H62</f>
        <v>5563.9642788681067</v>
      </c>
      <c r="I69" s="2"/>
      <c r="J69" s="24"/>
      <c r="K69" s="6"/>
      <c r="L69" s="4">
        <f>K68+L68</f>
        <v>-4968.2963600000003</v>
      </c>
      <c r="M69" s="4">
        <f>M68</f>
        <v>289.03745812724975</v>
      </c>
      <c r="N69" s="4">
        <f t="shared" ref="N69:Q69" si="49">N68</f>
        <v>614.33544051890829</v>
      </c>
      <c r="O69" s="4">
        <f t="shared" si="49"/>
        <v>597.78728806533707</v>
      </c>
      <c r="P69" s="4">
        <f t="shared" si="49"/>
        <v>637.6458133417251</v>
      </c>
      <c r="Q69" s="4">
        <f t="shared" si="49"/>
        <v>5563.9642788681067</v>
      </c>
    </row>
    <row r="70" spans="1:17" x14ac:dyDescent="0.25">
      <c r="A70" s="4" t="s">
        <v>43</v>
      </c>
      <c r="B70" s="4">
        <f>B68+B69</f>
        <v>-5000</v>
      </c>
      <c r="C70" s="4">
        <f t="shared" ref="C70:H70" si="50">C68+C69</f>
        <v>31.703639999999954</v>
      </c>
      <c r="D70" s="4">
        <f t="shared" si="50"/>
        <v>289.03745812724975</v>
      </c>
      <c r="E70" s="4">
        <f t="shared" si="50"/>
        <v>614.33544051890829</v>
      </c>
      <c r="F70" s="4">
        <f t="shared" si="50"/>
        <v>597.78728806533707</v>
      </c>
      <c r="G70" s="4">
        <f t="shared" si="50"/>
        <v>637.6458133417251</v>
      </c>
      <c r="H70" s="4">
        <f t="shared" si="50"/>
        <v>5563.9642788681067</v>
      </c>
    </row>
    <row r="71" spans="1:17" x14ac:dyDescent="0.25">
      <c r="A71" s="4" t="s">
        <v>59</v>
      </c>
      <c r="B71" s="23">
        <f>IRR(B70:H70)</f>
        <v>8.5891513698502342E-2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0.10733281689176444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15</v>
      </c>
      <c r="E78" s="4">
        <f t="shared" si="53"/>
        <v>17</v>
      </c>
      <c r="F78" s="4">
        <f t="shared" si="53"/>
        <v>9</v>
      </c>
      <c r="G78" s="4">
        <f t="shared" si="53"/>
        <v>9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-5</v>
      </c>
      <c r="F79" s="4">
        <f t="shared" si="53"/>
        <v>-5</v>
      </c>
      <c r="G79" s="4">
        <f t="shared" si="53"/>
        <v>-5</v>
      </c>
      <c r="H79" s="4">
        <f t="shared" si="53"/>
        <v>-5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35</v>
      </c>
      <c r="E80" s="4">
        <f t="shared" si="53"/>
        <v>47</v>
      </c>
      <c r="F80" s="4">
        <f t="shared" si="53"/>
        <v>51</v>
      </c>
      <c r="G80" s="4">
        <f t="shared" si="53"/>
        <v>55</v>
      </c>
      <c r="H80" s="4">
        <f t="shared" si="53"/>
        <v>50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690.14772749999963</v>
      </c>
      <c r="E84" s="4">
        <f t="shared" si="56"/>
        <v>1060.0474598222245</v>
      </c>
      <c r="F84" s="4">
        <f t="shared" si="56"/>
        <v>1305.1776175724924</v>
      </c>
      <c r="G84" s="4">
        <f t="shared" si="56"/>
        <v>1454.3920487014675</v>
      </c>
      <c r="H84" s="4">
        <f t="shared" si="56"/>
        <v>1484.2156611246626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414.42006838499975</v>
      </c>
      <c r="E85" s="4">
        <f t="shared" si="57"/>
        <v>592.5848370810686</v>
      </c>
      <c r="F85" s="4">
        <f t="shared" si="57"/>
        <v>751.25781478980832</v>
      </c>
      <c r="G85" s="4">
        <f t="shared" si="57"/>
        <v>850.96124934851196</v>
      </c>
      <c r="H85" s="4">
        <f t="shared" si="57"/>
        <v>875.57300447504088</v>
      </c>
    </row>
    <row r="86" spans="1:8" x14ac:dyDescent="0.25">
      <c r="A86" s="6" t="s">
        <v>25</v>
      </c>
      <c r="B86" s="6"/>
      <c r="C86" s="4">
        <f>C40</f>
        <v>98.903639999999953</v>
      </c>
      <c r="D86" s="4">
        <f t="shared" ref="D86:H86" si="58">D40</f>
        <v>476.6094581272497</v>
      </c>
      <c r="E86" s="4">
        <f t="shared" si="58"/>
        <v>898.18303251890825</v>
      </c>
      <c r="F86" s="4">
        <f t="shared" si="58"/>
        <v>942.10826338533707</v>
      </c>
      <c r="G86" s="4">
        <f t="shared" si="58"/>
        <v>1015.661055532325</v>
      </c>
      <c r="H86" s="4">
        <f t="shared" si="58"/>
        <v>993.29949330790487</v>
      </c>
    </row>
    <row r="87" spans="1:8" x14ac:dyDescent="0.25">
      <c r="A87" s="6" t="s">
        <v>17</v>
      </c>
      <c r="B87" s="6"/>
      <c r="C87" s="4">
        <f t="shared" ref="C87:H87" si="59">C36</f>
        <v>31.703639999999954</v>
      </c>
      <c r="D87" s="4">
        <f t="shared" si="59"/>
        <v>289.03745812724975</v>
      </c>
      <c r="E87" s="4">
        <f t="shared" si="59"/>
        <v>614.33544051890829</v>
      </c>
      <c r="F87" s="4">
        <f t="shared" si="59"/>
        <v>597.78728806533707</v>
      </c>
      <c r="G87" s="4">
        <f t="shared" si="59"/>
        <v>637.6458133417251</v>
      </c>
      <c r="H87" s="4">
        <f t="shared" si="59"/>
        <v>613.23369673749744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11580.828000000001</v>
      </c>
      <c r="E90" s="4">
        <f t="shared" si="61"/>
        <v>15681.625608000002</v>
      </c>
      <c r="F90" s="4">
        <f t="shared" si="61"/>
        <v>16999.436038680004</v>
      </c>
      <c r="G90" s="4">
        <f t="shared" si="61"/>
        <v>18330.984173579403</v>
      </c>
      <c r="H90" s="4">
        <f t="shared" si="61"/>
        <v>16450.918377008995</v>
      </c>
    </row>
    <row r="91" spans="1:8" x14ac:dyDescent="0.25">
      <c r="A91" s="4" t="s">
        <v>20</v>
      </c>
      <c r="B91" s="4">
        <f>B51</f>
        <v>5000</v>
      </c>
      <c r="C91" s="4">
        <f t="shared" si="61"/>
        <v>2715.2</v>
      </c>
      <c r="D91" s="4">
        <f t="shared" si="61"/>
        <v>821.11200000000008</v>
      </c>
      <c r="E91" s="4">
        <f t="shared" si="61"/>
        <v>51.871105333333617</v>
      </c>
      <c r="F91" s="4">
        <f t="shared" si="61"/>
        <v>73.879640997778097</v>
      </c>
      <c r="G91" s="4">
        <f t="shared" si="61"/>
        <v>23.659989228359791</v>
      </c>
      <c r="H91" s="4">
        <f t="shared" si="61"/>
        <v>1013.4161749449166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5000</v>
      </c>
      <c r="C93" s="4">
        <f t="shared" ref="C93:H95" si="62">L8</f>
        <v>5000</v>
      </c>
      <c r="D93" s="4">
        <f t="shared" si="62"/>
        <v>5000</v>
      </c>
      <c r="E93" s="4">
        <f t="shared" si="62"/>
        <v>5000</v>
      </c>
      <c r="F93" s="4">
        <f t="shared" si="62"/>
        <v>5000</v>
      </c>
      <c r="G93" s="4">
        <f t="shared" si="62"/>
        <v>5000</v>
      </c>
      <c r="H93" s="4">
        <f t="shared" si="62"/>
        <v>5000</v>
      </c>
    </row>
    <row r="94" spans="1:8" x14ac:dyDescent="0.25">
      <c r="A94" s="4" t="s">
        <v>22</v>
      </c>
      <c r="B94" s="4">
        <f>B54</f>
        <v>0</v>
      </c>
      <c r="C94" s="4">
        <f t="shared" si="62"/>
        <v>4368.0000000000009</v>
      </c>
      <c r="D94" s="4">
        <f t="shared" si="62"/>
        <v>7401.9400000000014</v>
      </c>
      <c r="E94" s="4">
        <f t="shared" si="62"/>
        <v>10733.496713333334</v>
      </c>
      <c r="F94" s="4">
        <f t="shared" si="62"/>
        <v>12073.315679677778</v>
      </c>
      <c r="G94" s="4">
        <f t="shared" si="62"/>
        <v>13354.644162807759</v>
      </c>
      <c r="H94" s="4">
        <f t="shared" si="62"/>
        <v>12464.334551953909</v>
      </c>
    </row>
    <row r="95" spans="1:8" x14ac:dyDescent="0.25">
      <c r="A95" s="4" t="s">
        <v>23</v>
      </c>
      <c r="B95" s="4">
        <f>B55</f>
        <v>5000</v>
      </c>
      <c r="C95" s="4">
        <f t="shared" si="62"/>
        <v>9368</v>
      </c>
      <c r="D95" s="4">
        <f t="shared" si="62"/>
        <v>12401.940000000002</v>
      </c>
      <c r="E95" s="4">
        <f t="shared" si="62"/>
        <v>15733.496713333334</v>
      </c>
      <c r="F95" s="4">
        <f t="shared" si="62"/>
        <v>17073.315679677777</v>
      </c>
      <c r="G95" s="4">
        <f t="shared" si="62"/>
        <v>18354.644162807759</v>
      </c>
      <c r="H95" s="4">
        <f t="shared" si="62"/>
        <v>17464.334551953907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12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  <c r="L97" t="s">
        <v>223</v>
      </c>
    </row>
    <row r="98" spans="1:12" x14ac:dyDescent="0.25">
      <c r="A98" s="4" t="s">
        <v>41</v>
      </c>
      <c r="B98" s="4">
        <f>B68</f>
        <v>-5000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  <c r="I98" s="6" t="s">
        <v>221</v>
      </c>
      <c r="J98" s="6" t="s">
        <v>222</v>
      </c>
      <c r="K98" s="6" t="s">
        <v>214</v>
      </c>
      <c r="L98" s="56">
        <v>0.1</v>
      </c>
    </row>
    <row r="99" spans="1:12" x14ac:dyDescent="0.25">
      <c r="A99" s="4" t="s">
        <v>42</v>
      </c>
      <c r="B99" s="4">
        <f t="shared" ref="B99:H102" si="65">B69</f>
        <v>0</v>
      </c>
      <c r="C99" s="4">
        <f t="shared" si="65"/>
        <v>31.703639999999954</v>
      </c>
      <c r="D99" s="4">
        <f t="shared" si="65"/>
        <v>289.03745812724975</v>
      </c>
      <c r="E99" s="4">
        <f t="shared" si="65"/>
        <v>614.33544051890829</v>
      </c>
      <c r="F99" s="4">
        <f t="shared" si="65"/>
        <v>597.78728806533707</v>
      </c>
      <c r="G99" s="4">
        <f t="shared" si="65"/>
        <v>637.6458133417251</v>
      </c>
      <c r="H99" s="4">
        <f t="shared" si="65"/>
        <v>5563.9642788681067</v>
      </c>
      <c r="I99" s="17">
        <f>SUM(C99:G99) + 890</f>
        <v>3060.5096400532202</v>
      </c>
      <c r="J99" s="4">
        <f>H99+B98</f>
        <v>563.9642788681067</v>
      </c>
      <c r="K99" s="4">
        <f>J99+I99</f>
        <v>3624.4739189213269</v>
      </c>
      <c r="L99" s="6">
        <f>K99*$L$98</f>
        <v>362.44739189213271</v>
      </c>
    </row>
    <row r="100" spans="1:12" x14ac:dyDescent="0.25">
      <c r="A100" s="4" t="s">
        <v>43</v>
      </c>
      <c r="B100" s="4">
        <f t="shared" si="65"/>
        <v>-5000</v>
      </c>
      <c r="C100" s="4">
        <f t="shared" si="65"/>
        <v>31.703639999999954</v>
      </c>
      <c r="D100" s="4">
        <f t="shared" si="65"/>
        <v>289.03745812724975</v>
      </c>
      <c r="E100" s="4">
        <f t="shared" si="65"/>
        <v>614.33544051890829</v>
      </c>
      <c r="F100" s="4">
        <f t="shared" si="65"/>
        <v>597.78728806533707</v>
      </c>
      <c r="G100" s="4">
        <f t="shared" si="65"/>
        <v>637.6458133417251</v>
      </c>
      <c r="H100" s="4">
        <f t="shared" si="65"/>
        <v>5563.9642788681067</v>
      </c>
      <c r="J100" s="111" t="s">
        <v>225</v>
      </c>
      <c r="K100" s="111" t="s">
        <v>226</v>
      </c>
      <c r="L100" s="111"/>
    </row>
    <row r="101" spans="1:12" hidden="1" x14ac:dyDescent="0.25">
      <c r="A101" s="3" t="s">
        <v>72</v>
      </c>
      <c r="B101" s="37">
        <f t="shared" si="65"/>
        <v>8.5891513698502342E-2</v>
      </c>
      <c r="C101" s="25"/>
      <c r="D101" s="25"/>
      <c r="E101" s="25"/>
      <c r="F101" s="25"/>
      <c r="G101" s="25"/>
      <c r="H101" s="25"/>
      <c r="J101" s="6"/>
      <c r="K101" s="6"/>
      <c r="L101" s="6"/>
    </row>
    <row r="102" spans="1:12" x14ac:dyDescent="0.25">
      <c r="A102" s="3" t="s">
        <v>208</v>
      </c>
      <c r="B102" s="38">
        <f t="shared" si="65"/>
        <v>0.10733281689176444</v>
      </c>
      <c r="C102" s="25"/>
      <c r="D102" s="25"/>
      <c r="E102" s="25"/>
      <c r="F102" s="25"/>
      <c r="G102" s="25"/>
      <c r="H102" s="25"/>
      <c r="J102" s="6">
        <v>20</v>
      </c>
      <c r="K102" s="6">
        <f>B7*B4</f>
        <v>75</v>
      </c>
      <c r="L102" s="6">
        <f>K102*J102</f>
        <v>1500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80" zoomScaleNormal="80" workbookViewId="0">
      <selection activeCell="F13" sqref="F13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1.710937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40920</v>
      </c>
      <c r="J2" s="88" t="s">
        <v>207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14957.124000000002</v>
      </c>
      <c r="N5" s="13">
        <f t="shared" si="0"/>
        <v>21341.393196000001</v>
      </c>
      <c r="O5" s="13">
        <f t="shared" si="0"/>
        <v>23879.735213760003</v>
      </c>
      <c r="P5" s="13">
        <f t="shared" si="0"/>
        <v>22180.469799546005</v>
      </c>
      <c r="Q5" s="13">
        <f t="shared" si="0"/>
        <v>20502.672798143205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H6" t="s">
        <v>53</v>
      </c>
      <c r="J6" s="4" t="s">
        <v>20</v>
      </c>
      <c r="K6" s="13">
        <f t="shared" si="0"/>
        <v>8000</v>
      </c>
      <c r="L6" s="13">
        <f t="shared" si="0"/>
        <v>5715.2</v>
      </c>
      <c r="M6" s="13">
        <f t="shared" si="0"/>
        <v>2661.576</v>
      </c>
      <c r="N6" s="13">
        <f t="shared" si="0"/>
        <v>811.08635733333358</v>
      </c>
      <c r="O6" s="13">
        <f t="shared" si="0"/>
        <v>69.759587884444954</v>
      </c>
      <c r="P6" s="13">
        <f t="shared" si="0"/>
        <v>705.72534865548198</v>
      </c>
      <c r="Q6" s="13">
        <f t="shared" si="0"/>
        <v>1391.1093401781811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8000</v>
      </c>
      <c r="L8" s="13">
        <f t="shared" si="1"/>
        <v>8000</v>
      </c>
      <c r="M8" s="13">
        <f t="shared" si="1"/>
        <v>8000</v>
      </c>
      <c r="N8" s="13">
        <f t="shared" si="1"/>
        <v>8000</v>
      </c>
      <c r="O8" s="13">
        <f t="shared" si="1"/>
        <v>7999.9999999999991</v>
      </c>
      <c r="P8" s="13">
        <f t="shared" si="1"/>
        <v>7999.9999999999982</v>
      </c>
      <c r="Q8" s="13">
        <f t="shared" si="1"/>
        <v>7999.9999999999982</v>
      </c>
      <c r="R8" s="4"/>
    </row>
    <row r="9" spans="1:18" x14ac:dyDescent="0.25">
      <c r="A9" s="16" t="s">
        <v>58</v>
      </c>
      <c r="B9" s="9">
        <v>8000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4368.0000000000009</v>
      </c>
      <c r="M9" s="13">
        <f t="shared" si="1"/>
        <v>9618.7000000000007</v>
      </c>
      <c r="N9" s="13">
        <f t="shared" si="1"/>
        <v>14152.479553333334</v>
      </c>
      <c r="O9" s="13">
        <f t="shared" si="1"/>
        <v>15949.494801644443</v>
      </c>
      <c r="P9" s="13">
        <f t="shared" si="1"/>
        <v>14886.195148201481</v>
      </c>
      <c r="Q9" s="13">
        <f t="shared" si="1"/>
        <v>13893.782138321383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8000</v>
      </c>
      <c r="L10" s="13">
        <f t="shared" si="1"/>
        <v>12368</v>
      </c>
      <c r="M10" s="13">
        <f t="shared" si="1"/>
        <v>17618.7</v>
      </c>
      <c r="N10" s="13">
        <f t="shared" si="1"/>
        <v>22152.479553333334</v>
      </c>
      <c r="O10" s="13">
        <f t="shared" si="1"/>
        <v>23949.494801644443</v>
      </c>
      <c r="P10" s="13">
        <f t="shared" si="1"/>
        <v>22886.195148201477</v>
      </c>
      <c r="Q10" s="13">
        <f t="shared" si="1"/>
        <v>21893.782138321381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239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45</v>
      </c>
      <c r="F12" s="4">
        <f t="shared" si="3"/>
        <v>64</v>
      </c>
      <c r="G12" s="4">
        <f t="shared" si="3"/>
        <v>72</v>
      </c>
      <c r="H12" s="4">
        <f t="shared" si="3"/>
        <v>68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25</v>
      </c>
      <c r="E13" s="11">
        <v>23</v>
      </c>
      <c r="F13" s="11">
        <v>12</v>
      </c>
      <c r="G13" s="11"/>
      <c r="H13" s="11"/>
      <c r="I13" s="2"/>
      <c r="J13" s="3" t="s">
        <v>59</v>
      </c>
      <c r="K13" s="87">
        <f>B71</f>
        <v>7.4621007780300674E-2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3" t="s">
        <v>60</v>
      </c>
      <c r="K14" s="87">
        <f>B72</f>
        <v>9.2521211983472851E-2</v>
      </c>
    </row>
    <row r="15" spans="1:18" x14ac:dyDescent="0.25">
      <c r="A15" s="4" t="s">
        <v>240</v>
      </c>
      <c r="B15" s="4">
        <f>B12+B13+B14</f>
        <v>0</v>
      </c>
      <c r="C15" s="4">
        <f>C12+C13+C14</f>
        <v>20</v>
      </c>
      <c r="D15" s="4">
        <f>D12+D13+D14</f>
        <v>45</v>
      </c>
      <c r="E15" s="4">
        <f t="shared" ref="E15:H15" si="4">E12+E13+E14</f>
        <v>64</v>
      </c>
      <c r="F15" s="4">
        <f t="shared" si="4"/>
        <v>72</v>
      </c>
      <c r="G15" s="4">
        <f t="shared" si="4"/>
        <v>68</v>
      </c>
      <c r="H15" s="4">
        <f t="shared" si="4"/>
        <v>64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32.5</v>
      </c>
      <c r="E16" s="4">
        <f t="shared" ref="E16:H16" si="5">(E12+E15)/2</f>
        <v>54.5</v>
      </c>
      <c r="F16" s="4">
        <f t="shared" si="5"/>
        <v>68</v>
      </c>
      <c r="G16" s="4">
        <f t="shared" si="5"/>
        <v>70</v>
      </c>
      <c r="H16" s="4">
        <f t="shared" si="5"/>
        <v>66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960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806.9714804647092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13908.037499999997</v>
      </c>
      <c r="F21" s="4">
        <f t="shared" si="9"/>
        <v>20077.024799999996</v>
      </c>
      <c r="G21" s="4">
        <f t="shared" si="9"/>
        <v>22925.452693499992</v>
      </c>
      <c r="H21" s="4">
        <f t="shared" si="9"/>
        <v>21976.593679241243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300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9896.2499999999982</v>
      </c>
      <c r="E22" s="4">
        <f t="shared" si="10"/>
        <v>16844.178749999995</v>
      </c>
      <c r="F22" s="4">
        <f t="shared" si="10"/>
        <v>21331.838849999996</v>
      </c>
      <c r="G22" s="4">
        <f t="shared" si="10"/>
        <v>22288.634563124993</v>
      </c>
      <c r="H22" s="4">
        <f t="shared" si="10"/>
        <v>21330.223276910616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180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13702.499999999998</v>
      </c>
      <c r="E23" s="4">
        <f t="shared" si="11"/>
        <v>19780.319999999996</v>
      </c>
      <c r="F23" s="4">
        <f t="shared" si="11"/>
        <v>22586.652899999994</v>
      </c>
      <c r="G23" s="4">
        <f t="shared" si="11"/>
        <v>21651.816432749991</v>
      </c>
      <c r="H23" s="4">
        <f t="shared" si="11"/>
        <v>20683.852874579992</v>
      </c>
      <c r="I23" s="2" t="s">
        <v>53</v>
      </c>
      <c r="J23" s="2"/>
      <c r="K23" s="2"/>
      <c r="Q23" s="6" t="s">
        <v>23</v>
      </c>
      <c r="R23" s="4">
        <f>SUM(R19:R22)</f>
        <v>2246.9714804647092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1924.3174891470608</v>
      </c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815.62913249999963</v>
      </c>
      <c r="E26" s="3">
        <f t="shared" si="13"/>
        <v>1409.0874770807616</v>
      </c>
      <c r="F26" s="3">
        <f t="shared" si="13"/>
        <v>1811.2668978557042</v>
      </c>
      <c r="G26" s="3">
        <f t="shared" si="13"/>
        <v>1920.8951586623155</v>
      </c>
      <c r="H26" s="3">
        <f t="shared" si="13"/>
        <v>1865.8711168424329</v>
      </c>
      <c r="I26" s="107">
        <f>SUM(C26:H26)</f>
        <v>8066.3497829412136</v>
      </c>
      <c r="J26" s="4">
        <f>I26*4%</f>
        <v>322.65399131764855</v>
      </c>
      <c r="K26" s="2"/>
      <c r="O26" s="108" t="s">
        <v>217</v>
      </c>
      <c r="P26" s="108"/>
      <c r="Q26" s="108"/>
      <c r="R26" s="109">
        <f>R25/6</f>
        <v>320.71958152451015</v>
      </c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4.8937747949999979</v>
      </c>
      <c r="E27" s="29">
        <f t="shared" si="14"/>
        <v>8.4545248624845701</v>
      </c>
      <c r="F27" s="29">
        <f t="shared" si="14"/>
        <v>10.867601387134226</v>
      </c>
      <c r="G27" s="29">
        <f t="shared" si="14"/>
        <v>11.525370951973892</v>
      </c>
      <c r="H27" s="29">
        <f t="shared" si="14"/>
        <v>11.195226701054597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96.562913249999966</v>
      </c>
      <c r="E28" s="4">
        <f t="shared" si="15"/>
        <v>155.90874770807616</v>
      </c>
      <c r="F28" s="4">
        <f t="shared" si="15"/>
        <v>196.12668978557042</v>
      </c>
      <c r="G28" s="4">
        <f t="shared" si="15"/>
        <v>207.08951586623155</v>
      </c>
      <c r="H28" s="4">
        <f t="shared" si="15"/>
        <v>201.5871116842433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45</v>
      </c>
      <c r="F29" s="4">
        <f t="shared" si="16"/>
        <v>45</v>
      </c>
      <c r="G29" s="4">
        <f t="shared" si="16"/>
        <v>45</v>
      </c>
      <c r="H29" s="4">
        <f t="shared" si="16"/>
        <v>45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221.67599999999996</v>
      </c>
      <c r="E30" s="4">
        <f t="shared" si="17"/>
        <v>377.30960399999992</v>
      </c>
      <c r="F30" s="4">
        <f t="shared" si="17"/>
        <v>477.83319023999996</v>
      </c>
      <c r="G30" s="4">
        <f t="shared" si="17"/>
        <v>499.26541421399986</v>
      </c>
      <c r="H30" s="4">
        <f t="shared" si="17"/>
        <v>477.79700140279783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492.49644445499973</v>
      </c>
      <c r="E31" s="3">
        <f t="shared" si="18"/>
        <v>822.4146005102009</v>
      </c>
      <c r="F31" s="3">
        <f t="shared" si="18"/>
        <v>1081.4394164429993</v>
      </c>
      <c r="G31" s="3">
        <f t="shared" si="18"/>
        <v>1158.0148576301103</v>
      </c>
      <c r="H31" s="3">
        <f t="shared" si="18"/>
        <v>1130.291777054337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0.60382399896070404</v>
      </c>
      <c r="E32" s="27">
        <f t="shared" si="19"/>
        <v>0.58365049288069459</v>
      </c>
      <c r="F32" s="27">
        <f t="shared" si="19"/>
        <v>0.59706243056905517</v>
      </c>
      <c r="G32" s="27">
        <f t="shared" si="19"/>
        <v>0.60285167173649168</v>
      </c>
      <c r="H32" s="27">
        <f t="shared" si="19"/>
        <v>0.60577162423045683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341.03999999999996</v>
      </c>
      <c r="F33" s="4">
        <f t="shared" si="20"/>
        <v>346.15559999999994</v>
      </c>
      <c r="G33" s="4">
        <f t="shared" si="20"/>
        <v>351.34793399999995</v>
      </c>
      <c r="H33" s="4">
        <f t="shared" si="20"/>
        <v>356.6181530099999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-98.280000000000015</v>
      </c>
      <c r="D34" s="4">
        <f t="shared" ref="D34:H34" si="21">-$F$6*(C54-C51)</f>
        <v>60.623999999999945</v>
      </c>
      <c r="E34" s="4">
        <f t="shared" si="21"/>
        <v>-313.07058000000001</v>
      </c>
      <c r="F34" s="4">
        <f t="shared" si="21"/>
        <v>-600.36269382</v>
      </c>
      <c r="G34" s="4">
        <f t="shared" si="21"/>
        <v>-714.58808461919989</v>
      </c>
      <c r="H34" s="4">
        <f t="shared" si="21"/>
        <v>-638.12114097956999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-5.5947599999999911</v>
      </c>
      <c r="D35" s="4">
        <f>IF((D31+D33+D34)&gt;0,-(D31+D33+D34)*$F$7,0)</f>
        <v>-82.968066668249946</v>
      </c>
      <c r="E35" s="4">
        <f t="shared" ref="E35:H35" si="22">IF((E31+E33+E34)&gt;0,-(E31+E33+E34)*$F$7,0)</f>
        <v>-127.55760307653011</v>
      </c>
      <c r="F35" s="4">
        <f t="shared" si="22"/>
        <v>-124.08484839344987</v>
      </c>
      <c r="G35" s="4">
        <f t="shared" si="22"/>
        <v>-119.21620605163655</v>
      </c>
      <c r="H35" s="4">
        <f t="shared" si="22"/>
        <v>-127.31831836271505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31.703639999999954</v>
      </c>
      <c r="D36" s="3">
        <f>D31+D33+D34+D35</f>
        <v>470.1523777867497</v>
      </c>
      <c r="E36" s="3">
        <f t="shared" ref="E36:H36" si="23">E31+E33+E34+E35</f>
        <v>722.82641743367071</v>
      </c>
      <c r="F36" s="3">
        <f t="shared" si="23"/>
        <v>703.14747422954929</v>
      </c>
      <c r="G36" s="3">
        <f t="shared" si="23"/>
        <v>675.55850095927383</v>
      </c>
      <c r="H36" s="3">
        <f t="shared" si="23"/>
        <v>721.47047072205191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0.13014630541871905</v>
      </c>
      <c r="D37" s="27">
        <f t="shared" ref="D37:H37" si="24">D36/D26</f>
        <v>0.57642911349387083</v>
      </c>
      <c r="E37" s="27">
        <f t="shared" si="24"/>
        <v>0.51297483597765459</v>
      </c>
      <c r="F37" s="27">
        <f t="shared" si="24"/>
        <v>0.38820754415706549</v>
      </c>
      <c r="G37" s="27">
        <f t="shared" si="24"/>
        <v>0.35168941829689621</v>
      </c>
      <c r="H37" s="27">
        <f t="shared" si="24"/>
        <v>0.38666683042019451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98.903639999999953</v>
      </c>
      <c r="D40" s="4">
        <f t="shared" si="26"/>
        <v>691.82837778674968</v>
      </c>
      <c r="E40" s="4">
        <f t="shared" si="26"/>
        <v>1100.1360214336705</v>
      </c>
      <c r="F40" s="4">
        <f t="shared" si="26"/>
        <v>1180.9806644695493</v>
      </c>
      <c r="G40" s="4">
        <f t="shared" si="26"/>
        <v>1174.8239151732737</v>
      </c>
      <c r="H40" s="4">
        <f t="shared" si="26"/>
        <v>1199.2674721248497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-31.703639999999954</v>
      </c>
      <c r="D41" s="4">
        <f t="shared" si="27"/>
        <v>-470.1523777867497</v>
      </c>
      <c r="E41" s="4">
        <f t="shared" si="27"/>
        <v>-722.82641743367071</v>
      </c>
      <c r="F41" s="4">
        <f t="shared" si="27"/>
        <v>-703.14747422954929</v>
      </c>
      <c r="G41" s="4">
        <f t="shared" si="27"/>
        <v>-675.55850095927383</v>
      </c>
      <c r="H41" s="4">
        <f t="shared" si="27"/>
        <v>-721.47047072205191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-291.20000000000005</v>
      </c>
      <c r="E42" s="4">
        <f>-D54/$I$54</f>
        <v>-641.24666666666667</v>
      </c>
      <c r="F42" s="4">
        <f>-E54/$I$54</f>
        <v>-943.498636888889</v>
      </c>
      <c r="G42" s="4">
        <f>-F54/$I$54</f>
        <v>-1063.2996534429628</v>
      </c>
      <c r="H42" s="4">
        <f>-G54/$I$54</f>
        <v>-992.41300988009868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4368.0000000000009</v>
      </c>
      <c r="D43" s="4">
        <f t="shared" ref="D43:H43" si="28">-D45*$F$9</f>
        <v>5541.9000000000005</v>
      </c>
      <c r="E43" s="4">
        <f t="shared" si="28"/>
        <v>5175.0262199999988</v>
      </c>
      <c r="F43" s="4">
        <f t="shared" si="28"/>
        <v>2740.5138852</v>
      </c>
      <c r="G43" s="4">
        <f t="shared" si="28"/>
        <v>0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-8526</v>
      </c>
      <c r="E45" s="4">
        <f t="shared" si="30"/>
        <v>-7961.5787999999984</v>
      </c>
      <c r="F45" s="4">
        <f t="shared" si="30"/>
        <v>-4216.1752079999997</v>
      </c>
      <c r="G45" s="4">
        <f t="shared" si="30"/>
        <v>0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8000</v>
      </c>
      <c r="D46" s="4">
        <f>C51</f>
        <v>5715.2</v>
      </c>
      <c r="E46" s="4">
        <f t="shared" ref="E46:H46" si="31">D51</f>
        <v>2661.576</v>
      </c>
      <c r="F46" s="4">
        <f t="shared" si="31"/>
        <v>811.08635733333358</v>
      </c>
      <c r="G46" s="4">
        <f t="shared" si="31"/>
        <v>69.759587884444954</v>
      </c>
      <c r="H46" s="4">
        <f t="shared" si="31"/>
        <v>705.72534865548198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5715.2</v>
      </c>
      <c r="D47" s="4">
        <f>SUM(D40:D46)</f>
        <v>2661.576</v>
      </c>
      <c r="E47" s="4">
        <f t="shared" ref="E47:H47" si="32">SUM(E40:E46)</f>
        <v>811.08635733333358</v>
      </c>
      <c r="F47" s="4">
        <f t="shared" si="32"/>
        <v>69.759587884444954</v>
      </c>
      <c r="G47" s="4">
        <f t="shared" si="32"/>
        <v>705.72534865548198</v>
      </c>
      <c r="H47" s="4">
        <f t="shared" si="32"/>
        <v>1391.1093401781811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14957.124000000002</v>
      </c>
      <c r="E50" s="4">
        <f t="shared" si="34"/>
        <v>21341.393196000001</v>
      </c>
      <c r="F50" s="4">
        <f t="shared" si="34"/>
        <v>23879.735213760003</v>
      </c>
      <c r="G50" s="4">
        <f t="shared" si="34"/>
        <v>22180.469799546005</v>
      </c>
      <c r="H50" s="4">
        <f t="shared" si="34"/>
        <v>20502.672798143205</v>
      </c>
      <c r="I50" s="4"/>
      <c r="J50" s="2"/>
      <c r="K50" s="2"/>
    </row>
    <row r="51" spans="1:11" x14ac:dyDescent="0.25">
      <c r="A51" s="4" t="s">
        <v>20</v>
      </c>
      <c r="B51" s="4">
        <f>B55</f>
        <v>8000</v>
      </c>
      <c r="C51" s="4">
        <f>C47</f>
        <v>5715.2</v>
      </c>
      <c r="D51" s="4">
        <f>D47</f>
        <v>2661.576</v>
      </c>
      <c r="E51" s="4">
        <f t="shared" ref="E51:H51" si="35">E47</f>
        <v>811.08635733333358</v>
      </c>
      <c r="F51" s="4">
        <f t="shared" si="35"/>
        <v>69.759587884444954</v>
      </c>
      <c r="G51" s="4">
        <f t="shared" si="35"/>
        <v>705.72534865548198</v>
      </c>
      <c r="H51" s="4">
        <f t="shared" si="35"/>
        <v>1391.1093401781811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8000</v>
      </c>
      <c r="C53" s="4">
        <f t="shared" ref="C53:H53" si="36">B53+C36+C41</f>
        <v>8000</v>
      </c>
      <c r="D53" s="4">
        <f t="shared" si="36"/>
        <v>8000</v>
      </c>
      <c r="E53" s="4">
        <f t="shared" si="36"/>
        <v>8000</v>
      </c>
      <c r="F53" s="4">
        <f t="shared" si="36"/>
        <v>7999.9999999999991</v>
      </c>
      <c r="G53" s="4">
        <f t="shared" si="36"/>
        <v>7999.9999999999982</v>
      </c>
      <c r="H53" s="4">
        <f t="shared" si="36"/>
        <v>7999.9999999999982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4368.0000000000009</v>
      </c>
      <c r="D54" s="4">
        <f t="shared" ref="D54:H54" si="37">C54+D43+D42</f>
        <v>9618.7000000000007</v>
      </c>
      <c r="E54" s="4">
        <f t="shared" si="37"/>
        <v>14152.479553333334</v>
      </c>
      <c r="F54" s="4">
        <f t="shared" si="37"/>
        <v>15949.494801644443</v>
      </c>
      <c r="G54" s="4">
        <f t="shared" si="37"/>
        <v>14886.195148201481</v>
      </c>
      <c r="H54" s="4">
        <f t="shared" si="37"/>
        <v>13893.782138321383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8000</v>
      </c>
      <c r="C55" s="4">
        <f>SUM(C53:C54)</f>
        <v>12368</v>
      </c>
      <c r="D55" s="4">
        <f>SUM(D53:D54)</f>
        <v>17618.7</v>
      </c>
      <c r="E55" s="4">
        <f t="shared" ref="E55:H55" si="38">SUM(E53:E54)</f>
        <v>22152.479553333334</v>
      </c>
      <c r="F55" s="4">
        <f t="shared" si="38"/>
        <v>23949.494801644443</v>
      </c>
      <c r="G55" s="4">
        <f t="shared" si="38"/>
        <v>22886.195148201477</v>
      </c>
      <c r="H55" s="4">
        <f t="shared" si="38"/>
        <v>21893.782138321381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13908.037499999997</v>
      </c>
      <c r="E59" s="4">
        <f>E15*$B$4*(1+$B$8)*(1+$B$8)*(1+$B$8)</f>
        <v>20077.024799999996</v>
      </c>
      <c r="F59" s="4">
        <f>F15*$B$4*(1+$B$8)*(1+$B$8)*(1+$B$8)*(1+$B$8)</f>
        <v>22925.452693499989</v>
      </c>
      <c r="G59" s="4">
        <f>G15*$B$4*(1+$B$8)*(1+$B$8)*(1+$B$8)*(1+$B$8)*(1+$B$8)</f>
        <v>21976.593679241236</v>
      </c>
      <c r="H59" s="4">
        <f>H15*$B$4*(1+$B$8)*(1+$B$8)*(1+$B$8)*(1+$B$8)*(1+$B$8)*(1+$B$8)</f>
        <v>20994.110667698689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8000</v>
      </c>
      <c r="C60" s="4">
        <f t="shared" si="41"/>
        <v>5715.2</v>
      </c>
      <c r="D60" s="4">
        <f t="shared" si="41"/>
        <v>2661.576</v>
      </c>
      <c r="E60" s="4">
        <f t="shared" si="41"/>
        <v>811.08635733333358</v>
      </c>
      <c r="F60" s="4">
        <f t="shared" si="41"/>
        <v>69.759587884444954</v>
      </c>
      <c r="G60" s="4">
        <f t="shared" si="41"/>
        <v>705.72534865548198</v>
      </c>
      <c r="H60" s="4">
        <f t="shared" si="41"/>
        <v>1391.1093401781811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8000</v>
      </c>
      <c r="C62" s="4">
        <f>C59+C60-C63</f>
        <v>7437.199999999998</v>
      </c>
      <c r="D62" s="4">
        <f t="shared" ref="D62:H62" si="43">D59+D60-D63</f>
        <v>6950.9134999999951</v>
      </c>
      <c r="E62" s="4">
        <f t="shared" si="43"/>
        <v>6735.6316039999947</v>
      </c>
      <c r="F62" s="4">
        <f t="shared" si="43"/>
        <v>7045.7174797399894</v>
      </c>
      <c r="G62" s="4">
        <f t="shared" si="43"/>
        <v>7796.1238796952384</v>
      </c>
      <c r="H62" s="4">
        <f t="shared" si="43"/>
        <v>8491.437869555486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4368.0000000000009</v>
      </c>
      <c r="D63" s="4">
        <f t="shared" si="42"/>
        <v>9618.7000000000007</v>
      </c>
      <c r="E63" s="4">
        <f t="shared" si="42"/>
        <v>14152.479553333334</v>
      </c>
      <c r="F63" s="4">
        <f t="shared" si="42"/>
        <v>15949.494801644443</v>
      </c>
      <c r="G63" s="4">
        <f t="shared" si="42"/>
        <v>14886.195148201481</v>
      </c>
      <c r="H63" s="4">
        <f t="shared" si="42"/>
        <v>13893.782138321383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8000</v>
      </c>
      <c r="C64" s="4">
        <f>C62+C63</f>
        <v>11805.199999999999</v>
      </c>
      <c r="D64" s="4">
        <f t="shared" ref="D64:H64" si="44">D62+D63</f>
        <v>16569.613499999996</v>
      </c>
      <c r="E64" s="4">
        <f t="shared" si="44"/>
        <v>20888.111157333329</v>
      </c>
      <c r="F64" s="4">
        <f t="shared" si="44"/>
        <v>22995.212281384433</v>
      </c>
      <c r="G64" s="4">
        <f t="shared" si="44"/>
        <v>22682.319027896719</v>
      </c>
      <c r="H64" s="4">
        <f t="shared" si="44"/>
        <v>22385.220007876869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-8000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-8000</v>
      </c>
      <c r="L68" s="4">
        <f t="shared" si="47"/>
        <v>31.703639999999954</v>
      </c>
      <c r="M68" s="4">
        <f t="shared" si="47"/>
        <v>470.1523777867497</v>
      </c>
      <c r="N68" s="4">
        <f t="shared" si="47"/>
        <v>722.82641743367071</v>
      </c>
      <c r="O68" s="4">
        <f t="shared" si="47"/>
        <v>703.14747422954929</v>
      </c>
      <c r="P68" s="4">
        <f t="shared" si="47"/>
        <v>675.55850095927383</v>
      </c>
      <c r="Q68" s="4">
        <f t="shared" si="47"/>
        <v>9212.9083402775377</v>
      </c>
    </row>
    <row r="69" spans="1:17" x14ac:dyDescent="0.25">
      <c r="A69" s="4" t="s">
        <v>42</v>
      </c>
      <c r="B69" s="4"/>
      <c r="C69" s="4">
        <f>-C41</f>
        <v>31.703639999999954</v>
      </c>
      <c r="D69" s="4">
        <f t="shared" ref="D69:G69" si="48">-D41</f>
        <v>470.1523777867497</v>
      </c>
      <c r="E69" s="4">
        <f t="shared" si="48"/>
        <v>722.82641743367071</v>
      </c>
      <c r="F69" s="4">
        <f t="shared" si="48"/>
        <v>703.14747422954929</v>
      </c>
      <c r="G69" s="4">
        <f t="shared" si="48"/>
        <v>675.55850095927383</v>
      </c>
      <c r="H69" s="4">
        <f>-H41+H62</f>
        <v>9212.9083402775377</v>
      </c>
      <c r="I69" s="2"/>
      <c r="J69" s="24"/>
      <c r="K69" s="6"/>
      <c r="L69" s="4">
        <f>K68+L68</f>
        <v>-7968.2963600000003</v>
      </c>
      <c r="M69" s="4">
        <f>M68</f>
        <v>470.1523777867497</v>
      </c>
      <c r="N69" s="4">
        <f t="shared" ref="N69:Q69" si="49">N68</f>
        <v>722.82641743367071</v>
      </c>
      <c r="O69" s="4">
        <f t="shared" si="49"/>
        <v>703.14747422954929</v>
      </c>
      <c r="P69" s="4">
        <f t="shared" si="49"/>
        <v>675.55850095927383</v>
      </c>
      <c r="Q69" s="4">
        <f t="shared" si="49"/>
        <v>9212.9083402775377</v>
      </c>
    </row>
    <row r="70" spans="1:17" x14ac:dyDescent="0.25">
      <c r="A70" s="4" t="s">
        <v>43</v>
      </c>
      <c r="B70" s="4">
        <f>B68+B69</f>
        <v>-8000</v>
      </c>
      <c r="C70" s="4">
        <f t="shared" ref="C70:H70" si="50">C68+C69</f>
        <v>31.703639999999954</v>
      </c>
      <c r="D70" s="4">
        <f t="shared" si="50"/>
        <v>470.1523777867497</v>
      </c>
      <c r="E70" s="4">
        <f t="shared" si="50"/>
        <v>722.82641743367071</v>
      </c>
      <c r="F70" s="4">
        <f t="shared" si="50"/>
        <v>703.14747422954929</v>
      </c>
      <c r="G70" s="4">
        <f t="shared" si="50"/>
        <v>675.55850095927383</v>
      </c>
      <c r="H70" s="4">
        <f t="shared" si="50"/>
        <v>9212.9083402775377</v>
      </c>
    </row>
    <row r="71" spans="1:17" x14ac:dyDescent="0.25">
      <c r="A71" s="4" t="s">
        <v>59</v>
      </c>
      <c r="B71" s="23">
        <f>IRR(B70:H70)</f>
        <v>7.4621007780300674E-2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9.2521211983472851E-2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25</v>
      </c>
      <c r="E78" s="4">
        <f t="shared" si="53"/>
        <v>23</v>
      </c>
      <c r="F78" s="4">
        <f t="shared" si="53"/>
        <v>12</v>
      </c>
      <c r="G78" s="4">
        <f t="shared" si="53"/>
        <v>0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45</v>
      </c>
      <c r="E80" s="4">
        <f t="shared" si="53"/>
        <v>64</v>
      </c>
      <c r="F80" s="4">
        <f t="shared" si="53"/>
        <v>72</v>
      </c>
      <c r="G80" s="4">
        <f t="shared" si="53"/>
        <v>68</v>
      </c>
      <c r="H80" s="4">
        <f t="shared" si="53"/>
        <v>64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815.62913249999963</v>
      </c>
      <c r="E84" s="4">
        <f t="shared" si="56"/>
        <v>1409.0874770807616</v>
      </c>
      <c r="F84" s="4">
        <f t="shared" si="56"/>
        <v>1811.2668978557042</v>
      </c>
      <c r="G84" s="4">
        <f t="shared" si="56"/>
        <v>1920.8951586623155</v>
      </c>
      <c r="H84" s="4">
        <f t="shared" si="56"/>
        <v>1865.8711168424329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492.49644445499973</v>
      </c>
      <c r="E85" s="4">
        <f t="shared" si="57"/>
        <v>822.4146005102009</v>
      </c>
      <c r="F85" s="4">
        <f t="shared" si="57"/>
        <v>1081.4394164429993</v>
      </c>
      <c r="G85" s="4">
        <f t="shared" si="57"/>
        <v>1158.0148576301103</v>
      </c>
      <c r="H85" s="4">
        <f t="shared" si="57"/>
        <v>1130.291777054337</v>
      </c>
    </row>
    <row r="86" spans="1:8" x14ac:dyDescent="0.25">
      <c r="A86" s="6" t="s">
        <v>25</v>
      </c>
      <c r="B86" s="6"/>
      <c r="C86" s="4">
        <f>C40</f>
        <v>98.903639999999953</v>
      </c>
      <c r="D86" s="4">
        <f t="shared" ref="D86:H86" si="58">D40</f>
        <v>691.82837778674968</v>
      </c>
      <c r="E86" s="4">
        <f t="shared" si="58"/>
        <v>1100.1360214336705</v>
      </c>
      <c r="F86" s="4">
        <f t="shared" si="58"/>
        <v>1180.9806644695493</v>
      </c>
      <c r="G86" s="4">
        <f t="shared" si="58"/>
        <v>1174.8239151732737</v>
      </c>
      <c r="H86" s="4">
        <f t="shared" si="58"/>
        <v>1199.2674721248497</v>
      </c>
    </row>
    <row r="87" spans="1:8" x14ac:dyDescent="0.25">
      <c r="A87" s="6" t="s">
        <v>17</v>
      </c>
      <c r="B87" s="6"/>
      <c r="C87" s="4">
        <f t="shared" ref="C87:H87" si="59">C36</f>
        <v>31.703639999999954</v>
      </c>
      <c r="D87" s="4">
        <f t="shared" si="59"/>
        <v>470.1523777867497</v>
      </c>
      <c r="E87" s="4">
        <f t="shared" si="59"/>
        <v>722.82641743367071</v>
      </c>
      <c r="F87" s="4">
        <f t="shared" si="59"/>
        <v>703.14747422954929</v>
      </c>
      <c r="G87" s="4">
        <f t="shared" si="59"/>
        <v>675.55850095927383</v>
      </c>
      <c r="H87" s="4">
        <f t="shared" si="59"/>
        <v>721.47047072205191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14957.124000000002</v>
      </c>
      <c r="E90" s="4">
        <f t="shared" si="61"/>
        <v>21341.393196000001</v>
      </c>
      <c r="F90" s="4">
        <f t="shared" si="61"/>
        <v>23879.735213760003</v>
      </c>
      <c r="G90" s="4">
        <f t="shared" si="61"/>
        <v>22180.469799546005</v>
      </c>
      <c r="H90" s="4">
        <f t="shared" si="61"/>
        <v>20502.672798143205</v>
      </c>
    </row>
    <row r="91" spans="1:8" x14ac:dyDescent="0.25">
      <c r="A91" s="4" t="s">
        <v>20</v>
      </c>
      <c r="B91" s="4">
        <f>B51</f>
        <v>8000</v>
      </c>
      <c r="C91" s="4">
        <f t="shared" si="61"/>
        <v>5715.2</v>
      </c>
      <c r="D91" s="4">
        <f t="shared" si="61"/>
        <v>2661.576</v>
      </c>
      <c r="E91" s="4">
        <f t="shared" si="61"/>
        <v>811.08635733333358</v>
      </c>
      <c r="F91" s="4">
        <f t="shared" si="61"/>
        <v>69.759587884444954</v>
      </c>
      <c r="G91" s="4">
        <f t="shared" si="61"/>
        <v>705.72534865548198</v>
      </c>
      <c r="H91" s="4">
        <f t="shared" si="61"/>
        <v>1391.1093401781811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8000</v>
      </c>
      <c r="C93" s="4">
        <f t="shared" ref="C93:H95" si="62">L8</f>
        <v>8000</v>
      </c>
      <c r="D93" s="4">
        <f t="shared" si="62"/>
        <v>8000</v>
      </c>
      <c r="E93" s="4">
        <f t="shared" si="62"/>
        <v>8000</v>
      </c>
      <c r="F93" s="4">
        <f t="shared" si="62"/>
        <v>7999.9999999999991</v>
      </c>
      <c r="G93" s="4">
        <f t="shared" si="62"/>
        <v>7999.9999999999982</v>
      </c>
      <c r="H93" s="4">
        <f t="shared" si="62"/>
        <v>7999.9999999999982</v>
      </c>
    </row>
    <row r="94" spans="1:8" x14ac:dyDescent="0.25">
      <c r="A94" s="4" t="s">
        <v>22</v>
      </c>
      <c r="B94" s="4">
        <f>B54</f>
        <v>0</v>
      </c>
      <c r="C94" s="4">
        <f t="shared" si="62"/>
        <v>4368.0000000000009</v>
      </c>
      <c r="D94" s="4">
        <f t="shared" si="62"/>
        <v>9618.7000000000007</v>
      </c>
      <c r="E94" s="4">
        <f t="shared" si="62"/>
        <v>14152.479553333334</v>
      </c>
      <c r="F94" s="4">
        <f t="shared" si="62"/>
        <v>15949.494801644443</v>
      </c>
      <c r="G94" s="4">
        <f t="shared" si="62"/>
        <v>14886.195148201481</v>
      </c>
      <c r="H94" s="4">
        <f t="shared" si="62"/>
        <v>13893.782138321383</v>
      </c>
    </row>
    <row r="95" spans="1:8" x14ac:dyDescent="0.25">
      <c r="A95" s="4" t="s">
        <v>23</v>
      </c>
      <c r="B95" s="4">
        <f>B55</f>
        <v>8000</v>
      </c>
      <c r="C95" s="4">
        <f t="shared" si="62"/>
        <v>12368</v>
      </c>
      <c r="D95" s="4">
        <f t="shared" si="62"/>
        <v>17618.7</v>
      </c>
      <c r="E95" s="4">
        <f t="shared" si="62"/>
        <v>22152.479553333334</v>
      </c>
      <c r="F95" s="4">
        <f t="shared" si="62"/>
        <v>23949.494801644443</v>
      </c>
      <c r="G95" s="4">
        <f t="shared" si="62"/>
        <v>22886.195148201477</v>
      </c>
      <c r="H95" s="4">
        <f t="shared" si="62"/>
        <v>21893.782138321381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-8000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31.703639999999954</v>
      </c>
      <c r="D99" s="4">
        <f t="shared" si="65"/>
        <v>470.1523777867497</v>
      </c>
      <c r="E99" s="4">
        <f t="shared" si="65"/>
        <v>722.82641743367071</v>
      </c>
      <c r="F99" s="4">
        <f t="shared" si="65"/>
        <v>703.14747422954929</v>
      </c>
      <c r="G99" s="4">
        <f t="shared" si="65"/>
        <v>675.55850095927383</v>
      </c>
      <c r="H99" s="4">
        <f t="shared" si="65"/>
        <v>9212.9083402775377</v>
      </c>
    </row>
    <row r="100" spans="1:8" x14ac:dyDescent="0.25">
      <c r="A100" s="4" t="s">
        <v>43</v>
      </c>
      <c r="B100" s="4">
        <f t="shared" si="65"/>
        <v>-8000</v>
      </c>
      <c r="C100" s="4">
        <f t="shared" si="65"/>
        <v>31.703639999999954</v>
      </c>
      <c r="D100" s="4">
        <f t="shared" si="65"/>
        <v>470.1523777867497</v>
      </c>
      <c r="E100" s="4">
        <f t="shared" si="65"/>
        <v>722.82641743367071</v>
      </c>
      <c r="F100" s="4">
        <f t="shared" si="65"/>
        <v>703.14747422954929</v>
      </c>
      <c r="G100" s="4">
        <f t="shared" si="65"/>
        <v>675.55850095927383</v>
      </c>
      <c r="H100" s="4">
        <f t="shared" si="65"/>
        <v>9212.9083402775377</v>
      </c>
    </row>
    <row r="101" spans="1:8" hidden="1" x14ac:dyDescent="0.25">
      <c r="A101" s="3" t="s">
        <v>72</v>
      </c>
      <c r="B101" s="37">
        <f t="shared" si="65"/>
        <v>7.4621007780300674E-2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208</v>
      </c>
      <c r="B102" s="38">
        <f t="shared" si="65"/>
        <v>9.2521211983472851E-2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80" zoomScaleNormal="80" workbookViewId="0">
      <selection activeCell="H14" sqref="H14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1.710937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E2" s="88" t="s">
        <v>241</v>
      </c>
      <c r="F2" s="106">
        <v>40942</v>
      </c>
      <c r="J2" s="88"/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13268.976000000001</v>
      </c>
      <c r="N5" s="13">
        <f t="shared" si="0"/>
        <v>19160.544311999998</v>
      </c>
      <c r="O5" s="13">
        <f t="shared" si="0"/>
        <v>18752.980708559997</v>
      </c>
      <c r="P5" s="13">
        <f t="shared" si="0"/>
        <v>18339.303651068396</v>
      </c>
      <c r="Q5" s="13">
        <f t="shared" si="0"/>
        <v>17623.041111967475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H6" t="s">
        <v>53</v>
      </c>
      <c r="J6" s="4" t="s">
        <v>20</v>
      </c>
      <c r="K6" s="13">
        <f t="shared" si="0"/>
        <v>8000</v>
      </c>
      <c r="L6" s="13">
        <f t="shared" si="0"/>
        <v>5715.2</v>
      </c>
      <c r="M6" s="13">
        <f t="shared" si="0"/>
        <v>3241.3440000000001</v>
      </c>
      <c r="N6" s="13">
        <f t="shared" si="0"/>
        <v>832.44154133333359</v>
      </c>
      <c r="O6" s="13">
        <f t="shared" si="0"/>
        <v>440.47275455111117</v>
      </c>
      <c r="P6" s="13">
        <f t="shared" si="0"/>
        <v>107.91958116863697</v>
      </c>
      <c r="Q6" s="13">
        <f t="shared" si="0"/>
        <v>127.70057145375694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8000</v>
      </c>
      <c r="L8" s="13">
        <f t="shared" si="1"/>
        <v>8000</v>
      </c>
      <c r="M8" s="13">
        <f t="shared" si="1"/>
        <v>8000</v>
      </c>
      <c r="N8" s="13">
        <f t="shared" si="1"/>
        <v>8000</v>
      </c>
      <c r="O8" s="13">
        <f t="shared" si="1"/>
        <v>8000</v>
      </c>
      <c r="P8" s="13">
        <f t="shared" si="1"/>
        <v>8000.0000000000009</v>
      </c>
      <c r="Q8" s="13">
        <f t="shared" si="1"/>
        <v>8000.0000000000009</v>
      </c>
      <c r="R8" s="4"/>
    </row>
    <row r="9" spans="1:18" x14ac:dyDescent="0.25">
      <c r="A9" s="16" t="s">
        <v>58</v>
      </c>
      <c r="B9" s="9">
        <v>8000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4368.0000000000009</v>
      </c>
      <c r="M9" s="13">
        <f t="shared" si="1"/>
        <v>8510.32</v>
      </c>
      <c r="N9" s="13">
        <f t="shared" si="1"/>
        <v>11992.985853333334</v>
      </c>
      <c r="O9" s="13">
        <f t="shared" si="1"/>
        <v>11193.453463111111</v>
      </c>
      <c r="P9" s="13">
        <f t="shared" si="1"/>
        <v>10447.223232237036</v>
      </c>
      <c r="Q9" s="13">
        <f t="shared" si="1"/>
        <v>9750.7416834212345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8000</v>
      </c>
      <c r="L10" s="13">
        <f t="shared" si="1"/>
        <v>12368</v>
      </c>
      <c r="M10" s="13">
        <f t="shared" si="1"/>
        <v>16510.32</v>
      </c>
      <c r="N10" s="13">
        <f t="shared" si="1"/>
        <v>19992.985853333332</v>
      </c>
      <c r="O10" s="13">
        <f t="shared" si="1"/>
        <v>19193.453463111109</v>
      </c>
      <c r="P10" s="13">
        <f t="shared" si="1"/>
        <v>18447.223232237036</v>
      </c>
      <c r="Q10" s="13">
        <f t="shared" si="1"/>
        <v>17750.741683421234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239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40</v>
      </c>
      <c r="F12" s="4">
        <f t="shared" si="3"/>
        <v>58</v>
      </c>
      <c r="G12" s="4">
        <f t="shared" si="3"/>
        <v>58</v>
      </c>
      <c r="H12" s="4">
        <f t="shared" si="3"/>
        <v>58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20</v>
      </c>
      <c r="E13" s="11">
        <v>18</v>
      </c>
      <c r="F13" s="11"/>
      <c r="G13" s="11"/>
      <c r="H13" s="11"/>
      <c r="I13" s="2"/>
      <c r="J13" s="3" t="s">
        <v>59</v>
      </c>
      <c r="K13" s="87">
        <f>B71</f>
        <v>6.5072691920645243E-2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/>
      <c r="F14" s="11"/>
      <c r="G14" s="11"/>
      <c r="H14" s="11">
        <v>-1</v>
      </c>
      <c r="I14" s="2"/>
      <c r="J14" s="3" t="s">
        <v>60</v>
      </c>
      <c r="K14" s="87">
        <f>B72</f>
        <v>8.002473700071433E-2</v>
      </c>
    </row>
    <row r="15" spans="1:18" x14ac:dyDescent="0.25">
      <c r="A15" s="4" t="s">
        <v>240</v>
      </c>
      <c r="B15" s="4">
        <f>B12+B13+B14</f>
        <v>0</v>
      </c>
      <c r="C15" s="4">
        <f>C12+C13+C14</f>
        <v>20</v>
      </c>
      <c r="D15" s="4">
        <f>D12+D13+D14</f>
        <v>40</v>
      </c>
      <c r="E15" s="4">
        <f t="shared" ref="E15:H15" si="4">E12+E13+E14</f>
        <v>58</v>
      </c>
      <c r="F15" s="4">
        <f t="shared" si="4"/>
        <v>58</v>
      </c>
      <c r="G15" s="4">
        <f t="shared" si="4"/>
        <v>58</v>
      </c>
      <c r="H15" s="4">
        <f t="shared" si="4"/>
        <v>57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30</v>
      </c>
      <c r="E16" s="4">
        <f t="shared" ref="E16:H16" si="5">(E12+E15)/2</f>
        <v>49</v>
      </c>
      <c r="F16" s="4">
        <f t="shared" si="5"/>
        <v>58</v>
      </c>
      <c r="G16" s="4">
        <f t="shared" si="5"/>
        <v>58</v>
      </c>
      <c r="H16" s="4">
        <f t="shared" si="5"/>
        <v>57.5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696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713.29022250199228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12362.699999999997</v>
      </c>
      <c r="F21" s="4">
        <f t="shared" si="9"/>
        <v>18194.803724999994</v>
      </c>
      <c r="G21" s="4">
        <f t="shared" si="9"/>
        <v>18467.725780874993</v>
      </c>
      <c r="H21" s="4">
        <f t="shared" si="9"/>
        <v>18744.741667588118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18.75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9134.9999999999982</v>
      </c>
      <c r="E22" s="4">
        <f t="shared" si="10"/>
        <v>15144.307499999997</v>
      </c>
      <c r="F22" s="4">
        <f t="shared" si="10"/>
        <v>18194.803724999994</v>
      </c>
      <c r="G22" s="4">
        <f t="shared" si="10"/>
        <v>18467.725780874993</v>
      </c>
      <c r="H22" s="4">
        <f t="shared" si="10"/>
        <v>18583.149067005463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11.25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12179.999999999998</v>
      </c>
      <c r="E23" s="4">
        <f t="shared" si="11"/>
        <v>17925.914999999997</v>
      </c>
      <c r="F23" s="4">
        <f t="shared" si="11"/>
        <v>18194.803724999994</v>
      </c>
      <c r="G23" s="4">
        <f t="shared" si="11"/>
        <v>18467.725780874993</v>
      </c>
      <c r="H23" s="4">
        <f t="shared" si="11"/>
        <v>18421.556466422804</v>
      </c>
      <c r="I23" s="2" t="s">
        <v>53</v>
      </c>
      <c r="J23" s="2"/>
      <c r="K23" s="2"/>
      <c r="Q23" s="6" t="s">
        <v>23</v>
      </c>
      <c r="R23" s="4">
        <f>SUM(R19:R22)</f>
        <v>1439.2902225019923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1158.2723458344401</v>
      </c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752.88842999999963</v>
      </c>
      <c r="E26" s="3">
        <f t="shared" si="13"/>
        <v>1266.8859885680242</v>
      </c>
      <c r="F26" s="3">
        <f t="shared" si="13"/>
        <v>1544.9041187592768</v>
      </c>
      <c r="G26" s="3">
        <f t="shared" si="13"/>
        <v>1591.5988457487758</v>
      </c>
      <c r="H26" s="3">
        <f t="shared" si="13"/>
        <v>1625.5695336127258</v>
      </c>
      <c r="I26" s="107">
        <f>SUM(C26:H26)</f>
        <v>7025.446916688802</v>
      </c>
      <c r="J26" s="4">
        <f>I26*4%</f>
        <v>281.01787666755212</v>
      </c>
      <c r="K26" s="2"/>
      <c r="O26" s="108" t="s">
        <v>217</v>
      </c>
      <c r="P26" s="108"/>
      <c r="Q26" s="108"/>
      <c r="R26" s="109">
        <f>R25/6</f>
        <v>193.04539097240669</v>
      </c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4.5173305799999977</v>
      </c>
      <c r="E27" s="29">
        <f t="shared" si="14"/>
        <v>7.6013159314081458</v>
      </c>
      <c r="F27" s="29">
        <f t="shared" si="14"/>
        <v>9.2694247125556615</v>
      </c>
      <c r="G27" s="29">
        <f t="shared" si="14"/>
        <v>9.5495930744926554</v>
      </c>
      <c r="H27" s="29">
        <f t="shared" si="14"/>
        <v>9.7534172016763545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90.288842999999972</v>
      </c>
      <c r="E28" s="4">
        <f t="shared" si="15"/>
        <v>141.68859885680243</v>
      </c>
      <c r="F28" s="4">
        <f t="shared" si="15"/>
        <v>169.49041187592769</v>
      </c>
      <c r="G28" s="4">
        <f t="shared" si="15"/>
        <v>174.15988457487759</v>
      </c>
      <c r="H28" s="4">
        <f t="shared" si="15"/>
        <v>177.55695336127258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0</v>
      </c>
      <c r="F29" s="4">
        <f t="shared" si="16"/>
        <v>0</v>
      </c>
      <c r="G29" s="4">
        <f t="shared" si="16"/>
        <v>0</v>
      </c>
      <c r="H29" s="4">
        <f t="shared" si="16"/>
        <v>11.25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204.62399999999997</v>
      </c>
      <c r="E30" s="4">
        <f t="shared" si="17"/>
        <v>339.23248799999993</v>
      </c>
      <c r="F30" s="4">
        <f t="shared" si="17"/>
        <v>407.56360343999989</v>
      </c>
      <c r="G30" s="4">
        <f t="shared" si="17"/>
        <v>413.6770574915999</v>
      </c>
      <c r="H30" s="4">
        <f t="shared" si="17"/>
        <v>416.26253910092237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453.45825641999971</v>
      </c>
      <c r="E31" s="3">
        <f t="shared" si="18"/>
        <v>778.36358577981377</v>
      </c>
      <c r="F31" s="3">
        <f t="shared" si="18"/>
        <v>958.58067873079347</v>
      </c>
      <c r="G31" s="3">
        <f t="shared" si="18"/>
        <v>994.21231060780553</v>
      </c>
      <c r="H31" s="3">
        <f t="shared" si="18"/>
        <v>1010.7466239488543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0.60229143967586263</v>
      </c>
      <c r="E32" s="27">
        <f t="shared" si="19"/>
        <v>0.6143911865815227</v>
      </c>
      <c r="F32" s="27">
        <f t="shared" si="19"/>
        <v>0.62047907510314382</v>
      </c>
      <c r="G32" s="27">
        <f t="shared" si="19"/>
        <v>0.62466262353945934</v>
      </c>
      <c r="H32" s="27">
        <f t="shared" si="19"/>
        <v>0.62177999959345553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0</v>
      </c>
      <c r="F33" s="4">
        <f t="shared" si="20"/>
        <v>0</v>
      </c>
      <c r="G33" s="4">
        <f t="shared" si="20"/>
        <v>0</v>
      </c>
      <c r="H33" s="4">
        <f t="shared" si="20"/>
        <v>89.154538252499975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-98.280000000000015</v>
      </c>
      <c r="D34" s="4">
        <f t="shared" ref="D34:H34" si="21">-$F$6*(C54-C51)</f>
        <v>60.623999999999945</v>
      </c>
      <c r="E34" s="4">
        <f t="shared" si="21"/>
        <v>-237.10391999999999</v>
      </c>
      <c r="F34" s="4">
        <f t="shared" si="21"/>
        <v>-502.22449403999997</v>
      </c>
      <c r="G34" s="4">
        <f t="shared" si="21"/>
        <v>-483.88413188520002</v>
      </c>
      <c r="H34" s="4">
        <f t="shared" si="21"/>
        <v>-465.26866429807797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-5.5947599999999911</v>
      </c>
      <c r="D35" s="4">
        <f>IF((D31+D33+D34)&gt;0,-(D31+D33+D34)*$F$7,0)</f>
        <v>-77.112338462999944</v>
      </c>
      <c r="E35" s="4">
        <f t="shared" ref="E35:H35" si="22">IF((E31+E33+E34)&gt;0,-(E31+E33+E34)*$F$7,0)</f>
        <v>-81.188949866972067</v>
      </c>
      <c r="F35" s="4">
        <f t="shared" si="22"/>
        <v>-68.453427703619028</v>
      </c>
      <c r="G35" s="4">
        <f t="shared" si="22"/>
        <v>-76.549226808390827</v>
      </c>
      <c r="H35" s="4">
        <f t="shared" si="22"/>
        <v>-95.194874685491442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31.703639999999954</v>
      </c>
      <c r="D36" s="3">
        <f>D31+D33+D34+D35</f>
        <v>436.96991795699972</v>
      </c>
      <c r="E36" s="3">
        <f t="shared" ref="E36:H36" si="23">E31+E33+E34+E35</f>
        <v>460.07071591284171</v>
      </c>
      <c r="F36" s="3">
        <f t="shared" si="23"/>
        <v>387.90275698717448</v>
      </c>
      <c r="G36" s="3">
        <f t="shared" si="23"/>
        <v>433.7789519142147</v>
      </c>
      <c r="H36" s="3">
        <f t="shared" si="23"/>
        <v>539.4376232177849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0.13014630541871905</v>
      </c>
      <c r="D37" s="27">
        <f t="shared" ref="D37:H37" si="24">D36/D26</f>
        <v>0.5803913309665284</v>
      </c>
      <c r="E37" s="27">
        <f t="shared" si="24"/>
        <v>0.36315084393100355</v>
      </c>
      <c r="F37" s="27">
        <f t="shared" si="24"/>
        <v>0.25108532774105224</v>
      </c>
      <c r="G37" s="27">
        <f t="shared" si="24"/>
        <v>0.27254289174238572</v>
      </c>
      <c r="H37" s="27">
        <f t="shared" si="24"/>
        <v>0.33184530840641357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98.903639999999953</v>
      </c>
      <c r="D40" s="4">
        <f t="shared" si="26"/>
        <v>641.59391795699969</v>
      </c>
      <c r="E40" s="4">
        <f t="shared" si="26"/>
        <v>799.30320391284158</v>
      </c>
      <c r="F40" s="4">
        <f t="shared" si="26"/>
        <v>795.46636042717432</v>
      </c>
      <c r="G40" s="4">
        <f t="shared" si="26"/>
        <v>847.4560094058146</v>
      </c>
      <c r="H40" s="4">
        <f t="shared" si="26"/>
        <v>955.70016231870727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-31.703639999999954</v>
      </c>
      <c r="D41" s="4">
        <f t="shared" si="27"/>
        <v>-436.96991795699972</v>
      </c>
      <c r="E41" s="4">
        <f t="shared" si="27"/>
        <v>-460.07071591284171</v>
      </c>
      <c r="F41" s="4">
        <f t="shared" si="27"/>
        <v>-387.90275698717448</v>
      </c>
      <c r="G41" s="4">
        <f t="shared" si="27"/>
        <v>-433.7789519142147</v>
      </c>
      <c r="H41" s="4">
        <f t="shared" si="27"/>
        <v>-539.4376232177849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-291.20000000000005</v>
      </c>
      <c r="E42" s="4">
        <f>-D54/$I$54</f>
        <v>-567.35466666666662</v>
      </c>
      <c r="F42" s="4">
        <f>-E54/$I$54</f>
        <v>-799.53239022222226</v>
      </c>
      <c r="G42" s="4">
        <f>-F54/$I$54</f>
        <v>-746.2302308740741</v>
      </c>
      <c r="H42" s="4">
        <f>-G54/$I$54</f>
        <v>-696.4815488158024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4368.0000000000009</v>
      </c>
      <c r="D43" s="4">
        <f t="shared" ref="D43:H43" si="28">-D45*$F$9</f>
        <v>4433.5199999999995</v>
      </c>
      <c r="E43" s="4">
        <f t="shared" si="28"/>
        <v>4050.0205199999996</v>
      </c>
      <c r="F43" s="4">
        <f t="shared" si="28"/>
        <v>0</v>
      </c>
      <c r="G43" s="4">
        <f t="shared" si="28"/>
        <v>0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0</v>
      </c>
      <c r="F44" s="4">
        <f t="shared" si="29"/>
        <v>0</v>
      </c>
      <c r="G44" s="4">
        <f t="shared" si="29"/>
        <v>0</v>
      </c>
      <c r="H44" s="4">
        <f t="shared" si="29"/>
        <v>300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-6820.7999999999993</v>
      </c>
      <c r="E45" s="4">
        <f t="shared" si="30"/>
        <v>-6230.8007999999991</v>
      </c>
      <c r="F45" s="4">
        <f t="shared" si="30"/>
        <v>0</v>
      </c>
      <c r="G45" s="4">
        <f t="shared" si="30"/>
        <v>0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8000</v>
      </c>
      <c r="D46" s="4">
        <f>C51</f>
        <v>5715.2</v>
      </c>
      <c r="E46" s="4">
        <f t="shared" ref="E46:H46" si="31">D51</f>
        <v>3241.3440000000001</v>
      </c>
      <c r="F46" s="4">
        <f t="shared" si="31"/>
        <v>832.44154133333359</v>
      </c>
      <c r="G46" s="4">
        <f t="shared" si="31"/>
        <v>440.47275455111117</v>
      </c>
      <c r="H46" s="4">
        <f t="shared" si="31"/>
        <v>107.91958116863697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5715.2</v>
      </c>
      <c r="D47" s="4">
        <f>SUM(D40:D46)</f>
        <v>3241.3440000000001</v>
      </c>
      <c r="E47" s="4">
        <f t="shared" ref="E47:H47" si="32">SUM(E40:E46)</f>
        <v>832.44154133333359</v>
      </c>
      <c r="F47" s="4">
        <f t="shared" si="32"/>
        <v>440.47275455111117</v>
      </c>
      <c r="G47" s="4">
        <f t="shared" si="32"/>
        <v>107.91958116863697</v>
      </c>
      <c r="H47" s="4">
        <f t="shared" si="32"/>
        <v>127.70057145375694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13268.976000000001</v>
      </c>
      <c r="E50" s="4">
        <f t="shared" si="34"/>
        <v>19160.544311999998</v>
      </c>
      <c r="F50" s="4">
        <f t="shared" si="34"/>
        <v>18752.980708559997</v>
      </c>
      <c r="G50" s="4">
        <f t="shared" si="34"/>
        <v>18339.303651068396</v>
      </c>
      <c r="H50" s="4">
        <f t="shared" si="34"/>
        <v>17623.041111967475</v>
      </c>
      <c r="I50" s="4"/>
      <c r="J50" s="2"/>
      <c r="K50" s="2"/>
    </row>
    <row r="51" spans="1:11" x14ac:dyDescent="0.25">
      <c r="A51" s="4" t="s">
        <v>20</v>
      </c>
      <c r="B51" s="4">
        <f>B55</f>
        <v>8000</v>
      </c>
      <c r="C51" s="4">
        <f>C47</f>
        <v>5715.2</v>
      </c>
      <c r="D51" s="4">
        <f>D47</f>
        <v>3241.3440000000001</v>
      </c>
      <c r="E51" s="4">
        <f t="shared" ref="E51:H51" si="35">E47</f>
        <v>832.44154133333359</v>
      </c>
      <c r="F51" s="4">
        <f t="shared" si="35"/>
        <v>440.47275455111117</v>
      </c>
      <c r="G51" s="4">
        <f t="shared" si="35"/>
        <v>107.91958116863697</v>
      </c>
      <c r="H51" s="4">
        <f t="shared" si="35"/>
        <v>127.70057145375694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8000</v>
      </c>
      <c r="C53" s="4">
        <f t="shared" ref="C53:H53" si="36">B53+C36+C41</f>
        <v>8000</v>
      </c>
      <c r="D53" s="4">
        <f t="shared" si="36"/>
        <v>8000</v>
      </c>
      <c r="E53" s="4">
        <f t="shared" si="36"/>
        <v>8000</v>
      </c>
      <c r="F53" s="4">
        <f t="shared" si="36"/>
        <v>8000</v>
      </c>
      <c r="G53" s="4">
        <f t="shared" si="36"/>
        <v>8000.0000000000009</v>
      </c>
      <c r="H53" s="4">
        <f t="shared" si="36"/>
        <v>8000.0000000000009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4368.0000000000009</v>
      </c>
      <c r="D54" s="4">
        <f t="shared" ref="D54:H54" si="37">C54+D43+D42</f>
        <v>8510.32</v>
      </c>
      <c r="E54" s="4">
        <f t="shared" si="37"/>
        <v>11992.985853333334</v>
      </c>
      <c r="F54" s="4">
        <f t="shared" si="37"/>
        <v>11193.453463111111</v>
      </c>
      <c r="G54" s="4">
        <f t="shared" si="37"/>
        <v>10447.223232237036</v>
      </c>
      <c r="H54" s="4">
        <f t="shared" si="37"/>
        <v>9750.7416834212345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8000</v>
      </c>
      <c r="C55" s="4">
        <f>SUM(C53:C54)</f>
        <v>12368</v>
      </c>
      <c r="D55" s="4">
        <f>SUM(D53:D54)</f>
        <v>16510.32</v>
      </c>
      <c r="E55" s="4">
        <f t="shared" ref="E55:H55" si="38">SUM(E53:E54)</f>
        <v>19992.985853333332</v>
      </c>
      <c r="F55" s="4">
        <f t="shared" si="38"/>
        <v>19193.453463111109</v>
      </c>
      <c r="G55" s="4">
        <f t="shared" si="38"/>
        <v>18447.223232237036</v>
      </c>
      <c r="H55" s="4">
        <f t="shared" si="38"/>
        <v>17750.741683421234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12362.699999999997</v>
      </c>
      <c r="E59" s="4">
        <f>E15*$B$4*(1+$B$8)*(1+$B$8)*(1+$B$8)</f>
        <v>18194.803724999994</v>
      </c>
      <c r="F59" s="4">
        <f>F15*$B$4*(1+$B$8)*(1+$B$8)*(1+$B$8)*(1+$B$8)</f>
        <v>18467.725780874993</v>
      </c>
      <c r="G59" s="4">
        <f>G15*$B$4*(1+$B$8)*(1+$B$8)*(1+$B$8)*(1+$B$8)*(1+$B$8)</f>
        <v>18744.741667588114</v>
      </c>
      <c r="H59" s="4">
        <f>H15*$B$4*(1+$B$8)*(1+$B$8)*(1+$B$8)*(1+$B$8)*(1+$B$8)*(1+$B$8)</f>
        <v>18697.879813419146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8000</v>
      </c>
      <c r="C60" s="4">
        <f t="shared" si="41"/>
        <v>5715.2</v>
      </c>
      <c r="D60" s="4">
        <f t="shared" si="41"/>
        <v>3241.3440000000001</v>
      </c>
      <c r="E60" s="4">
        <f t="shared" si="41"/>
        <v>832.44154133333359</v>
      </c>
      <c r="F60" s="4">
        <f t="shared" si="41"/>
        <v>440.47275455111117</v>
      </c>
      <c r="G60" s="4">
        <f t="shared" si="41"/>
        <v>107.91958116863697</v>
      </c>
      <c r="H60" s="4">
        <f t="shared" si="41"/>
        <v>127.70057145375694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8000</v>
      </c>
      <c r="C62" s="4">
        <f>C59+C60-C63</f>
        <v>7437.199999999998</v>
      </c>
      <c r="D62" s="4">
        <f t="shared" ref="D62:H62" si="43">D59+D60-D63</f>
        <v>7093.7239999999983</v>
      </c>
      <c r="E62" s="4">
        <f t="shared" si="43"/>
        <v>7034.2594129999943</v>
      </c>
      <c r="F62" s="4">
        <f t="shared" si="43"/>
        <v>7714.7450723149941</v>
      </c>
      <c r="G62" s="4">
        <f t="shared" si="43"/>
        <v>8405.4380165197144</v>
      </c>
      <c r="H62" s="4">
        <f t="shared" si="43"/>
        <v>9074.8387014516666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4368.0000000000009</v>
      </c>
      <c r="D63" s="4">
        <f t="shared" si="42"/>
        <v>8510.32</v>
      </c>
      <c r="E63" s="4">
        <f t="shared" si="42"/>
        <v>11992.985853333334</v>
      </c>
      <c r="F63" s="4">
        <f t="shared" si="42"/>
        <v>11193.453463111111</v>
      </c>
      <c r="G63" s="4">
        <f t="shared" si="42"/>
        <v>10447.223232237036</v>
      </c>
      <c r="H63" s="4">
        <f t="shared" si="42"/>
        <v>9750.7416834212345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8000</v>
      </c>
      <c r="C64" s="4">
        <f>C62+C63</f>
        <v>11805.199999999999</v>
      </c>
      <c r="D64" s="4">
        <f t="shared" ref="D64:H64" si="44">D62+D63</f>
        <v>15604.043999999998</v>
      </c>
      <c r="E64" s="4">
        <f t="shared" si="44"/>
        <v>19027.245266333328</v>
      </c>
      <c r="F64" s="4">
        <f t="shared" si="44"/>
        <v>18908.198535426105</v>
      </c>
      <c r="G64" s="4">
        <f t="shared" si="44"/>
        <v>18852.661248756751</v>
      </c>
      <c r="H64" s="4">
        <f t="shared" si="44"/>
        <v>18825.580384872901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-8000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-8000</v>
      </c>
      <c r="L68" s="4">
        <f t="shared" si="47"/>
        <v>31.703639999999954</v>
      </c>
      <c r="M68" s="4">
        <f t="shared" si="47"/>
        <v>436.96991795699972</v>
      </c>
      <c r="N68" s="4">
        <f t="shared" si="47"/>
        <v>460.07071591284171</v>
      </c>
      <c r="O68" s="4">
        <f t="shared" si="47"/>
        <v>387.90275698717448</v>
      </c>
      <c r="P68" s="4">
        <f t="shared" si="47"/>
        <v>433.7789519142147</v>
      </c>
      <c r="Q68" s="4">
        <f t="shared" si="47"/>
        <v>9614.2763246694522</v>
      </c>
    </row>
    <row r="69" spans="1:17" x14ac:dyDescent="0.25">
      <c r="A69" s="4" t="s">
        <v>42</v>
      </c>
      <c r="B69" s="4"/>
      <c r="C69" s="4">
        <f>-C41</f>
        <v>31.703639999999954</v>
      </c>
      <c r="D69" s="4">
        <f t="shared" ref="D69:G69" si="48">-D41</f>
        <v>436.96991795699972</v>
      </c>
      <c r="E69" s="4">
        <f t="shared" si="48"/>
        <v>460.07071591284171</v>
      </c>
      <c r="F69" s="4">
        <f t="shared" si="48"/>
        <v>387.90275698717448</v>
      </c>
      <c r="G69" s="4">
        <f t="shared" si="48"/>
        <v>433.7789519142147</v>
      </c>
      <c r="H69" s="4">
        <f>-H41+H62</f>
        <v>9614.2763246694522</v>
      </c>
      <c r="I69" s="2"/>
      <c r="J69" s="24"/>
      <c r="K69" s="6"/>
      <c r="L69" s="4">
        <f>K68+L68</f>
        <v>-7968.2963600000003</v>
      </c>
      <c r="M69" s="4">
        <f>M68</f>
        <v>436.96991795699972</v>
      </c>
      <c r="N69" s="4">
        <f t="shared" ref="N69:Q69" si="49">N68</f>
        <v>460.07071591284171</v>
      </c>
      <c r="O69" s="4">
        <f t="shared" si="49"/>
        <v>387.90275698717448</v>
      </c>
      <c r="P69" s="4">
        <f t="shared" si="49"/>
        <v>433.7789519142147</v>
      </c>
      <c r="Q69" s="4">
        <f t="shared" si="49"/>
        <v>9614.2763246694522</v>
      </c>
    </row>
    <row r="70" spans="1:17" x14ac:dyDescent="0.25">
      <c r="A70" s="4" t="s">
        <v>43</v>
      </c>
      <c r="B70" s="4">
        <f>B68+B69</f>
        <v>-8000</v>
      </c>
      <c r="C70" s="4">
        <f t="shared" ref="C70:H70" si="50">C68+C69</f>
        <v>31.703639999999954</v>
      </c>
      <c r="D70" s="4">
        <f t="shared" si="50"/>
        <v>436.96991795699972</v>
      </c>
      <c r="E70" s="4">
        <f t="shared" si="50"/>
        <v>460.07071591284171</v>
      </c>
      <c r="F70" s="4">
        <f t="shared" si="50"/>
        <v>387.90275698717448</v>
      </c>
      <c r="G70" s="4">
        <f t="shared" si="50"/>
        <v>433.7789519142147</v>
      </c>
      <c r="H70" s="4">
        <f t="shared" si="50"/>
        <v>9614.2763246694522</v>
      </c>
    </row>
    <row r="71" spans="1:17" x14ac:dyDescent="0.25">
      <c r="A71" s="4" t="s">
        <v>59</v>
      </c>
      <c r="B71" s="23">
        <f>IRR(B70:H70)</f>
        <v>6.5072691920645243E-2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8.002473700071433E-2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20</v>
      </c>
      <c r="E78" s="4">
        <f t="shared" si="53"/>
        <v>18</v>
      </c>
      <c r="F78" s="4">
        <f t="shared" si="53"/>
        <v>0</v>
      </c>
      <c r="G78" s="4">
        <f t="shared" si="53"/>
        <v>0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0</v>
      </c>
      <c r="F79" s="4">
        <f t="shared" si="53"/>
        <v>0</v>
      </c>
      <c r="G79" s="4">
        <f t="shared" si="53"/>
        <v>0</v>
      </c>
      <c r="H79" s="4">
        <f t="shared" si="53"/>
        <v>-1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40</v>
      </c>
      <c r="E80" s="4">
        <f t="shared" si="53"/>
        <v>58</v>
      </c>
      <c r="F80" s="4">
        <f t="shared" si="53"/>
        <v>58</v>
      </c>
      <c r="G80" s="4">
        <f t="shared" si="53"/>
        <v>58</v>
      </c>
      <c r="H80" s="4">
        <f t="shared" si="53"/>
        <v>57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752.88842999999963</v>
      </c>
      <c r="E84" s="4">
        <f t="shared" si="56"/>
        <v>1266.8859885680242</v>
      </c>
      <c r="F84" s="4">
        <f t="shared" si="56"/>
        <v>1544.9041187592768</v>
      </c>
      <c r="G84" s="4">
        <f t="shared" si="56"/>
        <v>1591.5988457487758</v>
      </c>
      <c r="H84" s="4">
        <f t="shared" si="56"/>
        <v>1625.5695336127258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453.45825641999971</v>
      </c>
      <c r="E85" s="4">
        <f t="shared" si="57"/>
        <v>778.36358577981377</v>
      </c>
      <c r="F85" s="4">
        <f t="shared" si="57"/>
        <v>958.58067873079347</v>
      </c>
      <c r="G85" s="4">
        <f t="shared" si="57"/>
        <v>994.21231060780553</v>
      </c>
      <c r="H85" s="4">
        <f t="shared" si="57"/>
        <v>1010.7466239488543</v>
      </c>
    </row>
    <row r="86" spans="1:8" x14ac:dyDescent="0.25">
      <c r="A86" s="6" t="s">
        <v>25</v>
      </c>
      <c r="B86" s="6"/>
      <c r="C86" s="4">
        <f>C40</f>
        <v>98.903639999999953</v>
      </c>
      <c r="D86" s="4">
        <f t="shared" ref="D86:H86" si="58">D40</f>
        <v>641.59391795699969</v>
      </c>
      <c r="E86" s="4">
        <f t="shared" si="58"/>
        <v>799.30320391284158</v>
      </c>
      <c r="F86" s="4">
        <f t="shared" si="58"/>
        <v>795.46636042717432</v>
      </c>
      <c r="G86" s="4">
        <f t="shared" si="58"/>
        <v>847.4560094058146</v>
      </c>
      <c r="H86" s="4">
        <f t="shared" si="58"/>
        <v>955.70016231870727</v>
      </c>
    </row>
    <row r="87" spans="1:8" x14ac:dyDescent="0.25">
      <c r="A87" s="6" t="s">
        <v>17</v>
      </c>
      <c r="B87" s="6"/>
      <c r="C87" s="4">
        <f t="shared" ref="C87:H87" si="59">C36</f>
        <v>31.703639999999954</v>
      </c>
      <c r="D87" s="4">
        <f t="shared" si="59"/>
        <v>436.96991795699972</v>
      </c>
      <c r="E87" s="4">
        <f t="shared" si="59"/>
        <v>460.07071591284171</v>
      </c>
      <c r="F87" s="4">
        <f t="shared" si="59"/>
        <v>387.90275698717448</v>
      </c>
      <c r="G87" s="4">
        <f t="shared" si="59"/>
        <v>433.7789519142147</v>
      </c>
      <c r="H87" s="4">
        <f t="shared" si="59"/>
        <v>539.4376232177849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13268.976000000001</v>
      </c>
      <c r="E90" s="4">
        <f t="shared" si="61"/>
        <v>19160.544311999998</v>
      </c>
      <c r="F90" s="4">
        <f t="shared" si="61"/>
        <v>18752.980708559997</v>
      </c>
      <c r="G90" s="4">
        <f t="shared" si="61"/>
        <v>18339.303651068396</v>
      </c>
      <c r="H90" s="4">
        <f t="shared" si="61"/>
        <v>17623.041111967475</v>
      </c>
    </row>
    <row r="91" spans="1:8" x14ac:dyDescent="0.25">
      <c r="A91" s="4" t="s">
        <v>20</v>
      </c>
      <c r="B91" s="4">
        <f>B51</f>
        <v>8000</v>
      </c>
      <c r="C91" s="4">
        <f t="shared" si="61"/>
        <v>5715.2</v>
      </c>
      <c r="D91" s="4">
        <f t="shared" si="61"/>
        <v>3241.3440000000001</v>
      </c>
      <c r="E91" s="4">
        <f t="shared" si="61"/>
        <v>832.44154133333359</v>
      </c>
      <c r="F91" s="4">
        <f t="shared" si="61"/>
        <v>440.47275455111117</v>
      </c>
      <c r="G91" s="4">
        <f t="shared" si="61"/>
        <v>107.91958116863697</v>
      </c>
      <c r="H91" s="4">
        <f t="shared" si="61"/>
        <v>127.70057145375694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8000</v>
      </c>
      <c r="C93" s="4">
        <f t="shared" ref="C93:H95" si="62">L8</f>
        <v>8000</v>
      </c>
      <c r="D93" s="4">
        <f t="shared" si="62"/>
        <v>8000</v>
      </c>
      <c r="E93" s="4">
        <f t="shared" si="62"/>
        <v>8000</v>
      </c>
      <c r="F93" s="4">
        <f t="shared" si="62"/>
        <v>8000</v>
      </c>
      <c r="G93" s="4">
        <f t="shared" si="62"/>
        <v>8000.0000000000009</v>
      </c>
      <c r="H93" s="4">
        <f t="shared" si="62"/>
        <v>8000.0000000000009</v>
      </c>
    </row>
    <row r="94" spans="1:8" x14ac:dyDescent="0.25">
      <c r="A94" s="4" t="s">
        <v>22</v>
      </c>
      <c r="B94" s="4">
        <f>B54</f>
        <v>0</v>
      </c>
      <c r="C94" s="4">
        <f t="shared" si="62"/>
        <v>4368.0000000000009</v>
      </c>
      <c r="D94" s="4">
        <f t="shared" si="62"/>
        <v>8510.32</v>
      </c>
      <c r="E94" s="4">
        <f t="shared" si="62"/>
        <v>11992.985853333334</v>
      </c>
      <c r="F94" s="4">
        <f t="shared" si="62"/>
        <v>11193.453463111111</v>
      </c>
      <c r="G94" s="4">
        <f t="shared" si="62"/>
        <v>10447.223232237036</v>
      </c>
      <c r="H94" s="4">
        <f t="shared" si="62"/>
        <v>9750.7416834212345</v>
      </c>
    </row>
    <row r="95" spans="1:8" x14ac:dyDescent="0.25">
      <c r="A95" s="4" t="s">
        <v>23</v>
      </c>
      <c r="B95" s="4">
        <f>B55</f>
        <v>8000</v>
      </c>
      <c r="C95" s="4">
        <f t="shared" si="62"/>
        <v>12368</v>
      </c>
      <c r="D95" s="4">
        <f t="shared" si="62"/>
        <v>16510.32</v>
      </c>
      <c r="E95" s="4">
        <f t="shared" si="62"/>
        <v>19992.985853333332</v>
      </c>
      <c r="F95" s="4">
        <f t="shared" si="62"/>
        <v>19193.453463111109</v>
      </c>
      <c r="G95" s="4">
        <f t="shared" si="62"/>
        <v>18447.223232237036</v>
      </c>
      <c r="H95" s="4">
        <f t="shared" si="62"/>
        <v>17750.741683421234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-8000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31.703639999999954</v>
      </c>
      <c r="D99" s="4">
        <f t="shared" si="65"/>
        <v>436.96991795699972</v>
      </c>
      <c r="E99" s="4">
        <f t="shared" si="65"/>
        <v>460.07071591284171</v>
      </c>
      <c r="F99" s="4">
        <f t="shared" si="65"/>
        <v>387.90275698717448</v>
      </c>
      <c r="G99" s="4">
        <f t="shared" si="65"/>
        <v>433.7789519142147</v>
      </c>
      <c r="H99" s="4">
        <f t="shared" si="65"/>
        <v>9614.2763246694522</v>
      </c>
    </row>
    <row r="100" spans="1:8" x14ac:dyDescent="0.25">
      <c r="A100" s="4" t="s">
        <v>43</v>
      </c>
      <c r="B100" s="4">
        <f t="shared" si="65"/>
        <v>-8000</v>
      </c>
      <c r="C100" s="4">
        <f t="shared" si="65"/>
        <v>31.703639999999954</v>
      </c>
      <c r="D100" s="4">
        <f t="shared" si="65"/>
        <v>436.96991795699972</v>
      </c>
      <c r="E100" s="4">
        <f t="shared" si="65"/>
        <v>460.07071591284171</v>
      </c>
      <c r="F100" s="4">
        <f t="shared" si="65"/>
        <v>387.90275698717448</v>
      </c>
      <c r="G100" s="4">
        <f t="shared" si="65"/>
        <v>433.7789519142147</v>
      </c>
      <c r="H100" s="4">
        <f t="shared" si="65"/>
        <v>9614.2763246694522</v>
      </c>
    </row>
    <row r="101" spans="1:8" hidden="1" x14ac:dyDescent="0.25">
      <c r="A101" s="3" t="s">
        <v>72</v>
      </c>
      <c r="B101" s="37">
        <f t="shared" si="65"/>
        <v>6.5072691920645243E-2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208</v>
      </c>
      <c r="B102" s="38">
        <f t="shared" si="65"/>
        <v>8.002473700071433E-2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0" zoomScaleNormal="80" workbookViewId="0">
      <selection activeCell="G7" sqref="G7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140625" customWidth="1"/>
    <col min="10" max="10" width="16.28515625" customWidth="1"/>
    <col min="19" max="19" width="10.42578125" customWidth="1"/>
  </cols>
  <sheetData>
    <row r="1" spans="1:21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1" x14ac:dyDescent="0.25">
      <c r="A2" s="1" t="s">
        <v>0</v>
      </c>
      <c r="J2" s="88" t="s">
        <v>212</v>
      </c>
      <c r="S2" s="61">
        <v>40904</v>
      </c>
    </row>
    <row r="3" spans="1:21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1" x14ac:dyDescent="0.25">
      <c r="A4" s="6" t="s">
        <v>94</v>
      </c>
      <c r="B4" s="16">
        <v>300</v>
      </c>
      <c r="C4" s="92"/>
      <c r="D4" s="20" t="s">
        <v>9</v>
      </c>
      <c r="E4" s="93"/>
      <c r="F4" s="17">
        <v>15</v>
      </c>
      <c r="G4" s="94">
        <v>0.1</v>
      </c>
      <c r="H4" s="92"/>
      <c r="I4" s="92"/>
      <c r="J4" s="35" t="s">
        <v>40</v>
      </c>
      <c r="K4" s="35">
        <f t="shared" ref="K4:Q6" si="0">B49</f>
        <v>2012</v>
      </c>
      <c r="L4" s="35">
        <f t="shared" si="0"/>
        <v>2013</v>
      </c>
      <c r="M4" s="35">
        <f t="shared" si="0"/>
        <v>2014</v>
      </c>
      <c r="N4" s="35">
        <f t="shared" si="0"/>
        <v>2015</v>
      </c>
      <c r="O4" s="35">
        <f t="shared" si="0"/>
        <v>2016</v>
      </c>
      <c r="P4" s="35">
        <f t="shared" si="0"/>
        <v>2017</v>
      </c>
      <c r="Q4" s="35">
        <f t="shared" si="0"/>
        <v>2018</v>
      </c>
      <c r="R4" s="17"/>
    </row>
    <row r="5" spans="1:21" x14ac:dyDescent="0.25">
      <c r="A5" s="6" t="s">
        <v>107</v>
      </c>
      <c r="B5" s="95">
        <v>0.08</v>
      </c>
      <c r="C5" s="92"/>
      <c r="D5" s="20" t="s">
        <v>10</v>
      </c>
      <c r="E5" s="93"/>
      <c r="F5" s="94">
        <v>0.02</v>
      </c>
      <c r="G5" s="92"/>
      <c r="H5" s="92"/>
      <c r="I5" s="92"/>
      <c r="J5" s="17" t="s">
        <v>19</v>
      </c>
      <c r="K5" s="96">
        <f t="shared" si="0"/>
        <v>0</v>
      </c>
      <c r="L5" s="96">
        <f t="shared" si="0"/>
        <v>6652.8000000000011</v>
      </c>
      <c r="M5" s="96">
        <f t="shared" si="0"/>
        <v>13944.235200000001</v>
      </c>
      <c r="N5" s="96">
        <f t="shared" si="0"/>
        <v>17265.027335999999</v>
      </c>
      <c r="O5" s="96">
        <f t="shared" si="0"/>
        <v>18496.355039279999</v>
      </c>
      <c r="P5" s="96">
        <f t="shared" si="0"/>
        <v>19029.519262908598</v>
      </c>
      <c r="Q5" s="96">
        <f t="shared" si="0"/>
        <v>17424.115746566829</v>
      </c>
      <c r="R5" s="17"/>
      <c r="T5" s="91"/>
      <c r="U5" t="s">
        <v>209</v>
      </c>
    </row>
    <row r="6" spans="1:21" x14ac:dyDescent="0.25">
      <c r="A6" s="6" t="s">
        <v>8</v>
      </c>
      <c r="B6" s="94">
        <v>0.12</v>
      </c>
      <c r="C6" s="92"/>
      <c r="D6" s="20" t="s">
        <v>34</v>
      </c>
      <c r="E6" s="93"/>
      <c r="F6" s="97">
        <v>4.4999999999999998E-2</v>
      </c>
      <c r="G6" s="92"/>
      <c r="H6" s="92"/>
      <c r="I6" s="92"/>
      <c r="J6" s="17" t="s">
        <v>20</v>
      </c>
      <c r="K6" s="96">
        <f t="shared" si="0"/>
        <v>4000</v>
      </c>
      <c r="L6" s="96">
        <f t="shared" si="0"/>
        <v>2387.1999999999998</v>
      </c>
      <c r="M6" s="96">
        <f t="shared" si="0"/>
        <v>386.92480000000069</v>
      </c>
      <c r="N6" s="96">
        <f t="shared" si="0"/>
        <v>12.022464000001492</v>
      </c>
      <c r="O6" s="96">
        <f t="shared" si="0"/>
        <v>3.6457113866686086</v>
      </c>
      <c r="P6" s="96">
        <f t="shared" si="0"/>
        <v>108.59645959195723</v>
      </c>
      <c r="Q6" s="96">
        <f t="shared" si="0"/>
        <v>704.79226110035484</v>
      </c>
      <c r="R6" s="17"/>
    </row>
    <row r="7" spans="1:21" x14ac:dyDescent="0.25">
      <c r="A7" s="22" t="s">
        <v>52</v>
      </c>
      <c r="B7" s="95">
        <v>0.15</v>
      </c>
      <c r="C7" s="92"/>
      <c r="D7" s="20" t="s">
        <v>35</v>
      </c>
      <c r="E7" s="93"/>
      <c r="F7" s="94">
        <v>0.15</v>
      </c>
      <c r="G7" s="92"/>
      <c r="H7" s="92"/>
      <c r="I7" s="92"/>
      <c r="J7" s="17"/>
      <c r="K7" s="96"/>
      <c r="L7" s="96"/>
      <c r="M7" s="96"/>
      <c r="N7" s="96"/>
      <c r="O7" s="96"/>
      <c r="P7" s="96"/>
      <c r="Q7" s="96"/>
      <c r="R7" s="17"/>
    </row>
    <row r="8" spans="1:21" x14ac:dyDescent="0.25">
      <c r="A8" s="16" t="s">
        <v>46</v>
      </c>
      <c r="B8" s="95">
        <v>1.4999999999999999E-2</v>
      </c>
      <c r="C8" s="92"/>
      <c r="D8" s="20" t="s">
        <v>48</v>
      </c>
      <c r="E8" s="93"/>
      <c r="F8" s="95">
        <v>1.4999999999999999E-2</v>
      </c>
      <c r="G8" s="92"/>
      <c r="H8" s="92"/>
      <c r="I8" s="92"/>
      <c r="J8" s="17" t="s">
        <v>21</v>
      </c>
      <c r="K8" s="96">
        <f t="shared" ref="K8:Q11" si="1">B53</f>
        <v>4000</v>
      </c>
      <c r="L8" s="96">
        <f t="shared" si="1"/>
        <v>4000</v>
      </c>
      <c r="M8" s="96">
        <f t="shared" si="1"/>
        <v>4000</v>
      </c>
      <c r="N8" s="96">
        <f t="shared" si="1"/>
        <v>4000</v>
      </c>
      <c r="O8" s="96">
        <f t="shared" si="1"/>
        <v>4000</v>
      </c>
      <c r="P8" s="96">
        <f t="shared" si="1"/>
        <v>4000.0000000000005</v>
      </c>
      <c r="Q8" s="96">
        <f t="shared" si="1"/>
        <v>4000.0000000000005</v>
      </c>
      <c r="R8" s="17"/>
    </row>
    <row r="9" spans="1:21" x14ac:dyDescent="0.25">
      <c r="A9" s="16" t="s">
        <v>58</v>
      </c>
      <c r="B9" s="16">
        <v>4000</v>
      </c>
      <c r="C9" s="92"/>
      <c r="D9" s="20" t="s">
        <v>61</v>
      </c>
      <c r="E9" s="93"/>
      <c r="F9" s="16">
        <v>0.75</v>
      </c>
      <c r="G9" s="92"/>
      <c r="H9" s="92"/>
      <c r="I9" s="92"/>
      <c r="J9" s="17" t="s">
        <v>22</v>
      </c>
      <c r="K9" s="96">
        <f t="shared" si="1"/>
        <v>0</v>
      </c>
      <c r="L9" s="96">
        <f t="shared" si="1"/>
        <v>5040.0000000000009</v>
      </c>
      <c r="M9" s="96">
        <f t="shared" si="1"/>
        <v>10331.16</v>
      </c>
      <c r="N9" s="96">
        <f t="shared" si="1"/>
        <v>13277.049799999999</v>
      </c>
      <c r="O9" s="96">
        <f t="shared" si="1"/>
        <v>14500.000750666666</v>
      </c>
      <c r="P9" s="96">
        <f t="shared" si="1"/>
        <v>15138.115722500554</v>
      </c>
      <c r="Q9" s="96">
        <f t="shared" si="1"/>
        <v>14128.908007667183</v>
      </c>
      <c r="R9" s="17">
        <v>15</v>
      </c>
    </row>
    <row r="10" spans="1:21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0" s="92"/>
      <c r="C10" s="92"/>
      <c r="D10" s="92"/>
      <c r="E10" s="92"/>
      <c r="F10" s="92"/>
      <c r="G10" s="92"/>
      <c r="H10" s="92"/>
      <c r="I10" s="92" t="s">
        <v>53</v>
      </c>
      <c r="J10" s="17" t="s">
        <v>23</v>
      </c>
      <c r="K10" s="96">
        <f t="shared" si="1"/>
        <v>4000</v>
      </c>
      <c r="L10" s="96">
        <f t="shared" si="1"/>
        <v>9040</v>
      </c>
      <c r="M10" s="96">
        <f t="shared" si="1"/>
        <v>14331.16</v>
      </c>
      <c r="N10" s="96">
        <f t="shared" si="1"/>
        <v>17277.049800000001</v>
      </c>
      <c r="O10" s="96">
        <f t="shared" si="1"/>
        <v>18500.000750666666</v>
      </c>
      <c r="P10" s="96">
        <f t="shared" si="1"/>
        <v>19138.115722500555</v>
      </c>
      <c r="Q10" s="96">
        <f t="shared" si="1"/>
        <v>18128.908007667185</v>
      </c>
      <c r="R10" s="17"/>
    </row>
    <row r="11" spans="1:21" x14ac:dyDescent="0.25">
      <c r="A11" s="3" t="s">
        <v>32</v>
      </c>
      <c r="B11" s="35">
        <v>2012</v>
      </c>
      <c r="C11" s="35">
        <f>B11+1</f>
        <v>2013</v>
      </c>
      <c r="D11" s="35">
        <f t="shared" ref="D11:H11" si="2">C11+1</f>
        <v>2014</v>
      </c>
      <c r="E11" s="35">
        <f t="shared" si="2"/>
        <v>2015</v>
      </c>
      <c r="F11" s="35">
        <f t="shared" si="2"/>
        <v>2016</v>
      </c>
      <c r="G11" s="35">
        <f t="shared" si="2"/>
        <v>2017</v>
      </c>
      <c r="H11" s="35">
        <f t="shared" si="2"/>
        <v>2018</v>
      </c>
      <c r="I11" s="98"/>
      <c r="J11" s="17" t="s">
        <v>24</v>
      </c>
      <c r="K11" s="96">
        <f t="shared" si="1"/>
        <v>0</v>
      </c>
      <c r="L11" s="96">
        <f t="shared" si="1"/>
        <v>0</v>
      </c>
      <c r="M11" s="96">
        <f t="shared" si="1"/>
        <v>0</v>
      </c>
      <c r="N11" s="96">
        <f t="shared" si="1"/>
        <v>0</v>
      </c>
      <c r="O11" s="96">
        <f t="shared" si="1"/>
        <v>0</v>
      </c>
      <c r="P11" s="96">
        <f t="shared" si="1"/>
        <v>0</v>
      </c>
      <c r="Q11" s="96">
        <f t="shared" si="1"/>
        <v>0</v>
      </c>
      <c r="R11" s="17"/>
    </row>
    <row r="12" spans="1:21" x14ac:dyDescent="0.25">
      <c r="A12" s="4" t="s">
        <v>2</v>
      </c>
      <c r="B12" s="17">
        <v>0</v>
      </c>
      <c r="C12" s="17">
        <f>B15</f>
        <v>0</v>
      </c>
      <c r="D12" s="17">
        <f>C15</f>
        <v>20</v>
      </c>
      <c r="E12" s="17">
        <f t="shared" ref="E12:H12" si="3">D15</f>
        <v>42</v>
      </c>
      <c r="F12" s="17">
        <f t="shared" si="3"/>
        <v>52</v>
      </c>
      <c r="G12" s="17">
        <f t="shared" si="3"/>
        <v>56</v>
      </c>
      <c r="H12" s="17">
        <f t="shared" si="3"/>
        <v>58</v>
      </c>
      <c r="I12" s="98"/>
      <c r="J12" s="98"/>
      <c r="K12" s="98"/>
      <c r="L12" s="92"/>
      <c r="M12" s="92"/>
      <c r="N12" s="92"/>
      <c r="O12" s="92"/>
      <c r="P12" s="92"/>
      <c r="Q12" s="92"/>
      <c r="R12" s="92"/>
    </row>
    <row r="13" spans="1:21" x14ac:dyDescent="0.25">
      <c r="A13" s="4" t="s">
        <v>3</v>
      </c>
      <c r="B13" s="17"/>
      <c r="C13" s="17">
        <v>20</v>
      </c>
      <c r="D13" s="99">
        <v>22</v>
      </c>
      <c r="E13" s="17">
        <v>14</v>
      </c>
      <c r="F13" s="17">
        <v>8</v>
      </c>
      <c r="G13" s="17">
        <v>6</v>
      </c>
      <c r="H13" s="17"/>
      <c r="I13" s="98"/>
      <c r="J13" s="35" t="s">
        <v>59</v>
      </c>
      <c r="K13" s="100">
        <f>B71</f>
        <v>8.79751762108818E-2</v>
      </c>
      <c r="L13" s="92"/>
      <c r="M13" s="92"/>
      <c r="N13" s="92"/>
      <c r="O13" s="92"/>
      <c r="P13" s="92"/>
      <c r="Q13" s="92"/>
      <c r="R13" s="92"/>
    </row>
    <row r="14" spans="1:21" x14ac:dyDescent="0.25">
      <c r="A14" s="4" t="s">
        <v>4</v>
      </c>
      <c r="B14" s="17"/>
      <c r="C14" s="17">
        <v>0</v>
      </c>
      <c r="D14" s="17">
        <v>0</v>
      </c>
      <c r="E14" s="17">
        <v>-4</v>
      </c>
      <c r="F14" s="17">
        <v>-4</v>
      </c>
      <c r="G14" s="17">
        <v>-4</v>
      </c>
      <c r="H14" s="17">
        <v>-4</v>
      </c>
      <c r="I14" s="98"/>
      <c r="J14" s="35" t="s">
        <v>60</v>
      </c>
      <c r="K14" s="100">
        <f>B72</f>
        <v>0.1097243651369777</v>
      </c>
      <c r="L14" s="92"/>
      <c r="M14" s="92"/>
      <c r="N14" s="92"/>
      <c r="O14" s="92"/>
      <c r="P14" s="92"/>
      <c r="Q14" s="92"/>
      <c r="R14" s="92"/>
    </row>
    <row r="15" spans="1:21" x14ac:dyDescent="0.25">
      <c r="A15" s="4" t="s">
        <v>5</v>
      </c>
      <c r="B15" s="17">
        <f>B12+B13+B14</f>
        <v>0</v>
      </c>
      <c r="C15" s="17">
        <f>C12+C13+C14</f>
        <v>20</v>
      </c>
      <c r="D15" s="17">
        <f>D12+D13+D14</f>
        <v>42</v>
      </c>
      <c r="E15" s="17">
        <f t="shared" ref="E15:H15" si="4">E12+E13+E14</f>
        <v>52</v>
      </c>
      <c r="F15" s="17">
        <f t="shared" si="4"/>
        <v>56</v>
      </c>
      <c r="G15" s="17">
        <f t="shared" si="4"/>
        <v>58</v>
      </c>
      <c r="H15" s="17">
        <f t="shared" si="4"/>
        <v>54</v>
      </c>
      <c r="I15" s="98"/>
      <c r="J15" s="98"/>
      <c r="K15" s="98"/>
      <c r="L15" s="92"/>
      <c r="M15" s="92"/>
      <c r="N15" s="92"/>
      <c r="O15" s="92"/>
      <c r="P15" s="92"/>
      <c r="Q15" s="92"/>
      <c r="R15" s="92"/>
    </row>
    <row r="16" spans="1:21" x14ac:dyDescent="0.25">
      <c r="A16" s="4" t="s">
        <v>11</v>
      </c>
      <c r="B16" s="17"/>
      <c r="C16" s="17">
        <f>(C12+C15)/2</f>
        <v>10</v>
      </c>
      <c r="D16" s="17">
        <f>(D12+D15)/2</f>
        <v>31</v>
      </c>
      <c r="E16" s="17">
        <f t="shared" ref="E16:H16" si="5">(E12+E15)/2</f>
        <v>47</v>
      </c>
      <c r="F16" s="17">
        <f t="shared" si="5"/>
        <v>54</v>
      </c>
      <c r="G16" s="17">
        <f t="shared" si="5"/>
        <v>57</v>
      </c>
      <c r="H16" s="17">
        <f t="shared" si="5"/>
        <v>56</v>
      </c>
      <c r="I16" s="98"/>
      <c r="J16" s="98"/>
      <c r="K16" s="98"/>
      <c r="L16" s="92" t="s">
        <v>53</v>
      </c>
      <c r="M16" s="92"/>
      <c r="N16" s="92"/>
      <c r="O16" s="92"/>
      <c r="P16" s="92"/>
      <c r="Q16" s="92"/>
      <c r="R16" s="92"/>
    </row>
    <row r="17" spans="1:18" x14ac:dyDescent="0.25">
      <c r="A17" s="4" t="s">
        <v>70</v>
      </c>
      <c r="B17" s="17"/>
      <c r="C17" s="17">
        <f>B4</f>
        <v>300</v>
      </c>
      <c r="D17" s="17">
        <f>C17*(1+$B$8)</f>
        <v>304.49999999999994</v>
      </c>
      <c r="E17" s="17">
        <f t="shared" ref="E17:H17" si="6">D17*(1+$B$8)</f>
        <v>309.06749999999994</v>
      </c>
      <c r="F17" s="17">
        <f t="shared" si="6"/>
        <v>313.70351249999993</v>
      </c>
      <c r="G17" s="17">
        <f t="shared" si="6"/>
        <v>318.40906518749989</v>
      </c>
      <c r="H17" s="17">
        <f t="shared" si="6"/>
        <v>323.18520116531238</v>
      </c>
      <c r="I17" s="98"/>
      <c r="J17" s="98"/>
      <c r="K17" s="98"/>
      <c r="L17" s="92"/>
      <c r="M17" s="92"/>
      <c r="N17" s="92"/>
      <c r="O17" s="92"/>
      <c r="P17" s="92"/>
      <c r="Q17" s="92"/>
      <c r="R17" s="92"/>
    </row>
    <row r="18" spans="1:18" x14ac:dyDescent="0.25">
      <c r="A18" s="4" t="s">
        <v>69</v>
      </c>
      <c r="B18" s="17"/>
      <c r="C18" s="17">
        <f>C17*(1+$B$6)</f>
        <v>336.00000000000006</v>
      </c>
      <c r="D18" s="17">
        <f t="shared" ref="D18:H18" si="7">D17*(1+$B$6)</f>
        <v>341.03999999999996</v>
      </c>
      <c r="E18" s="17">
        <f t="shared" si="7"/>
        <v>346.15559999999994</v>
      </c>
      <c r="F18" s="17">
        <f t="shared" si="7"/>
        <v>351.34793399999995</v>
      </c>
      <c r="G18" s="17">
        <f t="shared" si="7"/>
        <v>356.6181530099999</v>
      </c>
      <c r="H18" s="17">
        <f t="shared" si="7"/>
        <v>361.9674253051499</v>
      </c>
      <c r="I18" s="98" t="s">
        <v>53</v>
      </c>
      <c r="J18" s="101" t="s">
        <v>213</v>
      </c>
      <c r="K18" s="98"/>
      <c r="L18" s="92"/>
      <c r="M18" s="92"/>
      <c r="N18" s="92"/>
      <c r="O18" s="92"/>
      <c r="P18" s="92"/>
      <c r="Q18" s="92"/>
      <c r="R18" s="9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98"/>
      <c r="C19" s="98"/>
      <c r="D19" s="98"/>
      <c r="E19" s="98"/>
      <c r="F19" s="98"/>
      <c r="G19" s="98"/>
      <c r="H19" s="98"/>
      <c r="I19" s="98" t="s">
        <v>53</v>
      </c>
      <c r="J19" s="102" t="s">
        <v>108</v>
      </c>
      <c r="K19" s="103"/>
      <c r="L19" s="104"/>
      <c r="M19" s="104"/>
      <c r="N19" s="104"/>
      <c r="O19" s="104"/>
      <c r="P19" s="104"/>
      <c r="Q19" s="94">
        <v>0.04</v>
      </c>
      <c r="R19" s="17">
        <f>SUM(C13:H13)*B4*$Q$19</f>
        <v>840</v>
      </c>
    </row>
    <row r="20" spans="1:18" x14ac:dyDescent="0.25">
      <c r="A20" s="3"/>
      <c r="B20" s="35">
        <f t="shared" ref="B20:H20" si="8">B11</f>
        <v>2012</v>
      </c>
      <c r="C20" s="35">
        <f t="shared" si="8"/>
        <v>2013</v>
      </c>
      <c r="D20" s="35">
        <f t="shared" si="8"/>
        <v>2014</v>
      </c>
      <c r="E20" s="35">
        <f t="shared" si="8"/>
        <v>2015</v>
      </c>
      <c r="F20" s="35">
        <f t="shared" si="8"/>
        <v>2016</v>
      </c>
      <c r="G20" s="35">
        <f t="shared" si="8"/>
        <v>2017</v>
      </c>
      <c r="H20" s="35">
        <f t="shared" si="8"/>
        <v>2018</v>
      </c>
      <c r="I20" s="98"/>
      <c r="J20" s="102" t="s">
        <v>95</v>
      </c>
      <c r="K20" s="103"/>
      <c r="L20" s="104"/>
      <c r="M20" s="104"/>
      <c r="N20" s="104"/>
      <c r="O20" s="104"/>
      <c r="P20" s="104"/>
      <c r="Q20" s="94">
        <v>0.9</v>
      </c>
      <c r="R20" s="17">
        <f>SUM(C28:H28)*$Q$20</f>
        <v>695.01968394371124</v>
      </c>
    </row>
    <row r="21" spans="1:18" x14ac:dyDescent="0.25">
      <c r="A21" s="4" t="s">
        <v>28</v>
      </c>
      <c r="B21" s="17"/>
      <c r="C21" s="17">
        <f>C12*C17</f>
        <v>0</v>
      </c>
      <c r="D21" s="17">
        <f t="shared" ref="D21:H21" si="9">D12*D17</f>
        <v>6089.9999999999991</v>
      </c>
      <c r="E21" s="17">
        <f t="shared" si="9"/>
        <v>12980.834999999997</v>
      </c>
      <c r="F21" s="17">
        <f t="shared" si="9"/>
        <v>16312.582649999997</v>
      </c>
      <c r="G21" s="17">
        <f t="shared" si="9"/>
        <v>17830.907650499994</v>
      </c>
      <c r="H21" s="17">
        <f t="shared" si="9"/>
        <v>18744.741667588118</v>
      </c>
      <c r="I21" s="98"/>
      <c r="J21" s="102" t="s">
        <v>54</v>
      </c>
      <c r="K21" s="103"/>
      <c r="L21" s="104"/>
      <c r="M21" s="104"/>
      <c r="N21" s="104"/>
      <c r="O21" s="104"/>
      <c r="P21" s="104"/>
      <c r="Q21" s="94">
        <v>0.05</v>
      </c>
      <c r="R21" s="16">
        <f>-SUM(C14:H14)*B4*(1+B7)*Q21</f>
        <v>276</v>
      </c>
    </row>
    <row r="22" spans="1:18" x14ac:dyDescent="0.25">
      <c r="A22" s="4" t="s">
        <v>29</v>
      </c>
      <c r="B22" s="17"/>
      <c r="C22" s="17">
        <f>C16*C17</f>
        <v>3000</v>
      </c>
      <c r="D22" s="17">
        <f t="shared" ref="D22:H22" si="10">D16*D17</f>
        <v>9439.4999999999982</v>
      </c>
      <c r="E22" s="17">
        <f t="shared" si="10"/>
        <v>14526.172499999997</v>
      </c>
      <c r="F22" s="17">
        <f t="shared" si="10"/>
        <v>16939.989674999997</v>
      </c>
      <c r="G22" s="17">
        <f t="shared" si="10"/>
        <v>18149.316715687495</v>
      </c>
      <c r="H22" s="17">
        <f t="shared" si="10"/>
        <v>18098.371265257494</v>
      </c>
      <c r="I22" s="98"/>
      <c r="J22" s="102" t="s">
        <v>55</v>
      </c>
      <c r="K22" s="103"/>
      <c r="L22" s="104"/>
      <c r="M22" s="104"/>
      <c r="N22" s="104"/>
      <c r="O22" s="104"/>
      <c r="P22" s="104"/>
      <c r="Q22" s="94">
        <v>0.15</v>
      </c>
      <c r="R22" s="17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12788.999999999998</v>
      </c>
      <c r="E23" s="4">
        <f t="shared" si="11"/>
        <v>16071.509999999997</v>
      </c>
      <c r="F23" s="4">
        <f t="shared" si="11"/>
        <v>17567.396699999998</v>
      </c>
      <c r="G23" s="4">
        <f t="shared" si="11"/>
        <v>18467.725780874993</v>
      </c>
      <c r="H23" s="4">
        <f t="shared" si="11"/>
        <v>17452.000862926867</v>
      </c>
      <c r="I23" s="2" t="s">
        <v>53</v>
      </c>
      <c r="J23" s="2"/>
      <c r="K23" s="2"/>
      <c r="Q23" s="6" t="s">
        <v>23</v>
      </c>
      <c r="R23" s="4">
        <f>SUM(R19:R22)</f>
        <v>1919.0196839437112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777.98471099999961</v>
      </c>
      <c r="E26" s="3">
        <f t="shared" si="13"/>
        <v>1215.1763563815744</v>
      </c>
      <c r="F26" s="3">
        <f t="shared" si="13"/>
        <v>1438.3590071207063</v>
      </c>
      <c r="G26" s="3">
        <f t="shared" si="13"/>
        <v>1564.1574863393141</v>
      </c>
      <c r="H26" s="3">
        <f t="shared" si="13"/>
        <v>1583.163371866307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4.6679082659999978</v>
      </c>
      <c r="E27" s="29">
        <f t="shared" si="14"/>
        <v>7.2910581382894462</v>
      </c>
      <c r="F27" s="29">
        <f t="shared" si="14"/>
        <v>8.6301540427242376</v>
      </c>
      <c r="G27" s="29">
        <f t="shared" si="14"/>
        <v>9.3849449180358846</v>
      </c>
      <c r="H27" s="29">
        <f t="shared" si="14"/>
        <v>9.4989802311978426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92.798471099999972</v>
      </c>
      <c r="E28" s="4">
        <f t="shared" si="15"/>
        <v>136.51763563815746</v>
      </c>
      <c r="F28" s="4">
        <f t="shared" si="15"/>
        <v>158.83590071207064</v>
      </c>
      <c r="G28" s="4">
        <f t="shared" si="15"/>
        <v>171.41574863393143</v>
      </c>
      <c r="H28" s="4">
        <f t="shared" si="15"/>
        <v>173.3163371866307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211.44479999999999</v>
      </c>
      <c r="E30" s="4">
        <f t="shared" si="17"/>
        <v>325.38626399999998</v>
      </c>
      <c r="F30" s="4">
        <f t="shared" si="17"/>
        <v>379.45576871999998</v>
      </c>
      <c r="G30" s="4">
        <f t="shared" si="17"/>
        <v>406.54469443139993</v>
      </c>
      <c r="H30" s="4">
        <f t="shared" si="17"/>
        <v>405.40351634176795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469.07353163399972</v>
      </c>
      <c r="E31" s="3">
        <f t="shared" si="18"/>
        <v>718.98139860512731</v>
      </c>
      <c r="F31" s="3">
        <f t="shared" si="18"/>
        <v>864.43718364591143</v>
      </c>
      <c r="G31" s="3">
        <f t="shared" si="18"/>
        <v>949.812098355947</v>
      </c>
      <c r="H31" s="3">
        <f t="shared" si="18"/>
        <v>967.94453810671041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0.60293412582757033</v>
      </c>
      <c r="E32" s="27">
        <f t="shared" si="19"/>
        <v>0.59166835729591982</v>
      </c>
      <c r="F32" s="27">
        <f t="shared" si="19"/>
        <v>0.60098847322987448</v>
      </c>
      <c r="G32" s="27">
        <f t="shared" si="19"/>
        <v>0.6072355927399905</v>
      </c>
      <c r="H32" s="27">
        <f t="shared" si="19"/>
        <v>0.61139902255675116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-113.40000000000002</v>
      </c>
      <c r="D34" s="4">
        <f t="shared" ref="D34:H34" si="21">-$F$6*(C54-C51)</f>
        <v>-119.37600000000005</v>
      </c>
      <c r="E34" s="4">
        <f t="shared" si="21"/>
        <v>-447.49058399999996</v>
      </c>
      <c r="F34" s="4">
        <f t="shared" si="21"/>
        <v>-596.9262301199999</v>
      </c>
      <c r="G34" s="4">
        <f t="shared" si="21"/>
        <v>-652.33597676759985</v>
      </c>
      <c r="H34" s="4">
        <f t="shared" si="21"/>
        <v>-676.32836683088681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-3.3267599999999908</v>
      </c>
      <c r="D35" s="4">
        <f>IF((D31+D33+D34)&gt;0,-(D31+D33+D34)*$F$7,0)</f>
        <v>-52.45462974509995</v>
      </c>
      <c r="E35" s="4">
        <f t="shared" ref="E35:H35" si="22">IF((E31+E33+E34)&gt;0,-(E31+E33+E34)*$F$7,0)</f>
        <v>-71.417222190769081</v>
      </c>
      <c r="F35" s="4">
        <f t="shared" si="22"/>
        <v>-71.280647028886705</v>
      </c>
      <c r="G35" s="4">
        <f t="shared" si="22"/>
        <v>-76.242732298252065</v>
      </c>
      <c r="H35" s="4">
        <f t="shared" si="22"/>
        <v>-75.838059462273534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18.85163999999995</v>
      </c>
      <c r="D36" s="3">
        <f>D31+D33+D34+D35</f>
        <v>297.24290188889972</v>
      </c>
      <c r="E36" s="3">
        <f t="shared" ref="E36:H36" si="23">E31+E33+E34+E35</f>
        <v>404.69759241435816</v>
      </c>
      <c r="F36" s="3">
        <f t="shared" si="23"/>
        <v>403.92366649702467</v>
      </c>
      <c r="G36" s="3">
        <f t="shared" si="23"/>
        <v>432.04214969009507</v>
      </c>
      <c r="H36" s="3">
        <f t="shared" si="23"/>
        <v>429.74900361955002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7.7387684729063849E-2</v>
      </c>
      <c r="D37" s="27">
        <f t="shared" ref="D37:H37" si="24">D36/D26</f>
        <v>0.38206779347479991</v>
      </c>
      <c r="E37" s="27">
        <f t="shared" si="24"/>
        <v>0.33303609824949565</v>
      </c>
      <c r="F37" s="27">
        <f t="shared" si="24"/>
        <v>0.28082256550511359</v>
      </c>
      <c r="G37" s="27">
        <f t="shared" si="24"/>
        <v>0.27621397043671586</v>
      </c>
      <c r="H37" s="27">
        <f t="shared" si="24"/>
        <v>0.27144956184335028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86.051639999999949</v>
      </c>
      <c r="D40" s="4">
        <f t="shared" si="26"/>
        <v>508.68770188889971</v>
      </c>
      <c r="E40" s="4">
        <f t="shared" si="26"/>
        <v>730.08385641435814</v>
      </c>
      <c r="F40" s="4">
        <f t="shared" si="26"/>
        <v>783.37943521702459</v>
      </c>
      <c r="G40" s="4">
        <f t="shared" si="26"/>
        <v>838.58684412149501</v>
      </c>
      <c r="H40" s="4">
        <f t="shared" si="26"/>
        <v>835.15251996131792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-18.85163999999995</v>
      </c>
      <c r="D41" s="4">
        <f t="shared" si="27"/>
        <v>-297.24290188889972</v>
      </c>
      <c r="E41" s="4">
        <f t="shared" si="27"/>
        <v>-404.69759241435816</v>
      </c>
      <c r="F41" s="4">
        <f t="shared" si="27"/>
        <v>-403.92366649702467</v>
      </c>
      <c r="G41" s="4">
        <f t="shared" si="27"/>
        <v>-432.04214969009507</v>
      </c>
      <c r="H41" s="4">
        <f t="shared" si="27"/>
        <v>-429.74900361955002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-336.00000000000006</v>
      </c>
      <c r="E42" s="4">
        <f>-D54/$I$54</f>
        <v>-688.74400000000003</v>
      </c>
      <c r="F42" s="4">
        <f>-E54/$I$54</f>
        <v>-885.13665333333324</v>
      </c>
      <c r="G42" s="4">
        <f>-F54/$I$54</f>
        <v>-966.66671671111112</v>
      </c>
      <c r="H42" s="4">
        <f>-G54/$I$54</f>
        <v>-1009.2077148333702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5040.0000000000009</v>
      </c>
      <c r="D43" s="4">
        <f t="shared" ref="D43:H43" si="28">-D45*$F$9</f>
        <v>5627.16</v>
      </c>
      <c r="E43" s="4">
        <f t="shared" si="28"/>
        <v>3634.6337999999992</v>
      </c>
      <c r="F43" s="4">
        <f t="shared" si="28"/>
        <v>2108.0876039999998</v>
      </c>
      <c r="G43" s="4">
        <f t="shared" si="28"/>
        <v>1604.7816885449997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-7502.8799999999992</v>
      </c>
      <c r="E45" s="4">
        <f t="shared" si="30"/>
        <v>-4846.1783999999989</v>
      </c>
      <c r="F45" s="4">
        <f t="shared" si="30"/>
        <v>-2810.7834719999996</v>
      </c>
      <c r="G45" s="4">
        <f t="shared" si="30"/>
        <v>-2139.7089180599996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2387.1999999999998</v>
      </c>
      <c r="E46" s="4">
        <f t="shared" ref="E46:H46" si="31">D51</f>
        <v>386.92480000000069</v>
      </c>
      <c r="F46" s="4">
        <f t="shared" si="31"/>
        <v>12.022464000001492</v>
      </c>
      <c r="G46" s="4">
        <f t="shared" si="31"/>
        <v>3.6457113866686086</v>
      </c>
      <c r="H46" s="4">
        <f t="shared" si="31"/>
        <v>108.59645959195723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2387.1999999999998</v>
      </c>
      <c r="D47" s="4">
        <f>SUM(D40:D46)</f>
        <v>386.92480000000069</v>
      </c>
      <c r="E47" s="4">
        <f t="shared" ref="E47:H47" si="32">SUM(E40:E46)</f>
        <v>12.022464000001492</v>
      </c>
      <c r="F47" s="4">
        <f t="shared" si="32"/>
        <v>3.6457113866686086</v>
      </c>
      <c r="G47" s="4">
        <f t="shared" si="32"/>
        <v>108.59645959195723</v>
      </c>
      <c r="H47" s="4">
        <f t="shared" si="32"/>
        <v>704.79226110035484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13944.235200000001</v>
      </c>
      <c r="E50" s="4">
        <f t="shared" si="34"/>
        <v>17265.027335999999</v>
      </c>
      <c r="F50" s="4">
        <f t="shared" si="34"/>
        <v>18496.355039279999</v>
      </c>
      <c r="G50" s="4">
        <f t="shared" si="34"/>
        <v>19029.519262908598</v>
      </c>
      <c r="H50" s="4">
        <f t="shared" si="34"/>
        <v>17424.115746566829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2387.1999999999998</v>
      </c>
      <c r="D51" s="4">
        <f>D47</f>
        <v>386.92480000000069</v>
      </c>
      <c r="E51" s="4">
        <f t="shared" ref="E51:H51" si="35">E47</f>
        <v>12.022464000001492</v>
      </c>
      <c r="F51" s="4">
        <f t="shared" si="35"/>
        <v>3.6457113866686086</v>
      </c>
      <c r="G51" s="4">
        <f t="shared" si="35"/>
        <v>108.59645959195723</v>
      </c>
      <c r="H51" s="4">
        <f t="shared" si="35"/>
        <v>704.79226110035484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</v>
      </c>
      <c r="E53" s="4">
        <f t="shared" si="36"/>
        <v>4000</v>
      </c>
      <c r="F53" s="4">
        <f t="shared" si="36"/>
        <v>4000</v>
      </c>
      <c r="G53" s="4">
        <f t="shared" si="36"/>
        <v>4000.0000000000005</v>
      </c>
      <c r="H53" s="4">
        <f t="shared" si="36"/>
        <v>4000.0000000000005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5040.0000000000009</v>
      </c>
      <c r="D54" s="4">
        <f t="shared" ref="D54:H54" si="37">C54+D43+D42</f>
        <v>10331.16</v>
      </c>
      <c r="E54" s="4">
        <f t="shared" si="37"/>
        <v>13277.049799999999</v>
      </c>
      <c r="F54" s="4">
        <f t="shared" si="37"/>
        <v>14500.000750666666</v>
      </c>
      <c r="G54" s="4">
        <f t="shared" si="37"/>
        <v>15138.115722500554</v>
      </c>
      <c r="H54" s="4">
        <f t="shared" si="37"/>
        <v>14128.908007667183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9040</v>
      </c>
      <c r="D55" s="4">
        <f>SUM(D53:D54)</f>
        <v>14331.16</v>
      </c>
      <c r="E55" s="4">
        <f t="shared" ref="E55:H55" si="38">SUM(E53:E54)</f>
        <v>17277.049800000001</v>
      </c>
      <c r="F55" s="4">
        <f t="shared" si="38"/>
        <v>18500.000750666666</v>
      </c>
      <c r="G55" s="4">
        <f t="shared" si="38"/>
        <v>19138.115722500555</v>
      </c>
      <c r="H55" s="4">
        <f t="shared" si="38"/>
        <v>18128.908007667185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C15*$B$4*C76</f>
        <v>6089.9999999999991</v>
      </c>
      <c r="D59" s="4">
        <f t="shared" ref="D59:H59" si="41">D15*$B$4*D76</f>
        <v>12980.834999999997</v>
      </c>
      <c r="E59" s="4">
        <f t="shared" si="41"/>
        <v>16312.582649999993</v>
      </c>
      <c r="F59" s="4">
        <f t="shared" si="41"/>
        <v>17830.90765049999</v>
      </c>
      <c r="G59" s="4">
        <f t="shared" si="41"/>
        <v>18744.741667588114</v>
      </c>
      <c r="H59" s="4">
        <f t="shared" si="41"/>
        <v>17713.780875870762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2">B51</f>
        <v>4000</v>
      </c>
      <c r="C60" s="4">
        <f t="shared" si="42"/>
        <v>2387.1999999999998</v>
      </c>
      <c r="D60" s="4">
        <f t="shared" si="42"/>
        <v>386.92480000000069</v>
      </c>
      <c r="E60" s="4">
        <f t="shared" si="42"/>
        <v>12.022464000001492</v>
      </c>
      <c r="F60" s="4">
        <f t="shared" si="42"/>
        <v>3.6457113866686086</v>
      </c>
      <c r="G60" s="4">
        <f t="shared" si="42"/>
        <v>108.59645959195723</v>
      </c>
      <c r="H60" s="4">
        <f t="shared" si="42"/>
        <v>704.79226110035484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3">B53</f>
        <v>4000</v>
      </c>
      <c r="C62" s="4">
        <f>C59+C60-C63</f>
        <v>3437.199999999998</v>
      </c>
      <c r="D62" s="4">
        <f t="shared" ref="D62:H62" si="44">D59+D60-D63</f>
        <v>3036.5997999999981</v>
      </c>
      <c r="E62" s="4">
        <f t="shared" si="44"/>
        <v>3047.5553139999956</v>
      </c>
      <c r="F62" s="4">
        <f t="shared" si="44"/>
        <v>3334.5526112199914</v>
      </c>
      <c r="G62" s="4">
        <f t="shared" si="44"/>
        <v>3715.2224046795181</v>
      </c>
      <c r="H62" s="4">
        <f t="shared" si="44"/>
        <v>4289.665129303934</v>
      </c>
      <c r="I62" s="2"/>
      <c r="J62" s="2"/>
      <c r="K62" s="2"/>
    </row>
    <row r="63" spans="1:11" x14ac:dyDescent="0.25">
      <c r="A63" s="4" t="s">
        <v>22</v>
      </c>
      <c r="B63" s="4">
        <f t="shared" si="43"/>
        <v>0</v>
      </c>
      <c r="C63" s="4">
        <f t="shared" si="43"/>
        <v>5040.0000000000009</v>
      </c>
      <c r="D63" s="4">
        <f t="shared" si="43"/>
        <v>10331.16</v>
      </c>
      <c r="E63" s="4">
        <f t="shared" si="43"/>
        <v>13277.049799999999</v>
      </c>
      <c r="F63" s="4">
        <f t="shared" si="43"/>
        <v>14500.000750666666</v>
      </c>
      <c r="G63" s="4">
        <f t="shared" si="43"/>
        <v>15138.115722500554</v>
      </c>
      <c r="H63" s="4">
        <f t="shared" si="43"/>
        <v>14128.908007667183</v>
      </c>
      <c r="I63" s="2"/>
      <c r="J63" s="2"/>
      <c r="K63" s="2"/>
    </row>
    <row r="64" spans="1:11" x14ac:dyDescent="0.25">
      <c r="A64" s="4" t="s">
        <v>23</v>
      </c>
      <c r="B64" s="4">
        <f t="shared" si="43"/>
        <v>4000</v>
      </c>
      <c r="C64" s="4">
        <f>C62+C63</f>
        <v>8477.1999999999989</v>
      </c>
      <c r="D64" s="4">
        <f t="shared" ref="D64:H64" si="45">D62+D63</f>
        <v>13367.759799999998</v>
      </c>
      <c r="E64" s="4">
        <f t="shared" si="45"/>
        <v>16324.605113999995</v>
      </c>
      <c r="F64" s="4">
        <f t="shared" si="45"/>
        <v>17834.553361886658</v>
      </c>
      <c r="G64" s="4">
        <f t="shared" si="45"/>
        <v>18853.338127180072</v>
      </c>
      <c r="H64" s="4">
        <f t="shared" si="45"/>
        <v>18418.573136971117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6">E64-SUM(E59:E60)</f>
        <v>0</v>
      </c>
      <c r="F65" s="4">
        <f t="shared" si="46"/>
        <v>0</v>
      </c>
      <c r="G65" s="4">
        <f t="shared" si="46"/>
        <v>0</v>
      </c>
      <c r="H65" s="4">
        <f t="shared" si="46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7">C58</f>
        <v>2013</v>
      </c>
      <c r="D67" s="3">
        <f t="shared" si="47"/>
        <v>2014</v>
      </c>
      <c r="E67" s="3">
        <f t="shared" si="47"/>
        <v>2015</v>
      </c>
      <c r="F67" s="3">
        <f t="shared" si="47"/>
        <v>2016</v>
      </c>
      <c r="G67" s="3">
        <f t="shared" si="47"/>
        <v>2017</v>
      </c>
      <c r="H67" s="3">
        <f t="shared" si="47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8">B70</f>
        <v>-4000</v>
      </c>
      <c r="L68" s="4">
        <f t="shared" si="48"/>
        <v>18.85163999999995</v>
      </c>
      <c r="M68" s="4">
        <f t="shared" si="48"/>
        <v>297.24290188889972</v>
      </c>
      <c r="N68" s="4">
        <f t="shared" si="48"/>
        <v>404.69759241435816</v>
      </c>
      <c r="O68" s="4">
        <f t="shared" si="48"/>
        <v>403.92366649702467</v>
      </c>
      <c r="P68" s="4">
        <f t="shared" si="48"/>
        <v>432.04214969009507</v>
      </c>
      <c r="Q68" s="4">
        <f t="shared" si="48"/>
        <v>4719.4141329234844</v>
      </c>
    </row>
    <row r="69" spans="1:17" x14ac:dyDescent="0.25">
      <c r="A69" s="4" t="s">
        <v>42</v>
      </c>
      <c r="B69" s="4"/>
      <c r="C69" s="4">
        <f>-C41</f>
        <v>18.85163999999995</v>
      </c>
      <c r="D69" s="4">
        <f t="shared" ref="D69:G69" si="49">-D41</f>
        <v>297.24290188889972</v>
      </c>
      <c r="E69" s="4">
        <f t="shared" si="49"/>
        <v>404.69759241435816</v>
      </c>
      <c r="F69" s="4">
        <f t="shared" si="49"/>
        <v>403.92366649702467</v>
      </c>
      <c r="G69" s="4">
        <f t="shared" si="49"/>
        <v>432.04214969009507</v>
      </c>
      <c r="H69" s="4">
        <f>-H41+H62</f>
        <v>4719.4141329234844</v>
      </c>
      <c r="I69" s="2"/>
      <c r="J69" s="24"/>
      <c r="K69" s="6"/>
      <c r="L69" s="4">
        <f>K68+L68</f>
        <v>-3981.1483600000001</v>
      </c>
      <c r="M69" s="4">
        <f>M68</f>
        <v>297.24290188889972</v>
      </c>
      <c r="N69" s="4">
        <f t="shared" ref="N69:Q69" si="50">N68</f>
        <v>404.69759241435816</v>
      </c>
      <c r="O69" s="4">
        <f t="shared" si="50"/>
        <v>403.92366649702467</v>
      </c>
      <c r="P69" s="4">
        <f t="shared" si="50"/>
        <v>432.04214969009507</v>
      </c>
      <c r="Q69" s="4">
        <f t="shared" si="50"/>
        <v>4719.4141329234844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1">C68+C69</f>
        <v>18.85163999999995</v>
      </c>
      <c r="D70" s="4">
        <f t="shared" si="51"/>
        <v>297.24290188889972</v>
      </c>
      <c r="E70" s="4">
        <f t="shared" si="51"/>
        <v>404.69759241435816</v>
      </c>
      <c r="F70" s="4">
        <f t="shared" si="51"/>
        <v>403.92366649702467</v>
      </c>
      <c r="G70" s="4">
        <f t="shared" si="51"/>
        <v>432.04214969009507</v>
      </c>
      <c r="H70" s="4">
        <f t="shared" si="51"/>
        <v>4719.4141329234844</v>
      </c>
    </row>
    <row r="71" spans="1:17" x14ac:dyDescent="0.25">
      <c r="A71" s="4" t="s">
        <v>59</v>
      </c>
      <c r="B71" s="23">
        <f>IRR(B70:H70)</f>
        <v>8.79751762108818E-2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0.1097243651369777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2">C67</f>
        <v>2013</v>
      </c>
      <c r="D74" s="3">
        <f t="shared" si="52"/>
        <v>2014</v>
      </c>
      <c r="E74" s="3">
        <f t="shared" si="52"/>
        <v>2015</v>
      </c>
      <c r="F74" s="3">
        <f t="shared" si="52"/>
        <v>2016</v>
      </c>
      <c r="G74" s="3">
        <f t="shared" si="52"/>
        <v>2017</v>
      </c>
      <c r="H74" s="3">
        <f t="shared" si="52"/>
        <v>2018</v>
      </c>
    </row>
    <row r="75" spans="1:17" x14ac:dyDescent="0.25">
      <c r="A75" s="17" t="s">
        <v>210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s="17" t="s">
        <v>211</v>
      </c>
      <c r="B76" s="6">
        <v>0</v>
      </c>
      <c r="C76" s="18">
        <f>1+$B$8</f>
        <v>1.0149999999999999</v>
      </c>
      <c r="D76" s="19">
        <f>C76*(1+$B$8)</f>
        <v>1.0302249999999997</v>
      </c>
      <c r="E76" s="19">
        <f t="shared" ref="E76:H76" si="53">D76*(1+$B$8)</f>
        <v>1.0456783749999996</v>
      </c>
      <c r="F76" s="19">
        <f t="shared" si="53"/>
        <v>1.0613635506249994</v>
      </c>
      <c r="G76" s="19">
        <f t="shared" si="53"/>
        <v>1.0772840038843743</v>
      </c>
      <c r="H76" s="19">
        <f t="shared" si="53"/>
        <v>1.0934432639426397</v>
      </c>
    </row>
    <row r="77" spans="1:17" x14ac:dyDescent="0.25">
      <c r="A7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8" spans="1:17" x14ac:dyDescent="0.25">
      <c r="A78" s="33" t="s">
        <v>68</v>
      </c>
      <c r="B78" s="3">
        <f>B67</f>
        <v>2012</v>
      </c>
      <c r="C78" s="3">
        <f>C67</f>
        <v>2013</v>
      </c>
      <c r="D78" s="3">
        <f t="shared" ref="D78:H78" si="54">D67</f>
        <v>2014</v>
      </c>
      <c r="E78" s="3">
        <f t="shared" si="54"/>
        <v>2015</v>
      </c>
      <c r="F78" s="3">
        <f t="shared" si="54"/>
        <v>2016</v>
      </c>
      <c r="G78" s="3">
        <f t="shared" si="54"/>
        <v>2017</v>
      </c>
      <c r="H78" s="3">
        <f t="shared" si="54"/>
        <v>2018</v>
      </c>
    </row>
    <row r="79" spans="1:17" x14ac:dyDescent="0.25">
      <c r="A79" s="6" t="s">
        <v>64</v>
      </c>
      <c r="B79" s="6"/>
      <c r="C79" s="4">
        <f t="shared" ref="C79:H81" si="55">C13</f>
        <v>20</v>
      </c>
      <c r="D79" s="4">
        <f t="shared" si="55"/>
        <v>22</v>
      </c>
      <c r="E79" s="4">
        <f t="shared" si="55"/>
        <v>14</v>
      </c>
      <c r="F79" s="4">
        <f t="shared" si="55"/>
        <v>8</v>
      </c>
      <c r="G79" s="4">
        <f t="shared" si="55"/>
        <v>6</v>
      </c>
      <c r="H79" s="4">
        <f t="shared" si="55"/>
        <v>0</v>
      </c>
      <c r="J79" t="s">
        <v>67</v>
      </c>
    </row>
    <row r="80" spans="1:17" x14ac:dyDescent="0.25">
      <c r="A80" s="6" t="s">
        <v>65</v>
      </c>
      <c r="B80" s="6"/>
      <c r="C80" s="4">
        <f t="shared" si="55"/>
        <v>0</v>
      </c>
      <c r="D80" s="4">
        <f t="shared" si="55"/>
        <v>0</v>
      </c>
      <c r="E80" s="4">
        <f t="shared" si="55"/>
        <v>-4</v>
      </c>
      <c r="F80" s="4">
        <f t="shared" si="55"/>
        <v>-4</v>
      </c>
      <c r="G80" s="4">
        <f t="shared" si="55"/>
        <v>-4</v>
      </c>
      <c r="H80" s="4">
        <f t="shared" si="55"/>
        <v>-4</v>
      </c>
    </row>
    <row r="81" spans="1:16" x14ac:dyDescent="0.25">
      <c r="A81" s="6" t="s">
        <v>66</v>
      </c>
      <c r="B81" s="6"/>
      <c r="C81" s="4">
        <f t="shared" si="55"/>
        <v>20</v>
      </c>
      <c r="D81" s="4">
        <f t="shared" si="55"/>
        <v>42</v>
      </c>
      <c r="E81" s="4">
        <f t="shared" si="55"/>
        <v>52</v>
      </c>
      <c r="F81" s="4">
        <f t="shared" si="55"/>
        <v>56</v>
      </c>
      <c r="G81" s="4">
        <f t="shared" si="55"/>
        <v>58</v>
      </c>
      <c r="H81" s="4">
        <f t="shared" si="55"/>
        <v>54</v>
      </c>
      <c r="I81" s="32"/>
    </row>
    <row r="82" spans="1:16" x14ac:dyDescent="0.25">
      <c r="A82" s="6" t="s">
        <v>71</v>
      </c>
      <c r="B82" s="6"/>
      <c r="C82" s="4">
        <f t="shared" ref="C82:H82" si="56">C17</f>
        <v>300</v>
      </c>
      <c r="D82" s="4">
        <f t="shared" si="56"/>
        <v>304.49999999999994</v>
      </c>
      <c r="E82" s="4">
        <f t="shared" si="56"/>
        <v>309.06749999999994</v>
      </c>
      <c r="F82" s="4">
        <f t="shared" si="56"/>
        <v>313.70351249999993</v>
      </c>
      <c r="G82" s="4">
        <f t="shared" si="56"/>
        <v>318.40906518749989</v>
      </c>
      <c r="H82" s="4">
        <f t="shared" si="56"/>
        <v>323.18520116531238</v>
      </c>
    </row>
    <row r="83" spans="1:16" x14ac:dyDescent="0.25">
      <c r="A83" s="30"/>
      <c r="B83" s="30"/>
      <c r="C83" s="31"/>
      <c r="D83" s="31"/>
      <c r="E83" s="31"/>
      <c r="F83" s="31"/>
      <c r="G83" s="31"/>
      <c r="H83" s="31"/>
    </row>
    <row r="84" spans="1:16" x14ac:dyDescent="0.25">
      <c r="A84" s="34" t="s">
        <v>33</v>
      </c>
      <c r="B84" s="35">
        <f>B78</f>
        <v>2012</v>
      </c>
      <c r="C84" s="35">
        <f t="shared" ref="C84:H84" si="57">C78</f>
        <v>2013</v>
      </c>
      <c r="D84" s="35">
        <f t="shared" si="57"/>
        <v>2014</v>
      </c>
      <c r="E84" s="35">
        <f t="shared" si="57"/>
        <v>2015</v>
      </c>
      <c r="F84" s="35">
        <f t="shared" si="57"/>
        <v>2016</v>
      </c>
      <c r="G84" s="35">
        <f t="shared" si="57"/>
        <v>2017</v>
      </c>
      <c r="H84" s="35">
        <f t="shared" si="57"/>
        <v>2018</v>
      </c>
      <c r="P84" t="s">
        <v>53</v>
      </c>
    </row>
    <row r="85" spans="1:16" x14ac:dyDescent="0.25">
      <c r="A85" s="6" t="s">
        <v>12</v>
      </c>
      <c r="B85" s="6"/>
      <c r="C85" s="4">
        <f t="shared" ref="C85:H85" si="58">C26</f>
        <v>243.59999999999997</v>
      </c>
      <c r="D85" s="4">
        <f t="shared" si="58"/>
        <v>777.98471099999961</v>
      </c>
      <c r="E85" s="4">
        <f t="shared" si="58"/>
        <v>1215.1763563815744</v>
      </c>
      <c r="F85" s="4">
        <f t="shared" si="58"/>
        <v>1438.3590071207063</v>
      </c>
      <c r="G85" s="4">
        <f t="shared" si="58"/>
        <v>1564.1574863393141</v>
      </c>
      <c r="H85" s="4">
        <f t="shared" si="58"/>
        <v>1583.163371866307</v>
      </c>
    </row>
    <row r="86" spans="1:16" x14ac:dyDescent="0.25">
      <c r="A86" s="6" t="s">
        <v>15</v>
      </c>
      <c r="B86" s="6"/>
      <c r="C86" s="4">
        <f t="shared" ref="C86:H86" si="59">C31</f>
        <v>135.57839999999996</v>
      </c>
      <c r="D86" s="4">
        <f t="shared" si="59"/>
        <v>469.07353163399972</v>
      </c>
      <c r="E86" s="4">
        <f t="shared" si="59"/>
        <v>718.98139860512731</v>
      </c>
      <c r="F86" s="4">
        <f t="shared" si="59"/>
        <v>864.43718364591143</v>
      </c>
      <c r="G86" s="4">
        <f t="shared" si="59"/>
        <v>949.812098355947</v>
      </c>
      <c r="H86" s="4">
        <f t="shared" si="59"/>
        <v>967.94453810671041</v>
      </c>
      <c r="K86" t="s">
        <v>53</v>
      </c>
    </row>
    <row r="87" spans="1:16" x14ac:dyDescent="0.25">
      <c r="A87" s="6" t="s">
        <v>25</v>
      </c>
      <c r="B87" s="6"/>
      <c r="C87" s="4">
        <f>C40</f>
        <v>86.051639999999949</v>
      </c>
      <c r="D87" s="4">
        <f t="shared" ref="D87:H87" si="60">D40</f>
        <v>508.68770188889971</v>
      </c>
      <c r="E87" s="4">
        <f t="shared" si="60"/>
        <v>730.08385641435814</v>
      </c>
      <c r="F87" s="4">
        <f t="shared" si="60"/>
        <v>783.37943521702459</v>
      </c>
      <c r="G87" s="4">
        <f t="shared" si="60"/>
        <v>838.58684412149501</v>
      </c>
      <c r="H87" s="4">
        <f t="shared" si="60"/>
        <v>835.15251996131792</v>
      </c>
    </row>
    <row r="88" spans="1:16" x14ac:dyDescent="0.25">
      <c r="A88" s="6" t="s">
        <v>17</v>
      </c>
      <c r="B88" s="6"/>
      <c r="C88" s="4">
        <f t="shared" ref="C88:H88" si="61">C36</f>
        <v>18.85163999999995</v>
      </c>
      <c r="D88" s="4">
        <f t="shared" si="61"/>
        <v>297.24290188889972</v>
      </c>
      <c r="E88" s="4">
        <f t="shared" si="61"/>
        <v>404.69759241435816</v>
      </c>
      <c r="F88" s="4">
        <f t="shared" si="61"/>
        <v>403.92366649702467</v>
      </c>
      <c r="G88" s="4">
        <f t="shared" si="61"/>
        <v>432.04214969009507</v>
      </c>
      <c r="H88" s="4">
        <f t="shared" si="61"/>
        <v>429.74900361955002</v>
      </c>
    </row>
    <row r="89" spans="1:16" x14ac:dyDescent="0.25">
      <c r="A89" s="30"/>
      <c r="B89" s="30"/>
      <c r="C89" s="30"/>
      <c r="D89" s="30"/>
      <c r="E89" s="30"/>
      <c r="F89" s="30"/>
      <c r="G89" s="30"/>
      <c r="H89" s="30"/>
    </row>
    <row r="90" spans="1:16" x14ac:dyDescent="0.25">
      <c r="A90" s="34" t="s">
        <v>40</v>
      </c>
      <c r="B90" s="35">
        <f>B78</f>
        <v>2012</v>
      </c>
      <c r="C90" s="35">
        <f t="shared" ref="C90:H90" si="62">C78</f>
        <v>2013</v>
      </c>
      <c r="D90" s="35">
        <f t="shared" si="62"/>
        <v>2014</v>
      </c>
      <c r="E90" s="35">
        <f t="shared" si="62"/>
        <v>2015</v>
      </c>
      <c r="F90" s="35">
        <f t="shared" si="62"/>
        <v>2016</v>
      </c>
      <c r="G90" s="35">
        <f t="shared" si="62"/>
        <v>2017</v>
      </c>
      <c r="H90" s="35">
        <f t="shared" si="62"/>
        <v>2018</v>
      </c>
    </row>
    <row r="91" spans="1:16" x14ac:dyDescent="0.25">
      <c r="A91" s="4" t="s">
        <v>19</v>
      </c>
      <c r="B91" s="4">
        <f>B50</f>
        <v>0</v>
      </c>
      <c r="C91" s="4">
        <f t="shared" ref="C91:H92" si="63">L5</f>
        <v>6652.8000000000011</v>
      </c>
      <c r="D91" s="4">
        <f t="shared" si="63"/>
        <v>13944.235200000001</v>
      </c>
      <c r="E91" s="4">
        <f t="shared" si="63"/>
        <v>17265.027335999999</v>
      </c>
      <c r="F91" s="4">
        <f t="shared" si="63"/>
        <v>18496.355039279999</v>
      </c>
      <c r="G91" s="4">
        <f t="shared" si="63"/>
        <v>19029.519262908598</v>
      </c>
      <c r="H91" s="4">
        <f t="shared" si="63"/>
        <v>17424.115746566829</v>
      </c>
    </row>
    <row r="92" spans="1:16" x14ac:dyDescent="0.25">
      <c r="A92" s="4" t="s">
        <v>20</v>
      </c>
      <c r="B92" s="4">
        <f>B51</f>
        <v>4000</v>
      </c>
      <c r="C92" s="4">
        <f t="shared" si="63"/>
        <v>2387.1999999999998</v>
      </c>
      <c r="D92" s="4">
        <f t="shared" si="63"/>
        <v>386.92480000000069</v>
      </c>
      <c r="E92" s="4">
        <f t="shared" si="63"/>
        <v>12.022464000001492</v>
      </c>
      <c r="F92" s="4">
        <f t="shared" si="63"/>
        <v>3.6457113866686086</v>
      </c>
      <c r="G92" s="4">
        <f t="shared" si="63"/>
        <v>108.59645959195723</v>
      </c>
      <c r="H92" s="4">
        <f t="shared" si="63"/>
        <v>704.79226110035484</v>
      </c>
    </row>
    <row r="93" spans="1:16" x14ac:dyDescent="0.25">
      <c r="A93" s="4"/>
      <c r="B93" s="4"/>
      <c r="C93" s="4"/>
      <c r="D93" s="4"/>
      <c r="E93" s="4"/>
      <c r="F93" s="4"/>
      <c r="G93" s="4"/>
      <c r="H93" s="4"/>
    </row>
    <row r="94" spans="1:16" x14ac:dyDescent="0.25">
      <c r="A94" s="4" t="s">
        <v>21</v>
      </c>
      <c r="B94" s="4">
        <f>B53</f>
        <v>4000</v>
      </c>
      <c r="C94" s="4">
        <f t="shared" ref="C94:H96" si="64">L8</f>
        <v>4000</v>
      </c>
      <c r="D94" s="4">
        <f t="shared" si="64"/>
        <v>4000</v>
      </c>
      <c r="E94" s="4">
        <f t="shared" si="64"/>
        <v>4000</v>
      </c>
      <c r="F94" s="4">
        <f t="shared" si="64"/>
        <v>4000</v>
      </c>
      <c r="G94" s="4">
        <f t="shared" si="64"/>
        <v>4000.0000000000005</v>
      </c>
      <c r="H94" s="4">
        <f t="shared" si="64"/>
        <v>4000.0000000000005</v>
      </c>
    </row>
    <row r="95" spans="1:16" x14ac:dyDescent="0.25">
      <c r="A95" s="4" t="s">
        <v>22</v>
      </c>
      <c r="B95" s="4">
        <f>B54</f>
        <v>0</v>
      </c>
      <c r="C95" s="4">
        <f t="shared" si="64"/>
        <v>5040.0000000000009</v>
      </c>
      <c r="D95" s="4">
        <f t="shared" si="64"/>
        <v>10331.16</v>
      </c>
      <c r="E95" s="4">
        <f t="shared" si="64"/>
        <v>13277.049799999999</v>
      </c>
      <c r="F95" s="4">
        <f t="shared" si="64"/>
        <v>14500.000750666666</v>
      </c>
      <c r="G95" s="4">
        <f t="shared" si="64"/>
        <v>15138.115722500554</v>
      </c>
      <c r="H95" s="4">
        <f t="shared" si="64"/>
        <v>14128.908007667183</v>
      </c>
    </row>
    <row r="96" spans="1:16" x14ac:dyDescent="0.25">
      <c r="A96" s="4" t="s">
        <v>23</v>
      </c>
      <c r="B96" s="4">
        <f>B55</f>
        <v>4000</v>
      </c>
      <c r="C96" s="4">
        <f t="shared" si="64"/>
        <v>9040</v>
      </c>
      <c r="D96" s="4">
        <f t="shared" si="64"/>
        <v>14331.16</v>
      </c>
      <c r="E96" s="4">
        <f t="shared" si="64"/>
        <v>17277.049800000001</v>
      </c>
      <c r="F96" s="4">
        <f t="shared" si="64"/>
        <v>18500.000750666666</v>
      </c>
      <c r="G96" s="4">
        <f t="shared" si="64"/>
        <v>19138.115722500555</v>
      </c>
      <c r="H96" s="4">
        <f t="shared" si="64"/>
        <v>18128.908007667185</v>
      </c>
    </row>
    <row r="97" spans="1:8" x14ac:dyDescent="0.25">
      <c r="A97" s="36"/>
      <c r="B97" s="36"/>
      <c r="C97" s="36"/>
      <c r="D97" s="36"/>
      <c r="E97" s="36"/>
      <c r="F97" s="36"/>
      <c r="G97" s="36"/>
      <c r="H97" s="36"/>
    </row>
    <row r="98" spans="1:8" x14ac:dyDescent="0.25">
      <c r="A98" s="3" t="s">
        <v>44</v>
      </c>
      <c r="B98" s="3">
        <f>B90</f>
        <v>2012</v>
      </c>
      <c r="C98" s="3">
        <f t="shared" ref="C98:H98" si="65">C90</f>
        <v>2013</v>
      </c>
      <c r="D98" s="3">
        <f t="shared" si="65"/>
        <v>2014</v>
      </c>
      <c r="E98" s="3">
        <f t="shared" si="65"/>
        <v>2015</v>
      </c>
      <c r="F98" s="3">
        <f t="shared" si="65"/>
        <v>2016</v>
      </c>
      <c r="G98" s="3">
        <f t="shared" si="65"/>
        <v>2017</v>
      </c>
      <c r="H98" s="3">
        <f t="shared" si="65"/>
        <v>2018</v>
      </c>
    </row>
    <row r="99" spans="1:8" x14ac:dyDescent="0.25">
      <c r="A99" s="4" t="s">
        <v>41</v>
      </c>
      <c r="B99" s="4">
        <f>B68</f>
        <v>-4000</v>
      </c>
      <c r="C99" s="4">
        <f t="shared" ref="C99:H99" si="66">C68</f>
        <v>0</v>
      </c>
      <c r="D99" s="4">
        <f t="shared" si="66"/>
        <v>0</v>
      </c>
      <c r="E99" s="4">
        <f t="shared" si="66"/>
        <v>0</v>
      </c>
      <c r="F99" s="4">
        <f t="shared" si="66"/>
        <v>0</v>
      </c>
      <c r="G99" s="4">
        <f t="shared" si="66"/>
        <v>0</v>
      </c>
      <c r="H99" s="4">
        <f t="shared" si="66"/>
        <v>0</v>
      </c>
    </row>
    <row r="100" spans="1:8" x14ac:dyDescent="0.25">
      <c r="A100" s="4" t="s">
        <v>42</v>
      </c>
      <c r="B100" s="4">
        <f t="shared" ref="B100:H103" si="67">B69</f>
        <v>0</v>
      </c>
      <c r="C100" s="4">
        <f t="shared" si="67"/>
        <v>18.85163999999995</v>
      </c>
      <c r="D100" s="4">
        <f t="shared" si="67"/>
        <v>297.24290188889972</v>
      </c>
      <c r="E100" s="4">
        <f t="shared" si="67"/>
        <v>404.69759241435816</v>
      </c>
      <c r="F100" s="4">
        <f t="shared" si="67"/>
        <v>403.92366649702467</v>
      </c>
      <c r="G100" s="4">
        <f t="shared" si="67"/>
        <v>432.04214969009507</v>
      </c>
      <c r="H100" s="4">
        <f t="shared" si="67"/>
        <v>4719.4141329234844</v>
      </c>
    </row>
    <row r="101" spans="1:8" x14ac:dyDescent="0.25">
      <c r="A101" s="4" t="s">
        <v>43</v>
      </c>
      <c r="B101" s="4">
        <f t="shared" si="67"/>
        <v>-4000</v>
      </c>
      <c r="C101" s="4">
        <f t="shared" si="67"/>
        <v>18.85163999999995</v>
      </c>
      <c r="D101" s="4">
        <f t="shared" si="67"/>
        <v>297.24290188889972</v>
      </c>
      <c r="E101" s="4">
        <f t="shared" si="67"/>
        <v>404.69759241435816</v>
      </c>
      <c r="F101" s="4">
        <f t="shared" si="67"/>
        <v>403.92366649702467</v>
      </c>
      <c r="G101" s="4">
        <f t="shared" si="67"/>
        <v>432.04214969009507</v>
      </c>
      <c r="H101" s="4">
        <f t="shared" si="67"/>
        <v>4719.4141329234844</v>
      </c>
    </row>
    <row r="102" spans="1:8" hidden="1" x14ac:dyDescent="0.25">
      <c r="A102" s="3" t="s">
        <v>72</v>
      </c>
      <c r="B102" s="37">
        <f t="shared" si="67"/>
        <v>8.79751762108818E-2</v>
      </c>
      <c r="C102" s="25"/>
      <c r="D102" s="25"/>
      <c r="E102" s="25"/>
      <c r="F102" s="25"/>
      <c r="G102" s="25"/>
      <c r="H102" s="25"/>
    </row>
    <row r="103" spans="1:8" x14ac:dyDescent="0.25">
      <c r="A103" s="3" t="s">
        <v>208</v>
      </c>
      <c r="B103" s="105">
        <f t="shared" si="67"/>
        <v>0.1097243651369777</v>
      </c>
      <c r="C103" s="25"/>
      <c r="D103" s="25"/>
      <c r="E103" s="25"/>
      <c r="F103" s="25"/>
      <c r="G103" s="25"/>
      <c r="H103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opLeftCell="A3" zoomScale="80" zoomScaleNormal="80" workbookViewId="0">
      <selection activeCell="R28" sqref="R28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570312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40920</v>
      </c>
      <c r="J2" s="88" t="s">
        <v>207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7983.3600000000015</v>
      </c>
      <c r="M5" s="13">
        <f t="shared" si="0"/>
        <v>21324.844799999999</v>
      </c>
      <c r="N5" s="13">
        <f t="shared" si="0"/>
        <v>29475.667487999996</v>
      </c>
      <c r="O5" s="13">
        <f t="shared" si="0"/>
        <v>32050.754233439999</v>
      </c>
      <c r="P5" s="13">
        <f t="shared" si="0"/>
        <v>33231.200489660398</v>
      </c>
      <c r="Q5" s="13">
        <f t="shared" si="0"/>
        <v>30136.223033074511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8000</v>
      </c>
      <c r="L6" s="13">
        <f t="shared" si="0"/>
        <v>5661.44</v>
      </c>
      <c r="M6" s="13">
        <f t="shared" si="0"/>
        <v>1492.7552000000005</v>
      </c>
      <c r="N6" s="13">
        <f t="shared" si="0"/>
        <v>107.97795200000201</v>
      </c>
      <c r="O6" s="13">
        <f t="shared" si="0"/>
        <v>29.078371360002166</v>
      </c>
      <c r="P6" s="13">
        <f t="shared" si="0"/>
        <v>238.9024267702689</v>
      </c>
      <c r="Q6" s="13">
        <f t="shared" si="0"/>
        <v>1635.8730222607792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8000</v>
      </c>
      <c r="L8" s="13">
        <f t="shared" si="1"/>
        <v>8000</v>
      </c>
      <c r="M8" s="13">
        <f t="shared" si="1"/>
        <v>8000.0000000000009</v>
      </c>
      <c r="N8" s="13">
        <f t="shared" si="1"/>
        <v>8000.0000000000018</v>
      </c>
      <c r="O8" s="13">
        <f t="shared" si="1"/>
        <v>8000.0000000000027</v>
      </c>
      <c r="P8" s="13">
        <f t="shared" si="1"/>
        <v>8000.0000000000027</v>
      </c>
      <c r="Q8" s="13">
        <f t="shared" si="1"/>
        <v>8000.0000000000036</v>
      </c>
      <c r="R8" s="4"/>
    </row>
    <row r="9" spans="1:18" x14ac:dyDescent="0.25">
      <c r="A9" s="16" t="s">
        <v>58</v>
      </c>
      <c r="B9" s="9">
        <v>8000</v>
      </c>
      <c r="D9" s="20" t="s">
        <v>61</v>
      </c>
      <c r="E9" s="8"/>
      <c r="F9" s="9">
        <v>0.7</v>
      </c>
      <c r="J9" s="4" t="s">
        <v>22</v>
      </c>
      <c r="K9" s="13">
        <f t="shared" si="1"/>
        <v>0</v>
      </c>
      <c r="L9" s="13">
        <f t="shared" si="1"/>
        <v>5644.8000000000011</v>
      </c>
      <c r="M9" s="13">
        <f t="shared" si="1"/>
        <v>14817.6</v>
      </c>
      <c r="N9" s="13">
        <f t="shared" si="1"/>
        <v>21583.645439999997</v>
      </c>
      <c r="O9" s="13">
        <f t="shared" si="1"/>
        <v>24079.832604799998</v>
      </c>
      <c r="P9" s="13">
        <f t="shared" si="1"/>
        <v>25470.102916430664</v>
      </c>
      <c r="Q9" s="13">
        <f t="shared" si="1"/>
        <v>23772.096055335285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8000</v>
      </c>
      <c r="L10" s="13">
        <f t="shared" si="1"/>
        <v>13644.800000000001</v>
      </c>
      <c r="M10" s="13">
        <f t="shared" si="1"/>
        <v>22817.600000000002</v>
      </c>
      <c r="N10" s="13">
        <f t="shared" si="1"/>
        <v>29583.64544</v>
      </c>
      <c r="O10" s="13">
        <f t="shared" si="1"/>
        <v>32079.832604800002</v>
      </c>
      <c r="P10" s="13">
        <f t="shared" si="1"/>
        <v>33470.102916430667</v>
      </c>
      <c r="Q10" s="13">
        <f t="shared" si="1"/>
        <v>31772.096055335289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24</v>
      </c>
      <c r="E12" s="4">
        <f t="shared" ref="E12:H12" si="3">D15</f>
        <v>64</v>
      </c>
      <c r="F12" s="4">
        <f t="shared" si="3"/>
        <v>88</v>
      </c>
      <c r="G12" s="4">
        <f t="shared" si="3"/>
        <v>96</v>
      </c>
      <c r="H12" s="4">
        <f t="shared" si="3"/>
        <v>100</v>
      </c>
      <c r="I12" s="2"/>
      <c r="J12" s="2"/>
      <c r="K12" s="2"/>
    </row>
    <row r="13" spans="1:18" x14ac:dyDescent="0.25">
      <c r="A13" s="4" t="s">
        <v>3</v>
      </c>
      <c r="B13" s="4"/>
      <c r="C13" s="11">
        <v>24</v>
      </c>
      <c r="D13" s="15">
        <v>40</v>
      </c>
      <c r="E13" s="11">
        <v>32</v>
      </c>
      <c r="F13" s="11">
        <v>16</v>
      </c>
      <c r="G13" s="11">
        <v>12</v>
      </c>
      <c r="H13" s="11"/>
      <c r="I13" s="2"/>
      <c r="J13" s="3" t="s">
        <v>59</v>
      </c>
      <c r="K13" s="87">
        <f>B71</f>
        <v>9.2256429177534516E-2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-8</v>
      </c>
      <c r="F14" s="11">
        <v>-8</v>
      </c>
      <c r="G14" s="11">
        <v>-8</v>
      </c>
      <c r="H14" s="11">
        <v>-8</v>
      </c>
      <c r="I14" s="2"/>
      <c r="J14" s="3" t="s">
        <v>60</v>
      </c>
      <c r="K14" s="87">
        <f>B72</f>
        <v>0.11561552119529606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24</v>
      </c>
      <c r="D15" s="4">
        <f>D12+D13+D14</f>
        <v>64</v>
      </c>
      <c r="E15" s="4">
        <f t="shared" ref="E15:H15" si="4">E12+E13+E14</f>
        <v>88</v>
      </c>
      <c r="F15" s="4">
        <f t="shared" si="4"/>
        <v>96</v>
      </c>
      <c r="G15" s="4">
        <f t="shared" si="4"/>
        <v>100</v>
      </c>
      <c r="H15" s="4">
        <f t="shared" si="4"/>
        <v>92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12</v>
      </c>
      <c r="D16" s="4">
        <f>(D12+D15)/2</f>
        <v>44</v>
      </c>
      <c r="E16" s="4">
        <f t="shared" ref="E16:H16" si="5">(E12+E15)/2</f>
        <v>76</v>
      </c>
      <c r="F16" s="4">
        <f t="shared" si="5"/>
        <v>92</v>
      </c>
      <c r="G16" s="4">
        <f t="shared" si="5"/>
        <v>98</v>
      </c>
      <c r="H16" s="4">
        <f t="shared" si="5"/>
        <v>96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1488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1090.3776775803256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7307.9999999999982</v>
      </c>
      <c r="E21" s="4">
        <f t="shared" si="9"/>
        <v>19780.319999999996</v>
      </c>
      <c r="F21" s="4">
        <f t="shared" si="9"/>
        <v>27605.909099999993</v>
      </c>
      <c r="G21" s="4">
        <f t="shared" si="9"/>
        <v>30567.27025799999</v>
      </c>
      <c r="H21" s="4">
        <f t="shared" si="9"/>
        <v>32318.520116531239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600</v>
      </c>
    </row>
    <row r="22" spans="1:18" x14ac:dyDescent="0.25">
      <c r="A22" s="4" t="s">
        <v>29</v>
      </c>
      <c r="B22" s="4"/>
      <c r="C22" s="4">
        <f>C16*C17</f>
        <v>3600</v>
      </c>
      <c r="D22" s="4">
        <f t="shared" ref="D22:H22" si="10">D16*D17</f>
        <v>13397.999999999998</v>
      </c>
      <c r="E22" s="4">
        <f t="shared" si="10"/>
        <v>23489.129999999994</v>
      </c>
      <c r="F22" s="4">
        <f t="shared" si="10"/>
        <v>28860.723149999994</v>
      </c>
      <c r="G22" s="4">
        <f t="shared" si="10"/>
        <v>31204.088388374988</v>
      </c>
      <c r="H22" s="4">
        <f t="shared" si="10"/>
        <v>31025.779311869988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360</v>
      </c>
    </row>
    <row r="23" spans="1:18" x14ac:dyDescent="0.25">
      <c r="A23" s="4" t="s">
        <v>30</v>
      </c>
      <c r="B23" s="4"/>
      <c r="C23" s="4">
        <f>C15*C17</f>
        <v>7200</v>
      </c>
      <c r="D23" s="4">
        <f t="shared" ref="D23:H23" si="11">D15*D17</f>
        <v>19487.999999999996</v>
      </c>
      <c r="E23" s="4">
        <f t="shared" si="11"/>
        <v>27197.939999999995</v>
      </c>
      <c r="F23" s="4">
        <f t="shared" si="11"/>
        <v>30115.537199999992</v>
      </c>
      <c r="G23" s="4">
        <f t="shared" si="11"/>
        <v>31840.906518749987</v>
      </c>
      <c r="H23" s="4">
        <f t="shared" si="11"/>
        <v>29733.038507208737</v>
      </c>
      <c r="I23" s="2" t="s">
        <v>53</v>
      </c>
      <c r="J23" s="2"/>
      <c r="K23" s="2"/>
      <c r="Q23" s="6" t="s">
        <v>23</v>
      </c>
      <c r="R23" s="4">
        <f>SUM(R19:R22)</f>
        <v>3538.3776775803253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3089.7653764335141</v>
      </c>
    </row>
    <row r="26" spans="1:18" x14ac:dyDescent="0.25">
      <c r="A26" s="3" t="s">
        <v>12</v>
      </c>
      <c r="B26" s="3"/>
      <c r="C26" s="3">
        <f t="shared" ref="C26:H26" si="13">C22*$B$5*C75</f>
        <v>292.32</v>
      </c>
      <c r="D26" s="3">
        <f t="shared" si="13"/>
        <v>1104.2363639999996</v>
      </c>
      <c r="E26" s="3">
        <f t="shared" si="13"/>
        <v>1964.9660230850989</v>
      </c>
      <c r="F26" s="3">
        <f t="shared" si="13"/>
        <v>2450.537567687129</v>
      </c>
      <c r="G26" s="3">
        <f t="shared" si="13"/>
        <v>2689.2532221272413</v>
      </c>
      <c r="H26" s="3">
        <f t="shared" si="13"/>
        <v>2713.994351770812</v>
      </c>
      <c r="I26" s="107">
        <f>SUM(C26:H26)</f>
        <v>11215.307528670281</v>
      </c>
      <c r="J26" s="4">
        <f>I26*4%</f>
        <v>448.61230114681121</v>
      </c>
      <c r="K26" s="2"/>
      <c r="O26" s="108" t="s">
        <v>217</v>
      </c>
      <c r="P26" s="108"/>
      <c r="Q26" s="108"/>
      <c r="R26" s="109">
        <f>R25/6</f>
        <v>514.96089607225235</v>
      </c>
    </row>
    <row r="27" spans="1:18" x14ac:dyDescent="0.25">
      <c r="A27" s="13" t="s">
        <v>63</v>
      </c>
      <c r="B27" s="3"/>
      <c r="C27" s="29">
        <f t="shared" ref="C27:H27" si="14">$I$27*C26</f>
        <v>1.7539199999999999</v>
      </c>
      <c r="D27" s="29">
        <f t="shared" si="14"/>
        <v>6.6254181839999982</v>
      </c>
      <c r="E27" s="29">
        <f t="shared" si="14"/>
        <v>11.789796138510594</v>
      </c>
      <c r="F27" s="29">
        <f t="shared" si="14"/>
        <v>14.703225406122774</v>
      </c>
      <c r="G27" s="29">
        <f t="shared" si="14"/>
        <v>16.135519332763447</v>
      </c>
      <c r="H27" s="29">
        <f t="shared" si="14"/>
        <v>16.283966110624874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44.231999999999999</v>
      </c>
      <c r="D28" s="4">
        <f t="shared" ref="D28:H28" si="15">+D26*$G$4+$F$4</f>
        <v>125.42363639999996</v>
      </c>
      <c r="E28" s="4">
        <f t="shared" si="15"/>
        <v>211.49660230850989</v>
      </c>
      <c r="F28" s="4">
        <f t="shared" si="15"/>
        <v>260.0537567687129</v>
      </c>
      <c r="G28" s="4">
        <f t="shared" si="15"/>
        <v>283.92532221272415</v>
      </c>
      <c r="H28" s="4">
        <f t="shared" si="15"/>
        <v>286.39943517708122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90</v>
      </c>
      <c r="F29" s="4">
        <f t="shared" si="16"/>
        <v>90</v>
      </c>
      <c r="G29" s="4">
        <f t="shared" si="16"/>
        <v>90</v>
      </c>
      <c r="H29" s="4">
        <f t="shared" si="16"/>
        <v>90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80.640000000000015</v>
      </c>
      <c r="D30" s="4">
        <f t="shared" ref="D30:H30" si="17">D22*$F$5*(1+$B$6)</f>
        <v>300.11520000000002</v>
      </c>
      <c r="E30" s="4">
        <f t="shared" si="17"/>
        <v>526.15651199999991</v>
      </c>
      <c r="F30" s="4">
        <f t="shared" si="17"/>
        <v>646.48019855999996</v>
      </c>
      <c r="G30" s="4">
        <f t="shared" si="17"/>
        <v>698.97157989959976</v>
      </c>
      <c r="H30" s="4">
        <f t="shared" si="17"/>
        <v>694.97745658588781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165.69407999999999</v>
      </c>
      <c r="D31" s="3">
        <f t="shared" ref="D31:H31" si="18">D26-D28-D29-D30-D27</f>
        <v>672.07210941599965</v>
      </c>
      <c r="E31" s="3">
        <f t="shared" si="18"/>
        <v>1125.5231126380786</v>
      </c>
      <c r="F31" s="3">
        <f t="shared" si="18"/>
        <v>1439.3003869522934</v>
      </c>
      <c r="G31" s="3">
        <f t="shared" si="18"/>
        <v>1600.220800682154</v>
      </c>
      <c r="H31" s="3">
        <f t="shared" si="18"/>
        <v>1626.333493897218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0.56682430213464696</v>
      </c>
      <c r="D32" s="27">
        <f t="shared" ref="D32:H32" si="19">D31/D26</f>
        <v>0.60863066217225203</v>
      </c>
      <c r="E32" s="27">
        <f t="shared" si="19"/>
        <v>0.57279520328343836</v>
      </c>
      <c r="F32" s="27">
        <f t="shared" si="19"/>
        <v>0.58734067411614366</v>
      </c>
      <c r="G32" s="27">
        <f t="shared" si="19"/>
        <v>0.59504281244900936</v>
      </c>
      <c r="H32" s="27">
        <f t="shared" si="19"/>
        <v>0.59923982260172237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682.07999999999993</v>
      </c>
      <c r="F33" s="4">
        <f t="shared" si="20"/>
        <v>692.31119999999987</v>
      </c>
      <c r="G33" s="4">
        <f t="shared" si="20"/>
        <v>702.6958679999999</v>
      </c>
      <c r="H33" s="4">
        <f t="shared" si="20"/>
        <v>713.2363060199998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-127.00800000000002</v>
      </c>
      <c r="D34" s="4">
        <f t="shared" ref="D34:H34" si="21">-$F$6*(C54-C51)</f>
        <v>0.74879999999993285</v>
      </c>
      <c r="E34" s="4">
        <f t="shared" si="21"/>
        <v>-599.6180159999999</v>
      </c>
      <c r="F34" s="4">
        <f t="shared" si="21"/>
        <v>-966.40503695999973</v>
      </c>
      <c r="G34" s="4">
        <f t="shared" si="21"/>
        <v>-1082.2839405047998</v>
      </c>
      <c r="H34" s="4">
        <f t="shared" si="21"/>
        <v>-1135.4040220347176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-5.8029119999999939</v>
      </c>
      <c r="D35" s="4">
        <f>IF((D31+D33+D34)&gt;0,-(D31+D33+D34)*$F$7,0)</f>
        <v>-100.92313641239994</v>
      </c>
      <c r="E35" s="4">
        <f t="shared" ref="E35:H35" si="22">IF((E31+E33+E34)&gt;0,-(E31+E33+E34)*$F$7,0)</f>
        <v>-181.19776449571179</v>
      </c>
      <c r="F35" s="4">
        <f t="shared" si="22"/>
        <v>-174.78098249884403</v>
      </c>
      <c r="G35" s="4">
        <f t="shared" si="22"/>
        <v>-183.09490922660314</v>
      </c>
      <c r="H35" s="4">
        <f t="shared" si="22"/>
        <v>-180.62486668237506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32.883167999999969</v>
      </c>
      <c r="D36" s="3">
        <f>D31+D33+D34+D35</f>
        <v>571.8977730035997</v>
      </c>
      <c r="E36" s="3">
        <f t="shared" ref="E36:H36" si="23">E31+E33+E34+E35</f>
        <v>1026.7873321423667</v>
      </c>
      <c r="F36" s="3">
        <f t="shared" si="23"/>
        <v>990.42556749344953</v>
      </c>
      <c r="G36" s="3">
        <f t="shared" si="23"/>
        <v>1037.537818950751</v>
      </c>
      <c r="H36" s="3">
        <f t="shared" si="23"/>
        <v>1023.5409112001253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0.11249031198686361</v>
      </c>
      <c r="D37" s="27">
        <f t="shared" ref="D37:H37" si="24">D36/D26</f>
        <v>0.51791246117991441</v>
      </c>
      <c r="E37" s="27">
        <f t="shared" si="24"/>
        <v>0.52254711790398145</v>
      </c>
      <c r="F37" s="27">
        <f t="shared" si="24"/>
        <v>0.4041666532899697</v>
      </c>
      <c r="G37" s="27">
        <f t="shared" si="24"/>
        <v>0.38580889683941416</v>
      </c>
      <c r="H37" s="27">
        <f t="shared" si="24"/>
        <v>0.37713450307377794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113.52316799999998</v>
      </c>
      <c r="D40" s="4">
        <f t="shared" si="26"/>
        <v>872.01297300359965</v>
      </c>
      <c r="E40" s="4">
        <f t="shared" si="26"/>
        <v>1552.9438441423667</v>
      </c>
      <c r="F40" s="4">
        <f t="shared" si="26"/>
        <v>1636.9057660534495</v>
      </c>
      <c r="G40" s="4">
        <f t="shared" si="26"/>
        <v>1736.5093988503509</v>
      </c>
      <c r="H40" s="4">
        <f t="shared" si="26"/>
        <v>1718.5183677860132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-32.883167999999969</v>
      </c>
      <c r="D41" s="4">
        <f t="shared" si="27"/>
        <v>-571.8977730035997</v>
      </c>
      <c r="E41" s="4">
        <f t="shared" si="27"/>
        <v>-1026.7873321423667</v>
      </c>
      <c r="F41" s="4">
        <f t="shared" si="27"/>
        <v>-990.42556749344953</v>
      </c>
      <c r="G41" s="4">
        <f t="shared" si="27"/>
        <v>-1037.537818950751</v>
      </c>
      <c r="H41" s="4">
        <f t="shared" si="27"/>
        <v>-1023.5409112001253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-376.32000000000005</v>
      </c>
      <c r="E42" s="4">
        <f>-D54/$I$54</f>
        <v>-987.84</v>
      </c>
      <c r="F42" s="4">
        <f>-E54/$I$54</f>
        <v>-1438.9096959999997</v>
      </c>
      <c r="G42" s="4">
        <f>-F54/$I$54</f>
        <v>-1605.3221736533333</v>
      </c>
      <c r="H42" s="4">
        <f>-G54/$I$54</f>
        <v>-1698.0068610953776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5644.8000000000011</v>
      </c>
      <c r="D43" s="4">
        <f t="shared" ref="D43:H43" si="28">-D45*$F$9</f>
        <v>9549.119999999999</v>
      </c>
      <c r="E43" s="4">
        <f t="shared" si="28"/>
        <v>7753.8854399999982</v>
      </c>
      <c r="F43" s="4">
        <f t="shared" si="28"/>
        <v>3935.0968607999994</v>
      </c>
      <c r="G43" s="4">
        <f t="shared" si="28"/>
        <v>2995.5924852839994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2400</v>
      </c>
      <c r="F44" s="4">
        <f t="shared" si="29"/>
        <v>2400</v>
      </c>
      <c r="G44" s="4">
        <f t="shared" si="29"/>
        <v>2400</v>
      </c>
      <c r="H44" s="4">
        <f t="shared" si="29"/>
        <v>2400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-8064.0000000000018</v>
      </c>
      <c r="D45" s="4">
        <f t="shared" si="30"/>
        <v>-13641.599999999999</v>
      </c>
      <c r="E45" s="4">
        <f t="shared" si="30"/>
        <v>-11076.979199999998</v>
      </c>
      <c r="F45" s="4">
        <f t="shared" si="30"/>
        <v>-5621.5669439999992</v>
      </c>
      <c r="G45" s="4">
        <f t="shared" si="30"/>
        <v>-4279.4178361199993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8000</v>
      </c>
      <c r="D46" s="4">
        <f>C51</f>
        <v>5661.44</v>
      </c>
      <c r="E46" s="4">
        <f t="shared" ref="E46:H46" si="31">D51</f>
        <v>1492.7552000000005</v>
      </c>
      <c r="F46" s="4">
        <f t="shared" si="31"/>
        <v>107.97795200000201</v>
      </c>
      <c r="G46" s="4">
        <f t="shared" si="31"/>
        <v>29.078371360002166</v>
      </c>
      <c r="H46" s="4">
        <f t="shared" si="31"/>
        <v>238.9024267702689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5661.44</v>
      </c>
      <c r="D47" s="4">
        <f>SUM(D40:D46)</f>
        <v>1492.7552000000005</v>
      </c>
      <c r="E47" s="4">
        <f t="shared" ref="E47:H47" si="32">SUM(E40:E46)</f>
        <v>107.97795200000201</v>
      </c>
      <c r="F47" s="4">
        <f t="shared" si="32"/>
        <v>29.078371360002166</v>
      </c>
      <c r="G47" s="4">
        <f t="shared" si="32"/>
        <v>238.9024267702689</v>
      </c>
      <c r="H47" s="4">
        <f t="shared" si="32"/>
        <v>1635.8730222607792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7983.3600000000015</v>
      </c>
      <c r="D50" s="4">
        <f t="shared" si="34"/>
        <v>21324.844799999999</v>
      </c>
      <c r="E50" s="4">
        <f t="shared" si="34"/>
        <v>29475.667487999996</v>
      </c>
      <c r="F50" s="4">
        <f t="shared" si="34"/>
        <v>32050.754233439999</v>
      </c>
      <c r="G50" s="4">
        <f t="shared" si="34"/>
        <v>33231.200489660398</v>
      </c>
      <c r="H50" s="4">
        <f t="shared" si="34"/>
        <v>30136.223033074511</v>
      </c>
      <c r="I50" s="4"/>
      <c r="J50" s="2"/>
      <c r="K50" s="2"/>
    </row>
    <row r="51" spans="1:11" x14ac:dyDescent="0.25">
      <c r="A51" s="4" t="s">
        <v>20</v>
      </c>
      <c r="B51" s="4">
        <f>B55</f>
        <v>8000</v>
      </c>
      <c r="C51" s="4">
        <f>C47</f>
        <v>5661.44</v>
      </c>
      <c r="D51" s="4">
        <f>D47</f>
        <v>1492.7552000000005</v>
      </c>
      <c r="E51" s="4">
        <f t="shared" ref="E51:H51" si="35">E47</f>
        <v>107.97795200000201</v>
      </c>
      <c r="F51" s="4">
        <f t="shared" si="35"/>
        <v>29.078371360002166</v>
      </c>
      <c r="G51" s="4">
        <f t="shared" si="35"/>
        <v>238.9024267702689</v>
      </c>
      <c r="H51" s="4">
        <f t="shared" si="35"/>
        <v>1635.8730222607792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8000</v>
      </c>
      <c r="C53" s="4">
        <f t="shared" ref="C53:H53" si="36">B53+C36+C41</f>
        <v>8000</v>
      </c>
      <c r="D53" s="4">
        <f t="shared" si="36"/>
        <v>8000.0000000000009</v>
      </c>
      <c r="E53" s="4">
        <f t="shared" si="36"/>
        <v>8000.0000000000018</v>
      </c>
      <c r="F53" s="4">
        <f t="shared" si="36"/>
        <v>8000.0000000000027</v>
      </c>
      <c r="G53" s="4">
        <f t="shared" si="36"/>
        <v>8000.0000000000027</v>
      </c>
      <c r="H53" s="4">
        <f t="shared" si="36"/>
        <v>8000.0000000000036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5644.8000000000011</v>
      </c>
      <c r="D54" s="4">
        <f t="shared" ref="D54:H54" si="37">C54+D43+D42</f>
        <v>14817.6</v>
      </c>
      <c r="E54" s="4">
        <f t="shared" si="37"/>
        <v>21583.645439999997</v>
      </c>
      <c r="F54" s="4">
        <f t="shared" si="37"/>
        <v>24079.832604799998</v>
      </c>
      <c r="G54" s="4">
        <f t="shared" si="37"/>
        <v>25470.102916430664</v>
      </c>
      <c r="H54" s="4">
        <f t="shared" si="37"/>
        <v>23772.096055335285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8000</v>
      </c>
      <c r="C55" s="4">
        <f>SUM(C53:C54)</f>
        <v>13644.800000000001</v>
      </c>
      <c r="D55" s="4">
        <f>SUM(D53:D54)</f>
        <v>22817.600000000002</v>
      </c>
      <c r="E55" s="4">
        <f t="shared" ref="E55:H55" si="38">SUM(E53:E54)</f>
        <v>29583.64544</v>
      </c>
      <c r="F55" s="4">
        <f t="shared" si="38"/>
        <v>32079.832604800002</v>
      </c>
      <c r="G55" s="4">
        <f t="shared" si="38"/>
        <v>33470.102916430667</v>
      </c>
      <c r="H55" s="4">
        <f t="shared" si="38"/>
        <v>31772.096055335289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7307.9999999999991</v>
      </c>
      <c r="D59" s="4">
        <f>D15*$B$4*(1+$B$8)*(1+$B$8)</f>
        <v>19780.319999999996</v>
      </c>
      <c r="E59" s="4">
        <f>E15*$B$4*(1+$B$8)*(1+$B$8)*(1+$B$8)</f>
        <v>27605.909099999993</v>
      </c>
      <c r="F59" s="4">
        <f>F15*$B$4*(1+$B$8)*(1+$B$8)*(1+$B$8)*(1+$B$8)</f>
        <v>30567.270257999986</v>
      </c>
      <c r="G59" s="4">
        <f>G15*$B$4*(1+$B$8)*(1+$B$8)*(1+$B$8)*(1+$B$8)*(1+$B$8)</f>
        <v>32318.520116531236</v>
      </c>
      <c r="H59" s="4">
        <f>H15*$B$4*(1+$B$8)*(1+$B$8)*(1+$B$8)*(1+$B$8)*(1+$B$8)*(1+$B$8)</f>
        <v>30179.034084816863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8000</v>
      </c>
      <c r="C60" s="4">
        <f t="shared" si="41"/>
        <v>5661.44</v>
      </c>
      <c r="D60" s="4">
        <f t="shared" si="41"/>
        <v>1492.7552000000005</v>
      </c>
      <c r="E60" s="4">
        <f t="shared" si="41"/>
        <v>107.97795200000201</v>
      </c>
      <c r="F60" s="4">
        <f t="shared" si="41"/>
        <v>29.078371360002166</v>
      </c>
      <c r="G60" s="4">
        <f t="shared" si="41"/>
        <v>238.9024267702689</v>
      </c>
      <c r="H60" s="4">
        <f t="shared" si="41"/>
        <v>1635.8730222607792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8000</v>
      </c>
      <c r="C62" s="4">
        <f>C59+C60-C63</f>
        <v>7324.6399999999976</v>
      </c>
      <c r="D62" s="4">
        <f t="shared" ref="D62:H62" si="43">D59+D60-D63</f>
        <v>6455.4751999999953</v>
      </c>
      <c r="E62" s="4">
        <f t="shared" si="43"/>
        <v>6130.241611999998</v>
      </c>
      <c r="F62" s="4">
        <f t="shared" si="43"/>
        <v>6516.5160245599909</v>
      </c>
      <c r="G62" s="4">
        <f t="shared" si="43"/>
        <v>7087.3196268708416</v>
      </c>
      <c r="H62" s="4">
        <f t="shared" si="43"/>
        <v>8042.8110517423556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5644.8000000000011</v>
      </c>
      <c r="D63" s="4">
        <f t="shared" si="42"/>
        <v>14817.6</v>
      </c>
      <c r="E63" s="4">
        <f t="shared" si="42"/>
        <v>21583.645439999997</v>
      </c>
      <c r="F63" s="4">
        <f t="shared" si="42"/>
        <v>24079.832604799998</v>
      </c>
      <c r="G63" s="4">
        <f t="shared" si="42"/>
        <v>25470.102916430664</v>
      </c>
      <c r="H63" s="4">
        <f t="shared" si="42"/>
        <v>23772.096055335285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8000</v>
      </c>
      <c r="C64" s="4">
        <f>C62+C63</f>
        <v>12969.439999999999</v>
      </c>
      <c r="D64" s="4">
        <f t="shared" ref="D64:H64" si="44">D62+D63</f>
        <v>21273.075199999996</v>
      </c>
      <c r="E64" s="4">
        <f t="shared" si="44"/>
        <v>27713.887051999995</v>
      </c>
      <c r="F64" s="4">
        <f t="shared" si="44"/>
        <v>30596.348629359989</v>
      </c>
      <c r="G64" s="4">
        <f t="shared" si="44"/>
        <v>32557.422543301505</v>
      </c>
      <c r="H64" s="4">
        <f t="shared" si="44"/>
        <v>31814.907107077641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-8000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-8000</v>
      </c>
      <c r="L68" s="4">
        <f t="shared" si="47"/>
        <v>32.883167999999969</v>
      </c>
      <c r="M68" s="4">
        <f t="shared" si="47"/>
        <v>571.8977730035997</v>
      </c>
      <c r="N68" s="4">
        <f t="shared" si="47"/>
        <v>1026.7873321423667</v>
      </c>
      <c r="O68" s="4">
        <f t="shared" si="47"/>
        <v>990.42556749344953</v>
      </c>
      <c r="P68" s="4">
        <f t="shared" si="47"/>
        <v>1037.537818950751</v>
      </c>
      <c r="Q68" s="4">
        <f t="shared" si="47"/>
        <v>9066.3519629424809</v>
      </c>
    </row>
    <row r="69" spans="1:17" x14ac:dyDescent="0.25">
      <c r="A69" s="4" t="s">
        <v>42</v>
      </c>
      <c r="B69" s="4"/>
      <c r="C69" s="4">
        <f>-C41</f>
        <v>32.883167999999969</v>
      </c>
      <c r="D69" s="4">
        <f t="shared" ref="D69:G69" si="48">-D41</f>
        <v>571.8977730035997</v>
      </c>
      <c r="E69" s="4">
        <f t="shared" si="48"/>
        <v>1026.7873321423667</v>
      </c>
      <c r="F69" s="4">
        <f t="shared" si="48"/>
        <v>990.42556749344953</v>
      </c>
      <c r="G69" s="4">
        <f t="shared" si="48"/>
        <v>1037.537818950751</v>
      </c>
      <c r="H69" s="4">
        <f>-H41+H62</f>
        <v>9066.3519629424809</v>
      </c>
      <c r="I69" s="2"/>
      <c r="J69" s="24"/>
      <c r="K69" s="6"/>
      <c r="L69" s="4">
        <f>K68+L68</f>
        <v>-7967.1168319999997</v>
      </c>
      <c r="M69" s="4">
        <f>M68</f>
        <v>571.8977730035997</v>
      </c>
      <c r="N69" s="4">
        <f t="shared" ref="N69:Q69" si="49">N68</f>
        <v>1026.7873321423667</v>
      </c>
      <c r="O69" s="4">
        <f t="shared" si="49"/>
        <v>990.42556749344953</v>
      </c>
      <c r="P69" s="4">
        <f t="shared" si="49"/>
        <v>1037.537818950751</v>
      </c>
      <c r="Q69" s="4">
        <f t="shared" si="49"/>
        <v>9066.3519629424809</v>
      </c>
    </row>
    <row r="70" spans="1:17" x14ac:dyDescent="0.25">
      <c r="A70" s="4" t="s">
        <v>43</v>
      </c>
      <c r="B70" s="4">
        <f>B68+B69</f>
        <v>-8000</v>
      </c>
      <c r="C70" s="4">
        <f t="shared" ref="C70:H70" si="50">C68+C69</f>
        <v>32.883167999999969</v>
      </c>
      <c r="D70" s="4">
        <f t="shared" si="50"/>
        <v>571.8977730035997</v>
      </c>
      <c r="E70" s="4">
        <f t="shared" si="50"/>
        <v>1026.7873321423667</v>
      </c>
      <c r="F70" s="4">
        <f t="shared" si="50"/>
        <v>990.42556749344953</v>
      </c>
      <c r="G70" s="4">
        <f t="shared" si="50"/>
        <v>1037.537818950751</v>
      </c>
      <c r="H70" s="4">
        <f t="shared" si="50"/>
        <v>9066.3519629424809</v>
      </c>
    </row>
    <row r="71" spans="1:17" x14ac:dyDescent="0.25">
      <c r="A71" s="4" t="s">
        <v>59</v>
      </c>
      <c r="B71" s="23">
        <f>IRR(B70:H70)</f>
        <v>9.2256429177534516E-2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0.11561552119529606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24</v>
      </c>
      <c r="D78" s="4">
        <f t="shared" si="53"/>
        <v>40</v>
      </c>
      <c r="E78" s="4">
        <f t="shared" si="53"/>
        <v>32</v>
      </c>
      <c r="F78" s="4">
        <f t="shared" si="53"/>
        <v>16</v>
      </c>
      <c r="G78" s="4">
        <f t="shared" si="53"/>
        <v>12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-8</v>
      </c>
      <c r="F79" s="4">
        <f t="shared" si="53"/>
        <v>-8</v>
      </c>
      <c r="G79" s="4">
        <f t="shared" si="53"/>
        <v>-8</v>
      </c>
      <c r="H79" s="4">
        <f t="shared" si="53"/>
        <v>-8</v>
      </c>
    </row>
    <row r="80" spans="1:17" x14ac:dyDescent="0.25">
      <c r="A80" s="6" t="s">
        <v>66</v>
      </c>
      <c r="B80" s="6"/>
      <c r="C80" s="4">
        <f t="shared" si="53"/>
        <v>24</v>
      </c>
      <c r="D80" s="4">
        <f t="shared" si="53"/>
        <v>64</v>
      </c>
      <c r="E80" s="4">
        <f t="shared" si="53"/>
        <v>88</v>
      </c>
      <c r="F80" s="4">
        <f t="shared" si="53"/>
        <v>96</v>
      </c>
      <c r="G80" s="4">
        <f t="shared" si="53"/>
        <v>100</v>
      </c>
      <c r="H80" s="4">
        <f t="shared" si="53"/>
        <v>92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292.32</v>
      </c>
      <c r="D84" s="4">
        <f t="shared" si="56"/>
        <v>1104.2363639999996</v>
      </c>
      <c r="E84" s="4">
        <f t="shared" si="56"/>
        <v>1964.9660230850989</v>
      </c>
      <c r="F84" s="4">
        <f t="shared" si="56"/>
        <v>2450.537567687129</v>
      </c>
      <c r="G84" s="4">
        <f t="shared" si="56"/>
        <v>2689.2532221272413</v>
      </c>
      <c r="H84" s="4">
        <f t="shared" si="56"/>
        <v>2713.994351770812</v>
      </c>
    </row>
    <row r="85" spans="1:8" x14ac:dyDescent="0.25">
      <c r="A85" s="6" t="s">
        <v>15</v>
      </c>
      <c r="B85" s="6"/>
      <c r="C85" s="4">
        <f t="shared" ref="C85:H85" si="57">C31</f>
        <v>165.69407999999999</v>
      </c>
      <c r="D85" s="4">
        <f t="shared" si="57"/>
        <v>672.07210941599965</v>
      </c>
      <c r="E85" s="4">
        <f t="shared" si="57"/>
        <v>1125.5231126380786</v>
      </c>
      <c r="F85" s="4">
        <f t="shared" si="57"/>
        <v>1439.3003869522934</v>
      </c>
      <c r="G85" s="4">
        <f t="shared" si="57"/>
        <v>1600.220800682154</v>
      </c>
      <c r="H85" s="4">
        <f t="shared" si="57"/>
        <v>1626.333493897218</v>
      </c>
    </row>
    <row r="86" spans="1:8" x14ac:dyDescent="0.25">
      <c r="A86" s="6" t="s">
        <v>25</v>
      </c>
      <c r="B86" s="6"/>
      <c r="C86" s="4">
        <f>C40</f>
        <v>113.52316799999998</v>
      </c>
      <c r="D86" s="4">
        <f t="shared" ref="D86:H86" si="58">D40</f>
        <v>872.01297300359965</v>
      </c>
      <c r="E86" s="4">
        <f t="shared" si="58"/>
        <v>1552.9438441423667</v>
      </c>
      <c r="F86" s="4">
        <f t="shared" si="58"/>
        <v>1636.9057660534495</v>
      </c>
      <c r="G86" s="4">
        <f t="shared" si="58"/>
        <v>1736.5093988503509</v>
      </c>
      <c r="H86" s="4">
        <f t="shared" si="58"/>
        <v>1718.5183677860132</v>
      </c>
    </row>
    <row r="87" spans="1:8" x14ac:dyDescent="0.25">
      <c r="A87" s="6" t="s">
        <v>17</v>
      </c>
      <c r="B87" s="6"/>
      <c r="C87" s="4">
        <f t="shared" ref="C87:H87" si="59">C36</f>
        <v>32.883167999999969</v>
      </c>
      <c r="D87" s="4">
        <f t="shared" si="59"/>
        <v>571.8977730035997</v>
      </c>
      <c r="E87" s="4">
        <f t="shared" si="59"/>
        <v>1026.7873321423667</v>
      </c>
      <c r="F87" s="4">
        <f t="shared" si="59"/>
        <v>990.42556749344953</v>
      </c>
      <c r="G87" s="4">
        <f t="shared" si="59"/>
        <v>1037.537818950751</v>
      </c>
      <c r="H87" s="4">
        <f t="shared" si="59"/>
        <v>1023.5409112001253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7983.3600000000015</v>
      </c>
      <c r="D90" s="4">
        <f t="shared" si="61"/>
        <v>21324.844799999999</v>
      </c>
      <c r="E90" s="4">
        <f t="shared" si="61"/>
        <v>29475.667487999996</v>
      </c>
      <c r="F90" s="4">
        <f t="shared" si="61"/>
        <v>32050.754233439999</v>
      </c>
      <c r="G90" s="4">
        <f t="shared" si="61"/>
        <v>33231.200489660398</v>
      </c>
      <c r="H90" s="4">
        <f t="shared" si="61"/>
        <v>30136.223033074511</v>
      </c>
    </row>
    <row r="91" spans="1:8" x14ac:dyDescent="0.25">
      <c r="A91" s="4" t="s">
        <v>20</v>
      </c>
      <c r="B91" s="4">
        <f>B51</f>
        <v>8000</v>
      </c>
      <c r="C91" s="4">
        <f t="shared" si="61"/>
        <v>5661.44</v>
      </c>
      <c r="D91" s="4">
        <f t="shared" si="61"/>
        <v>1492.7552000000005</v>
      </c>
      <c r="E91" s="4">
        <f t="shared" si="61"/>
        <v>107.97795200000201</v>
      </c>
      <c r="F91" s="4">
        <f t="shared" si="61"/>
        <v>29.078371360002166</v>
      </c>
      <c r="G91" s="4">
        <f t="shared" si="61"/>
        <v>238.9024267702689</v>
      </c>
      <c r="H91" s="4">
        <f t="shared" si="61"/>
        <v>1635.8730222607792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8000</v>
      </c>
      <c r="C93" s="4">
        <f t="shared" ref="C93:H95" si="62">L8</f>
        <v>8000</v>
      </c>
      <c r="D93" s="4">
        <f t="shared" si="62"/>
        <v>8000.0000000000009</v>
      </c>
      <c r="E93" s="4">
        <f t="shared" si="62"/>
        <v>8000.0000000000018</v>
      </c>
      <c r="F93" s="4">
        <f t="shared" si="62"/>
        <v>8000.0000000000027</v>
      </c>
      <c r="G93" s="4">
        <f t="shared" si="62"/>
        <v>8000.0000000000027</v>
      </c>
      <c r="H93" s="4">
        <f t="shared" si="62"/>
        <v>8000.0000000000036</v>
      </c>
    </row>
    <row r="94" spans="1:8" x14ac:dyDescent="0.25">
      <c r="A94" s="4" t="s">
        <v>22</v>
      </c>
      <c r="B94" s="4">
        <f>B54</f>
        <v>0</v>
      </c>
      <c r="C94" s="4">
        <f t="shared" si="62"/>
        <v>5644.8000000000011</v>
      </c>
      <c r="D94" s="4">
        <f t="shared" si="62"/>
        <v>14817.6</v>
      </c>
      <c r="E94" s="4">
        <f t="shared" si="62"/>
        <v>21583.645439999997</v>
      </c>
      <c r="F94" s="4">
        <f t="shared" si="62"/>
        <v>24079.832604799998</v>
      </c>
      <c r="G94" s="4">
        <f t="shared" si="62"/>
        <v>25470.102916430664</v>
      </c>
      <c r="H94" s="4">
        <f t="shared" si="62"/>
        <v>23772.096055335285</v>
      </c>
    </row>
    <row r="95" spans="1:8" x14ac:dyDescent="0.25">
      <c r="A95" s="4" t="s">
        <v>23</v>
      </c>
      <c r="B95" s="4">
        <f>B55</f>
        <v>8000</v>
      </c>
      <c r="C95" s="4">
        <f t="shared" si="62"/>
        <v>13644.800000000001</v>
      </c>
      <c r="D95" s="4">
        <f t="shared" si="62"/>
        <v>22817.600000000002</v>
      </c>
      <c r="E95" s="4">
        <f t="shared" si="62"/>
        <v>29583.64544</v>
      </c>
      <c r="F95" s="4">
        <f t="shared" si="62"/>
        <v>32079.832604800002</v>
      </c>
      <c r="G95" s="4">
        <f t="shared" si="62"/>
        <v>33470.102916430667</v>
      </c>
      <c r="H95" s="4">
        <f t="shared" si="62"/>
        <v>31772.096055335289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-8000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32.883167999999969</v>
      </c>
      <c r="D99" s="4">
        <f t="shared" si="65"/>
        <v>571.8977730035997</v>
      </c>
      <c r="E99" s="4">
        <f t="shared" si="65"/>
        <v>1026.7873321423667</v>
      </c>
      <c r="F99" s="4">
        <f t="shared" si="65"/>
        <v>990.42556749344953</v>
      </c>
      <c r="G99" s="4">
        <f t="shared" si="65"/>
        <v>1037.537818950751</v>
      </c>
      <c r="H99" s="4">
        <f t="shared" si="65"/>
        <v>9066.3519629424809</v>
      </c>
    </row>
    <row r="100" spans="1:8" x14ac:dyDescent="0.25">
      <c r="A100" s="4" t="s">
        <v>43</v>
      </c>
      <c r="B100" s="4">
        <f t="shared" si="65"/>
        <v>-8000</v>
      </c>
      <c r="C100" s="4">
        <f t="shared" si="65"/>
        <v>32.883167999999969</v>
      </c>
      <c r="D100" s="4">
        <f t="shared" si="65"/>
        <v>571.8977730035997</v>
      </c>
      <c r="E100" s="4">
        <f t="shared" si="65"/>
        <v>1026.7873321423667</v>
      </c>
      <c r="F100" s="4">
        <f t="shared" si="65"/>
        <v>990.42556749344953</v>
      </c>
      <c r="G100" s="4">
        <f t="shared" si="65"/>
        <v>1037.537818950751</v>
      </c>
      <c r="H100" s="4">
        <f t="shared" si="65"/>
        <v>9066.3519629424809</v>
      </c>
    </row>
    <row r="101" spans="1:8" hidden="1" x14ac:dyDescent="0.25">
      <c r="A101" s="3" t="s">
        <v>72</v>
      </c>
      <c r="B101" s="37">
        <f t="shared" si="65"/>
        <v>9.2256429177534516E-2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208</v>
      </c>
      <c r="B102" s="38">
        <f t="shared" si="65"/>
        <v>0.11561552119529606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topLeftCell="A3" zoomScale="80" zoomScaleNormal="80" workbookViewId="0">
      <selection activeCell="J34" sqref="J34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570312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40920</v>
      </c>
      <c r="J2" s="88" t="s">
        <v>207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10567.939200000001</v>
      </c>
      <c r="N5" s="13">
        <f t="shared" si="0"/>
        <v>12244.492236</v>
      </c>
      <c r="O5" s="13">
        <f t="shared" si="0"/>
        <v>13581.224319479999</v>
      </c>
      <c r="P5" s="13">
        <f t="shared" si="0"/>
        <v>14221.373989011599</v>
      </c>
      <c r="Q5" s="13">
        <f t="shared" si="0"/>
        <v>12724.560700261376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4000</v>
      </c>
      <c r="L6" s="13">
        <f t="shared" si="0"/>
        <v>1715.1999999999998</v>
      </c>
      <c r="M6" s="13">
        <f t="shared" si="0"/>
        <v>168.97280000000001</v>
      </c>
      <c r="N6" s="13">
        <f t="shared" si="0"/>
        <v>68.302557333333425</v>
      </c>
      <c r="O6" s="13">
        <f t="shared" si="0"/>
        <v>4.393411097777971</v>
      </c>
      <c r="P6" s="13">
        <f t="shared" si="0"/>
        <v>116.01335626665968</v>
      </c>
      <c r="Q6" s="13">
        <f t="shared" si="0"/>
        <v>923.66748866499859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4000</v>
      </c>
      <c r="L8" s="13">
        <f t="shared" si="1"/>
        <v>4000</v>
      </c>
      <c r="M8" s="13">
        <f t="shared" si="1"/>
        <v>4000.0000000000005</v>
      </c>
      <c r="N8" s="13">
        <f t="shared" si="1"/>
        <v>4000.0000000000005</v>
      </c>
      <c r="O8" s="13">
        <f t="shared" si="1"/>
        <v>4000.0000000000005</v>
      </c>
      <c r="P8" s="13">
        <f t="shared" si="1"/>
        <v>4000.0000000000005</v>
      </c>
      <c r="Q8" s="13">
        <f t="shared" si="1"/>
        <v>4000</v>
      </c>
      <c r="R8" s="4"/>
    </row>
    <row r="9" spans="1:18" x14ac:dyDescent="0.25">
      <c r="A9" s="16" t="s">
        <v>58</v>
      </c>
      <c r="B9" s="9">
        <v>4000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4368.0000000000009</v>
      </c>
      <c r="M9" s="13">
        <f t="shared" si="1"/>
        <v>6736.9120000000012</v>
      </c>
      <c r="N9" s="13">
        <f t="shared" si="1"/>
        <v>8312.7947933333344</v>
      </c>
      <c r="O9" s="13">
        <f t="shared" si="1"/>
        <v>9585.6177305777783</v>
      </c>
      <c r="P9" s="13">
        <f t="shared" si="1"/>
        <v>10337.387345278261</v>
      </c>
      <c r="Q9" s="13">
        <f t="shared" si="1"/>
        <v>9648.2281889263777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4000</v>
      </c>
      <c r="L10" s="13">
        <f t="shared" si="1"/>
        <v>8368</v>
      </c>
      <c r="M10" s="13">
        <f t="shared" si="1"/>
        <v>10736.912000000002</v>
      </c>
      <c r="N10" s="13">
        <f t="shared" si="1"/>
        <v>12312.794793333334</v>
      </c>
      <c r="O10" s="13">
        <f t="shared" si="1"/>
        <v>13585.617730577778</v>
      </c>
      <c r="P10" s="13">
        <f t="shared" si="1"/>
        <v>14337.387345278261</v>
      </c>
      <c r="Q10" s="13">
        <f t="shared" si="1"/>
        <v>13648.228188926378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32</v>
      </c>
      <c r="F12" s="4">
        <f t="shared" si="3"/>
        <v>37</v>
      </c>
      <c r="G12" s="4">
        <f t="shared" si="3"/>
        <v>41</v>
      </c>
      <c r="H12" s="4">
        <f t="shared" si="3"/>
        <v>43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12</v>
      </c>
      <c r="E13" s="11">
        <v>9</v>
      </c>
      <c r="F13" s="11">
        <v>8</v>
      </c>
      <c r="G13" s="11">
        <v>6</v>
      </c>
      <c r="H13" s="11"/>
      <c r="I13" s="2"/>
      <c r="J13" s="3" t="s">
        <v>59</v>
      </c>
      <c r="K13" s="87">
        <f>B71</f>
        <v>8.8339255495640367E-2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3" t="s">
        <v>60</v>
      </c>
      <c r="K14" s="87">
        <f>B72</f>
        <v>0.11034814550390637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32</v>
      </c>
      <c r="E15" s="4">
        <f t="shared" ref="E15:H15" si="4">E12+E13+E14</f>
        <v>37</v>
      </c>
      <c r="F15" s="4">
        <f t="shared" si="4"/>
        <v>41</v>
      </c>
      <c r="G15" s="4">
        <f t="shared" si="4"/>
        <v>43</v>
      </c>
      <c r="H15" s="4">
        <f t="shared" si="4"/>
        <v>39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26</v>
      </c>
      <c r="E16" s="4">
        <f t="shared" ref="E16:H16" si="5">(E12+E15)/2</f>
        <v>34.5</v>
      </c>
      <c r="F16" s="4">
        <f t="shared" si="5"/>
        <v>39</v>
      </c>
      <c r="G16" s="4">
        <f t="shared" si="5"/>
        <v>42</v>
      </c>
      <c r="H16" s="4">
        <f t="shared" si="5"/>
        <v>41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660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543.46933343626517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9890.159999999998</v>
      </c>
      <c r="F21" s="4">
        <f t="shared" si="9"/>
        <v>11607.029962499997</v>
      </c>
      <c r="G21" s="4">
        <f t="shared" si="9"/>
        <v>13054.771672687495</v>
      </c>
      <c r="H21" s="4">
        <f t="shared" si="9"/>
        <v>13896.963650108431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300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7916.9999999999982</v>
      </c>
      <c r="E22" s="4">
        <f t="shared" si="10"/>
        <v>10662.828749999999</v>
      </c>
      <c r="F22" s="4">
        <f t="shared" si="10"/>
        <v>12234.436987499997</v>
      </c>
      <c r="G22" s="4">
        <f t="shared" si="10"/>
        <v>13373.180737874995</v>
      </c>
      <c r="H22" s="4">
        <f t="shared" si="10"/>
        <v>13250.593247777808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180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9743.9999999999982</v>
      </c>
      <c r="E23" s="4">
        <f t="shared" si="11"/>
        <v>11435.497499999998</v>
      </c>
      <c r="F23" s="4">
        <f t="shared" si="11"/>
        <v>12861.844012499998</v>
      </c>
      <c r="G23" s="4">
        <f t="shared" si="11"/>
        <v>13691.589803062496</v>
      </c>
      <c r="H23" s="4">
        <f t="shared" si="11"/>
        <v>12604.222845447182</v>
      </c>
      <c r="I23" s="2" t="s">
        <v>53</v>
      </c>
      <c r="J23" s="2"/>
      <c r="K23" s="2"/>
      <c r="Q23" s="6" t="s">
        <v>23</v>
      </c>
      <c r="R23" s="4">
        <f>SUM(R19:R22)</f>
        <v>1683.4693334362651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1477.9274074645916</v>
      </c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652.50330599999972</v>
      </c>
      <c r="E26" s="3">
        <f t="shared" si="13"/>
        <v>891.99115521626209</v>
      </c>
      <c r="F26" s="3">
        <f t="shared" si="13"/>
        <v>1038.8148384760657</v>
      </c>
      <c r="G26" s="3">
        <f t="shared" si="13"/>
        <v>1152.5370951973891</v>
      </c>
      <c r="H26" s="3">
        <f t="shared" si="13"/>
        <v>1159.1017544021176</v>
      </c>
      <c r="I26" s="107">
        <f>SUM(C26:H26)</f>
        <v>5138.5481492918343</v>
      </c>
      <c r="J26" s="4">
        <f>I26*4%</f>
        <v>205.54192597167338</v>
      </c>
      <c r="K26" s="2"/>
      <c r="O26" s="108" t="s">
        <v>217</v>
      </c>
      <c r="P26" s="108"/>
      <c r="Q26" s="108"/>
      <c r="R26" s="109">
        <f>R25/6</f>
        <v>246.32123457743194</v>
      </c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3.9150198359999986</v>
      </c>
      <c r="E27" s="29">
        <f t="shared" si="14"/>
        <v>5.3519469312975723</v>
      </c>
      <c r="F27" s="29">
        <f t="shared" si="14"/>
        <v>6.232889030856394</v>
      </c>
      <c r="G27" s="29">
        <f t="shared" si="14"/>
        <v>6.9152225711843354</v>
      </c>
      <c r="H27" s="29">
        <f t="shared" si="14"/>
        <v>6.9546105264127061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80.25033059999997</v>
      </c>
      <c r="E28" s="4">
        <f t="shared" si="15"/>
        <v>104.19911552162621</v>
      </c>
      <c r="F28" s="4">
        <f t="shared" si="15"/>
        <v>118.88148384760657</v>
      </c>
      <c r="G28" s="4">
        <f t="shared" si="15"/>
        <v>130.25370951973892</v>
      </c>
      <c r="H28" s="4">
        <f t="shared" si="15"/>
        <v>130.91017544021179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219</v>
      </c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45</v>
      </c>
      <c r="F29" s="4">
        <f t="shared" si="16"/>
        <v>45</v>
      </c>
      <c r="G29" s="4">
        <f t="shared" si="16"/>
        <v>45</v>
      </c>
      <c r="H29" s="4">
        <f t="shared" si="16"/>
        <v>45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177.3408</v>
      </c>
      <c r="E30" s="4">
        <f t="shared" si="17"/>
        <v>238.847364</v>
      </c>
      <c r="F30" s="4">
        <f t="shared" si="17"/>
        <v>274.05138851999999</v>
      </c>
      <c r="G30" s="4">
        <f t="shared" si="17"/>
        <v>299.55924852839991</v>
      </c>
      <c r="H30" s="4">
        <f t="shared" si="17"/>
        <v>296.81328875022297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390.99715556399974</v>
      </c>
      <c r="E31" s="3">
        <f t="shared" si="18"/>
        <v>498.5927287633383</v>
      </c>
      <c r="F31" s="3">
        <f t="shared" si="18"/>
        <v>594.64907707760278</v>
      </c>
      <c r="G31" s="3">
        <f t="shared" si="18"/>
        <v>670.80891457806592</v>
      </c>
      <c r="H31" s="3">
        <f t="shared" si="18"/>
        <v>679.42367968527026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0.59922632110617979</v>
      </c>
      <c r="E32" s="27">
        <f t="shared" si="19"/>
        <v>0.55896600078108971</v>
      </c>
      <c r="F32" s="27">
        <f t="shared" si="19"/>
        <v>0.57243028791343498</v>
      </c>
      <c r="G32" s="27">
        <f t="shared" si="19"/>
        <v>0.58202804696987209</v>
      </c>
      <c r="H32" s="27">
        <f t="shared" si="19"/>
        <v>0.58616396455695763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341.03999999999996</v>
      </c>
      <c r="F33" s="4">
        <f t="shared" si="20"/>
        <v>346.15559999999994</v>
      </c>
      <c r="G33" s="4">
        <f t="shared" si="20"/>
        <v>351.34793399999995</v>
      </c>
      <c r="H33" s="4">
        <f t="shared" si="20"/>
        <v>356.6181530099999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-98.280000000000015</v>
      </c>
      <c r="D34" s="4">
        <f t="shared" ref="D34:H34" si="21">-$F$6*(C54-C51)</f>
        <v>-119.37600000000005</v>
      </c>
      <c r="E34" s="4">
        <f t="shared" si="21"/>
        <v>-295.55726400000003</v>
      </c>
      <c r="F34" s="4">
        <f t="shared" si="21"/>
        <v>-371.00215062000007</v>
      </c>
      <c r="G34" s="4">
        <f t="shared" si="21"/>
        <v>-431.15509437659995</v>
      </c>
      <c r="H34" s="4">
        <f t="shared" si="21"/>
        <v>-459.96182950552202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-5.5947599999999911</v>
      </c>
      <c r="D35" s="4">
        <f>IF((D31+D33+D34)&gt;0,-(D31+D33+D34)*$F$7,0)</f>
        <v>-40.743173334599952</v>
      </c>
      <c r="E35" s="4">
        <f t="shared" ref="E35:H35" si="22">IF((E31+E33+E34)&gt;0,-(E31+E33+E34)*$F$7,0)</f>
        <v>-81.611319714500738</v>
      </c>
      <c r="F35" s="4">
        <f t="shared" si="22"/>
        <v>-85.470378968640389</v>
      </c>
      <c r="G35" s="4">
        <f t="shared" si="22"/>
        <v>-88.650263130219884</v>
      </c>
      <c r="H35" s="4">
        <f t="shared" si="22"/>
        <v>-86.412000478462218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31.703639999999954</v>
      </c>
      <c r="D36" s="3">
        <f>D31+D33+D34+D35</f>
        <v>230.87798222939975</v>
      </c>
      <c r="E36" s="3">
        <f t="shared" ref="E36:H36" si="23">E31+E33+E34+E35</f>
        <v>462.46414504883751</v>
      </c>
      <c r="F36" s="3">
        <f t="shared" si="23"/>
        <v>484.33214748896228</v>
      </c>
      <c r="G36" s="3">
        <f t="shared" si="23"/>
        <v>502.35149107124607</v>
      </c>
      <c r="H36" s="3">
        <f t="shared" si="23"/>
        <v>489.66800271128591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0.13014630541871905</v>
      </c>
      <c r="D37" s="27">
        <f t="shared" ref="D37:H37" si="24">D36/D26</f>
        <v>0.35383419533111121</v>
      </c>
      <c r="E37" s="27">
        <f t="shared" si="24"/>
        <v>0.51846270262255423</v>
      </c>
      <c r="F37" s="27">
        <f t="shared" si="24"/>
        <v>0.46623529964153598</v>
      </c>
      <c r="G37" s="27">
        <f t="shared" si="24"/>
        <v>0.43586578962580885</v>
      </c>
      <c r="H37" s="27">
        <f t="shared" si="24"/>
        <v>0.42245471620726183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98.903639999999953</v>
      </c>
      <c r="D40" s="4">
        <f t="shared" si="26"/>
        <v>408.21878222939972</v>
      </c>
      <c r="E40" s="4">
        <f t="shared" si="26"/>
        <v>701.31150904883748</v>
      </c>
      <c r="F40" s="4">
        <f t="shared" si="26"/>
        <v>758.38353600896221</v>
      </c>
      <c r="G40" s="4">
        <f t="shared" si="26"/>
        <v>801.91073959964592</v>
      </c>
      <c r="H40" s="4">
        <f t="shared" si="26"/>
        <v>786.48129146150882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-31.703639999999954</v>
      </c>
      <c r="D41" s="4">
        <f t="shared" si="27"/>
        <v>-230.87798222939975</v>
      </c>
      <c r="E41" s="4">
        <f t="shared" si="27"/>
        <v>-462.46414504883751</v>
      </c>
      <c r="F41" s="4">
        <f t="shared" si="27"/>
        <v>-484.33214748896228</v>
      </c>
      <c r="G41" s="4">
        <f t="shared" si="27"/>
        <v>-502.35149107124607</v>
      </c>
      <c r="H41" s="4">
        <f t="shared" si="27"/>
        <v>-489.66800271128591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-291.20000000000005</v>
      </c>
      <c r="E42" s="4">
        <f>-D54/$I$54</f>
        <v>-449.12746666666675</v>
      </c>
      <c r="F42" s="4">
        <f>-E54/$I$54</f>
        <v>-554.18631955555566</v>
      </c>
      <c r="G42" s="4">
        <f>-F54/$I$54</f>
        <v>-639.04118203851851</v>
      </c>
      <c r="H42" s="4">
        <f>-G54/$I$54</f>
        <v>-689.15915635188401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4368.0000000000009</v>
      </c>
      <c r="D43" s="4">
        <f t="shared" ref="D43:H43" si="28">-D45*$F$9</f>
        <v>2660.1119999999996</v>
      </c>
      <c r="E43" s="4">
        <f t="shared" si="28"/>
        <v>2025.0102599999998</v>
      </c>
      <c r="F43" s="4">
        <f t="shared" si="28"/>
        <v>1827.0092567999998</v>
      </c>
      <c r="G43" s="4">
        <f t="shared" si="28"/>
        <v>1390.8107967389999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-4092.4799999999996</v>
      </c>
      <c r="E45" s="4">
        <f t="shared" si="30"/>
        <v>-3115.4003999999995</v>
      </c>
      <c r="F45" s="4">
        <f t="shared" si="30"/>
        <v>-2810.7834719999996</v>
      </c>
      <c r="G45" s="4">
        <f t="shared" si="30"/>
        <v>-2139.7089180599996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1715.1999999999998</v>
      </c>
      <c r="E46" s="4">
        <f t="shared" ref="E46:H46" si="31">D51</f>
        <v>168.97280000000001</v>
      </c>
      <c r="F46" s="4">
        <f t="shared" si="31"/>
        <v>68.302557333333425</v>
      </c>
      <c r="G46" s="4">
        <f t="shared" si="31"/>
        <v>4.393411097777971</v>
      </c>
      <c r="H46" s="4">
        <f t="shared" si="31"/>
        <v>116.01335626665968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1715.1999999999998</v>
      </c>
      <c r="D47" s="4">
        <f>SUM(D40:D46)</f>
        <v>168.97280000000001</v>
      </c>
      <c r="E47" s="4">
        <f t="shared" ref="E47:H47" si="32">SUM(E40:E46)</f>
        <v>68.302557333333425</v>
      </c>
      <c r="F47" s="4">
        <f t="shared" si="32"/>
        <v>4.393411097777971</v>
      </c>
      <c r="G47" s="4">
        <f t="shared" si="32"/>
        <v>116.01335626665968</v>
      </c>
      <c r="H47" s="4">
        <f t="shared" si="32"/>
        <v>923.66748866499859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10567.939200000001</v>
      </c>
      <c r="E50" s="4">
        <f t="shared" si="34"/>
        <v>12244.492236</v>
      </c>
      <c r="F50" s="4">
        <f t="shared" si="34"/>
        <v>13581.224319479999</v>
      </c>
      <c r="G50" s="4">
        <f t="shared" si="34"/>
        <v>14221.373989011599</v>
      </c>
      <c r="H50" s="4">
        <f t="shared" si="34"/>
        <v>12724.560700261376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1715.1999999999998</v>
      </c>
      <c r="D51" s="4">
        <f>D47</f>
        <v>168.97280000000001</v>
      </c>
      <c r="E51" s="4">
        <f t="shared" ref="E51:H51" si="35">E47</f>
        <v>68.302557333333425</v>
      </c>
      <c r="F51" s="4">
        <f t="shared" si="35"/>
        <v>4.393411097777971</v>
      </c>
      <c r="G51" s="4">
        <f t="shared" si="35"/>
        <v>116.01335626665968</v>
      </c>
      <c r="H51" s="4">
        <f t="shared" si="35"/>
        <v>923.66748866499859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4000.0000000000005</v>
      </c>
      <c r="E53" s="4">
        <f t="shared" si="36"/>
        <v>4000.0000000000005</v>
      </c>
      <c r="F53" s="4">
        <f t="shared" si="36"/>
        <v>4000.0000000000005</v>
      </c>
      <c r="G53" s="4">
        <f t="shared" si="36"/>
        <v>4000.0000000000005</v>
      </c>
      <c r="H53" s="4">
        <f t="shared" si="36"/>
        <v>4000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4368.0000000000009</v>
      </c>
      <c r="D54" s="4">
        <f t="shared" ref="D54:H54" si="37">C54+D43+D42</f>
        <v>6736.9120000000012</v>
      </c>
      <c r="E54" s="4">
        <f t="shared" si="37"/>
        <v>8312.7947933333344</v>
      </c>
      <c r="F54" s="4">
        <f t="shared" si="37"/>
        <v>9585.6177305777783</v>
      </c>
      <c r="G54" s="4">
        <f t="shared" si="37"/>
        <v>10337.387345278261</v>
      </c>
      <c r="H54" s="4">
        <f t="shared" si="37"/>
        <v>9648.2281889263777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8368</v>
      </c>
      <c r="D55" s="4">
        <f>SUM(D53:D54)</f>
        <v>10736.912000000002</v>
      </c>
      <c r="E55" s="4">
        <f t="shared" ref="E55:H55" si="38">SUM(E53:E54)</f>
        <v>12312.794793333334</v>
      </c>
      <c r="F55" s="4">
        <f t="shared" si="38"/>
        <v>13585.617730577778</v>
      </c>
      <c r="G55" s="4">
        <f t="shared" si="38"/>
        <v>14337.387345278261</v>
      </c>
      <c r="H55" s="4">
        <f t="shared" si="38"/>
        <v>13648.228188926378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9890.159999999998</v>
      </c>
      <c r="E59" s="4">
        <f>E15*$B$4*(1+$B$8)*(1+$B$8)*(1+$B$8)</f>
        <v>11607.029962499997</v>
      </c>
      <c r="F59" s="4">
        <f>F15*$B$4*(1+$B$8)*(1+$B$8)*(1+$B$8)*(1+$B$8)</f>
        <v>13054.771672687493</v>
      </c>
      <c r="G59" s="4">
        <f>G15*$B$4*(1+$B$8)*(1+$B$8)*(1+$B$8)*(1+$B$8)*(1+$B$8)</f>
        <v>13896.96365010843</v>
      </c>
      <c r="H59" s="4">
        <f>H15*$B$4*(1+$B$8)*(1+$B$8)*(1+$B$8)*(1+$B$8)*(1+$B$8)*(1+$B$8)</f>
        <v>12793.286188128888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4000</v>
      </c>
      <c r="C60" s="4">
        <f t="shared" si="41"/>
        <v>1715.1999999999998</v>
      </c>
      <c r="D60" s="4">
        <f t="shared" si="41"/>
        <v>168.97280000000001</v>
      </c>
      <c r="E60" s="4">
        <f t="shared" si="41"/>
        <v>68.302557333333425</v>
      </c>
      <c r="F60" s="4">
        <f t="shared" si="41"/>
        <v>4.393411097777971</v>
      </c>
      <c r="G60" s="4">
        <f t="shared" si="41"/>
        <v>116.01335626665968</v>
      </c>
      <c r="H60" s="4">
        <f t="shared" si="41"/>
        <v>923.66748866499859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4000</v>
      </c>
      <c r="C62" s="4">
        <f>C59+C60-C63</f>
        <v>3437.199999999998</v>
      </c>
      <c r="D62" s="4">
        <f t="shared" ref="D62:H62" si="43">D59+D60-D63</f>
        <v>3322.2207999999964</v>
      </c>
      <c r="E62" s="4">
        <f t="shared" si="43"/>
        <v>3362.5377264999952</v>
      </c>
      <c r="F62" s="4">
        <f t="shared" si="43"/>
        <v>3473.5473532074939</v>
      </c>
      <c r="G62" s="4">
        <f t="shared" si="43"/>
        <v>3675.5896610968284</v>
      </c>
      <c r="H62" s="4">
        <f t="shared" si="43"/>
        <v>4068.7254878675085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4368.0000000000009</v>
      </c>
      <c r="D63" s="4">
        <f t="shared" si="42"/>
        <v>6736.9120000000012</v>
      </c>
      <c r="E63" s="4">
        <f t="shared" si="42"/>
        <v>8312.7947933333344</v>
      </c>
      <c r="F63" s="4">
        <f t="shared" si="42"/>
        <v>9585.6177305777783</v>
      </c>
      <c r="G63" s="4">
        <f t="shared" si="42"/>
        <v>10337.387345278261</v>
      </c>
      <c r="H63" s="4">
        <f t="shared" si="42"/>
        <v>9648.2281889263777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4000</v>
      </c>
      <c r="C64" s="4">
        <f>C62+C63</f>
        <v>7805.1999999999989</v>
      </c>
      <c r="D64" s="4">
        <f t="shared" ref="D64:H64" si="44">D62+D63</f>
        <v>10059.132799999998</v>
      </c>
      <c r="E64" s="4">
        <f t="shared" si="44"/>
        <v>11675.33251983333</v>
      </c>
      <c r="F64" s="4">
        <f t="shared" si="44"/>
        <v>13059.165083785272</v>
      </c>
      <c r="G64" s="4">
        <f t="shared" si="44"/>
        <v>14012.977006375089</v>
      </c>
      <c r="H64" s="4">
        <f t="shared" si="44"/>
        <v>13716.953676793886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-4000</v>
      </c>
      <c r="L68" s="4">
        <f t="shared" si="47"/>
        <v>31.703639999999954</v>
      </c>
      <c r="M68" s="4">
        <f t="shared" si="47"/>
        <v>230.87798222939975</v>
      </c>
      <c r="N68" s="4">
        <f t="shared" si="47"/>
        <v>462.46414504883751</v>
      </c>
      <c r="O68" s="4">
        <f t="shared" si="47"/>
        <v>484.33214748896228</v>
      </c>
      <c r="P68" s="4">
        <f t="shared" si="47"/>
        <v>502.35149107124607</v>
      </c>
      <c r="Q68" s="4">
        <f t="shared" si="47"/>
        <v>4558.3934905787946</v>
      </c>
    </row>
    <row r="69" spans="1:17" x14ac:dyDescent="0.25">
      <c r="A69" s="4" t="s">
        <v>42</v>
      </c>
      <c r="B69" s="4"/>
      <c r="C69" s="4">
        <f>-C41</f>
        <v>31.703639999999954</v>
      </c>
      <c r="D69" s="4">
        <f t="shared" ref="D69:G69" si="48">-D41</f>
        <v>230.87798222939975</v>
      </c>
      <c r="E69" s="4">
        <f t="shared" si="48"/>
        <v>462.46414504883751</v>
      </c>
      <c r="F69" s="4">
        <f t="shared" si="48"/>
        <v>484.33214748896228</v>
      </c>
      <c r="G69" s="4">
        <f t="shared" si="48"/>
        <v>502.35149107124607</v>
      </c>
      <c r="H69" s="4">
        <f>-H41+H62</f>
        <v>4558.3934905787946</v>
      </c>
      <c r="I69" s="2"/>
      <c r="J69" s="24"/>
      <c r="K69" s="6"/>
      <c r="L69" s="4">
        <f>K68+L68</f>
        <v>-3968.2963599999998</v>
      </c>
      <c r="M69" s="4">
        <f>M68</f>
        <v>230.87798222939975</v>
      </c>
      <c r="N69" s="4">
        <f t="shared" ref="N69:Q69" si="49">N68</f>
        <v>462.46414504883751</v>
      </c>
      <c r="O69" s="4">
        <f t="shared" si="49"/>
        <v>484.33214748896228</v>
      </c>
      <c r="P69" s="4">
        <f t="shared" si="49"/>
        <v>502.35149107124607</v>
      </c>
      <c r="Q69" s="4">
        <f t="shared" si="49"/>
        <v>4558.3934905787946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0">C68+C69</f>
        <v>31.703639999999954</v>
      </c>
      <c r="D70" s="4">
        <f t="shared" si="50"/>
        <v>230.87798222939975</v>
      </c>
      <c r="E70" s="4">
        <f t="shared" si="50"/>
        <v>462.46414504883751</v>
      </c>
      <c r="F70" s="4">
        <f t="shared" si="50"/>
        <v>484.33214748896228</v>
      </c>
      <c r="G70" s="4">
        <f t="shared" si="50"/>
        <v>502.35149107124607</v>
      </c>
      <c r="H70" s="4">
        <f t="shared" si="50"/>
        <v>4558.3934905787946</v>
      </c>
    </row>
    <row r="71" spans="1:17" x14ac:dyDescent="0.25">
      <c r="A71" s="4" t="s">
        <v>59</v>
      </c>
      <c r="B71" s="23">
        <f>IRR(B70:H70)</f>
        <v>8.8339255495640367E-2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0.11034814550390637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12</v>
      </c>
      <c r="E78" s="4">
        <f t="shared" si="53"/>
        <v>9</v>
      </c>
      <c r="F78" s="4">
        <f t="shared" si="53"/>
        <v>8</v>
      </c>
      <c r="G78" s="4">
        <f t="shared" si="53"/>
        <v>6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32</v>
      </c>
      <c r="E80" s="4">
        <f t="shared" si="53"/>
        <v>37</v>
      </c>
      <c r="F80" s="4">
        <f t="shared" si="53"/>
        <v>41</v>
      </c>
      <c r="G80" s="4">
        <f t="shared" si="53"/>
        <v>43</v>
      </c>
      <c r="H80" s="4">
        <f t="shared" si="53"/>
        <v>39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652.50330599999972</v>
      </c>
      <c r="E84" s="4">
        <f t="shared" si="56"/>
        <v>891.99115521626209</v>
      </c>
      <c r="F84" s="4">
        <f t="shared" si="56"/>
        <v>1038.8148384760657</v>
      </c>
      <c r="G84" s="4">
        <f t="shared" si="56"/>
        <v>1152.5370951973891</v>
      </c>
      <c r="H84" s="4">
        <f t="shared" si="56"/>
        <v>1159.1017544021176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390.99715556399974</v>
      </c>
      <c r="E85" s="4">
        <f t="shared" si="57"/>
        <v>498.5927287633383</v>
      </c>
      <c r="F85" s="4">
        <f t="shared" si="57"/>
        <v>594.64907707760278</v>
      </c>
      <c r="G85" s="4">
        <f t="shared" si="57"/>
        <v>670.80891457806592</v>
      </c>
      <c r="H85" s="4">
        <f t="shared" si="57"/>
        <v>679.42367968527026</v>
      </c>
    </row>
    <row r="86" spans="1:8" x14ac:dyDescent="0.25">
      <c r="A86" s="6" t="s">
        <v>25</v>
      </c>
      <c r="B86" s="6"/>
      <c r="C86" s="4">
        <f>C40</f>
        <v>98.903639999999953</v>
      </c>
      <c r="D86" s="4">
        <f t="shared" ref="D86:H86" si="58">D40</f>
        <v>408.21878222939972</v>
      </c>
      <c r="E86" s="4">
        <f t="shared" si="58"/>
        <v>701.31150904883748</v>
      </c>
      <c r="F86" s="4">
        <f t="shared" si="58"/>
        <v>758.38353600896221</v>
      </c>
      <c r="G86" s="4">
        <f t="shared" si="58"/>
        <v>801.91073959964592</v>
      </c>
      <c r="H86" s="4">
        <f t="shared" si="58"/>
        <v>786.48129146150882</v>
      </c>
    </row>
    <row r="87" spans="1:8" x14ac:dyDescent="0.25">
      <c r="A87" s="6" t="s">
        <v>17</v>
      </c>
      <c r="B87" s="6"/>
      <c r="C87" s="4">
        <f t="shared" ref="C87:H87" si="59">C36</f>
        <v>31.703639999999954</v>
      </c>
      <c r="D87" s="4">
        <f t="shared" si="59"/>
        <v>230.87798222939975</v>
      </c>
      <c r="E87" s="4">
        <f t="shared" si="59"/>
        <v>462.46414504883751</v>
      </c>
      <c r="F87" s="4">
        <f t="shared" si="59"/>
        <v>484.33214748896228</v>
      </c>
      <c r="G87" s="4">
        <f t="shared" si="59"/>
        <v>502.35149107124607</v>
      </c>
      <c r="H87" s="4">
        <f t="shared" si="59"/>
        <v>489.66800271128591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10567.939200000001</v>
      </c>
      <c r="E90" s="4">
        <f t="shared" si="61"/>
        <v>12244.492236</v>
      </c>
      <c r="F90" s="4">
        <f t="shared" si="61"/>
        <v>13581.224319479999</v>
      </c>
      <c r="G90" s="4">
        <f t="shared" si="61"/>
        <v>14221.373989011599</v>
      </c>
      <c r="H90" s="4">
        <f t="shared" si="61"/>
        <v>12724.560700261376</v>
      </c>
    </row>
    <row r="91" spans="1:8" x14ac:dyDescent="0.25">
      <c r="A91" s="4" t="s">
        <v>20</v>
      </c>
      <c r="B91" s="4">
        <f>B51</f>
        <v>4000</v>
      </c>
      <c r="C91" s="4">
        <f t="shared" si="61"/>
        <v>1715.1999999999998</v>
      </c>
      <c r="D91" s="4">
        <f t="shared" si="61"/>
        <v>168.97280000000001</v>
      </c>
      <c r="E91" s="4">
        <f t="shared" si="61"/>
        <v>68.302557333333425</v>
      </c>
      <c r="F91" s="4">
        <f t="shared" si="61"/>
        <v>4.393411097777971</v>
      </c>
      <c r="G91" s="4">
        <f t="shared" si="61"/>
        <v>116.01335626665968</v>
      </c>
      <c r="H91" s="4">
        <f t="shared" si="61"/>
        <v>923.66748866499859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4000</v>
      </c>
      <c r="C93" s="4">
        <f t="shared" ref="C93:H95" si="62">L8</f>
        <v>4000</v>
      </c>
      <c r="D93" s="4">
        <f t="shared" si="62"/>
        <v>4000.0000000000005</v>
      </c>
      <c r="E93" s="4">
        <f t="shared" si="62"/>
        <v>4000.0000000000005</v>
      </c>
      <c r="F93" s="4">
        <f t="shared" si="62"/>
        <v>4000.0000000000005</v>
      </c>
      <c r="G93" s="4">
        <f t="shared" si="62"/>
        <v>4000.0000000000005</v>
      </c>
      <c r="H93" s="4">
        <f t="shared" si="62"/>
        <v>4000</v>
      </c>
    </row>
    <row r="94" spans="1:8" x14ac:dyDescent="0.25">
      <c r="A94" s="4" t="s">
        <v>22</v>
      </c>
      <c r="B94" s="4">
        <f>B54</f>
        <v>0</v>
      </c>
      <c r="C94" s="4">
        <f t="shared" si="62"/>
        <v>4368.0000000000009</v>
      </c>
      <c r="D94" s="4">
        <f t="shared" si="62"/>
        <v>6736.9120000000012</v>
      </c>
      <c r="E94" s="4">
        <f t="shared" si="62"/>
        <v>8312.7947933333344</v>
      </c>
      <c r="F94" s="4">
        <f t="shared" si="62"/>
        <v>9585.6177305777783</v>
      </c>
      <c r="G94" s="4">
        <f t="shared" si="62"/>
        <v>10337.387345278261</v>
      </c>
      <c r="H94" s="4">
        <f t="shared" si="62"/>
        <v>9648.2281889263777</v>
      </c>
    </row>
    <row r="95" spans="1:8" x14ac:dyDescent="0.25">
      <c r="A95" s="4" t="s">
        <v>23</v>
      </c>
      <c r="B95" s="4">
        <f>B55</f>
        <v>4000</v>
      </c>
      <c r="C95" s="4">
        <f t="shared" si="62"/>
        <v>8368</v>
      </c>
      <c r="D95" s="4">
        <f t="shared" si="62"/>
        <v>10736.912000000002</v>
      </c>
      <c r="E95" s="4">
        <f t="shared" si="62"/>
        <v>12312.794793333334</v>
      </c>
      <c r="F95" s="4">
        <f t="shared" si="62"/>
        <v>13585.617730577778</v>
      </c>
      <c r="G95" s="4">
        <f t="shared" si="62"/>
        <v>14337.387345278261</v>
      </c>
      <c r="H95" s="4">
        <f t="shared" si="62"/>
        <v>13648.228188926378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-4000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31.703639999999954</v>
      </c>
      <c r="D99" s="4">
        <f t="shared" si="65"/>
        <v>230.87798222939975</v>
      </c>
      <c r="E99" s="4">
        <f t="shared" si="65"/>
        <v>462.46414504883751</v>
      </c>
      <c r="F99" s="4">
        <f t="shared" si="65"/>
        <v>484.33214748896228</v>
      </c>
      <c r="G99" s="4">
        <f t="shared" si="65"/>
        <v>502.35149107124607</v>
      </c>
      <c r="H99" s="4">
        <f t="shared" si="65"/>
        <v>4558.3934905787946</v>
      </c>
    </row>
    <row r="100" spans="1:8" x14ac:dyDescent="0.25">
      <c r="A100" s="4" t="s">
        <v>43</v>
      </c>
      <c r="B100" s="4">
        <f t="shared" si="65"/>
        <v>-4000</v>
      </c>
      <c r="C100" s="4">
        <f t="shared" si="65"/>
        <v>31.703639999999954</v>
      </c>
      <c r="D100" s="4">
        <f t="shared" si="65"/>
        <v>230.87798222939975</v>
      </c>
      <c r="E100" s="4">
        <f t="shared" si="65"/>
        <v>462.46414504883751</v>
      </c>
      <c r="F100" s="4">
        <f t="shared" si="65"/>
        <v>484.33214748896228</v>
      </c>
      <c r="G100" s="4">
        <f t="shared" si="65"/>
        <v>502.35149107124607</v>
      </c>
      <c r="H100" s="4">
        <f t="shared" si="65"/>
        <v>4558.3934905787946</v>
      </c>
    </row>
    <row r="101" spans="1:8" hidden="1" x14ac:dyDescent="0.25">
      <c r="A101" s="3" t="s">
        <v>72</v>
      </c>
      <c r="B101" s="37">
        <f t="shared" si="65"/>
        <v>8.8339255495640367E-2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208</v>
      </c>
      <c r="B102" s="38">
        <f t="shared" si="65"/>
        <v>0.11034814550390637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3"/>
  <sheetViews>
    <sheetView zoomScale="80" zoomScaleNormal="80" workbookViewId="0">
      <selection activeCell="B8" sqref="B8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140625" customWidth="1"/>
    <col min="10" max="10" width="16.28515625" customWidth="1"/>
    <col min="19" max="19" width="10.42578125" customWidth="1"/>
  </cols>
  <sheetData>
    <row r="1" spans="1:21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21" x14ac:dyDescent="0.25">
      <c r="A2" s="1" t="s">
        <v>0</v>
      </c>
      <c r="J2" s="88" t="s">
        <v>207</v>
      </c>
      <c r="S2" s="61">
        <v>40904</v>
      </c>
    </row>
    <row r="3" spans="1:21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21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21" x14ac:dyDescent="0.25">
      <c r="A5" s="6" t="s">
        <v>107</v>
      </c>
      <c r="B5" s="21">
        <v>0.08</v>
      </c>
      <c r="D5" s="7" t="s">
        <v>10</v>
      </c>
      <c r="E5" s="8"/>
      <c r="F5" s="89">
        <v>0.02</v>
      </c>
      <c r="J5" s="4" t="s">
        <v>19</v>
      </c>
      <c r="K5" s="13">
        <f t="shared" si="0"/>
        <v>0</v>
      </c>
      <c r="L5" s="13">
        <f t="shared" si="0"/>
        <v>3326.4000000000005</v>
      </c>
      <c r="M5" s="13">
        <f t="shared" si="0"/>
        <v>4946.34</v>
      </c>
      <c r="N5" s="13">
        <f t="shared" si="0"/>
        <v>5027.1157200000007</v>
      </c>
      <c r="O5" s="13">
        <f t="shared" si="0"/>
        <v>5127.1030758000006</v>
      </c>
      <c r="P5" s="13">
        <f t="shared" si="0"/>
        <v>5599.6422134168997</v>
      </c>
      <c r="Q5" s="13">
        <f t="shared" si="0"/>
        <v>4298.2913343314576</v>
      </c>
      <c r="R5" s="4"/>
      <c r="T5" s="91"/>
      <c r="U5" t="s">
        <v>209</v>
      </c>
    </row>
    <row r="6" spans="1:21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4000</v>
      </c>
      <c r="L6" s="13">
        <f t="shared" si="0"/>
        <v>1345.5999999999995</v>
      </c>
      <c r="M6" s="13">
        <f t="shared" si="0"/>
        <v>21.899999999999636</v>
      </c>
      <c r="N6" s="13">
        <f t="shared" si="0"/>
        <v>153.49942666666652</v>
      </c>
      <c r="O6" s="13">
        <f t="shared" si="0"/>
        <v>255.88274162222228</v>
      </c>
      <c r="P6" s="13">
        <f t="shared" si="0"/>
        <v>47.762702520507901</v>
      </c>
      <c r="Q6" s="13">
        <f t="shared" si="0"/>
        <v>1239.2865872101227</v>
      </c>
      <c r="R6" s="4"/>
    </row>
    <row r="7" spans="1:21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21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4000</v>
      </c>
      <c r="L8" s="13">
        <f t="shared" si="1"/>
        <v>4000</v>
      </c>
      <c r="M8" s="13">
        <f t="shared" si="1"/>
        <v>4000</v>
      </c>
      <c r="N8" s="13">
        <f t="shared" si="1"/>
        <v>4000</v>
      </c>
      <c r="O8" s="13">
        <f t="shared" si="1"/>
        <v>4000</v>
      </c>
      <c r="P8" s="13">
        <f t="shared" si="1"/>
        <v>4000</v>
      </c>
      <c r="Q8" s="13">
        <f t="shared" si="1"/>
        <v>4000.0000000000005</v>
      </c>
      <c r="R8" s="4"/>
    </row>
    <row r="9" spans="1:21" x14ac:dyDescent="0.25">
      <c r="A9" s="16" t="s">
        <v>58</v>
      </c>
      <c r="B9" s="9">
        <v>4000</v>
      </c>
      <c r="D9" s="20" t="s">
        <v>61</v>
      </c>
      <c r="E9" s="8"/>
      <c r="F9" s="90">
        <v>0.2</v>
      </c>
      <c r="J9" s="4" t="s">
        <v>22</v>
      </c>
      <c r="K9" s="13">
        <f t="shared" si="1"/>
        <v>0</v>
      </c>
      <c r="L9" s="13">
        <f t="shared" si="1"/>
        <v>672.00000000000011</v>
      </c>
      <c r="M9" s="13">
        <f t="shared" si="1"/>
        <v>968.24000000000012</v>
      </c>
      <c r="N9" s="13">
        <f t="shared" si="1"/>
        <v>1180.6151466666668</v>
      </c>
      <c r="O9" s="13">
        <f t="shared" si="1"/>
        <v>1382.9858174222225</v>
      </c>
      <c r="P9" s="13">
        <f t="shared" si="1"/>
        <v>1647.4049159374076</v>
      </c>
      <c r="Q9" s="13">
        <f t="shared" si="1"/>
        <v>1537.5779215415805</v>
      </c>
      <c r="R9" s="11">
        <v>15</v>
      </c>
    </row>
    <row r="10" spans="1:21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4000</v>
      </c>
      <c r="L10" s="13">
        <f t="shared" si="1"/>
        <v>4672</v>
      </c>
      <c r="M10" s="13">
        <f t="shared" si="1"/>
        <v>4968.24</v>
      </c>
      <c r="N10" s="13">
        <f t="shared" si="1"/>
        <v>5180.615146666667</v>
      </c>
      <c r="O10" s="13">
        <f t="shared" si="1"/>
        <v>5382.9858174222227</v>
      </c>
      <c r="P10" s="13">
        <f t="shared" si="1"/>
        <v>5647.4049159374081</v>
      </c>
      <c r="Q10" s="13">
        <f t="shared" si="1"/>
        <v>5537.5779215415805</v>
      </c>
      <c r="R10" s="4"/>
    </row>
    <row r="11" spans="1:21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21" x14ac:dyDescent="0.25">
      <c r="A12" s="4" t="s">
        <v>2</v>
      </c>
      <c r="B12" s="4">
        <v>0</v>
      </c>
      <c r="C12" s="4">
        <f>B15</f>
        <v>0</v>
      </c>
      <c r="D12" s="4">
        <f>C15</f>
        <v>10</v>
      </c>
      <c r="E12" s="4">
        <f t="shared" ref="E12:H12" si="3">D15</f>
        <v>15</v>
      </c>
      <c r="F12" s="4">
        <f t="shared" si="3"/>
        <v>15</v>
      </c>
      <c r="G12" s="4">
        <f t="shared" si="3"/>
        <v>15</v>
      </c>
      <c r="H12" s="4">
        <f t="shared" si="3"/>
        <v>16</v>
      </c>
      <c r="I12" s="2"/>
      <c r="J12" s="2"/>
      <c r="K12" s="2"/>
    </row>
    <row r="13" spans="1:21" x14ac:dyDescent="0.25">
      <c r="A13" s="4" t="s">
        <v>3</v>
      </c>
      <c r="B13" s="4"/>
      <c r="C13" s="11">
        <v>10</v>
      </c>
      <c r="D13" s="15">
        <v>5</v>
      </c>
      <c r="E13" s="11">
        <v>4</v>
      </c>
      <c r="F13" s="11">
        <v>4</v>
      </c>
      <c r="G13" s="11">
        <v>5</v>
      </c>
      <c r="H13" s="11"/>
      <c r="I13" s="2"/>
      <c r="J13" s="3" t="s">
        <v>59</v>
      </c>
      <c r="K13" s="87">
        <f>B71</f>
        <v>4.6149509678091283E-2</v>
      </c>
    </row>
    <row r="14" spans="1:21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3" t="s">
        <v>60</v>
      </c>
      <c r="K14" s="87">
        <f>B72</f>
        <v>5.6972236252180064E-2</v>
      </c>
    </row>
    <row r="15" spans="1:21" x14ac:dyDescent="0.25">
      <c r="A15" s="4" t="s">
        <v>5</v>
      </c>
      <c r="B15" s="4">
        <f>B12+B13+B14</f>
        <v>0</v>
      </c>
      <c r="C15" s="4">
        <f>C12+C13+C14</f>
        <v>10</v>
      </c>
      <c r="D15" s="4">
        <f>D12+D13+D14</f>
        <v>15</v>
      </c>
      <c r="E15" s="4">
        <f t="shared" ref="E15:H15" si="4">E12+E13+E14</f>
        <v>15</v>
      </c>
      <c r="F15" s="4">
        <f t="shared" si="4"/>
        <v>15</v>
      </c>
      <c r="G15" s="4">
        <f t="shared" si="4"/>
        <v>16</v>
      </c>
      <c r="H15" s="4">
        <f t="shared" si="4"/>
        <v>12</v>
      </c>
      <c r="I15" s="2"/>
      <c r="J15" s="2"/>
      <c r="K15" s="2"/>
    </row>
    <row r="16" spans="1:21" x14ac:dyDescent="0.25">
      <c r="A16" s="4" t="s">
        <v>11</v>
      </c>
      <c r="B16" s="4"/>
      <c r="C16" s="4">
        <f>(C12+C15)/2</f>
        <v>5</v>
      </c>
      <c r="D16" s="4">
        <f>(D12+D15)/2</f>
        <v>12.5</v>
      </c>
      <c r="E16" s="4">
        <f t="shared" ref="E16:H16" si="5">(E12+E15)/2</f>
        <v>15</v>
      </c>
      <c r="F16" s="4">
        <f t="shared" si="5"/>
        <v>15</v>
      </c>
      <c r="G16" s="4">
        <f t="shared" si="5"/>
        <v>15.5</v>
      </c>
      <c r="H16" s="4">
        <f t="shared" si="5"/>
        <v>14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336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89">
        <v>0.9</v>
      </c>
      <c r="R20" s="4">
        <f>SUM(C28:H28)*$Q$20</f>
        <v>264.96016527206234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3044.9999999999995</v>
      </c>
      <c r="E21" s="4">
        <f t="shared" si="9"/>
        <v>4636.0124999999989</v>
      </c>
      <c r="F21" s="4">
        <f t="shared" si="9"/>
        <v>4705.5526874999987</v>
      </c>
      <c r="G21" s="4">
        <f t="shared" si="9"/>
        <v>4776.1359778124988</v>
      </c>
      <c r="H21" s="4">
        <f t="shared" si="9"/>
        <v>5170.9632186449981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1500</v>
      </c>
      <c r="D22" s="4">
        <f t="shared" ref="D22:H22" si="10">D16*D17</f>
        <v>3806.2499999999991</v>
      </c>
      <c r="E22" s="4">
        <f t="shared" si="10"/>
        <v>4636.0124999999989</v>
      </c>
      <c r="F22" s="4">
        <f t="shared" si="10"/>
        <v>4705.5526874999987</v>
      </c>
      <c r="G22" s="4">
        <f t="shared" si="10"/>
        <v>4935.3405104062485</v>
      </c>
      <c r="H22" s="4">
        <f t="shared" si="10"/>
        <v>4524.5928163143735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108</v>
      </c>
    </row>
    <row r="23" spans="1:18" x14ac:dyDescent="0.25">
      <c r="A23" s="4" t="s">
        <v>30</v>
      </c>
      <c r="B23" s="4"/>
      <c r="C23" s="4">
        <f>C15*C17</f>
        <v>3000</v>
      </c>
      <c r="D23" s="4">
        <f t="shared" ref="D23:H23" si="11">D15*D17</f>
        <v>4567.4999999999991</v>
      </c>
      <c r="E23" s="4">
        <f t="shared" si="11"/>
        <v>4636.0124999999989</v>
      </c>
      <c r="F23" s="4">
        <f t="shared" si="11"/>
        <v>4705.5526874999987</v>
      </c>
      <c r="G23" s="4">
        <f t="shared" si="11"/>
        <v>5094.5450429999983</v>
      </c>
      <c r="H23" s="4">
        <f t="shared" si="11"/>
        <v>3878.2224139837485</v>
      </c>
      <c r="I23" s="2" t="s">
        <v>53</v>
      </c>
      <c r="J23" s="2"/>
      <c r="K23" s="2"/>
      <c r="Q23" s="6" t="s">
        <v>23</v>
      </c>
      <c r="R23" s="4">
        <f>SUM(R19:R22)</f>
        <v>984.96016527206234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121.79999999999998</v>
      </c>
      <c r="D26" s="3">
        <f t="shared" si="13"/>
        <v>313.70351249999987</v>
      </c>
      <c r="E26" s="3">
        <f t="shared" si="13"/>
        <v>387.82224139837479</v>
      </c>
      <c r="F26" s="3">
        <f t="shared" si="13"/>
        <v>399.54416864464059</v>
      </c>
      <c r="G26" s="3">
        <f t="shared" si="13"/>
        <v>425.34107084665561</v>
      </c>
      <c r="H26" s="3">
        <f t="shared" si="13"/>
        <v>395.79084296657675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0.73079999999999989</v>
      </c>
      <c r="D27" s="29">
        <f t="shared" si="14"/>
        <v>1.8822210749999992</v>
      </c>
      <c r="E27" s="29">
        <f t="shared" si="14"/>
        <v>2.3269334483902488</v>
      </c>
      <c r="F27" s="29">
        <f t="shared" si="14"/>
        <v>2.3972650118678436</v>
      </c>
      <c r="G27" s="29">
        <f t="shared" si="14"/>
        <v>2.5520464250799337</v>
      </c>
      <c r="H27" s="29">
        <f t="shared" si="14"/>
        <v>2.3747450577994607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27.18</v>
      </c>
      <c r="D28" s="4">
        <f t="shared" ref="D28:H28" si="15">+D26*$G$4+$F$4</f>
        <v>46.370351249999985</v>
      </c>
      <c r="E28" s="4">
        <f t="shared" si="15"/>
        <v>53.782224139837481</v>
      </c>
      <c r="F28" s="4">
        <f t="shared" si="15"/>
        <v>54.954416864464065</v>
      </c>
      <c r="G28" s="4">
        <f t="shared" si="15"/>
        <v>57.534107084665564</v>
      </c>
      <c r="H28" s="4">
        <f t="shared" si="15"/>
        <v>54.579084296657676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33.6</v>
      </c>
      <c r="D30" s="4">
        <f t="shared" ref="D30:H30" si="17">D22*$F$5*(1+$B$6)</f>
        <v>85.259999999999991</v>
      </c>
      <c r="E30" s="4">
        <f t="shared" si="17"/>
        <v>103.84667999999999</v>
      </c>
      <c r="F30" s="4">
        <f t="shared" si="17"/>
        <v>105.40438019999999</v>
      </c>
      <c r="G30" s="4">
        <f t="shared" si="17"/>
        <v>110.55162743309998</v>
      </c>
      <c r="H30" s="4">
        <f t="shared" si="17"/>
        <v>101.35087908544199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60.289199999999973</v>
      </c>
      <c r="D31" s="3">
        <f t="shared" ref="D31:H31" si="18">D26-D28-D29-D30-D27</f>
        <v>180.19094017499989</v>
      </c>
      <c r="E31" s="3">
        <f t="shared" si="18"/>
        <v>200.86640381014709</v>
      </c>
      <c r="F31" s="3">
        <f t="shared" si="18"/>
        <v>209.78810656830871</v>
      </c>
      <c r="G31" s="3">
        <f t="shared" si="18"/>
        <v>227.70328990381014</v>
      </c>
      <c r="H31" s="3">
        <f t="shared" si="18"/>
        <v>210.4861345266776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0.49498522167487669</v>
      </c>
      <c r="D32" s="27">
        <f t="shared" ref="D32:H32" si="19">D31/D26</f>
        <v>0.57439886069174939</v>
      </c>
      <c r="E32" s="27">
        <f t="shared" si="19"/>
        <v>0.51793420378852162</v>
      </c>
      <c r="F32" s="27">
        <f t="shared" si="19"/>
        <v>0.52506862327628356</v>
      </c>
      <c r="G32" s="27">
        <f t="shared" si="19"/>
        <v>0.53534282370277375</v>
      </c>
      <c r="H32" s="27">
        <f t="shared" si="19"/>
        <v>0.53181153194201736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-15.120000000000003</v>
      </c>
      <c r="D34" s="4">
        <f t="shared" ref="D34:H34" si="21">-$F$6*(C54-C51)</f>
        <v>30.311999999999969</v>
      </c>
      <c r="E34" s="4">
        <f t="shared" si="21"/>
        <v>-42.585300000000018</v>
      </c>
      <c r="F34" s="4">
        <f t="shared" si="21"/>
        <v>-46.220207400000007</v>
      </c>
      <c r="G34" s="4">
        <f t="shared" si="21"/>
        <v>-50.719638411000005</v>
      </c>
      <c r="H34" s="4">
        <f t="shared" si="21"/>
        <v>-71.983899603760491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-6.7753799999999949</v>
      </c>
      <c r="D35" s="4">
        <f>IF((D31+D33+D34)&gt;0,-(D31+D33+D34)*$F$7,0)</f>
        <v>-31.57544102624998</v>
      </c>
      <c r="E35" s="4">
        <f t="shared" ref="E35:H35" si="22">IF((E31+E33+E34)&gt;0,-(E31+E33+E34)*$F$7,0)</f>
        <v>-54.435765571522062</v>
      </c>
      <c r="F35" s="4">
        <f t="shared" si="22"/>
        <v>-55.689188875246295</v>
      </c>
      <c r="G35" s="4">
        <f t="shared" si="22"/>
        <v>-58.168861783921514</v>
      </c>
      <c r="H35" s="4">
        <f t="shared" si="22"/>
        <v>-52.87096900933755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38.393819999999977</v>
      </c>
      <c r="D36" s="3">
        <f>D31+D33+D34+D35</f>
        <v>178.92749914874989</v>
      </c>
      <c r="E36" s="3">
        <f t="shared" ref="E36:H36" si="23">E31+E33+E34+E35</f>
        <v>308.46933823862503</v>
      </c>
      <c r="F36" s="3">
        <f t="shared" si="23"/>
        <v>315.57207029306232</v>
      </c>
      <c r="G36" s="3">
        <f t="shared" si="23"/>
        <v>329.62355010888859</v>
      </c>
      <c r="H36" s="3">
        <f t="shared" si="23"/>
        <v>299.60215771957945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0.31522019704433485</v>
      </c>
      <c r="D37" s="27">
        <f t="shared" ref="D37:H37" si="24">D36/D26</f>
        <v>0.57037136027844115</v>
      </c>
      <c r="E37" s="27">
        <f t="shared" si="24"/>
        <v>0.79538846747513459</v>
      </c>
      <c r="F37" s="27">
        <f t="shared" si="24"/>
        <v>0.78983024921516487</v>
      </c>
      <c r="G37" s="27">
        <f t="shared" si="24"/>
        <v>0.7749629008380543</v>
      </c>
      <c r="H37" s="27">
        <f t="shared" si="24"/>
        <v>0.75697091795749272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71.993819999999971</v>
      </c>
      <c r="D40" s="4">
        <f t="shared" si="26"/>
        <v>264.18749914874991</v>
      </c>
      <c r="E40" s="4">
        <f t="shared" si="26"/>
        <v>412.31601823862502</v>
      </c>
      <c r="F40" s="4">
        <f t="shared" si="26"/>
        <v>420.97645049306232</v>
      </c>
      <c r="G40" s="4">
        <f t="shared" si="26"/>
        <v>440.17517754198855</v>
      </c>
      <c r="H40" s="4">
        <f t="shared" si="26"/>
        <v>400.95303680502144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-38.393819999999977</v>
      </c>
      <c r="D41" s="4">
        <f t="shared" si="27"/>
        <v>-178.92749914874989</v>
      </c>
      <c r="E41" s="4">
        <f t="shared" si="27"/>
        <v>-308.46933823862503</v>
      </c>
      <c r="F41" s="4">
        <f t="shared" si="27"/>
        <v>-315.57207029306232</v>
      </c>
      <c r="G41" s="4">
        <f t="shared" si="27"/>
        <v>-329.62355010888859</v>
      </c>
      <c r="H41" s="4">
        <f t="shared" si="27"/>
        <v>-299.60215771957945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-44.800000000000004</v>
      </c>
      <c r="E42" s="4">
        <f>-D54/$I$54</f>
        <v>-64.549333333333337</v>
      </c>
      <c r="F42" s="4">
        <f>-E54/$I$54</f>
        <v>-78.707676444444445</v>
      </c>
      <c r="G42" s="4">
        <f>-F54/$I$54</f>
        <v>-92.199054494814831</v>
      </c>
      <c r="H42" s="4">
        <f>-G54/$I$54</f>
        <v>-109.82699439582717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672.00000000000011</v>
      </c>
      <c r="D43" s="4">
        <f t="shared" ref="D43:H43" si="28">-D45*$F$9</f>
        <v>341.03999999999996</v>
      </c>
      <c r="E43" s="4">
        <f t="shared" si="28"/>
        <v>276.92447999999996</v>
      </c>
      <c r="F43" s="4">
        <f t="shared" si="28"/>
        <v>281.0783472</v>
      </c>
      <c r="G43" s="4">
        <f t="shared" si="28"/>
        <v>356.6181530099999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-3360.0000000000005</v>
      </c>
      <c r="D45" s="4">
        <f t="shared" si="30"/>
        <v>-1705.1999999999998</v>
      </c>
      <c r="E45" s="4">
        <f t="shared" si="30"/>
        <v>-1384.6223999999997</v>
      </c>
      <c r="F45" s="4">
        <f t="shared" si="30"/>
        <v>-1405.3917359999998</v>
      </c>
      <c r="G45" s="4">
        <f t="shared" si="30"/>
        <v>-1783.0907650499994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4000</v>
      </c>
      <c r="D46" s="4">
        <f>C51</f>
        <v>1345.5999999999995</v>
      </c>
      <c r="E46" s="4">
        <f t="shared" ref="E46:H46" si="31">D51</f>
        <v>21.899999999999636</v>
      </c>
      <c r="F46" s="4">
        <f t="shared" si="31"/>
        <v>153.49942666666652</v>
      </c>
      <c r="G46" s="4">
        <f t="shared" si="31"/>
        <v>255.88274162222228</v>
      </c>
      <c r="H46" s="4">
        <f t="shared" si="31"/>
        <v>47.762702520507901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1345.5999999999995</v>
      </c>
      <c r="D47" s="4">
        <f>SUM(D40:D46)</f>
        <v>21.899999999999636</v>
      </c>
      <c r="E47" s="4">
        <f t="shared" ref="E47:H47" si="32">SUM(E40:E46)</f>
        <v>153.49942666666652</v>
      </c>
      <c r="F47" s="4">
        <f t="shared" si="32"/>
        <v>255.88274162222228</v>
      </c>
      <c r="G47" s="4">
        <f t="shared" si="32"/>
        <v>47.762702520507901</v>
      </c>
      <c r="H47" s="4">
        <f t="shared" si="32"/>
        <v>1239.2865872101227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3326.4000000000005</v>
      </c>
      <c r="D50" s="4">
        <f t="shared" si="34"/>
        <v>4946.34</v>
      </c>
      <c r="E50" s="4">
        <f t="shared" si="34"/>
        <v>5027.1157200000007</v>
      </c>
      <c r="F50" s="4">
        <f t="shared" si="34"/>
        <v>5127.1030758000006</v>
      </c>
      <c r="G50" s="4">
        <f t="shared" si="34"/>
        <v>5599.6422134168997</v>
      </c>
      <c r="H50" s="4">
        <f t="shared" si="34"/>
        <v>4298.2913343314576</v>
      </c>
      <c r="I50" s="4"/>
      <c r="J50" s="2"/>
      <c r="K50" s="2"/>
    </row>
    <row r="51" spans="1:11" x14ac:dyDescent="0.25">
      <c r="A51" s="4" t="s">
        <v>20</v>
      </c>
      <c r="B51" s="4">
        <f>B55</f>
        <v>4000</v>
      </c>
      <c r="C51" s="4">
        <f>C47</f>
        <v>1345.5999999999995</v>
      </c>
      <c r="D51" s="4">
        <f>D47</f>
        <v>21.899999999999636</v>
      </c>
      <c r="E51" s="4">
        <f t="shared" ref="E51:H51" si="35">E47</f>
        <v>153.49942666666652</v>
      </c>
      <c r="F51" s="4">
        <f t="shared" si="35"/>
        <v>255.88274162222228</v>
      </c>
      <c r="G51" s="4">
        <f t="shared" si="35"/>
        <v>47.762702520507901</v>
      </c>
      <c r="H51" s="4">
        <f t="shared" si="35"/>
        <v>1239.2865872101227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4000</v>
      </c>
      <c r="C53" s="4">
        <f t="shared" ref="C53:H53" si="36">B53+C36+C41</f>
        <v>4000</v>
      </c>
      <c r="D53" s="4">
        <f t="shared" si="36"/>
        <v>4000</v>
      </c>
      <c r="E53" s="4">
        <f t="shared" si="36"/>
        <v>4000</v>
      </c>
      <c r="F53" s="4">
        <f t="shared" si="36"/>
        <v>4000</v>
      </c>
      <c r="G53" s="4">
        <f t="shared" si="36"/>
        <v>4000</v>
      </c>
      <c r="H53" s="4">
        <f t="shared" si="36"/>
        <v>4000.0000000000005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672.00000000000011</v>
      </c>
      <c r="D54" s="4">
        <f t="shared" ref="D54:H54" si="37">C54+D43+D42</f>
        <v>968.24000000000012</v>
      </c>
      <c r="E54" s="4">
        <f t="shared" si="37"/>
        <v>1180.6151466666668</v>
      </c>
      <c r="F54" s="4">
        <f t="shared" si="37"/>
        <v>1382.9858174222225</v>
      </c>
      <c r="G54" s="4">
        <f t="shared" si="37"/>
        <v>1647.4049159374076</v>
      </c>
      <c r="H54" s="4">
        <f t="shared" si="37"/>
        <v>1537.5779215415805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4000</v>
      </c>
      <c r="C55" s="4">
        <f>SUM(C53:C54)</f>
        <v>4672</v>
      </c>
      <c r="D55" s="4">
        <f>SUM(D53:D54)</f>
        <v>4968.24</v>
      </c>
      <c r="E55" s="4">
        <f t="shared" ref="E55:H55" si="38">SUM(E53:E54)</f>
        <v>5180.615146666667</v>
      </c>
      <c r="F55" s="4">
        <f t="shared" si="38"/>
        <v>5382.9858174222227</v>
      </c>
      <c r="G55" s="4">
        <f t="shared" si="38"/>
        <v>5647.4049159374081</v>
      </c>
      <c r="H55" s="4">
        <f t="shared" si="38"/>
        <v>5537.5779215415805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C15*$B$4*C76</f>
        <v>3044.9999999999995</v>
      </c>
      <c r="D59" s="4">
        <f t="shared" ref="D59:H59" si="41">D15*$B$4*D76</f>
        <v>4636.0124999999989</v>
      </c>
      <c r="E59" s="4">
        <f t="shared" si="41"/>
        <v>4705.5526874999978</v>
      </c>
      <c r="F59" s="4">
        <f t="shared" si="41"/>
        <v>4776.135977812497</v>
      </c>
      <c r="G59" s="4">
        <f t="shared" si="41"/>
        <v>5170.9632186449962</v>
      </c>
      <c r="H59" s="4">
        <f t="shared" si="41"/>
        <v>3936.3957501935029</v>
      </c>
      <c r="I59" s="2"/>
      <c r="J59" s="2"/>
      <c r="K59" s="2"/>
    </row>
    <row r="60" spans="1:11" x14ac:dyDescent="0.25">
      <c r="A60" s="4" t="s">
        <v>20</v>
      </c>
      <c r="B60" s="4">
        <f t="shared" ref="B60:H60" si="42">B51</f>
        <v>4000</v>
      </c>
      <c r="C60" s="4">
        <f t="shared" si="42"/>
        <v>1345.5999999999995</v>
      </c>
      <c r="D60" s="4">
        <f t="shared" si="42"/>
        <v>21.899999999999636</v>
      </c>
      <c r="E60" s="4">
        <f t="shared" si="42"/>
        <v>153.49942666666652</v>
      </c>
      <c r="F60" s="4">
        <f t="shared" si="42"/>
        <v>255.88274162222228</v>
      </c>
      <c r="G60" s="4">
        <f t="shared" si="42"/>
        <v>47.762702520507901</v>
      </c>
      <c r="H60" s="4">
        <f t="shared" si="42"/>
        <v>1239.2865872101227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3">B53</f>
        <v>4000</v>
      </c>
      <c r="C62" s="4">
        <f>C59+C60-C63</f>
        <v>3718.5999999999985</v>
      </c>
      <c r="D62" s="4">
        <f t="shared" ref="D62:H62" si="44">D59+D60-D63</f>
        <v>3689.6724999999983</v>
      </c>
      <c r="E62" s="4">
        <f t="shared" si="44"/>
        <v>3678.4369674999971</v>
      </c>
      <c r="F62" s="4">
        <f t="shared" si="44"/>
        <v>3649.0329020124964</v>
      </c>
      <c r="G62" s="4">
        <f t="shared" si="44"/>
        <v>3571.3210052280961</v>
      </c>
      <c r="H62" s="4">
        <f t="shared" si="44"/>
        <v>3638.1044158620452</v>
      </c>
      <c r="I62" s="2"/>
      <c r="J62" s="2"/>
      <c r="K62" s="2"/>
    </row>
    <row r="63" spans="1:11" x14ac:dyDescent="0.25">
      <c r="A63" s="4" t="s">
        <v>22</v>
      </c>
      <c r="B63" s="4">
        <f t="shared" si="43"/>
        <v>0</v>
      </c>
      <c r="C63" s="4">
        <f t="shared" si="43"/>
        <v>672.00000000000011</v>
      </c>
      <c r="D63" s="4">
        <f t="shared" si="43"/>
        <v>968.24000000000012</v>
      </c>
      <c r="E63" s="4">
        <f t="shared" si="43"/>
        <v>1180.6151466666668</v>
      </c>
      <c r="F63" s="4">
        <f t="shared" si="43"/>
        <v>1382.9858174222225</v>
      </c>
      <c r="G63" s="4">
        <f t="shared" si="43"/>
        <v>1647.4049159374076</v>
      </c>
      <c r="H63" s="4">
        <f t="shared" si="43"/>
        <v>1537.5779215415805</v>
      </c>
      <c r="I63" s="2"/>
      <c r="J63" s="2"/>
      <c r="K63" s="2"/>
    </row>
    <row r="64" spans="1:11" x14ac:dyDescent="0.25">
      <c r="A64" s="4" t="s">
        <v>23</v>
      </c>
      <c r="B64" s="4">
        <f t="shared" si="43"/>
        <v>4000</v>
      </c>
      <c r="C64" s="4">
        <f>C62+C63</f>
        <v>4390.5999999999985</v>
      </c>
      <c r="D64" s="4">
        <f t="shared" ref="D64:H64" si="45">D62+D63</f>
        <v>4657.9124999999985</v>
      </c>
      <c r="E64" s="4">
        <f t="shared" si="45"/>
        <v>4859.0521141666641</v>
      </c>
      <c r="F64" s="4">
        <f t="shared" si="45"/>
        <v>5032.0187194347191</v>
      </c>
      <c r="G64" s="4">
        <f t="shared" si="45"/>
        <v>5218.7259211655037</v>
      </c>
      <c r="H64" s="4">
        <f t="shared" si="45"/>
        <v>5175.6823374036258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6">E64-SUM(E59:E60)</f>
        <v>0</v>
      </c>
      <c r="F65" s="4">
        <f t="shared" si="46"/>
        <v>0</v>
      </c>
      <c r="G65" s="4">
        <f t="shared" si="46"/>
        <v>0</v>
      </c>
      <c r="H65" s="4">
        <f t="shared" si="46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7">C58</f>
        <v>2013</v>
      </c>
      <c r="D67" s="3">
        <f t="shared" si="47"/>
        <v>2014</v>
      </c>
      <c r="E67" s="3">
        <f t="shared" si="47"/>
        <v>2015</v>
      </c>
      <c r="F67" s="3">
        <f t="shared" si="47"/>
        <v>2016</v>
      </c>
      <c r="G67" s="3">
        <f t="shared" si="47"/>
        <v>2017</v>
      </c>
      <c r="H67" s="3">
        <f t="shared" si="47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-4000</v>
      </c>
      <c r="C68" s="4"/>
      <c r="D68" s="4"/>
      <c r="E68" s="4"/>
      <c r="F68" s="4"/>
      <c r="G68" s="4"/>
      <c r="H68" s="4"/>
      <c r="I68" s="2"/>
      <c r="K68" s="4">
        <f t="shared" ref="K68:Q68" si="48">B70</f>
        <v>-4000</v>
      </c>
      <c r="L68" s="4">
        <f t="shared" si="48"/>
        <v>38.393819999999977</v>
      </c>
      <c r="M68" s="4">
        <f t="shared" si="48"/>
        <v>178.92749914874989</v>
      </c>
      <c r="N68" s="4">
        <f t="shared" si="48"/>
        <v>308.46933823862503</v>
      </c>
      <c r="O68" s="4">
        <f t="shared" si="48"/>
        <v>315.57207029306232</v>
      </c>
      <c r="P68" s="4">
        <f t="shared" si="48"/>
        <v>329.62355010888859</v>
      </c>
      <c r="Q68" s="4">
        <f t="shared" si="48"/>
        <v>3937.7065735816245</v>
      </c>
    </row>
    <row r="69" spans="1:17" x14ac:dyDescent="0.25">
      <c r="A69" s="4" t="s">
        <v>42</v>
      </c>
      <c r="B69" s="4"/>
      <c r="C69" s="4">
        <f>-C41</f>
        <v>38.393819999999977</v>
      </c>
      <c r="D69" s="4">
        <f t="shared" ref="D69:G69" si="49">-D41</f>
        <v>178.92749914874989</v>
      </c>
      <c r="E69" s="4">
        <f t="shared" si="49"/>
        <v>308.46933823862503</v>
      </c>
      <c r="F69" s="4">
        <f t="shared" si="49"/>
        <v>315.57207029306232</v>
      </c>
      <c r="G69" s="4">
        <f t="shared" si="49"/>
        <v>329.62355010888859</v>
      </c>
      <c r="H69" s="4">
        <f>-H41+H62</f>
        <v>3937.7065735816245</v>
      </c>
      <c r="I69" s="2"/>
      <c r="J69" s="24"/>
      <c r="K69" s="6"/>
      <c r="L69" s="4">
        <f>K68+L68</f>
        <v>-3961.6061800000002</v>
      </c>
      <c r="M69" s="4">
        <f>M68</f>
        <v>178.92749914874989</v>
      </c>
      <c r="N69" s="4">
        <f t="shared" ref="N69:Q69" si="50">N68</f>
        <v>308.46933823862503</v>
      </c>
      <c r="O69" s="4">
        <f t="shared" si="50"/>
        <v>315.57207029306232</v>
      </c>
      <c r="P69" s="4">
        <f t="shared" si="50"/>
        <v>329.62355010888859</v>
      </c>
      <c r="Q69" s="4">
        <f t="shared" si="50"/>
        <v>3937.7065735816245</v>
      </c>
    </row>
    <row r="70" spans="1:17" x14ac:dyDescent="0.25">
      <c r="A70" s="4" t="s">
        <v>43</v>
      </c>
      <c r="B70" s="4">
        <f>B68+B69</f>
        <v>-4000</v>
      </c>
      <c r="C70" s="4">
        <f t="shared" ref="C70:H70" si="51">C68+C69</f>
        <v>38.393819999999977</v>
      </c>
      <c r="D70" s="4">
        <f t="shared" si="51"/>
        <v>178.92749914874989</v>
      </c>
      <c r="E70" s="4">
        <f t="shared" si="51"/>
        <v>308.46933823862503</v>
      </c>
      <c r="F70" s="4">
        <f t="shared" si="51"/>
        <v>315.57207029306232</v>
      </c>
      <c r="G70" s="4">
        <f t="shared" si="51"/>
        <v>329.62355010888859</v>
      </c>
      <c r="H70" s="4">
        <f t="shared" si="51"/>
        <v>3937.7065735816245</v>
      </c>
    </row>
    <row r="71" spans="1:17" x14ac:dyDescent="0.25">
      <c r="A71" s="4" t="s">
        <v>59</v>
      </c>
      <c r="B71" s="23">
        <f>IRR(B70:H70)</f>
        <v>4.6149509678091283E-2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5.6972236252180064E-2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2">C67</f>
        <v>2013</v>
      </c>
      <c r="D74" s="3">
        <f t="shared" si="52"/>
        <v>2014</v>
      </c>
      <c r="E74" s="3">
        <f t="shared" si="52"/>
        <v>2015</v>
      </c>
      <c r="F74" s="3">
        <f t="shared" si="52"/>
        <v>2016</v>
      </c>
      <c r="G74" s="3">
        <f t="shared" si="52"/>
        <v>2017</v>
      </c>
      <c r="H74" s="3">
        <f t="shared" si="52"/>
        <v>2018</v>
      </c>
    </row>
    <row r="75" spans="1:17" x14ac:dyDescent="0.25">
      <c r="A75" s="17" t="s">
        <v>210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s="17" t="s">
        <v>211</v>
      </c>
      <c r="B76" s="6">
        <v>0</v>
      </c>
      <c r="C76" s="18">
        <f>1+$B$8</f>
        <v>1.0149999999999999</v>
      </c>
      <c r="D76" s="19">
        <f>C76*(1+$B$8)</f>
        <v>1.0302249999999997</v>
      </c>
      <c r="E76" s="19">
        <f t="shared" ref="E76:H76" si="53">D76*(1+$B$8)</f>
        <v>1.0456783749999996</v>
      </c>
      <c r="F76" s="19">
        <f t="shared" si="53"/>
        <v>1.0613635506249994</v>
      </c>
      <c r="G76" s="19">
        <f t="shared" si="53"/>
        <v>1.0772840038843743</v>
      </c>
      <c r="H76" s="19">
        <f t="shared" si="53"/>
        <v>1.0934432639426397</v>
      </c>
    </row>
    <row r="77" spans="1:17" x14ac:dyDescent="0.25">
      <c r="A77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8" spans="1:17" x14ac:dyDescent="0.25">
      <c r="A78" s="33" t="s">
        <v>68</v>
      </c>
      <c r="B78" s="3">
        <f>B67</f>
        <v>2012</v>
      </c>
      <c r="C78" s="3">
        <f>C67</f>
        <v>2013</v>
      </c>
      <c r="D78" s="3">
        <f t="shared" ref="D78:H78" si="54">D67</f>
        <v>2014</v>
      </c>
      <c r="E78" s="3">
        <f t="shared" si="54"/>
        <v>2015</v>
      </c>
      <c r="F78" s="3">
        <f t="shared" si="54"/>
        <v>2016</v>
      </c>
      <c r="G78" s="3">
        <f t="shared" si="54"/>
        <v>2017</v>
      </c>
      <c r="H78" s="3">
        <f t="shared" si="54"/>
        <v>2018</v>
      </c>
    </row>
    <row r="79" spans="1:17" x14ac:dyDescent="0.25">
      <c r="A79" s="6" t="s">
        <v>64</v>
      </c>
      <c r="B79" s="6"/>
      <c r="C79" s="4">
        <f t="shared" ref="C79:H81" si="55">C13</f>
        <v>10</v>
      </c>
      <c r="D79" s="4">
        <f t="shared" si="55"/>
        <v>5</v>
      </c>
      <c r="E79" s="4">
        <f t="shared" si="55"/>
        <v>4</v>
      </c>
      <c r="F79" s="4">
        <f t="shared" si="55"/>
        <v>4</v>
      </c>
      <c r="G79" s="4">
        <f t="shared" si="55"/>
        <v>5</v>
      </c>
      <c r="H79" s="4">
        <f t="shared" si="55"/>
        <v>0</v>
      </c>
      <c r="J79" t="s">
        <v>67</v>
      </c>
    </row>
    <row r="80" spans="1:17" x14ac:dyDescent="0.25">
      <c r="A80" s="6" t="s">
        <v>65</v>
      </c>
      <c r="B80" s="6"/>
      <c r="C80" s="4">
        <f t="shared" si="55"/>
        <v>0</v>
      </c>
      <c r="D80" s="4">
        <f t="shared" si="55"/>
        <v>0</v>
      </c>
      <c r="E80" s="4">
        <f t="shared" si="55"/>
        <v>-4</v>
      </c>
      <c r="F80" s="4">
        <f t="shared" si="55"/>
        <v>-4</v>
      </c>
      <c r="G80" s="4">
        <f t="shared" si="55"/>
        <v>-4</v>
      </c>
      <c r="H80" s="4">
        <f t="shared" si="55"/>
        <v>-4</v>
      </c>
    </row>
    <row r="81" spans="1:9" x14ac:dyDescent="0.25">
      <c r="A81" s="6" t="s">
        <v>66</v>
      </c>
      <c r="B81" s="6"/>
      <c r="C81" s="4">
        <f t="shared" si="55"/>
        <v>10</v>
      </c>
      <c r="D81" s="4">
        <f t="shared" si="55"/>
        <v>15</v>
      </c>
      <c r="E81" s="4">
        <f t="shared" si="55"/>
        <v>15</v>
      </c>
      <c r="F81" s="4">
        <f t="shared" si="55"/>
        <v>15</v>
      </c>
      <c r="G81" s="4">
        <f t="shared" si="55"/>
        <v>16</v>
      </c>
      <c r="H81" s="4">
        <f t="shared" si="55"/>
        <v>12</v>
      </c>
      <c r="I81" s="32"/>
    </row>
    <row r="82" spans="1:9" x14ac:dyDescent="0.25">
      <c r="A82" s="6" t="s">
        <v>71</v>
      </c>
      <c r="B82" s="6"/>
      <c r="C82" s="4">
        <f t="shared" ref="C82:H82" si="56">C17</f>
        <v>300</v>
      </c>
      <c r="D82" s="4">
        <f t="shared" si="56"/>
        <v>304.49999999999994</v>
      </c>
      <c r="E82" s="4">
        <f t="shared" si="56"/>
        <v>309.06749999999994</v>
      </c>
      <c r="F82" s="4">
        <f t="shared" si="56"/>
        <v>313.70351249999993</v>
      </c>
      <c r="G82" s="4">
        <f t="shared" si="56"/>
        <v>318.40906518749989</v>
      </c>
      <c r="H82" s="4">
        <f t="shared" si="56"/>
        <v>323.18520116531238</v>
      </c>
    </row>
    <row r="83" spans="1:9" x14ac:dyDescent="0.25">
      <c r="A83" s="30"/>
      <c r="B83" s="30"/>
      <c r="C83" s="31"/>
      <c r="D83" s="31"/>
      <c r="E83" s="31"/>
      <c r="F83" s="31"/>
      <c r="G83" s="31"/>
      <c r="H83" s="31"/>
    </row>
    <row r="84" spans="1:9" x14ac:dyDescent="0.25">
      <c r="A84" s="34" t="s">
        <v>33</v>
      </c>
      <c r="B84" s="35">
        <f>B78</f>
        <v>2012</v>
      </c>
      <c r="C84" s="35">
        <f t="shared" ref="C84:H84" si="57">C78</f>
        <v>2013</v>
      </c>
      <c r="D84" s="35">
        <f t="shared" si="57"/>
        <v>2014</v>
      </c>
      <c r="E84" s="35">
        <f t="shared" si="57"/>
        <v>2015</v>
      </c>
      <c r="F84" s="35">
        <f t="shared" si="57"/>
        <v>2016</v>
      </c>
      <c r="G84" s="35">
        <f t="shared" si="57"/>
        <v>2017</v>
      </c>
      <c r="H84" s="35">
        <f t="shared" si="57"/>
        <v>2018</v>
      </c>
    </row>
    <row r="85" spans="1:9" x14ac:dyDescent="0.25">
      <c r="A85" s="6" t="s">
        <v>12</v>
      </c>
      <c r="B85" s="6"/>
      <c r="C85" s="4">
        <f t="shared" ref="C85:H85" si="58">C26</f>
        <v>121.79999999999998</v>
      </c>
      <c r="D85" s="4">
        <f t="shared" si="58"/>
        <v>313.70351249999987</v>
      </c>
      <c r="E85" s="4">
        <f t="shared" si="58"/>
        <v>387.82224139837479</v>
      </c>
      <c r="F85" s="4">
        <f t="shared" si="58"/>
        <v>399.54416864464059</v>
      </c>
      <c r="G85" s="4">
        <f t="shared" si="58"/>
        <v>425.34107084665561</v>
      </c>
      <c r="H85" s="4">
        <f t="shared" si="58"/>
        <v>395.79084296657675</v>
      </c>
    </row>
    <row r="86" spans="1:9" x14ac:dyDescent="0.25">
      <c r="A86" s="6" t="s">
        <v>15</v>
      </c>
      <c r="B86" s="6"/>
      <c r="C86" s="4">
        <f t="shared" ref="C86:H86" si="59">C31</f>
        <v>60.289199999999973</v>
      </c>
      <c r="D86" s="4">
        <f t="shared" si="59"/>
        <v>180.19094017499989</v>
      </c>
      <c r="E86" s="4">
        <f t="shared" si="59"/>
        <v>200.86640381014709</v>
      </c>
      <c r="F86" s="4">
        <f t="shared" si="59"/>
        <v>209.78810656830871</v>
      </c>
      <c r="G86" s="4">
        <f t="shared" si="59"/>
        <v>227.70328990381014</v>
      </c>
      <c r="H86" s="4">
        <f t="shared" si="59"/>
        <v>210.4861345266776</v>
      </c>
    </row>
    <row r="87" spans="1:9" x14ac:dyDescent="0.25">
      <c r="A87" s="6" t="s">
        <v>25</v>
      </c>
      <c r="B87" s="6"/>
      <c r="C87" s="4">
        <f>C40</f>
        <v>71.993819999999971</v>
      </c>
      <c r="D87" s="4">
        <f t="shared" ref="D87:H87" si="60">D40</f>
        <v>264.18749914874991</v>
      </c>
      <c r="E87" s="4">
        <f t="shared" si="60"/>
        <v>412.31601823862502</v>
      </c>
      <c r="F87" s="4">
        <f t="shared" si="60"/>
        <v>420.97645049306232</v>
      </c>
      <c r="G87" s="4">
        <f t="shared" si="60"/>
        <v>440.17517754198855</v>
      </c>
      <c r="H87" s="4">
        <f t="shared" si="60"/>
        <v>400.95303680502144</v>
      </c>
    </row>
    <row r="88" spans="1:9" x14ac:dyDescent="0.25">
      <c r="A88" s="6" t="s">
        <v>17</v>
      </c>
      <c r="B88" s="6"/>
      <c r="C88" s="4">
        <f t="shared" ref="C88:H88" si="61">C36</f>
        <v>38.393819999999977</v>
      </c>
      <c r="D88" s="4">
        <f t="shared" si="61"/>
        <v>178.92749914874989</v>
      </c>
      <c r="E88" s="4">
        <f t="shared" si="61"/>
        <v>308.46933823862503</v>
      </c>
      <c r="F88" s="4">
        <f t="shared" si="61"/>
        <v>315.57207029306232</v>
      </c>
      <c r="G88" s="4">
        <f t="shared" si="61"/>
        <v>329.62355010888859</v>
      </c>
      <c r="H88" s="4">
        <f t="shared" si="61"/>
        <v>299.60215771957945</v>
      </c>
    </row>
    <row r="89" spans="1:9" x14ac:dyDescent="0.25">
      <c r="A89" s="30"/>
      <c r="B89" s="30"/>
      <c r="C89" s="30"/>
      <c r="D89" s="30"/>
      <c r="E89" s="30"/>
      <c r="F89" s="30"/>
      <c r="G89" s="30"/>
      <c r="H89" s="30"/>
    </row>
    <row r="90" spans="1:9" x14ac:dyDescent="0.25">
      <c r="A90" s="34" t="s">
        <v>40</v>
      </c>
      <c r="B90" s="35">
        <f>B78</f>
        <v>2012</v>
      </c>
      <c r="C90" s="35">
        <f t="shared" ref="C90:H90" si="62">C78</f>
        <v>2013</v>
      </c>
      <c r="D90" s="35">
        <f t="shared" si="62"/>
        <v>2014</v>
      </c>
      <c r="E90" s="35">
        <f t="shared" si="62"/>
        <v>2015</v>
      </c>
      <c r="F90" s="35">
        <f t="shared" si="62"/>
        <v>2016</v>
      </c>
      <c r="G90" s="35">
        <f t="shared" si="62"/>
        <v>2017</v>
      </c>
      <c r="H90" s="35">
        <f t="shared" si="62"/>
        <v>2018</v>
      </c>
    </row>
    <row r="91" spans="1:9" x14ac:dyDescent="0.25">
      <c r="A91" s="4" t="s">
        <v>19</v>
      </c>
      <c r="B91" s="4">
        <f>B50</f>
        <v>0</v>
      </c>
      <c r="C91" s="4">
        <f t="shared" ref="C91:H92" si="63">L5</f>
        <v>3326.4000000000005</v>
      </c>
      <c r="D91" s="4">
        <f t="shared" si="63"/>
        <v>4946.34</v>
      </c>
      <c r="E91" s="4">
        <f t="shared" si="63"/>
        <v>5027.1157200000007</v>
      </c>
      <c r="F91" s="4">
        <f t="shared" si="63"/>
        <v>5127.1030758000006</v>
      </c>
      <c r="G91" s="4">
        <f t="shared" si="63"/>
        <v>5599.6422134168997</v>
      </c>
      <c r="H91" s="4">
        <f t="shared" si="63"/>
        <v>4298.2913343314576</v>
      </c>
    </row>
    <row r="92" spans="1:9" x14ac:dyDescent="0.25">
      <c r="A92" s="4" t="s">
        <v>20</v>
      </c>
      <c r="B92" s="4">
        <f>B51</f>
        <v>4000</v>
      </c>
      <c r="C92" s="4">
        <f t="shared" si="63"/>
        <v>1345.5999999999995</v>
      </c>
      <c r="D92" s="4">
        <f t="shared" si="63"/>
        <v>21.899999999999636</v>
      </c>
      <c r="E92" s="4">
        <f t="shared" si="63"/>
        <v>153.49942666666652</v>
      </c>
      <c r="F92" s="4">
        <f t="shared" si="63"/>
        <v>255.88274162222228</v>
      </c>
      <c r="G92" s="4">
        <f t="shared" si="63"/>
        <v>47.762702520507901</v>
      </c>
      <c r="H92" s="4">
        <f t="shared" si="63"/>
        <v>1239.2865872101227</v>
      </c>
    </row>
    <row r="93" spans="1:9" x14ac:dyDescent="0.25">
      <c r="A93" s="4"/>
      <c r="B93" s="4"/>
      <c r="C93" s="4"/>
      <c r="D93" s="4"/>
      <c r="E93" s="4"/>
      <c r="F93" s="4"/>
      <c r="G93" s="4"/>
      <c r="H93" s="4"/>
    </row>
    <row r="94" spans="1:9" x14ac:dyDescent="0.25">
      <c r="A94" s="4" t="s">
        <v>21</v>
      </c>
      <c r="B94" s="4">
        <f>B53</f>
        <v>4000</v>
      </c>
      <c r="C94" s="4">
        <f t="shared" ref="C94:H96" si="64">L8</f>
        <v>4000</v>
      </c>
      <c r="D94" s="4">
        <f t="shared" si="64"/>
        <v>4000</v>
      </c>
      <c r="E94" s="4">
        <f t="shared" si="64"/>
        <v>4000</v>
      </c>
      <c r="F94" s="4">
        <f t="shared" si="64"/>
        <v>4000</v>
      </c>
      <c r="G94" s="4">
        <f t="shared" si="64"/>
        <v>4000</v>
      </c>
      <c r="H94" s="4">
        <f t="shared" si="64"/>
        <v>4000.0000000000005</v>
      </c>
    </row>
    <row r="95" spans="1:9" x14ac:dyDescent="0.25">
      <c r="A95" s="4" t="s">
        <v>22</v>
      </c>
      <c r="B95" s="4">
        <f>B54</f>
        <v>0</v>
      </c>
      <c r="C95" s="4">
        <f t="shared" si="64"/>
        <v>672.00000000000011</v>
      </c>
      <c r="D95" s="4">
        <f t="shared" si="64"/>
        <v>968.24000000000012</v>
      </c>
      <c r="E95" s="4">
        <f t="shared" si="64"/>
        <v>1180.6151466666668</v>
      </c>
      <c r="F95" s="4">
        <f t="shared" si="64"/>
        <v>1382.9858174222225</v>
      </c>
      <c r="G95" s="4">
        <f t="shared" si="64"/>
        <v>1647.4049159374076</v>
      </c>
      <c r="H95" s="4">
        <f t="shared" si="64"/>
        <v>1537.5779215415805</v>
      </c>
    </row>
    <row r="96" spans="1:9" x14ac:dyDescent="0.25">
      <c r="A96" s="4" t="s">
        <v>23</v>
      </c>
      <c r="B96" s="4">
        <f>B55</f>
        <v>4000</v>
      </c>
      <c r="C96" s="4">
        <f t="shared" si="64"/>
        <v>4672</v>
      </c>
      <c r="D96" s="4">
        <f t="shared" si="64"/>
        <v>4968.24</v>
      </c>
      <c r="E96" s="4">
        <f t="shared" si="64"/>
        <v>5180.615146666667</v>
      </c>
      <c r="F96" s="4">
        <f t="shared" si="64"/>
        <v>5382.9858174222227</v>
      </c>
      <c r="G96" s="4">
        <f t="shared" si="64"/>
        <v>5647.4049159374081</v>
      </c>
      <c r="H96" s="4">
        <f t="shared" si="64"/>
        <v>5537.5779215415805</v>
      </c>
    </row>
    <row r="97" spans="1:8" x14ac:dyDescent="0.25">
      <c r="A97" s="36"/>
      <c r="B97" s="36"/>
      <c r="C97" s="36"/>
      <c r="D97" s="36"/>
      <c r="E97" s="36"/>
      <c r="F97" s="36"/>
      <c r="G97" s="36"/>
      <c r="H97" s="36"/>
    </row>
    <row r="98" spans="1:8" x14ac:dyDescent="0.25">
      <c r="A98" s="3" t="s">
        <v>44</v>
      </c>
      <c r="B98" s="3">
        <f>B90</f>
        <v>2012</v>
      </c>
      <c r="C98" s="3">
        <f t="shared" ref="C98:H98" si="65">C90</f>
        <v>2013</v>
      </c>
      <c r="D98" s="3">
        <f t="shared" si="65"/>
        <v>2014</v>
      </c>
      <c r="E98" s="3">
        <f t="shared" si="65"/>
        <v>2015</v>
      </c>
      <c r="F98" s="3">
        <f t="shared" si="65"/>
        <v>2016</v>
      </c>
      <c r="G98" s="3">
        <f t="shared" si="65"/>
        <v>2017</v>
      </c>
      <c r="H98" s="3">
        <f t="shared" si="65"/>
        <v>2018</v>
      </c>
    </row>
    <row r="99" spans="1:8" x14ac:dyDescent="0.25">
      <c r="A99" s="4" t="s">
        <v>41</v>
      </c>
      <c r="B99" s="4">
        <f>B68</f>
        <v>-4000</v>
      </c>
      <c r="C99" s="4">
        <f t="shared" ref="C99:H99" si="66">C68</f>
        <v>0</v>
      </c>
      <c r="D99" s="4">
        <f t="shared" si="66"/>
        <v>0</v>
      </c>
      <c r="E99" s="4">
        <f t="shared" si="66"/>
        <v>0</v>
      </c>
      <c r="F99" s="4">
        <f t="shared" si="66"/>
        <v>0</v>
      </c>
      <c r="G99" s="4">
        <f t="shared" si="66"/>
        <v>0</v>
      </c>
      <c r="H99" s="4">
        <f t="shared" si="66"/>
        <v>0</v>
      </c>
    </row>
    <row r="100" spans="1:8" x14ac:dyDescent="0.25">
      <c r="A100" s="4" t="s">
        <v>42</v>
      </c>
      <c r="B100" s="4">
        <f t="shared" ref="B100:H103" si="67">B69</f>
        <v>0</v>
      </c>
      <c r="C100" s="4">
        <f t="shared" si="67"/>
        <v>38.393819999999977</v>
      </c>
      <c r="D100" s="4">
        <f t="shared" si="67"/>
        <v>178.92749914874989</v>
      </c>
      <c r="E100" s="4">
        <f t="shared" si="67"/>
        <v>308.46933823862503</v>
      </c>
      <c r="F100" s="4">
        <f t="shared" si="67"/>
        <v>315.57207029306232</v>
      </c>
      <c r="G100" s="4">
        <f t="shared" si="67"/>
        <v>329.62355010888859</v>
      </c>
      <c r="H100" s="4">
        <f t="shared" si="67"/>
        <v>3937.7065735816245</v>
      </c>
    </row>
    <row r="101" spans="1:8" x14ac:dyDescent="0.25">
      <c r="A101" s="4" t="s">
        <v>43</v>
      </c>
      <c r="B101" s="4">
        <f t="shared" si="67"/>
        <v>-4000</v>
      </c>
      <c r="C101" s="4">
        <f t="shared" si="67"/>
        <v>38.393819999999977</v>
      </c>
      <c r="D101" s="4">
        <f t="shared" si="67"/>
        <v>178.92749914874989</v>
      </c>
      <c r="E101" s="4">
        <f t="shared" si="67"/>
        <v>308.46933823862503</v>
      </c>
      <c r="F101" s="4">
        <f t="shared" si="67"/>
        <v>315.57207029306232</v>
      </c>
      <c r="G101" s="4">
        <f t="shared" si="67"/>
        <v>329.62355010888859</v>
      </c>
      <c r="H101" s="4">
        <f t="shared" si="67"/>
        <v>3937.7065735816245</v>
      </c>
    </row>
    <row r="102" spans="1:8" hidden="1" x14ac:dyDescent="0.25">
      <c r="A102" s="3" t="s">
        <v>72</v>
      </c>
      <c r="B102" s="37">
        <f t="shared" si="67"/>
        <v>4.6149509678091283E-2</v>
      </c>
      <c r="C102" s="25"/>
      <c r="D102" s="25"/>
      <c r="E102" s="25"/>
      <c r="F102" s="25"/>
      <c r="G102" s="25"/>
      <c r="H102" s="25"/>
    </row>
    <row r="103" spans="1:8" x14ac:dyDescent="0.25">
      <c r="A103" s="3" t="s">
        <v>208</v>
      </c>
      <c r="B103" s="38">
        <f t="shared" si="67"/>
        <v>5.6972236252180064E-2</v>
      </c>
      <c r="C103" s="25"/>
      <c r="D103" s="25"/>
      <c r="E103" s="25"/>
      <c r="F103" s="25"/>
      <c r="G103" s="25"/>
      <c r="H103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95" zoomScaleNormal="95" workbookViewId="0">
      <selection activeCell="B11" sqref="B11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8.85546875" bestFit="1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61">
        <v>40904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0.14000000000000001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6552.0000000000009</v>
      </c>
      <c r="M5" s="13">
        <f t="shared" si="0"/>
        <v>8871.0720000000001</v>
      </c>
      <c r="N5" s="13">
        <f t="shared" si="0"/>
        <v>13633.602209999999</v>
      </c>
      <c r="O5" s="13">
        <f t="shared" si="0"/>
        <v>16851.802480049999</v>
      </c>
      <c r="P5" s="13">
        <f t="shared" si="0"/>
        <v>16463.108778147751</v>
      </c>
      <c r="Q5" s="13">
        <f t="shared" si="0"/>
        <v>14303.895101089103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J6" s="4" t="s">
        <v>20</v>
      </c>
      <c r="K6" s="13">
        <f t="shared" si="0"/>
        <v>2000</v>
      </c>
      <c r="L6" s="13">
        <f t="shared" si="0"/>
        <v>728.07439999999951</v>
      </c>
      <c r="M6" s="13">
        <f t="shared" si="0"/>
        <v>114.22712337599933</v>
      </c>
      <c r="N6" s="13">
        <f t="shared" si="0"/>
        <v>133.2449667093324</v>
      </c>
      <c r="O6" s="13">
        <f t="shared" si="0"/>
        <v>216.17042366185524</v>
      </c>
      <c r="P6" s="13">
        <f t="shared" si="0"/>
        <v>795.71541488158255</v>
      </c>
      <c r="Q6" s="13">
        <f t="shared" si="0"/>
        <v>1718.8578095094085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2000</v>
      </c>
      <c r="L8" s="13">
        <f t="shared" si="1"/>
        <v>1904.0744</v>
      </c>
      <c r="M8" s="13">
        <f t="shared" si="1"/>
        <v>1785.0431233759996</v>
      </c>
      <c r="N8" s="13">
        <f t="shared" si="1"/>
        <v>1785.0431233759996</v>
      </c>
      <c r="O8" s="13">
        <f t="shared" si="1"/>
        <v>1668.7805792674108</v>
      </c>
      <c r="P8" s="13">
        <f t="shared" si="1"/>
        <v>1459.7720781745179</v>
      </c>
      <c r="Q8" s="13">
        <f t="shared" si="1"/>
        <v>1276.9709367340179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0.8</v>
      </c>
      <c r="J9" s="4" t="s">
        <v>22</v>
      </c>
      <c r="K9" s="13">
        <f t="shared" si="1"/>
        <v>0</v>
      </c>
      <c r="L9" s="13">
        <f t="shared" si="1"/>
        <v>5376.0000000000009</v>
      </c>
      <c r="M9" s="13">
        <f t="shared" si="1"/>
        <v>7200.2560000000012</v>
      </c>
      <c r="N9" s="13">
        <f t="shared" si="1"/>
        <v>11981.804053333333</v>
      </c>
      <c r="O9" s="13">
        <f t="shared" si="1"/>
        <v>15399.192324444444</v>
      </c>
      <c r="P9" s="13">
        <f t="shared" si="1"/>
        <v>15799.052114854816</v>
      </c>
      <c r="Q9" s="13">
        <f t="shared" si="1"/>
        <v>14745.781973864494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7280.0744000000013</v>
      </c>
      <c r="M10" s="13">
        <f t="shared" si="1"/>
        <v>8985.2991233760004</v>
      </c>
      <c r="N10" s="13">
        <f t="shared" si="1"/>
        <v>13766.847176709332</v>
      </c>
      <c r="O10" s="13">
        <f t="shared" si="1"/>
        <v>17067.972903711856</v>
      </c>
      <c r="P10" s="13">
        <f t="shared" si="1"/>
        <v>17258.824193029333</v>
      </c>
      <c r="Q10" s="13">
        <f t="shared" si="1"/>
        <v>16022.752910598512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28</v>
      </c>
      <c r="F12" s="4">
        <f t="shared" si="3"/>
        <v>43</v>
      </c>
      <c r="G12" s="4">
        <f t="shared" si="3"/>
        <v>54</v>
      </c>
      <c r="H12" s="4">
        <f t="shared" si="3"/>
        <v>55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8</v>
      </c>
      <c r="E13" s="11">
        <v>19</v>
      </c>
      <c r="F13" s="11">
        <v>15</v>
      </c>
      <c r="G13" s="11">
        <v>5</v>
      </c>
      <c r="H13" s="11"/>
      <c r="I13" s="2"/>
      <c r="J13" s="4" t="s">
        <v>59</v>
      </c>
      <c r="K13" s="14">
        <f>B71</f>
        <v>0.10886898928677313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-4</v>
      </c>
      <c r="F14" s="11">
        <v>-4</v>
      </c>
      <c r="G14" s="11">
        <v>-4</v>
      </c>
      <c r="H14" s="11">
        <v>-4</v>
      </c>
      <c r="I14" s="2"/>
      <c r="J14" s="4" t="s">
        <v>60</v>
      </c>
      <c r="K14" s="14">
        <f>B72</f>
        <v>0.13208528728076252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20</v>
      </c>
      <c r="D15" s="4">
        <f>D12+D13+D14</f>
        <v>28</v>
      </c>
      <c r="E15" s="4">
        <f t="shared" ref="E15:H15" si="4">E12+E13+E14</f>
        <v>43</v>
      </c>
      <c r="F15" s="4">
        <f t="shared" si="4"/>
        <v>54</v>
      </c>
      <c r="G15" s="4">
        <f t="shared" si="4"/>
        <v>55</v>
      </c>
      <c r="H15" s="4">
        <f t="shared" si="4"/>
        <v>51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24</v>
      </c>
      <c r="E16" s="4">
        <f t="shared" ref="E16:H16" si="5">(E12+E15)/2</f>
        <v>35.5</v>
      </c>
      <c r="F16" s="4">
        <f t="shared" si="5"/>
        <v>48.5</v>
      </c>
      <c r="G16" s="4">
        <f t="shared" si="5"/>
        <v>54.5</v>
      </c>
      <c r="H16" s="4">
        <f t="shared" si="5"/>
        <v>53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2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2" t="s">
        <v>51</v>
      </c>
      <c r="K19" s="2"/>
      <c r="R19" s="2">
        <f>SUM(C13:H13)*4%*B4</f>
        <v>804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2" t="s">
        <v>95</v>
      </c>
      <c r="K20" s="2"/>
      <c r="Q20" s="26">
        <v>0.66</v>
      </c>
      <c r="R20" s="2">
        <f>SUM(C28:H28)*$Q$20</f>
        <v>618.37577090274499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8653.8899999999976</v>
      </c>
      <c r="F21" s="4">
        <f t="shared" si="9"/>
        <v>13489.251037499997</v>
      </c>
      <c r="G21" s="4">
        <f t="shared" si="9"/>
        <v>17194.089520124995</v>
      </c>
      <c r="H21" s="4">
        <f t="shared" si="9"/>
        <v>17775.18606409218</v>
      </c>
      <c r="I21" s="2"/>
      <c r="J21" s="2" t="s">
        <v>54</v>
      </c>
      <c r="K21" s="2"/>
      <c r="Q21" s="26">
        <v>0.05</v>
      </c>
      <c r="R21">
        <f>-SUM(C14:H14)*B4*(1+B7)*Q21</f>
        <v>276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7307.9999999999982</v>
      </c>
      <c r="E22" s="4">
        <f t="shared" si="10"/>
        <v>10971.896249999998</v>
      </c>
      <c r="F22" s="4">
        <f t="shared" si="10"/>
        <v>15214.620356249996</v>
      </c>
      <c r="G22" s="4">
        <f t="shared" si="10"/>
        <v>17353.294052718746</v>
      </c>
      <c r="H22" s="4">
        <f t="shared" si="10"/>
        <v>17128.815661761557</v>
      </c>
      <c r="I22" s="2"/>
      <c r="J22" s="2" t="s">
        <v>55</v>
      </c>
      <c r="K22" s="2"/>
      <c r="Q22" s="26">
        <v>0.15</v>
      </c>
      <c r="R22" s="2">
        <f>SUM(C29:H29)</f>
        <v>108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8525.9999999999982</v>
      </c>
      <c r="E23" s="4">
        <f t="shared" si="11"/>
        <v>13289.902499999997</v>
      </c>
      <c r="F23" s="4">
        <f t="shared" si="11"/>
        <v>16939.989674999997</v>
      </c>
      <c r="G23" s="4">
        <f t="shared" si="11"/>
        <v>17512.498585312493</v>
      </c>
      <c r="H23" s="4">
        <f t="shared" si="11"/>
        <v>16482.44525943093</v>
      </c>
      <c r="I23" s="2" t="s">
        <v>53</v>
      </c>
      <c r="J23" s="2"/>
      <c r="K23" s="2"/>
      <c r="Q23" t="s">
        <v>23</v>
      </c>
      <c r="R23" s="2">
        <f>SUM(R19:R22)</f>
        <v>1806.375770902745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2"/>
      <c r="J25" s="2"/>
      <c r="K25" s="2"/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602.31074399999966</v>
      </c>
      <c r="E26" s="3">
        <f t="shared" si="13"/>
        <v>917.84597130948691</v>
      </c>
      <c r="F26" s="3">
        <f t="shared" si="13"/>
        <v>1291.8594786176711</v>
      </c>
      <c r="G26" s="3">
        <f t="shared" si="13"/>
        <v>1495.5540878156601</v>
      </c>
      <c r="H26" s="3">
        <f t="shared" si="13"/>
        <v>1498.3510483734692</v>
      </c>
      <c r="J26" s="2"/>
      <c r="K26" s="2"/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3.6138644639999979</v>
      </c>
      <c r="E27" s="29">
        <f t="shared" si="14"/>
        <v>5.5070758278569212</v>
      </c>
      <c r="F27" s="29">
        <f t="shared" si="14"/>
        <v>7.7511568717060273</v>
      </c>
      <c r="G27" s="29">
        <f t="shared" si="14"/>
        <v>8.9733245268939612</v>
      </c>
      <c r="H27" s="29">
        <f t="shared" si="14"/>
        <v>8.9901062902408153</v>
      </c>
      <c r="I27" s="28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49.103999999999999</v>
      </c>
      <c r="D28" s="4">
        <f t="shared" ref="D28:H28" si="15">+D26*$G$4+$F$4</f>
        <v>99.323504159999956</v>
      </c>
      <c r="E28" s="4">
        <f t="shared" si="15"/>
        <v>143.49843598332819</v>
      </c>
      <c r="F28" s="4">
        <f t="shared" si="15"/>
        <v>195.86032700647397</v>
      </c>
      <c r="G28" s="4">
        <f t="shared" si="15"/>
        <v>224.37757229419242</v>
      </c>
      <c r="H28" s="4">
        <f t="shared" si="15"/>
        <v>224.76914677228572</v>
      </c>
      <c r="I28" s="2"/>
      <c r="J28" s="2"/>
      <c r="K28" s="2"/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27</v>
      </c>
      <c r="F29" s="4">
        <f t="shared" si="16"/>
        <v>27</v>
      </c>
      <c r="G29" s="4">
        <f t="shared" si="16"/>
        <v>27</v>
      </c>
      <c r="H29" s="4">
        <f t="shared" si="16"/>
        <v>27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168.00000000000003</v>
      </c>
      <c r="D30" s="4">
        <f t="shared" ref="D30:H30" si="17">D22*$F$5*(1+$B$6)</f>
        <v>409.24799999999993</v>
      </c>
      <c r="E30" s="4">
        <f t="shared" si="17"/>
        <v>614.42618999999991</v>
      </c>
      <c r="F30" s="4">
        <f t="shared" si="17"/>
        <v>852.01873994999994</v>
      </c>
      <c r="G30" s="4">
        <f t="shared" si="17"/>
        <v>971.78446695225</v>
      </c>
      <c r="H30" s="4">
        <f t="shared" si="17"/>
        <v>959.21367705864725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25.034399999999952</v>
      </c>
      <c r="D31" s="3">
        <f t="shared" ref="D31:H31" si="18">D26-D28-D29-D30-D27</f>
        <v>90.125375375999752</v>
      </c>
      <c r="E31" s="3">
        <f t="shared" si="18"/>
        <v>127.41426949830195</v>
      </c>
      <c r="F31" s="3">
        <f t="shared" si="18"/>
        <v>209.22925478949128</v>
      </c>
      <c r="G31" s="3">
        <f t="shared" si="18"/>
        <v>263.41872404232356</v>
      </c>
      <c r="H31" s="3">
        <f t="shared" si="18"/>
        <v>278.37811825229545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0.10276847290640376</v>
      </c>
      <c r="D32" s="27">
        <f t="shared" ref="D32:H32" si="19">D31/D26</f>
        <v>0.14963268756832901</v>
      </c>
      <c r="E32" s="27">
        <f t="shared" si="19"/>
        <v>0.13881879256551136</v>
      </c>
      <c r="F32" s="27">
        <f t="shared" si="19"/>
        <v>0.1619597628477154</v>
      </c>
      <c r="G32" s="27">
        <f t="shared" si="19"/>
        <v>0.17613453514547325</v>
      </c>
      <c r="H32" s="27">
        <f t="shared" si="19"/>
        <v>0.18578965093292926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204.62399999999997</v>
      </c>
      <c r="F33" s="4">
        <f t="shared" si="20"/>
        <v>207.69335999999996</v>
      </c>
      <c r="G33" s="4">
        <f t="shared" si="20"/>
        <v>210.80876039999995</v>
      </c>
      <c r="H33" s="4">
        <f t="shared" si="20"/>
        <v>213.97089180599994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-120.96000000000002</v>
      </c>
      <c r="D34" s="4">
        <f t="shared" ref="D34:H34" si="21">-$F$6*(C54-C51)</f>
        <v>-209.15665200000007</v>
      </c>
      <c r="E34" s="4">
        <f t="shared" si="21"/>
        <v>-318.87129944808009</v>
      </c>
      <c r="F34" s="4">
        <f t="shared" si="21"/>
        <v>-533.18515889808009</v>
      </c>
      <c r="G34" s="4">
        <f t="shared" si="21"/>
        <v>-683.23598553521651</v>
      </c>
      <c r="H34" s="4">
        <f t="shared" si="21"/>
        <v>-675.15015149879548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0</v>
      </c>
      <c r="D35" s="4">
        <f>IF((D31+D33+D34)&gt;0,-(D31+D33+D34)*$F$7,0)</f>
        <v>0</v>
      </c>
      <c r="E35" s="4">
        <f t="shared" ref="E35:H35" si="22">IF((E31+E33+E34)&gt;0,-(E31+E33+E34)*$F$7,0)</f>
        <v>-1.9750455075332751</v>
      </c>
      <c r="F35" s="4">
        <f t="shared" si="22"/>
        <v>0</v>
      </c>
      <c r="G35" s="4">
        <f t="shared" si="22"/>
        <v>0</v>
      </c>
      <c r="H35" s="4">
        <f t="shared" si="22"/>
        <v>0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-95.925600000000074</v>
      </c>
      <c r="D36" s="3">
        <f>D31+D33+D34+D35</f>
        <v>-119.03127662400031</v>
      </c>
      <c r="E36" s="3">
        <f t="shared" ref="E36:H36" si="23">E31+E33+E34+E35</f>
        <v>11.191924542688559</v>
      </c>
      <c r="F36" s="3">
        <f t="shared" si="23"/>
        <v>-116.26254410858883</v>
      </c>
      <c r="G36" s="3">
        <f t="shared" si="23"/>
        <v>-209.00850109289297</v>
      </c>
      <c r="H36" s="3">
        <f t="shared" si="23"/>
        <v>-182.80114144050009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-0.39378325123152746</v>
      </c>
      <c r="D37" s="27">
        <f t="shared" ref="D37:H37" si="24">D36/D26</f>
        <v>-0.19762436219135479</v>
      </c>
      <c r="E37" s="27">
        <f t="shared" si="24"/>
        <v>1.2193684880177759E-2</v>
      </c>
      <c r="F37" s="27">
        <f t="shared" si="24"/>
        <v>-8.9996277484446899E-2</v>
      </c>
      <c r="G37" s="27">
        <f t="shared" si="24"/>
        <v>-0.13975322109423774</v>
      </c>
      <c r="H37" s="27">
        <f t="shared" si="24"/>
        <v>-0.1220015440566744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72.074399999999955</v>
      </c>
      <c r="D40" s="4">
        <f t="shared" si="26"/>
        <v>290.21672337599961</v>
      </c>
      <c r="E40" s="4">
        <f t="shared" si="26"/>
        <v>625.61811454268843</v>
      </c>
      <c r="F40" s="4">
        <f t="shared" si="26"/>
        <v>735.75619584141111</v>
      </c>
      <c r="G40" s="4">
        <f t="shared" si="26"/>
        <v>762.77596585935703</v>
      </c>
      <c r="H40" s="4">
        <f t="shared" si="26"/>
        <v>776.4125356181471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0</v>
      </c>
      <c r="D41" s="4">
        <f t="shared" si="27"/>
        <v>0</v>
      </c>
      <c r="E41" s="4">
        <f t="shared" si="27"/>
        <v>-11.191924542688559</v>
      </c>
      <c r="F41" s="4">
        <f t="shared" si="27"/>
        <v>0</v>
      </c>
      <c r="G41" s="4">
        <f t="shared" si="27"/>
        <v>0</v>
      </c>
      <c r="H41" s="4">
        <f t="shared" si="27"/>
        <v>0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-358.40000000000003</v>
      </c>
      <c r="E42" s="4">
        <f>-D54/$I$54</f>
        <v>-480.01706666666672</v>
      </c>
      <c r="F42" s="4">
        <f>-E54/$I$54</f>
        <v>-798.78693688888893</v>
      </c>
      <c r="G42" s="4">
        <f>-F54/$I$54</f>
        <v>-1026.6128216296297</v>
      </c>
      <c r="H42" s="4">
        <f>-G54/$I$54</f>
        <v>-1053.2701409903211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5376.0000000000009</v>
      </c>
      <c r="D43" s="4">
        <f t="shared" ref="D43:H43" si="28">-D45*$F$9</f>
        <v>2182.6559999999999</v>
      </c>
      <c r="E43" s="4">
        <f t="shared" si="28"/>
        <v>5261.5651199999993</v>
      </c>
      <c r="F43" s="4">
        <f t="shared" si="28"/>
        <v>4216.1752079999997</v>
      </c>
      <c r="G43" s="4">
        <f t="shared" si="28"/>
        <v>1426.4726120399996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1200</v>
      </c>
      <c r="F44" s="4">
        <f t="shared" si="29"/>
        <v>1200</v>
      </c>
      <c r="G44" s="4">
        <f t="shared" si="29"/>
        <v>1200</v>
      </c>
      <c r="H44" s="4">
        <f t="shared" si="29"/>
        <v>1200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-2728.3199999999997</v>
      </c>
      <c r="E45" s="4">
        <f t="shared" si="30"/>
        <v>-6576.9563999999991</v>
      </c>
      <c r="F45" s="4">
        <f t="shared" si="30"/>
        <v>-5270.2190099999989</v>
      </c>
      <c r="G45" s="4">
        <f t="shared" si="30"/>
        <v>-1783.0907650499994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2000</v>
      </c>
      <c r="D46" s="4">
        <f>C51</f>
        <v>728.07439999999951</v>
      </c>
      <c r="E46" s="4">
        <f t="shared" ref="E46:H46" si="31">D51</f>
        <v>114.22712337599933</v>
      </c>
      <c r="F46" s="4">
        <f t="shared" si="31"/>
        <v>133.2449667093324</v>
      </c>
      <c r="G46" s="4">
        <f t="shared" si="31"/>
        <v>216.17042366185524</v>
      </c>
      <c r="H46" s="4">
        <f t="shared" si="31"/>
        <v>795.71541488158255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728.07439999999951</v>
      </c>
      <c r="D47" s="4">
        <f>SUM(D40:D46)</f>
        <v>114.22712337599933</v>
      </c>
      <c r="E47" s="4">
        <f t="shared" ref="E47:H47" si="32">SUM(E40:E46)</f>
        <v>133.2449667093324</v>
      </c>
      <c r="F47" s="4">
        <f t="shared" si="32"/>
        <v>216.17042366185524</v>
      </c>
      <c r="G47" s="4">
        <f t="shared" si="32"/>
        <v>795.71541488158255</v>
      </c>
      <c r="H47" s="4">
        <f t="shared" si="32"/>
        <v>1718.8578095094085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6552.0000000000009</v>
      </c>
      <c r="D50" s="4">
        <f t="shared" si="34"/>
        <v>8871.0720000000001</v>
      </c>
      <c r="E50" s="4">
        <f t="shared" si="34"/>
        <v>13633.602209999999</v>
      </c>
      <c r="F50" s="4">
        <f t="shared" si="34"/>
        <v>16851.802480049999</v>
      </c>
      <c r="G50" s="4">
        <f t="shared" si="34"/>
        <v>16463.108778147751</v>
      </c>
      <c r="H50" s="4">
        <f t="shared" si="34"/>
        <v>14303.895101089103</v>
      </c>
      <c r="I50" s="4"/>
      <c r="J50" s="2"/>
      <c r="K50" s="2"/>
    </row>
    <row r="51" spans="1:11" x14ac:dyDescent="0.25">
      <c r="A51" s="4" t="s">
        <v>20</v>
      </c>
      <c r="B51" s="4">
        <f>B55</f>
        <v>2000</v>
      </c>
      <c r="C51" s="4">
        <f>C47</f>
        <v>728.07439999999951</v>
      </c>
      <c r="D51" s="4">
        <f>D47</f>
        <v>114.22712337599933</v>
      </c>
      <c r="E51" s="4">
        <f t="shared" ref="E51:H51" si="35">E47</f>
        <v>133.2449667093324</v>
      </c>
      <c r="F51" s="4">
        <f t="shared" si="35"/>
        <v>216.17042366185524</v>
      </c>
      <c r="G51" s="4">
        <f t="shared" si="35"/>
        <v>795.71541488158255</v>
      </c>
      <c r="H51" s="4">
        <f t="shared" si="35"/>
        <v>1718.8578095094085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2000</v>
      </c>
      <c r="C53" s="4">
        <f t="shared" ref="C53:H53" si="36">B53+C36+C41</f>
        <v>1904.0744</v>
      </c>
      <c r="D53" s="4">
        <f t="shared" si="36"/>
        <v>1785.0431233759996</v>
      </c>
      <c r="E53" s="4">
        <f t="shared" si="36"/>
        <v>1785.0431233759996</v>
      </c>
      <c r="F53" s="4">
        <f t="shared" si="36"/>
        <v>1668.7805792674108</v>
      </c>
      <c r="G53" s="4">
        <f t="shared" si="36"/>
        <v>1459.7720781745179</v>
      </c>
      <c r="H53" s="4">
        <f t="shared" si="36"/>
        <v>1276.9709367340179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5376.0000000000009</v>
      </c>
      <c r="D54" s="4">
        <f t="shared" ref="D54:H54" si="37">C54+D43+D42</f>
        <v>7200.2560000000012</v>
      </c>
      <c r="E54" s="4">
        <f t="shared" si="37"/>
        <v>11981.804053333333</v>
      </c>
      <c r="F54" s="4">
        <f t="shared" si="37"/>
        <v>15399.192324444444</v>
      </c>
      <c r="G54" s="4">
        <f t="shared" si="37"/>
        <v>15799.052114854816</v>
      </c>
      <c r="H54" s="4">
        <f t="shared" si="37"/>
        <v>14745.781973864494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2000</v>
      </c>
      <c r="C55" s="4">
        <f>SUM(C53:C54)</f>
        <v>7280.0744000000013</v>
      </c>
      <c r="D55" s="4">
        <f>SUM(D53:D54)</f>
        <v>8985.2991233760004</v>
      </c>
      <c r="E55" s="4">
        <f t="shared" ref="E55:H55" si="38">SUM(E53:E54)</f>
        <v>13766.847176709332</v>
      </c>
      <c r="F55" s="4">
        <f t="shared" si="38"/>
        <v>17067.972903711856</v>
      </c>
      <c r="G55" s="4">
        <f t="shared" si="38"/>
        <v>17258.824193029333</v>
      </c>
      <c r="H55" s="4">
        <f t="shared" si="38"/>
        <v>16022.752910598512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4" t="s">
        <v>39</v>
      </c>
      <c r="B58" s="4">
        <f>B49</f>
        <v>2012</v>
      </c>
      <c r="C58" s="4">
        <f t="shared" ref="C58:H58" si="40">C49</f>
        <v>2013</v>
      </c>
      <c r="D58" s="4">
        <f t="shared" si="40"/>
        <v>2014</v>
      </c>
      <c r="E58" s="4">
        <f t="shared" si="40"/>
        <v>2015</v>
      </c>
      <c r="F58" s="4">
        <f t="shared" si="40"/>
        <v>2016</v>
      </c>
      <c r="G58" s="4">
        <f t="shared" si="40"/>
        <v>2017</v>
      </c>
      <c r="H58" s="4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8653.89</v>
      </c>
      <c r="E59" s="4">
        <f>E15*$B$4*(1+$B$8)*(1+$B$8)*(1+$B$8)</f>
        <v>13489.251037499995</v>
      </c>
      <c r="F59" s="4">
        <f>F15*$B$4*(1+$B$8)*(1+$B$8)*(1+$B$8)*(1+$B$8)</f>
        <v>17194.089520124991</v>
      </c>
      <c r="G59" s="4">
        <f>G15*$B$4*(1+$B$8)*(1+$B$8)*(1+$B$8)*(1+$B$8)*(1+$B$8)</f>
        <v>17775.18606409218</v>
      </c>
      <c r="H59" s="4">
        <f>H15*$B$4*(1+$B$8)*(1+$B$8)*(1+$B$8)*(1+$B$8)*(1+$B$8)*(1+$B$8)</f>
        <v>16729.681938322392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2000</v>
      </c>
      <c r="C60" s="4">
        <f t="shared" si="41"/>
        <v>728.07439999999951</v>
      </c>
      <c r="D60" s="4">
        <f t="shared" si="41"/>
        <v>114.22712337599933</v>
      </c>
      <c r="E60" s="4">
        <f t="shared" si="41"/>
        <v>133.2449667093324</v>
      </c>
      <c r="F60" s="4">
        <f t="shared" si="41"/>
        <v>216.17042366185524</v>
      </c>
      <c r="G60" s="4">
        <f t="shared" si="41"/>
        <v>795.71541488158255</v>
      </c>
      <c r="H60" s="4">
        <f t="shared" si="41"/>
        <v>1718.8578095094085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2000</v>
      </c>
      <c r="C62" s="4">
        <f>C59+C60-C63</f>
        <v>1442.0743999999977</v>
      </c>
      <c r="D62" s="4">
        <f t="shared" ref="D62:H62" si="43">D59+D60-D63</f>
        <v>1567.8611233759984</v>
      </c>
      <c r="E62" s="4">
        <f t="shared" si="43"/>
        <v>1640.6919508759929</v>
      </c>
      <c r="F62" s="4">
        <f t="shared" si="43"/>
        <v>2011.0676193424042</v>
      </c>
      <c r="G62" s="4">
        <f t="shared" si="43"/>
        <v>2771.8493641189471</v>
      </c>
      <c r="H62" s="4">
        <f t="shared" si="43"/>
        <v>3702.757773967307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5376.0000000000009</v>
      </c>
      <c r="D63" s="4">
        <f t="shared" si="42"/>
        <v>7200.2560000000012</v>
      </c>
      <c r="E63" s="4">
        <f t="shared" si="42"/>
        <v>11981.804053333333</v>
      </c>
      <c r="F63" s="4">
        <f t="shared" si="42"/>
        <v>15399.192324444444</v>
      </c>
      <c r="G63" s="4">
        <f t="shared" si="42"/>
        <v>15799.052114854816</v>
      </c>
      <c r="H63" s="4">
        <f t="shared" si="42"/>
        <v>14745.781973864494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2000</v>
      </c>
      <c r="C64" s="4">
        <f>C62+C63</f>
        <v>6818.0743999999986</v>
      </c>
      <c r="D64" s="4">
        <f t="shared" ref="D64:H64" si="44">D62+D63</f>
        <v>8768.1171233759997</v>
      </c>
      <c r="E64" s="4">
        <f t="shared" si="44"/>
        <v>13622.496004209326</v>
      </c>
      <c r="F64" s="4">
        <f t="shared" si="44"/>
        <v>17410.259943786848</v>
      </c>
      <c r="G64" s="4">
        <f t="shared" si="44"/>
        <v>18570.901478973763</v>
      </c>
      <c r="H64" s="4">
        <f t="shared" si="44"/>
        <v>18448.539747831801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4" t="s">
        <v>44</v>
      </c>
      <c r="B67" s="4">
        <f>B58</f>
        <v>2012</v>
      </c>
      <c r="C67" s="4">
        <f t="shared" ref="C67:H67" si="46">C58</f>
        <v>2013</v>
      </c>
      <c r="D67" s="4">
        <f t="shared" si="46"/>
        <v>2014</v>
      </c>
      <c r="E67" s="4">
        <f t="shared" si="46"/>
        <v>2015</v>
      </c>
      <c r="F67" s="4">
        <f t="shared" si="46"/>
        <v>2016</v>
      </c>
      <c r="G67" s="4">
        <f t="shared" si="46"/>
        <v>2017</v>
      </c>
      <c r="H67" s="4">
        <f t="shared" si="46"/>
        <v>2018</v>
      </c>
      <c r="I67" s="2"/>
      <c r="J67" s="2"/>
      <c r="K67" s="2"/>
    </row>
    <row r="68" spans="1:17" x14ac:dyDescent="0.25">
      <c r="A68" s="4" t="s">
        <v>41</v>
      </c>
      <c r="B68" s="4">
        <f>-B62</f>
        <v>-2000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-2000</v>
      </c>
      <c r="L68" s="4">
        <f t="shared" si="47"/>
        <v>0</v>
      </c>
      <c r="M68" s="4">
        <f t="shared" si="47"/>
        <v>0</v>
      </c>
      <c r="N68" s="4">
        <f t="shared" si="47"/>
        <v>11.191924542688559</v>
      </c>
      <c r="O68" s="4">
        <f t="shared" si="47"/>
        <v>0</v>
      </c>
      <c r="P68" s="4">
        <f t="shared" si="47"/>
        <v>0</v>
      </c>
      <c r="Q68" s="4">
        <f t="shared" si="47"/>
        <v>3702.757773967307</v>
      </c>
    </row>
    <row r="69" spans="1:17" x14ac:dyDescent="0.25">
      <c r="A69" s="4" t="s">
        <v>42</v>
      </c>
      <c r="B69" s="4"/>
      <c r="C69" s="4">
        <f>-C41</f>
        <v>0</v>
      </c>
      <c r="D69" s="4">
        <f t="shared" ref="D69:G69" si="48">-D41</f>
        <v>0</v>
      </c>
      <c r="E69" s="4">
        <f t="shared" si="48"/>
        <v>11.191924542688559</v>
      </c>
      <c r="F69" s="4">
        <f t="shared" si="48"/>
        <v>0</v>
      </c>
      <c r="G69" s="4">
        <f t="shared" si="48"/>
        <v>0</v>
      </c>
      <c r="H69" s="4">
        <f>-H41+H62</f>
        <v>3702.757773967307</v>
      </c>
      <c r="I69" s="2"/>
      <c r="J69" s="24"/>
      <c r="K69" s="6"/>
      <c r="L69" s="4">
        <f>K68+L68</f>
        <v>-2000</v>
      </c>
      <c r="M69" s="4">
        <f>M68</f>
        <v>0</v>
      </c>
      <c r="N69" s="4">
        <f t="shared" ref="N69:Q69" si="49">N68</f>
        <v>11.191924542688559</v>
      </c>
      <c r="O69" s="4">
        <f t="shared" si="49"/>
        <v>0</v>
      </c>
      <c r="P69" s="4">
        <f t="shared" si="49"/>
        <v>0</v>
      </c>
      <c r="Q69" s="4">
        <f t="shared" si="49"/>
        <v>3702.757773967307</v>
      </c>
    </row>
    <row r="70" spans="1:17" x14ac:dyDescent="0.25">
      <c r="A70" s="4" t="s">
        <v>43</v>
      </c>
      <c r="B70" s="4">
        <f>B68+B69</f>
        <v>-2000</v>
      </c>
      <c r="C70" s="4">
        <f t="shared" ref="C70:H70" si="50">C68+C69</f>
        <v>0</v>
      </c>
      <c r="D70" s="4">
        <f t="shared" si="50"/>
        <v>0</v>
      </c>
      <c r="E70" s="4">
        <f t="shared" si="50"/>
        <v>11.191924542688559</v>
      </c>
      <c r="F70" s="4">
        <f t="shared" si="50"/>
        <v>0</v>
      </c>
      <c r="G70" s="4">
        <f t="shared" si="50"/>
        <v>0</v>
      </c>
      <c r="H70" s="4">
        <f t="shared" si="50"/>
        <v>3702.757773967307</v>
      </c>
    </row>
    <row r="71" spans="1:17" x14ac:dyDescent="0.25">
      <c r="A71" s="4" t="s">
        <v>59</v>
      </c>
      <c r="B71" s="23">
        <f>IRR(B70:H70)</f>
        <v>0.10886898928677313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0.13208528728076252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8</v>
      </c>
      <c r="E78" s="4">
        <f t="shared" si="53"/>
        <v>19</v>
      </c>
      <c r="F78" s="4">
        <f t="shared" si="53"/>
        <v>15</v>
      </c>
      <c r="G78" s="4">
        <f t="shared" si="53"/>
        <v>5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-4</v>
      </c>
      <c r="F79" s="4">
        <f t="shared" si="53"/>
        <v>-4</v>
      </c>
      <c r="G79" s="4">
        <f t="shared" si="53"/>
        <v>-4</v>
      </c>
      <c r="H79" s="4">
        <f t="shared" si="53"/>
        <v>-4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28</v>
      </c>
      <c r="E80" s="4">
        <f t="shared" si="53"/>
        <v>43</v>
      </c>
      <c r="F80" s="4">
        <f t="shared" si="53"/>
        <v>54</v>
      </c>
      <c r="G80" s="4">
        <f t="shared" si="53"/>
        <v>55</v>
      </c>
      <c r="H80" s="4">
        <f t="shared" si="53"/>
        <v>51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602.31074399999966</v>
      </c>
      <c r="E84" s="4">
        <f t="shared" si="56"/>
        <v>917.84597130948691</v>
      </c>
      <c r="F84" s="4">
        <f t="shared" si="56"/>
        <v>1291.8594786176711</v>
      </c>
      <c r="G84" s="4">
        <f t="shared" si="56"/>
        <v>1495.5540878156601</v>
      </c>
      <c r="H84" s="4">
        <f t="shared" si="56"/>
        <v>1498.3510483734692</v>
      </c>
    </row>
    <row r="85" spans="1:8" x14ac:dyDescent="0.25">
      <c r="A85" s="6" t="s">
        <v>15</v>
      </c>
      <c r="B85" s="6"/>
      <c r="C85" s="4">
        <f t="shared" ref="C85:H85" si="57">C31</f>
        <v>25.034399999999952</v>
      </c>
      <c r="D85" s="4">
        <f t="shared" si="57"/>
        <v>90.125375375999752</v>
      </c>
      <c r="E85" s="4">
        <f t="shared" si="57"/>
        <v>127.41426949830195</v>
      </c>
      <c r="F85" s="4">
        <f t="shared" si="57"/>
        <v>209.22925478949128</v>
      </c>
      <c r="G85" s="4">
        <f t="shared" si="57"/>
        <v>263.41872404232356</v>
      </c>
      <c r="H85" s="4">
        <f t="shared" si="57"/>
        <v>278.37811825229545</v>
      </c>
    </row>
    <row r="86" spans="1:8" x14ac:dyDescent="0.25">
      <c r="A86" s="6" t="s">
        <v>25</v>
      </c>
      <c r="B86" s="6"/>
      <c r="C86" s="4">
        <f>C40</f>
        <v>72.074399999999955</v>
      </c>
      <c r="D86" s="4">
        <f t="shared" ref="D86:H86" si="58">D40</f>
        <v>290.21672337599961</v>
      </c>
      <c r="E86" s="4">
        <f t="shared" si="58"/>
        <v>625.61811454268843</v>
      </c>
      <c r="F86" s="4">
        <f t="shared" si="58"/>
        <v>735.75619584141111</v>
      </c>
      <c r="G86" s="4">
        <f t="shared" si="58"/>
        <v>762.77596585935703</v>
      </c>
      <c r="H86" s="4">
        <f t="shared" si="58"/>
        <v>776.4125356181471</v>
      </c>
    </row>
    <row r="87" spans="1:8" x14ac:dyDescent="0.25">
      <c r="A87" s="6" t="s">
        <v>17</v>
      </c>
      <c r="B87" s="6"/>
      <c r="C87" s="4">
        <f t="shared" ref="C87:H87" si="59">C36</f>
        <v>-95.925600000000074</v>
      </c>
      <c r="D87" s="4">
        <f t="shared" si="59"/>
        <v>-119.03127662400031</v>
      </c>
      <c r="E87" s="4">
        <f t="shared" si="59"/>
        <v>11.191924542688559</v>
      </c>
      <c r="F87" s="4">
        <f t="shared" si="59"/>
        <v>-116.26254410858883</v>
      </c>
      <c r="G87" s="4">
        <f t="shared" si="59"/>
        <v>-209.00850109289297</v>
      </c>
      <c r="H87" s="4">
        <f t="shared" si="59"/>
        <v>-182.80114144050009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6552.0000000000009</v>
      </c>
      <c r="D90" s="4">
        <f t="shared" si="61"/>
        <v>8871.0720000000001</v>
      </c>
      <c r="E90" s="4">
        <f t="shared" si="61"/>
        <v>13633.602209999999</v>
      </c>
      <c r="F90" s="4">
        <f t="shared" si="61"/>
        <v>16851.802480049999</v>
      </c>
      <c r="G90" s="4">
        <f t="shared" si="61"/>
        <v>16463.108778147751</v>
      </c>
      <c r="H90" s="4">
        <f t="shared" si="61"/>
        <v>14303.895101089103</v>
      </c>
    </row>
    <row r="91" spans="1:8" x14ac:dyDescent="0.25">
      <c r="A91" s="4" t="s">
        <v>20</v>
      </c>
      <c r="B91" s="4">
        <f>B51</f>
        <v>2000</v>
      </c>
      <c r="C91" s="4">
        <f t="shared" si="61"/>
        <v>728.07439999999951</v>
      </c>
      <c r="D91" s="4">
        <f t="shared" si="61"/>
        <v>114.22712337599933</v>
      </c>
      <c r="E91" s="4">
        <f t="shared" si="61"/>
        <v>133.2449667093324</v>
      </c>
      <c r="F91" s="4">
        <f t="shared" si="61"/>
        <v>216.17042366185524</v>
      </c>
      <c r="G91" s="4">
        <f t="shared" si="61"/>
        <v>795.71541488158255</v>
      </c>
      <c r="H91" s="4">
        <f t="shared" si="61"/>
        <v>1718.8578095094085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2000</v>
      </c>
      <c r="C93" s="4">
        <f t="shared" ref="C93:H95" si="62">L8</f>
        <v>1904.0744</v>
      </c>
      <c r="D93" s="4">
        <f t="shared" si="62"/>
        <v>1785.0431233759996</v>
      </c>
      <c r="E93" s="4">
        <f t="shared" si="62"/>
        <v>1785.0431233759996</v>
      </c>
      <c r="F93" s="4">
        <f t="shared" si="62"/>
        <v>1668.7805792674108</v>
      </c>
      <c r="G93" s="4">
        <f t="shared" si="62"/>
        <v>1459.7720781745179</v>
      </c>
      <c r="H93" s="4">
        <f t="shared" si="62"/>
        <v>1276.9709367340179</v>
      </c>
    </row>
    <row r="94" spans="1:8" x14ac:dyDescent="0.25">
      <c r="A94" s="4" t="s">
        <v>22</v>
      </c>
      <c r="B94" s="4">
        <f>B54</f>
        <v>0</v>
      </c>
      <c r="C94" s="4">
        <f t="shared" si="62"/>
        <v>5376.0000000000009</v>
      </c>
      <c r="D94" s="4">
        <f t="shared" si="62"/>
        <v>7200.2560000000012</v>
      </c>
      <c r="E94" s="4">
        <f t="shared" si="62"/>
        <v>11981.804053333333</v>
      </c>
      <c r="F94" s="4">
        <f t="shared" si="62"/>
        <v>15399.192324444444</v>
      </c>
      <c r="G94" s="4">
        <f t="shared" si="62"/>
        <v>15799.052114854816</v>
      </c>
      <c r="H94" s="4">
        <f t="shared" si="62"/>
        <v>14745.781973864494</v>
      </c>
    </row>
    <row r="95" spans="1:8" x14ac:dyDescent="0.25">
      <c r="A95" s="4" t="s">
        <v>23</v>
      </c>
      <c r="B95" s="4">
        <f>B55</f>
        <v>2000</v>
      </c>
      <c r="C95" s="4">
        <f t="shared" si="62"/>
        <v>7280.0744000000013</v>
      </c>
      <c r="D95" s="4">
        <f t="shared" si="62"/>
        <v>8985.2991233760004</v>
      </c>
      <c r="E95" s="4">
        <f t="shared" si="62"/>
        <v>13766.847176709332</v>
      </c>
      <c r="F95" s="4">
        <f t="shared" si="62"/>
        <v>17067.972903711856</v>
      </c>
      <c r="G95" s="4">
        <f t="shared" si="62"/>
        <v>17258.824193029333</v>
      </c>
      <c r="H95" s="4">
        <f t="shared" si="62"/>
        <v>16022.752910598512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-2000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0</v>
      </c>
      <c r="D99" s="4">
        <f t="shared" si="65"/>
        <v>0</v>
      </c>
      <c r="E99" s="4">
        <f t="shared" si="65"/>
        <v>11.191924542688559</v>
      </c>
      <c r="F99" s="4">
        <f t="shared" si="65"/>
        <v>0</v>
      </c>
      <c r="G99" s="4">
        <f t="shared" si="65"/>
        <v>0</v>
      </c>
      <c r="H99" s="4">
        <f t="shared" si="65"/>
        <v>3702.757773967307</v>
      </c>
    </row>
    <row r="100" spans="1:8" x14ac:dyDescent="0.25">
      <c r="A100" s="4" t="s">
        <v>43</v>
      </c>
      <c r="B100" s="4">
        <f t="shared" si="65"/>
        <v>-2000</v>
      </c>
      <c r="C100" s="4">
        <f t="shared" si="65"/>
        <v>0</v>
      </c>
      <c r="D100" s="4">
        <f t="shared" si="65"/>
        <v>0</v>
      </c>
      <c r="E100" s="4">
        <f t="shared" si="65"/>
        <v>11.191924542688559</v>
      </c>
      <c r="F100" s="4">
        <f t="shared" si="65"/>
        <v>0</v>
      </c>
      <c r="G100" s="4">
        <f t="shared" si="65"/>
        <v>0</v>
      </c>
      <c r="H100" s="4">
        <f t="shared" si="65"/>
        <v>3702.757773967307</v>
      </c>
    </row>
    <row r="101" spans="1:8" x14ac:dyDescent="0.25">
      <c r="A101" s="3" t="s">
        <v>72</v>
      </c>
      <c r="B101" s="37">
        <f t="shared" si="65"/>
        <v>0.10886898928677313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73</v>
      </c>
      <c r="B102" s="38">
        <f t="shared" si="65"/>
        <v>0.13208528728076252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02"/>
  <sheetViews>
    <sheetView tabSelected="1" zoomScale="80" zoomScaleNormal="80" workbookViewId="0">
      <selection activeCell="J32" sqref="J32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28515625" customWidth="1"/>
    <col min="9" max="9" width="11.2851562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40925</v>
      </c>
      <c r="J2" s="88"/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4989.6000000000013</v>
      </c>
      <c r="M5" s="13">
        <f t="shared" si="0"/>
        <v>8938.8432000000012</v>
      </c>
      <c r="N5" s="13">
        <f t="shared" si="0"/>
        <v>11493.471528</v>
      </c>
      <c r="O5" s="13">
        <f t="shared" si="0"/>
        <v>11247.5279742</v>
      </c>
      <c r="P5" s="13">
        <f t="shared" si="0"/>
        <v>10997.895267093001</v>
      </c>
      <c r="Q5" s="13">
        <f t="shared" si="0"/>
        <v>10744.518069379395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I6" t="s">
        <v>53</v>
      </c>
      <c r="J6" s="4" t="s">
        <v>20</v>
      </c>
      <c r="K6" s="13">
        <f t="shared" si="0"/>
        <v>5000</v>
      </c>
      <c r="L6" s="13">
        <f t="shared" si="0"/>
        <v>3286.4</v>
      </c>
      <c r="M6" s="13">
        <f t="shared" si="0"/>
        <v>1778.8688000000002</v>
      </c>
      <c r="N6" s="13">
        <f t="shared" si="0"/>
        <v>643.06879200000049</v>
      </c>
      <c r="O6" s="13">
        <f t="shared" si="0"/>
        <v>413.24299113333376</v>
      </c>
      <c r="P6" s="13">
        <f t="shared" si="0"/>
        <v>218.82430055144471</v>
      </c>
      <c r="Q6" s="13">
        <f t="shared" si="0"/>
        <v>57.753527088753287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5000</v>
      </c>
      <c r="L8" s="13">
        <f t="shared" si="1"/>
        <v>5000</v>
      </c>
      <c r="M8" s="13">
        <f t="shared" si="1"/>
        <v>5000</v>
      </c>
      <c r="N8" s="13">
        <f t="shared" si="1"/>
        <v>5000</v>
      </c>
      <c r="O8" s="13">
        <f t="shared" si="1"/>
        <v>5000</v>
      </c>
      <c r="P8" s="13">
        <f t="shared" si="1"/>
        <v>5000</v>
      </c>
      <c r="Q8" s="13">
        <f t="shared" si="1"/>
        <v>5000</v>
      </c>
      <c r="R8" s="4"/>
    </row>
    <row r="9" spans="1:18" x14ac:dyDescent="0.25">
      <c r="A9" s="16" t="s">
        <v>58</v>
      </c>
      <c r="B9" s="9">
        <v>5000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3276.0000000000009</v>
      </c>
      <c r="M9" s="13">
        <f t="shared" si="1"/>
        <v>5717.7120000000014</v>
      </c>
      <c r="N9" s="13">
        <f t="shared" si="1"/>
        <v>7136.540320000001</v>
      </c>
      <c r="O9" s="13">
        <f t="shared" si="1"/>
        <v>6660.7709653333341</v>
      </c>
      <c r="P9" s="13">
        <f t="shared" si="1"/>
        <v>6216.7195676444453</v>
      </c>
      <c r="Q9" s="13">
        <f t="shared" si="1"/>
        <v>5802.2715964681493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5000</v>
      </c>
      <c r="L10" s="13">
        <f t="shared" si="1"/>
        <v>8276</v>
      </c>
      <c r="M10" s="13">
        <f t="shared" si="1"/>
        <v>10717.712000000001</v>
      </c>
      <c r="N10" s="13">
        <f t="shared" si="1"/>
        <v>12136.54032</v>
      </c>
      <c r="O10" s="13">
        <f t="shared" si="1"/>
        <v>11660.770965333333</v>
      </c>
      <c r="P10" s="13">
        <f t="shared" si="1"/>
        <v>11216.719567644446</v>
      </c>
      <c r="Q10" s="13">
        <f t="shared" si="1"/>
        <v>10802.271596468148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15</v>
      </c>
      <c r="E12" s="4">
        <f t="shared" ref="E12:H12" si="3">D15</f>
        <v>27</v>
      </c>
      <c r="F12" s="4">
        <f t="shared" si="3"/>
        <v>35</v>
      </c>
      <c r="G12" s="4">
        <f t="shared" si="3"/>
        <v>35</v>
      </c>
      <c r="H12" s="4">
        <f t="shared" si="3"/>
        <v>35</v>
      </c>
      <c r="I12" s="2"/>
      <c r="J12" s="2"/>
      <c r="K12" s="2"/>
    </row>
    <row r="13" spans="1:18" x14ac:dyDescent="0.25">
      <c r="A13" s="4" t="s">
        <v>3</v>
      </c>
      <c r="B13" s="4"/>
      <c r="C13" s="11">
        <v>15</v>
      </c>
      <c r="D13" s="15">
        <v>12</v>
      </c>
      <c r="E13" s="11">
        <v>8</v>
      </c>
      <c r="F13" s="11"/>
      <c r="G13" s="11"/>
      <c r="H13" s="11"/>
      <c r="I13" s="2"/>
      <c r="J13" s="3" t="s">
        <v>59</v>
      </c>
      <c r="K13" s="87">
        <f>B71</f>
        <v>6.4410118115035608E-2</v>
      </c>
    </row>
    <row r="14" spans="1:18" x14ac:dyDescent="0.25">
      <c r="A14" s="4" t="s">
        <v>4</v>
      </c>
      <c r="B14" s="4"/>
      <c r="C14" s="142">
        <v>0</v>
      </c>
      <c r="D14" s="142">
        <v>0</v>
      </c>
      <c r="E14" s="142"/>
      <c r="F14" s="142"/>
      <c r="G14" s="142"/>
      <c r="H14" s="142"/>
      <c r="I14" s="2"/>
      <c r="J14" s="3" t="s">
        <v>60</v>
      </c>
      <c r="K14" s="87">
        <f>B72</f>
        <v>7.9146169405677869E-2</v>
      </c>
    </row>
    <row r="15" spans="1:18" x14ac:dyDescent="0.25">
      <c r="A15" s="4" t="s">
        <v>5</v>
      </c>
      <c r="B15" s="4">
        <f>B12+B13+B14</f>
        <v>0</v>
      </c>
      <c r="C15" s="4">
        <f>C12+C13+C14</f>
        <v>15</v>
      </c>
      <c r="D15" s="4">
        <f>D12+D13+D14</f>
        <v>27</v>
      </c>
      <c r="E15" s="4">
        <f t="shared" ref="E15:H15" si="4">E12+E13+E14</f>
        <v>35</v>
      </c>
      <c r="F15" s="4">
        <f t="shared" si="4"/>
        <v>35</v>
      </c>
      <c r="G15" s="4">
        <f t="shared" si="4"/>
        <v>35</v>
      </c>
      <c r="H15" s="4">
        <f t="shared" si="4"/>
        <v>35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7.5</v>
      </c>
      <c r="D16" s="4">
        <f>(D12+D15)/2</f>
        <v>21</v>
      </c>
      <c r="E16" s="4">
        <f t="shared" ref="E16:H16" si="5">(E12+E15)/2</f>
        <v>31</v>
      </c>
      <c r="F16" s="4">
        <f t="shared" si="5"/>
        <v>35</v>
      </c>
      <c r="G16" s="4">
        <f t="shared" si="5"/>
        <v>35</v>
      </c>
      <c r="H16" s="4">
        <f t="shared" si="5"/>
        <v>35</v>
      </c>
      <c r="I16" s="2"/>
      <c r="J16" s="2"/>
      <c r="K16" s="2"/>
    </row>
    <row r="17" spans="1:21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  <c r="S17" s="112" t="s">
        <v>233</v>
      </c>
      <c r="T17" s="112"/>
      <c r="U17" s="112"/>
    </row>
    <row r="18" spans="1:21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  <c r="S18" s="88" t="s">
        <v>228</v>
      </c>
      <c r="T18" s="88"/>
      <c r="U18" s="88"/>
    </row>
    <row r="19" spans="1:21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420</v>
      </c>
      <c r="S19" s="88" t="s">
        <v>229</v>
      </c>
      <c r="T19" s="88"/>
      <c r="U19" s="88"/>
    </row>
    <row r="20" spans="1:21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1</v>
      </c>
      <c r="R20" s="4">
        <f>SUM(C28:H28)*$Q$20</f>
        <v>529.34156134750685</v>
      </c>
      <c r="S20" s="88" t="s">
        <v>230</v>
      </c>
      <c r="T20" s="88"/>
      <c r="U20" s="88"/>
    </row>
    <row r="21" spans="1:21" x14ac:dyDescent="0.25">
      <c r="A21" s="4" t="s">
        <v>28</v>
      </c>
      <c r="B21" s="4"/>
      <c r="C21" s="4">
        <f>C12*C17</f>
        <v>0</v>
      </c>
      <c r="D21" s="4">
        <f t="shared" ref="D21:H21" si="9">D12*D17</f>
        <v>4567.4999999999991</v>
      </c>
      <c r="E21" s="4">
        <f t="shared" si="9"/>
        <v>8344.8224999999984</v>
      </c>
      <c r="F21" s="4">
        <f t="shared" si="9"/>
        <v>10979.622937499998</v>
      </c>
      <c r="G21" s="4">
        <f t="shared" si="9"/>
        <v>11144.317281562497</v>
      </c>
      <c r="H21" s="4">
        <f t="shared" si="9"/>
        <v>11311.482040785933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0</v>
      </c>
      <c r="S21" s="88" t="s">
        <v>231</v>
      </c>
      <c r="T21" s="88"/>
      <c r="U21" s="88"/>
    </row>
    <row r="22" spans="1:21" x14ac:dyDescent="0.25">
      <c r="A22" s="4" t="s">
        <v>29</v>
      </c>
      <c r="B22" s="4"/>
      <c r="C22" s="4">
        <f>C16*C17</f>
        <v>2250</v>
      </c>
      <c r="D22" s="4">
        <f t="shared" ref="D22:H22" si="10">D16*D17</f>
        <v>6394.4999999999991</v>
      </c>
      <c r="E22" s="4">
        <f t="shared" si="10"/>
        <v>9581.0924999999988</v>
      </c>
      <c r="F22" s="4">
        <f t="shared" si="10"/>
        <v>10979.622937499998</v>
      </c>
      <c r="G22" s="4">
        <f t="shared" si="10"/>
        <v>11144.317281562497</v>
      </c>
      <c r="H22" s="4">
        <f t="shared" si="10"/>
        <v>11311.482040785933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0</v>
      </c>
      <c r="S22" s="88" t="s">
        <v>232</v>
      </c>
      <c r="T22" s="88"/>
      <c r="U22" s="88"/>
    </row>
    <row r="23" spans="1:21" x14ac:dyDescent="0.25">
      <c r="A23" s="4" t="s">
        <v>30</v>
      </c>
      <c r="B23" s="4"/>
      <c r="C23" s="4">
        <f>C15*C17</f>
        <v>4500</v>
      </c>
      <c r="D23" s="4">
        <f t="shared" ref="D23:H23" si="11">D15*D17</f>
        <v>8221.4999999999982</v>
      </c>
      <c r="E23" s="4">
        <f t="shared" si="11"/>
        <v>10817.362499999997</v>
      </c>
      <c r="F23" s="4">
        <f t="shared" si="11"/>
        <v>10979.622937499998</v>
      </c>
      <c r="G23" s="4">
        <f t="shared" si="11"/>
        <v>11144.317281562497</v>
      </c>
      <c r="H23" s="4">
        <f t="shared" si="11"/>
        <v>11311.482040785933</v>
      </c>
      <c r="I23" s="2" t="s">
        <v>53</v>
      </c>
      <c r="J23" s="2"/>
      <c r="K23" s="2"/>
      <c r="Q23" s="6" t="s">
        <v>23</v>
      </c>
      <c r="R23" s="4">
        <f>SUM(R19:R22)</f>
        <v>949.34156134750685</v>
      </c>
    </row>
    <row r="24" spans="1:21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1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773.60493680850414</v>
      </c>
    </row>
    <row r="26" spans="1:21" x14ac:dyDescent="0.25">
      <c r="A26" s="3" t="s">
        <v>12</v>
      </c>
      <c r="B26" s="3"/>
      <c r="C26" s="3">
        <f t="shared" ref="C26:H26" si="13">C22*$B$5*C75</f>
        <v>182.7</v>
      </c>
      <c r="D26" s="3">
        <f t="shared" si="13"/>
        <v>527.02190099999984</v>
      </c>
      <c r="E26" s="3">
        <f t="shared" si="13"/>
        <v>801.49929888997463</v>
      </c>
      <c r="F26" s="3">
        <f t="shared" si="13"/>
        <v>932.26972683749477</v>
      </c>
      <c r="G26" s="3">
        <f t="shared" si="13"/>
        <v>960.44757933115773</v>
      </c>
      <c r="H26" s="3">
        <f t="shared" si="13"/>
        <v>989.47710741644187</v>
      </c>
      <c r="I26" s="107">
        <f>SUM(C26:H26)</f>
        <v>4393.4156134750683</v>
      </c>
      <c r="J26" s="4">
        <f>I26*4%</f>
        <v>175.73662453900275</v>
      </c>
      <c r="K26" s="2"/>
      <c r="O26" s="108" t="s">
        <v>217</v>
      </c>
      <c r="P26" s="108"/>
      <c r="Q26" s="108"/>
      <c r="R26" s="109">
        <f>R25/6</f>
        <v>128.93415613475068</v>
      </c>
    </row>
    <row r="27" spans="1:21" x14ac:dyDescent="0.25">
      <c r="A27" s="13" t="s">
        <v>63</v>
      </c>
      <c r="B27" s="3"/>
      <c r="C27" s="29">
        <f t="shared" ref="C27:H27" si="14">$I$27*C26</f>
        <v>1.0962000000000001</v>
      </c>
      <c r="D27" s="29">
        <f t="shared" si="14"/>
        <v>3.162131405999999</v>
      </c>
      <c r="E27" s="29">
        <f t="shared" si="14"/>
        <v>4.8089957933398475</v>
      </c>
      <c r="F27" s="29">
        <f t="shared" si="14"/>
        <v>5.5936183610249683</v>
      </c>
      <c r="G27" s="29">
        <f t="shared" si="14"/>
        <v>5.7626854759869461</v>
      </c>
      <c r="H27" s="29">
        <f t="shared" si="14"/>
        <v>5.9368626444986514</v>
      </c>
      <c r="I27" s="14">
        <v>6.0000000000000001E-3</v>
      </c>
      <c r="J27" s="2"/>
      <c r="K27" s="2"/>
    </row>
    <row r="28" spans="1:21" x14ac:dyDescent="0.25">
      <c r="A28" s="4" t="s">
        <v>13</v>
      </c>
      <c r="B28" s="4"/>
      <c r="C28" s="4">
        <f>+C26*$G$4+$F$4</f>
        <v>33.269999999999996</v>
      </c>
      <c r="D28" s="4">
        <f t="shared" ref="D28:H28" si="15">+D26*$G$4+$F$4</f>
        <v>67.702190099999996</v>
      </c>
      <c r="E28" s="4">
        <f t="shared" si="15"/>
        <v>95.149929888997463</v>
      </c>
      <c r="F28" s="4">
        <f t="shared" si="15"/>
        <v>108.22697268374948</v>
      </c>
      <c r="G28" s="4">
        <f t="shared" si="15"/>
        <v>111.04475793311578</v>
      </c>
      <c r="H28" s="4">
        <f t="shared" si="15"/>
        <v>113.94771074164419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21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0</v>
      </c>
      <c r="F29" s="4">
        <f t="shared" si="16"/>
        <v>0</v>
      </c>
      <c r="G29" s="4">
        <f t="shared" si="16"/>
        <v>0</v>
      </c>
      <c r="H29" s="4">
        <f t="shared" si="16"/>
        <v>0</v>
      </c>
      <c r="I29" s="2"/>
      <c r="J29" s="2"/>
      <c r="K29" s="2"/>
    </row>
    <row r="30" spans="1:21" x14ac:dyDescent="0.25">
      <c r="A30" s="4" t="s">
        <v>14</v>
      </c>
      <c r="B30" s="4"/>
      <c r="C30" s="4">
        <f>C22*$F$5*(1+$B$6)</f>
        <v>50.400000000000006</v>
      </c>
      <c r="D30" s="4">
        <f t="shared" ref="D30:H30" si="17">D22*$F$5*(1+$B$6)</f>
        <v>143.23679999999999</v>
      </c>
      <c r="E30" s="4">
        <f t="shared" si="17"/>
        <v>214.61647200000002</v>
      </c>
      <c r="F30" s="4">
        <f t="shared" si="17"/>
        <v>245.94355379999999</v>
      </c>
      <c r="G30" s="4">
        <f t="shared" si="17"/>
        <v>249.63270710699993</v>
      </c>
      <c r="H30" s="4">
        <f t="shared" si="17"/>
        <v>253.37719771360494</v>
      </c>
      <c r="I30" s="2"/>
      <c r="J30" s="2"/>
      <c r="K30" s="2"/>
    </row>
    <row r="31" spans="1:21" x14ac:dyDescent="0.25">
      <c r="A31" s="3" t="s">
        <v>15</v>
      </c>
      <c r="B31" s="3"/>
      <c r="C31" s="3">
        <f>C26-C28-C29-C30-C27</f>
        <v>97.933800000000005</v>
      </c>
      <c r="D31" s="3">
        <f t="shared" ref="D31:H31" si="18">D26-D28-D29-D30-D27</f>
        <v>312.92077949399987</v>
      </c>
      <c r="E31" s="3">
        <f t="shared" si="18"/>
        <v>486.92390120763724</v>
      </c>
      <c r="F31" s="3">
        <f t="shared" si="18"/>
        <v>572.50558199272029</v>
      </c>
      <c r="G31" s="3">
        <f t="shared" si="18"/>
        <v>594.00742881505516</v>
      </c>
      <c r="H31" s="3">
        <f t="shared" si="18"/>
        <v>616.21533631669411</v>
      </c>
      <c r="I31" s="2"/>
      <c r="J31" s="2"/>
      <c r="K31" s="2"/>
    </row>
    <row r="32" spans="1:21" x14ac:dyDescent="0.25">
      <c r="A32" s="3" t="s">
        <v>62</v>
      </c>
      <c r="B32" s="3"/>
      <c r="C32" s="27">
        <f>C31/C26</f>
        <v>0.53603612479474549</v>
      </c>
      <c r="D32" s="27">
        <f t="shared" ref="D32:H32" si="19">D31/D26</f>
        <v>0.59375289508888918</v>
      </c>
      <c r="E32" s="27">
        <f t="shared" si="19"/>
        <v>0.60751631583707655</v>
      </c>
      <c r="F32" s="27">
        <f t="shared" si="19"/>
        <v>0.6140986514008242</v>
      </c>
      <c r="G32" s="27">
        <f t="shared" si="19"/>
        <v>0.61846939031145631</v>
      </c>
      <c r="H32" s="27">
        <f t="shared" si="19"/>
        <v>0.6227686640731418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0</v>
      </c>
      <c r="F33" s="4">
        <f t="shared" si="20"/>
        <v>0</v>
      </c>
      <c r="G33" s="4">
        <f t="shared" si="20"/>
        <v>0</v>
      </c>
      <c r="H33" s="4">
        <f t="shared" si="20"/>
        <v>0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-73.710000000000022</v>
      </c>
      <c r="D34" s="4">
        <f t="shared" ref="D34:H34" si="21">-$F$6*(C54-C51)</f>
        <v>0.46799999999996317</v>
      </c>
      <c r="E34" s="4">
        <f t="shared" si="21"/>
        <v>-177.24794400000005</v>
      </c>
      <c r="F34" s="4">
        <f t="shared" si="21"/>
        <v>-292.20621876000001</v>
      </c>
      <c r="G34" s="4">
        <f t="shared" si="21"/>
        <v>-281.13875883899999</v>
      </c>
      <c r="H34" s="4">
        <f t="shared" si="21"/>
        <v>-269.90528701918498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-3.6335699999999971</v>
      </c>
      <c r="D35" s="4">
        <f>IF((D31+D33+D34)&gt;0,-(D31+D33+D34)*$F$7,0)</f>
        <v>-47.008316924099972</v>
      </c>
      <c r="E35" s="4">
        <f t="shared" ref="E35:H35" si="22">IF((E31+E33+E34)&gt;0,-(E31+E33+E34)*$F$7,0)</f>
        <v>-46.451393581145581</v>
      </c>
      <c r="F35" s="4">
        <f t="shared" si="22"/>
        <v>-42.044904484908038</v>
      </c>
      <c r="G35" s="4">
        <f t="shared" si="22"/>
        <v>-46.930300496408272</v>
      </c>
      <c r="H35" s="4">
        <f t="shared" si="22"/>
        <v>-51.946507394626366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20.590229999999984</v>
      </c>
      <c r="D36" s="3">
        <f>D31+D33+D34+D35</f>
        <v>266.38046256989986</v>
      </c>
      <c r="E36" s="3">
        <f t="shared" ref="E36:H36" si="23">E31+E33+E34+E35</f>
        <v>263.22456362649166</v>
      </c>
      <c r="F36" s="3">
        <f t="shared" si="23"/>
        <v>238.25445874781224</v>
      </c>
      <c r="G36" s="3">
        <f t="shared" si="23"/>
        <v>265.93836947964689</v>
      </c>
      <c r="H36" s="3">
        <f t="shared" si="23"/>
        <v>294.36354190288273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0.11269967159277496</v>
      </c>
      <c r="D37" s="27">
        <f t="shared" ref="D37:H37" si="24">D36/D26</f>
        <v>0.5054447681670442</v>
      </c>
      <c r="E37" s="27">
        <f t="shared" si="24"/>
        <v>0.3284152138261891</v>
      </c>
      <c r="F37" s="27">
        <f t="shared" si="24"/>
        <v>0.25556386943511972</v>
      </c>
      <c r="G37" s="27">
        <f t="shared" si="24"/>
        <v>0.2768900408545385</v>
      </c>
      <c r="H37" s="27">
        <f t="shared" si="24"/>
        <v>0.29749403972718064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70.990229999999997</v>
      </c>
      <c r="D40" s="4">
        <f t="shared" si="26"/>
        <v>409.61726256989982</v>
      </c>
      <c r="E40" s="4">
        <f t="shared" si="26"/>
        <v>477.8410356264917</v>
      </c>
      <c r="F40" s="4">
        <f t="shared" si="26"/>
        <v>484.19801254781225</v>
      </c>
      <c r="G40" s="4">
        <f t="shared" si="26"/>
        <v>515.57107658664677</v>
      </c>
      <c r="H40" s="4">
        <f t="shared" si="26"/>
        <v>547.74073961648764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-20.590229999999984</v>
      </c>
      <c r="D41" s="4">
        <f t="shared" si="27"/>
        <v>-266.38046256989986</v>
      </c>
      <c r="E41" s="4">
        <f t="shared" si="27"/>
        <v>-263.22456362649166</v>
      </c>
      <c r="F41" s="4">
        <f t="shared" si="27"/>
        <v>-238.25445874781224</v>
      </c>
      <c r="G41" s="4">
        <f t="shared" si="27"/>
        <v>-265.93836947964689</v>
      </c>
      <c r="H41" s="4">
        <f t="shared" si="27"/>
        <v>-294.36354190288273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-218.40000000000006</v>
      </c>
      <c r="E42" s="4">
        <f>-D54/$I$54</f>
        <v>-381.18080000000009</v>
      </c>
      <c r="F42" s="4">
        <f>-E54/$I$54</f>
        <v>-475.76935466666674</v>
      </c>
      <c r="G42" s="4">
        <f>-F54/$I$54</f>
        <v>-444.05139768888893</v>
      </c>
      <c r="H42" s="4">
        <f>-G54/$I$54</f>
        <v>-414.44797117629633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3276.0000000000009</v>
      </c>
      <c r="D43" s="4">
        <f t="shared" ref="D43:H43" si="28">-D45*$F$9</f>
        <v>2660.1119999999996</v>
      </c>
      <c r="E43" s="4">
        <f t="shared" si="28"/>
        <v>1800.0091199999997</v>
      </c>
      <c r="F43" s="4">
        <f t="shared" si="28"/>
        <v>0</v>
      </c>
      <c r="G43" s="4">
        <f t="shared" si="28"/>
        <v>0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0</v>
      </c>
      <c r="F44" s="4">
        <f t="shared" si="29"/>
        <v>0</v>
      </c>
      <c r="G44" s="4">
        <f t="shared" si="29"/>
        <v>0</v>
      </c>
      <c r="H44" s="4">
        <f t="shared" si="29"/>
        <v>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-5040.0000000000009</v>
      </c>
      <c r="D45" s="4">
        <f t="shared" si="30"/>
        <v>-4092.4799999999996</v>
      </c>
      <c r="E45" s="4">
        <f t="shared" si="30"/>
        <v>-2769.2447999999995</v>
      </c>
      <c r="F45" s="4">
        <f t="shared" si="30"/>
        <v>0</v>
      </c>
      <c r="G45" s="4">
        <f t="shared" si="30"/>
        <v>0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5000</v>
      </c>
      <c r="D46" s="4">
        <f>C51</f>
        <v>3286.4</v>
      </c>
      <c r="E46" s="4">
        <f t="shared" ref="E46:H46" si="31">D51</f>
        <v>1778.8688000000002</v>
      </c>
      <c r="F46" s="4">
        <f t="shared" si="31"/>
        <v>643.06879200000049</v>
      </c>
      <c r="G46" s="4">
        <f t="shared" si="31"/>
        <v>413.24299113333376</v>
      </c>
      <c r="H46" s="4">
        <f t="shared" si="31"/>
        <v>218.82430055144471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3286.4</v>
      </c>
      <c r="D47" s="4">
        <f>SUM(D40:D46)</f>
        <v>1778.8688000000002</v>
      </c>
      <c r="E47" s="4">
        <f t="shared" ref="E47:H47" si="32">SUM(E40:E46)</f>
        <v>643.06879200000049</v>
      </c>
      <c r="F47" s="4">
        <f t="shared" si="32"/>
        <v>413.24299113333376</v>
      </c>
      <c r="G47" s="4">
        <f t="shared" si="32"/>
        <v>218.82430055144471</v>
      </c>
      <c r="H47" s="4">
        <f t="shared" si="32"/>
        <v>57.753527088753287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4989.6000000000013</v>
      </c>
      <c r="D50" s="4">
        <f t="shared" si="34"/>
        <v>8938.8432000000012</v>
      </c>
      <c r="E50" s="4">
        <f t="shared" si="34"/>
        <v>11493.471528</v>
      </c>
      <c r="F50" s="4">
        <f t="shared" si="34"/>
        <v>11247.5279742</v>
      </c>
      <c r="G50" s="4">
        <f t="shared" si="34"/>
        <v>10997.895267093001</v>
      </c>
      <c r="H50" s="4">
        <f t="shared" si="34"/>
        <v>10744.518069379395</v>
      </c>
      <c r="I50" s="4"/>
      <c r="J50" s="2"/>
      <c r="K50" s="2"/>
    </row>
    <row r="51" spans="1:11" x14ac:dyDescent="0.25">
      <c r="A51" s="4" t="s">
        <v>20</v>
      </c>
      <c r="B51" s="4">
        <f>B55</f>
        <v>5000</v>
      </c>
      <c r="C51" s="4">
        <f>C47</f>
        <v>3286.4</v>
      </c>
      <c r="D51" s="4">
        <f>D47</f>
        <v>1778.8688000000002</v>
      </c>
      <c r="E51" s="4">
        <f t="shared" ref="E51:H51" si="35">E47</f>
        <v>643.06879200000049</v>
      </c>
      <c r="F51" s="4">
        <f t="shared" si="35"/>
        <v>413.24299113333376</v>
      </c>
      <c r="G51" s="4">
        <f t="shared" si="35"/>
        <v>218.82430055144471</v>
      </c>
      <c r="H51" s="4">
        <f t="shared" si="35"/>
        <v>57.753527088753287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5000</v>
      </c>
      <c r="C53" s="4">
        <f t="shared" ref="C53:H53" si="36">B53+C36+C41</f>
        <v>5000</v>
      </c>
      <c r="D53" s="4">
        <f t="shared" si="36"/>
        <v>5000</v>
      </c>
      <c r="E53" s="4">
        <f t="shared" si="36"/>
        <v>5000</v>
      </c>
      <c r="F53" s="4">
        <f t="shared" si="36"/>
        <v>5000</v>
      </c>
      <c r="G53" s="4">
        <f t="shared" si="36"/>
        <v>5000</v>
      </c>
      <c r="H53" s="4">
        <f t="shared" si="36"/>
        <v>5000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3276.0000000000009</v>
      </c>
      <c r="D54" s="4">
        <f t="shared" ref="D54:H54" si="37">C54+D43+D42</f>
        <v>5717.7120000000014</v>
      </c>
      <c r="E54" s="4">
        <f t="shared" si="37"/>
        <v>7136.540320000001</v>
      </c>
      <c r="F54" s="4">
        <f t="shared" si="37"/>
        <v>6660.7709653333341</v>
      </c>
      <c r="G54" s="4">
        <f t="shared" si="37"/>
        <v>6216.7195676444453</v>
      </c>
      <c r="H54" s="4">
        <f t="shared" si="37"/>
        <v>5802.2715964681493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5000</v>
      </c>
      <c r="C55" s="4">
        <f>SUM(C53:C54)</f>
        <v>8276</v>
      </c>
      <c r="D55" s="4">
        <f>SUM(D53:D54)</f>
        <v>10717.712000000001</v>
      </c>
      <c r="E55" s="4">
        <f t="shared" ref="E55:H55" si="38">SUM(E53:E54)</f>
        <v>12136.54032</v>
      </c>
      <c r="F55" s="4">
        <f t="shared" si="38"/>
        <v>11660.770965333333</v>
      </c>
      <c r="G55" s="4">
        <f t="shared" si="38"/>
        <v>11216.719567644446</v>
      </c>
      <c r="H55" s="4">
        <f t="shared" si="38"/>
        <v>10802.271596468148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4567.5</v>
      </c>
      <c r="D59" s="4">
        <f>D15*$B$4*(1+$B$8)*(1+$B$8)</f>
        <v>8344.8224999999984</v>
      </c>
      <c r="E59" s="4">
        <f>E15*$B$4*(1+$B$8)*(1+$B$8)*(1+$B$8)</f>
        <v>10979.622937499997</v>
      </c>
      <c r="F59" s="4">
        <f>F15*$B$4*(1+$B$8)*(1+$B$8)*(1+$B$8)*(1+$B$8)</f>
        <v>11144.317281562495</v>
      </c>
      <c r="G59" s="4">
        <f>G15*$B$4*(1+$B$8)*(1+$B$8)*(1+$B$8)*(1+$B$8)*(1+$B$8)</f>
        <v>11311.482040785932</v>
      </c>
      <c r="H59" s="4">
        <f>H15*$B$4*(1+$B$8)*(1+$B$8)*(1+$B$8)*(1+$B$8)*(1+$B$8)*(1+$B$8)</f>
        <v>11481.15427139772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5000</v>
      </c>
      <c r="C60" s="4">
        <f t="shared" si="41"/>
        <v>3286.4</v>
      </c>
      <c r="D60" s="4">
        <f t="shared" si="41"/>
        <v>1778.8688000000002</v>
      </c>
      <c r="E60" s="4">
        <f t="shared" si="41"/>
        <v>643.06879200000049</v>
      </c>
      <c r="F60" s="4">
        <f t="shared" si="41"/>
        <v>413.24299113333376</v>
      </c>
      <c r="G60" s="4">
        <f t="shared" si="41"/>
        <v>218.82430055144471</v>
      </c>
      <c r="H60" s="4">
        <f t="shared" si="41"/>
        <v>57.753527088753287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5000</v>
      </c>
      <c r="C62" s="4">
        <f>C59+C60-C63</f>
        <v>4577.8999999999987</v>
      </c>
      <c r="D62" s="4">
        <f t="shared" ref="D62:H62" si="43">D59+D60-D63</f>
        <v>4405.9792999999972</v>
      </c>
      <c r="E62" s="4">
        <f t="shared" si="43"/>
        <v>4486.1514094999957</v>
      </c>
      <c r="F62" s="4">
        <f t="shared" si="43"/>
        <v>4896.7893073624937</v>
      </c>
      <c r="G62" s="4">
        <f t="shared" si="43"/>
        <v>5313.5867736929313</v>
      </c>
      <c r="H62" s="4">
        <f t="shared" si="43"/>
        <v>5736.6362020183233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3276.0000000000009</v>
      </c>
      <c r="D63" s="4">
        <f t="shared" si="42"/>
        <v>5717.7120000000014</v>
      </c>
      <c r="E63" s="4">
        <f t="shared" si="42"/>
        <v>7136.540320000001</v>
      </c>
      <c r="F63" s="4">
        <f t="shared" si="42"/>
        <v>6660.7709653333341</v>
      </c>
      <c r="G63" s="4">
        <f t="shared" si="42"/>
        <v>6216.7195676444453</v>
      </c>
      <c r="H63" s="4">
        <f t="shared" si="42"/>
        <v>5802.2715964681493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5000</v>
      </c>
      <c r="C64" s="4">
        <f>C62+C63</f>
        <v>7853.9</v>
      </c>
      <c r="D64" s="4">
        <f t="shared" ref="D64:H64" si="44">D62+D63</f>
        <v>10123.691299999999</v>
      </c>
      <c r="E64" s="4">
        <f t="shared" si="44"/>
        <v>11622.691729499997</v>
      </c>
      <c r="F64" s="4">
        <f t="shared" si="44"/>
        <v>11557.560272695828</v>
      </c>
      <c r="G64" s="4">
        <f t="shared" si="44"/>
        <v>11530.306341337377</v>
      </c>
      <c r="H64" s="4">
        <f t="shared" si="44"/>
        <v>11538.907798486473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-5000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-5000</v>
      </c>
      <c r="L68" s="4">
        <f t="shared" si="47"/>
        <v>20.590229999999984</v>
      </c>
      <c r="M68" s="4">
        <f t="shared" si="47"/>
        <v>266.38046256989986</v>
      </c>
      <c r="N68" s="4">
        <f t="shared" si="47"/>
        <v>263.22456362649166</v>
      </c>
      <c r="O68" s="4">
        <f t="shared" si="47"/>
        <v>238.25445874781224</v>
      </c>
      <c r="P68" s="4">
        <f t="shared" si="47"/>
        <v>265.93836947964689</v>
      </c>
      <c r="Q68" s="4">
        <f t="shared" si="47"/>
        <v>6030.9997439212057</v>
      </c>
    </row>
    <row r="69" spans="1:17" x14ac:dyDescent="0.25">
      <c r="A69" s="4" t="s">
        <v>42</v>
      </c>
      <c r="B69" s="4"/>
      <c r="C69" s="4">
        <f>-C41</f>
        <v>20.590229999999984</v>
      </c>
      <c r="D69" s="4">
        <f t="shared" ref="D69:G69" si="48">-D41</f>
        <v>266.38046256989986</v>
      </c>
      <c r="E69" s="4">
        <f t="shared" si="48"/>
        <v>263.22456362649166</v>
      </c>
      <c r="F69" s="4">
        <f t="shared" si="48"/>
        <v>238.25445874781224</v>
      </c>
      <c r="G69" s="4">
        <f t="shared" si="48"/>
        <v>265.93836947964689</v>
      </c>
      <c r="H69" s="4">
        <f>-H41+H62</f>
        <v>6030.9997439212057</v>
      </c>
      <c r="I69" s="2"/>
      <c r="J69" s="24"/>
      <c r="K69" s="6"/>
      <c r="L69" s="4">
        <f>K68+L68</f>
        <v>-4979.4097700000002</v>
      </c>
      <c r="M69" s="4">
        <f>M68</f>
        <v>266.38046256989986</v>
      </c>
      <c r="N69" s="4">
        <f t="shared" ref="N69:Q69" si="49">N68</f>
        <v>263.22456362649166</v>
      </c>
      <c r="O69" s="4">
        <f t="shared" si="49"/>
        <v>238.25445874781224</v>
      </c>
      <c r="P69" s="4">
        <f t="shared" si="49"/>
        <v>265.93836947964689</v>
      </c>
      <c r="Q69" s="4">
        <f t="shared" si="49"/>
        <v>6030.9997439212057</v>
      </c>
    </row>
    <row r="70" spans="1:17" x14ac:dyDescent="0.25">
      <c r="A70" s="4" t="s">
        <v>43</v>
      </c>
      <c r="B70" s="4">
        <f>B68+B69</f>
        <v>-5000</v>
      </c>
      <c r="C70" s="4">
        <f t="shared" ref="C70:H70" si="50">C68+C69</f>
        <v>20.590229999999984</v>
      </c>
      <c r="D70" s="4">
        <f t="shared" si="50"/>
        <v>266.38046256989986</v>
      </c>
      <c r="E70" s="4">
        <f t="shared" si="50"/>
        <v>263.22456362649166</v>
      </c>
      <c r="F70" s="4">
        <f t="shared" si="50"/>
        <v>238.25445874781224</v>
      </c>
      <c r="G70" s="4">
        <f t="shared" si="50"/>
        <v>265.93836947964689</v>
      </c>
      <c r="H70" s="4">
        <f t="shared" si="50"/>
        <v>6030.9997439212057</v>
      </c>
    </row>
    <row r="71" spans="1:17" x14ac:dyDescent="0.25">
      <c r="A71" s="4" t="s">
        <v>59</v>
      </c>
      <c r="B71" s="23">
        <f>IRR(B70:H70)</f>
        <v>6.4410118115035608E-2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7.9146169405677869E-2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15</v>
      </c>
      <c r="D78" s="4">
        <f t="shared" si="53"/>
        <v>12</v>
      </c>
      <c r="E78" s="4">
        <f t="shared" si="53"/>
        <v>8</v>
      </c>
      <c r="F78" s="4">
        <f t="shared" si="53"/>
        <v>0</v>
      </c>
      <c r="G78" s="4">
        <f t="shared" si="53"/>
        <v>0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0</v>
      </c>
      <c r="F79" s="4">
        <f t="shared" si="53"/>
        <v>0</v>
      </c>
      <c r="G79" s="4">
        <f t="shared" si="53"/>
        <v>0</v>
      </c>
      <c r="H79" s="4">
        <f t="shared" si="53"/>
        <v>0</v>
      </c>
    </row>
    <row r="80" spans="1:17" x14ac:dyDescent="0.25">
      <c r="A80" s="6" t="s">
        <v>66</v>
      </c>
      <c r="B80" s="6"/>
      <c r="C80" s="4">
        <f t="shared" si="53"/>
        <v>15</v>
      </c>
      <c r="D80" s="4">
        <f t="shared" si="53"/>
        <v>27</v>
      </c>
      <c r="E80" s="4">
        <f t="shared" si="53"/>
        <v>35</v>
      </c>
      <c r="F80" s="4">
        <f t="shared" si="53"/>
        <v>35</v>
      </c>
      <c r="G80" s="4">
        <f t="shared" si="53"/>
        <v>35</v>
      </c>
      <c r="H80" s="4">
        <f t="shared" si="53"/>
        <v>35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182.7</v>
      </c>
      <c r="D84" s="4">
        <f t="shared" si="56"/>
        <v>527.02190099999984</v>
      </c>
      <c r="E84" s="4">
        <f t="shared" si="56"/>
        <v>801.49929888997463</v>
      </c>
      <c r="F84" s="4">
        <f t="shared" si="56"/>
        <v>932.26972683749477</v>
      </c>
      <c r="G84" s="4">
        <f t="shared" si="56"/>
        <v>960.44757933115773</v>
      </c>
      <c r="H84" s="4">
        <f t="shared" si="56"/>
        <v>989.47710741644187</v>
      </c>
    </row>
    <row r="85" spans="1:8" x14ac:dyDescent="0.25">
      <c r="A85" s="6" t="s">
        <v>15</v>
      </c>
      <c r="B85" s="6"/>
      <c r="C85" s="4">
        <f t="shared" ref="C85:H85" si="57">C31</f>
        <v>97.933800000000005</v>
      </c>
      <c r="D85" s="4">
        <f t="shared" si="57"/>
        <v>312.92077949399987</v>
      </c>
      <c r="E85" s="4">
        <f t="shared" si="57"/>
        <v>486.92390120763724</v>
      </c>
      <c r="F85" s="4">
        <f t="shared" si="57"/>
        <v>572.50558199272029</v>
      </c>
      <c r="G85" s="4">
        <f t="shared" si="57"/>
        <v>594.00742881505516</v>
      </c>
      <c r="H85" s="4">
        <f t="shared" si="57"/>
        <v>616.21533631669411</v>
      </c>
    </row>
    <row r="86" spans="1:8" x14ac:dyDescent="0.25">
      <c r="A86" s="6" t="s">
        <v>25</v>
      </c>
      <c r="B86" s="6"/>
      <c r="C86" s="4">
        <f>C40</f>
        <v>70.990229999999997</v>
      </c>
      <c r="D86" s="4">
        <f t="shared" ref="D86:H86" si="58">D40</f>
        <v>409.61726256989982</v>
      </c>
      <c r="E86" s="4">
        <f t="shared" si="58"/>
        <v>477.8410356264917</v>
      </c>
      <c r="F86" s="4">
        <f t="shared" si="58"/>
        <v>484.19801254781225</v>
      </c>
      <c r="G86" s="4">
        <f t="shared" si="58"/>
        <v>515.57107658664677</v>
      </c>
      <c r="H86" s="4">
        <f t="shared" si="58"/>
        <v>547.74073961648764</v>
      </c>
    </row>
    <row r="87" spans="1:8" x14ac:dyDescent="0.25">
      <c r="A87" s="6" t="s">
        <v>17</v>
      </c>
      <c r="B87" s="6"/>
      <c r="C87" s="4">
        <f t="shared" ref="C87:H87" si="59">C36</f>
        <v>20.590229999999984</v>
      </c>
      <c r="D87" s="4">
        <f t="shared" si="59"/>
        <v>266.38046256989986</v>
      </c>
      <c r="E87" s="4">
        <f t="shared" si="59"/>
        <v>263.22456362649166</v>
      </c>
      <c r="F87" s="4">
        <f t="shared" si="59"/>
        <v>238.25445874781224</v>
      </c>
      <c r="G87" s="4">
        <f t="shared" si="59"/>
        <v>265.93836947964689</v>
      </c>
      <c r="H87" s="4">
        <f t="shared" si="59"/>
        <v>294.36354190288273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4989.6000000000013</v>
      </c>
      <c r="D90" s="4">
        <f t="shared" si="61"/>
        <v>8938.8432000000012</v>
      </c>
      <c r="E90" s="4">
        <f t="shared" si="61"/>
        <v>11493.471528</v>
      </c>
      <c r="F90" s="4">
        <f t="shared" si="61"/>
        <v>11247.5279742</v>
      </c>
      <c r="G90" s="4">
        <f t="shared" si="61"/>
        <v>10997.895267093001</v>
      </c>
      <c r="H90" s="4">
        <f t="shared" si="61"/>
        <v>10744.518069379395</v>
      </c>
    </row>
    <row r="91" spans="1:8" x14ac:dyDescent="0.25">
      <c r="A91" s="4" t="s">
        <v>20</v>
      </c>
      <c r="B91" s="4">
        <f>B51</f>
        <v>5000</v>
      </c>
      <c r="C91" s="4">
        <f t="shared" si="61"/>
        <v>3286.4</v>
      </c>
      <c r="D91" s="4">
        <f t="shared" si="61"/>
        <v>1778.8688000000002</v>
      </c>
      <c r="E91" s="4">
        <f t="shared" si="61"/>
        <v>643.06879200000049</v>
      </c>
      <c r="F91" s="4">
        <f t="shared" si="61"/>
        <v>413.24299113333376</v>
      </c>
      <c r="G91" s="4">
        <f t="shared" si="61"/>
        <v>218.82430055144471</v>
      </c>
      <c r="H91" s="4">
        <f t="shared" si="61"/>
        <v>57.753527088753287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5000</v>
      </c>
      <c r="C93" s="4">
        <f t="shared" ref="C93:H95" si="62">L8</f>
        <v>5000</v>
      </c>
      <c r="D93" s="4">
        <f t="shared" si="62"/>
        <v>5000</v>
      </c>
      <c r="E93" s="4">
        <f t="shared" si="62"/>
        <v>5000</v>
      </c>
      <c r="F93" s="4">
        <f t="shared" si="62"/>
        <v>5000</v>
      </c>
      <c r="G93" s="4">
        <f t="shared" si="62"/>
        <v>5000</v>
      </c>
      <c r="H93" s="4">
        <f t="shared" si="62"/>
        <v>5000</v>
      </c>
    </row>
    <row r="94" spans="1:8" x14ac:dyDescent="0.25">
      <c r="A94" s="4" t="s">
        <v>22</v>
      </c>
      <c r="B94" s="4">
        <f>B54</f>
        <v>0</v>
      </c>
      <c r="C94" s="4">
        <f t="shared" si="62"/>
        <v>3276.0000000000009</v>
      </c>
      <c r="D94" s="4">
        <f t="shared" si="62"/>
        <v>5717.7120000000014</v>
      </c>
      <c r="E94" s="4">
        <f t="shared" si="62"/>
        <v>7136.540320000001</v>
      </c>
      <c r="F94" s="4">
        <f t="shared" si="62"/>
        <v>6660.7709653333341</v>
      </c>
      <c r="G94" s="4">
        <f t="shared" si="62"/>
        <v>6216.7195676444453</v>
      </c>
      <c r="H94" s="4">
        <f t="shared" si="62"/>
        <v>5802.2715964681493</v>
      </c>
    </row>
    <row r="95" spans="1:8" x14ac:dyDescent="0.25">
      <c r="A95" s="4" t="s">
        <v>23</v>
      </c>
      <c r="B95" s="4">
        <f>B55</f>
        <v>5000</v>
      </c>
      <c r="C95" s="4">
        <f t="shared" si="62"/>
        <v>8276</v>
      </c>
      <c r="D95" s="4">
        <f t="shared" si="62"/>
        <v>10717.712000000001</v>
      </c>
      <c r="E95" s="4">
        <f t="shared" si="62"/>
        <v>12136.54032</v>
      </c>
      <c r="F95" s="4">
        <f t="shared" si="62"/>
        <v>11660.770965333333</v>
      </c>
      <c r="G95" s="4">
        <f t="shared" si="62"/>
        <v>11216.719567644446</v>
      </c>
      <c r="H95" s="4">
        <f t="shared" si="62"/>
        <v>10802.271596468148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12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  <c r="L97" t="s">
        <v>223</v>
      </c>
    </row>
    <row r="98" spans="1:12" x14ac:dyDescent="0.25">
      <c r="A98" s="4" t="s">
        <v>41</v>
      </c>
      <c r="B98" s="4">
        <f>B68</f>
        <v>-5000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  <c r="I98" s="6" t="s">
        <v>221</v>
      </c>
      <c r="J98" s="6" t="s">
        <v>222</v>
      </c>
      <c r="K98" s="6" t="s">
        <v>214</v>
      </c>
      <c r="L98" s="56">
        <v>0.1</v>
      </c>
    </row>
    <row r="99" spans="1:12" x14ac:dyDescent="0.25">
      <c r="A99" s="4" t="s">
        <v>42</v>
      </c>
      <c r="B99" s="4">
        <f t="shared" ref="B99:H102" si="65">B69</f>
        <v>0</v>
      </c>
      <c r="C99" s="4">
        <f t="shared" si="65"/>
        <v>20.590229999999984</v>
      </c>
      <c r="D99" s="4">
        <f t="shared" si="65"/>
        <v>266.38046256989986</v>
      </c>
      <c r="E99" s="4">
        <f t="shared" si="65"/>
        <v>263.22456362649166</v>
      </c>
      <c r="F99" s="4">
        <f t="shared" si="65"/>
        <v>238.25445874781224</v>
      </c>
      <c r="G99" s="4">
        <f t="shared" si="65"/>
        <v>265.93836947964689</v>
      </c>
      <c r="H99" s="4">
        <f t="shared" si="65"/>
        <v>6030.9997439212057</v>
      </c>
      <c r="I99" s="17">
        <f>SUM(C99:G99) + 890</f>
        <v>1944.3880844238506</v>
      </c>
      <c r="J99" s="4">
        <f>H99+B98</f>
        <v>1030.9997439212057</v>
      </c>
      <c r="K99" s="4">
        <f>J99+I99</f>
        <v>2975.3878283450563</v>
      </c>
      <c r="L99" s="6">
        <f>K99*$L$98</f>
        <v>297.53878283450564</v>
      </c>
    </row>
    <row r="100" spans="1:12" x14ac:dyDescent="0.25">
      <c r="A100" s="4" t="s">
        <v>43</v>
      </c>
      <c r="B100" s="4">
        <f t="shared" si="65"/>
        <v>-5000</v>
      </c>
      <c r="C100" s="4">
        <f t="shared" si="65"/>
        <v>20.590229999999984</v>
      </c>
      <c r="D100" s="4">
        <f t="shared" si="65"/>
        <v>266.38046256989986</v>
      </c>
      <c r="E100" s="4">
        <f t="shared" si="65"/>
        <v>263.22456362649166</v>
      </c>
      <c r="F100" s="4">
        <f t="shared" si="65"/>
        <v>238.25445874781224</v>
      </c>
      <c r="G100" s="4">
        <f t="shared" si="65"/>
        <v>265.93836947964689</v>
      </c>
      <c r="H100" s="4">
        <f t="shared" si="65"/>
        <v>6030.9997439212057</v>
      </c>
      <c r="J100" s="111" t="s">
        <v>225</v>
      </c>
      <c r="K100" s="111" t="s">
        <v>226</v>
      </c>
      <c r="L100" s="111"/>
    </row>
    <row r="101" spans="1:12" hidden="1" x14ac:dyDescent="0.25">
      <c r="A101" s="3" t="s">
        <v>72</v>
      </c>
      <c r="B101" s="37">
        <f t="shared" si="65"/>
        <v>6.4410118115035608E-2</v>
      </c>
      <c r="C101" s="25"/>
      <c r="D101" s="25"/>
      <c r="E101" s="25"/>
      <c r="F101" s="25"/>
      <c r="G101" s="25"/>
      <c r="H101" s="25"/>
      <c r="J101" s="6"/>
      <c r="K101" s="6"/>
      <c r="L101" s="6"/>
    </row>
    <row r="102" spans="1:12" x14ac:dyDescent="0.25">
      <c r="A102" s="3" t="s">
        <v>208</v>
      </c>
      <c r="B102" s="38">
        <f t="shared" si="65"/>
        <v>7.9146169405677869E-2</v>
      </c>
      <c r="C102" s="25"/>
      <c r="D102" s="25"/>
      <c r="E102" s="25"/>
      <c r="F102" s="25"/>
      <c r="G102" s="25"/>
      <c r="H102" s="25"/>
      <c r="J102" s="6">
        <v>20</v>
      </c>
      <c r="K102" s="6">
        <f>B7*B4</f>
        <v>75</v>
      </c>
      <c r="L102" s="6">
        <f>K102*J102</f>
        <v>1500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W20"/>
  <sheetViews>
    <sheetView workbookViewId="0">
      <selection activeCell="A11" sqref="A11"/>
    </sheetView>
  </sheetViews>
  <sheetFormatPr baseColWidth="10" defaultColWidth="5.140625" defaultRowHeight="15" x14ac:dyDescent="0.25"/>
  <cols>
    <col min="2" max="2" width="8" customWidth="1"/>
    <col min="3" max="3" width="2.5703125" customWidth="1"/>
    <col min="15" max="15" width="1.85546875" customWidth="1"/>
  </cols>
  <sheetData>
    <row r="2" spans="3:23" ht="15.75" thickBot="1" x14ac:dyDescent="0.3"/>
    <row r="3" spans="3:23" ht="15.75" thickBot="1" x14ac:dyDescent="0.3">
      <c r="C3" s="39"/>
      <c r="D3" s="40"/>
      <c r="E3" s="40"/>
      <c r="F3" s="40"/>
      <c r="G3" s="40"/>
      <c r="H3" s="40"/>
      <c r="I3" s="40"/>
      <c r="J3" s="40"/>
      <c r="K3" s="40"/>
      <c r="L3" s="41"/>
      <c r="M3" s="41"/>
      <c r="N3" s="40"/>
      <c r="O3" s="42"/>
    </row>
    <row r="4" spans="3:23" ht="15.75" thickBot="1" x14ac:dyDescent="0.3">
      <c r="C4" s="43"/>
      <c r="D4" s="44"/>
      <c r="E4" s="44"/>
      <c r="F4" s="44"/>
      <c r="G4" s="44"/>
      <c r="H4" s="44"/>
      <c r="I4" s="44"/>
      <c r="J4" s="44"/>
      <c r="K4" s="45"/>
      <c r="L4" s="46"/>
      <c r="M4" s="46"/>
      <c r="N4" s="42"/>
      <c r="O4" s="47"/>
    </row>
    <row r="5" spans="3:23" ht="15.75" thickBot="1" x14ac:dyDescent="0.3">
      <c r="C5" s="43"/>
      <c r="D5" s="44"/>
      <c r="E5" s="44"/>
      <c r="F5" s="44"/>
      <c r="G5" s="44"/>
      <c r="H5" s="44"/>
      <c r="I5" s="44"/>
      <c r="J5" s="45"/>
      <c r="K5" s="43"/>
      <c r="L5" s="44"/>
      <c r="M5" s="42"/>
      <c r="N5" s="45"/>
      <c r="O5" s="47"/>
    </row>
    <row r="6" spans="3:23" ht="15.75" customHeight="1" thickBot="1" x14ac:dyDescent="0.3">
      <c r="C6" s="43"/>
      <c r="D6" s="123" t="s">
        <v>74</v>
      </c>
      <c r="E6" s="124"/>
      <c r="F6" s="44"/>
      <c r="G6" s="44"/>
      <c r="H6" s="44"/>
      <c r="I6" s="44"/>
      <c r="J6" s="127" t="s">
        <v>75</v>
      </c>
      <c r="K6" s="128"/>
      <c r="L6" s="129"/>
      <c r="M6" s="55"/>
      <c r="N6" s="44"/>
      <c r="O6" s="47"/>
    </row>
    <row r="7" spans="3:23" ht="15.75" thickBot="1" x14ac:dyDescent="0.3">
      <c r="C7" s="43"/>
      <c r="D7" s="125"/>
      <c r="E7" s="126"/>
      <c r="F7" s="44"/>
      <c r="G7" s="44"/>
      <c r="H7" s="44"/>
      <c r="I7" s="44"/>
      <c r="J7" s="130"/>
      <c r="K7" s="131"/>
      <c r="L7" s="132"/>
      <c r="M7" s="54"/>
      <c r="N7" s="44"/>
      <c r="O7" s="47"/>
    </row>
    <row r="8" spans="3:23" x14ac:dyDescent="0.25">
      <c r="C8" s="43"/>
      <c r="D8" s="48"/>
      <c r="E8" s="48"/>
      <c r="F8" s="44"/>
      <c r="G8" s="44"/>
      <c r="H8" s="44"/>
      <c r="I8" s="44"/>
      <c r="J8" s="49"/>
      <c r="K8" s="49"/>
      <c r="L8" s="49"/>
      <c r="M8" s="49"/>
      <c r="N8" s="44"/>
      <c r="O8" s="47"/>
      <c r="V8" s="44"/>
      <c r="W8" s="44"/>
    </row>
    <row r="9" spans="3:23" x14ac:dyDescent="0.25">
      <c r="C9" s="43"/>
      <c r="D9" s="44"/>
      <c r="E9" s="44"/>
      <c r="F9" s="44"/>
      <c r="G9" s="133" t="s">
        <v>238</v>
      </c>
      <c r="H9" s="133"/>
      <c r="I9" s="44"/>
      <c r="J9" s="44"/>
      <c r="K9" s="44"/>
      <c r="L9" s="44"/>
      <c r="M9" s="44"/>
      <c r="N9" s="44"/>
      <c r="O9" s="47"/>
    </row>
    <row r="10" spans="3:23" x14ac:dyDescent="0.25">
      <c r="C10" s="43"/>
      <c r="D10" s="44"/>
      <c r="E10" s="44"/>
      <c r="F10" s="50"/>
      <c r="G10" s="44"/>
      <c r="H10" s="44"/>
      <c r="I10" s="50"/>
      <c r="J10" s="44"/>
      <c r="K10" s="44"/>
      <c r="L10" s="44"/>
      <c r="M10" s="44"/>
      <c r="N10" s="44"/>
      <c r="O10" s="47"/>
    </row>
    <row r="11" spans="3:23" ht="15.75" thickBot="1" x14ac:dyDescent="0.3">
      <c r="C11" s="43"/>
      <c r="D11" s="44"/>
      <c r="E11" s="44"/>
      <c r="F11" s="44"/>
      <c r="G11" s="44"/>
      <c r="H11" s="44"/>
      <c r="I11" s="44"/>
      <c r="J11" s="51"/>
      <c r="K11" s="51"/>
      <c r="L11" s="44"/>
      <c r="M11" s="44"/>
      <c r="N11" s="44"/>
      <c r="O11" s="47"/>
    </row>
    <row r="12" spans="3:23" x14ac:dyDescent="0.25">
      <c r="C12" s="43"/>
      <c r="D12" s="44"/>
      <c r="E12" s="44"/>
      <c r="F12" s="134" t="s">
        <v>76</v>
      </c>
      <c r="G12" s="135"/>
      <c r="H12" s="135"/>
      <c r="I12" s="136"/>
      <c r="J12" s="44"/>
      <c r="K12" s="44"/>
      <c r="L12" s="140" t="s">
        <v>224</v>
      </c>
      <c r="M12" s="140"/>
      <c r="N12" s="140"/>
      <c r="O12" s="47"/>
    </row>
    <row r="13" spans="3:23" ht="15.75" thickBot="1" x14ac:dyDescent="0.3">
      <c r="C13" s="43"/>
      <c r="D13" s="44"/>
      <c r="E13" s="44"/>
      <c r="F13" s="137"/>
      <c r="G13" s="138"/>
      <c r="H13" s="138"/>
      <c r="I13" s="139"/>
      <c r="J13" s="44"/>
      <c r="K13" s="44"/>
      <c r="L13" s="140"/>
      <c r="M13" s="140"/>
      <c r="N13" s="140"/>
      <c r="O13" s="47"/>
    </row>
    <row r="14" spans="3:23" x14ac:dyDescent="0.25">
      <c r="C14" s="43"/>
      <c r="D14" s="44"/>
      <c r="E14" s="44"/>
      <c r="F14" s="49"/>
      <c r="G14" s="49"/>
      <c r="H14" s="49"/>
      <c r="I14" s="49"/>
      <c r="J14" s="44"/>
      <c r="K14" s="44"/>
      <c r="L14" s="44"/>
      <c r="M14" s="44"/>
      <c r="N14" s="44"/>
      <c r="O14" s="47"/>
    </row>
    <row r="15" spans="3:23" x14ac:dyDescent="0.25">
      <c r="C15" s="43"/>
      <c r="D15" s="44"/>
      <c r="E15" s="44"/>
      <c r="F15" s="49"/>
      <c r="G15" s="49"/>
      <c r="H15" s="49"/>
      <c r="I15" s="49"/>
      <c r="J15" s="51"/>
      <c r="K15" s="44"/>
      <c r="L15" s="44"/>
      <c r="M15" s="44"/>
      <c r="N15" s="44"/>
      <c r="O15" s="47"/>
    </row>
    <row r="16" spans="3:23" x14ac:dyDescent="0.25">
      <c r="C16" s="43"/>
      <c r="D16" s="44"/>
      <c r="E16" s="44"/>
      <c r="F16" s="49"/>
      <c r="G16" s="49"/>
      <c r="H16" s="49"/>
      <c r="I16" s="49"/>
      <c r="J16" s="51"/>
      <c r="K16" s="44"/>
      <c r="L16" s="44"/>
      <c r="M16" s="44"/>
      <c r="N16" s="44"/>
      <c r="O16" s="47"/>
    </row>
    <row r="17" spans="3:15" ht="15.75" thickBot="1" x14ac:dyDescent="0.3">
      <c r="C17" s="43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7"/>
    </row>
    <row r="18" spans="3:15" x14ac:dyDescent="0.25">
      <c r="C18" s="43"/>
      <c r="D18" s="117" t="s">
        <v>77</v>
      </c>
      <c r="E18" s="118"/>
      <c r="F18" s="118"/>
      <c r="G18" s="118"/>
      <c r="H18" s="118"/>
      <c r="I18" s="118"/>
      <c r="J18" s="118"/>
      <c r="K18" s="119"/>
      <c r="L18" s="53"/>
      <c r="M18" s="44"/>
      <c r="N18" s="44"/>
      <c r="O18" s="47"/>
    </row>
    <row r="19" spans="3:15" ht="15.75" thickBot="1" x14ac:dyDescent="0.3">
      <c r="C19" s="43"/>
      <c r="D19" s="120"/>
      <c r="E19" s="121"/>
      <c r="F19" s="121"/>
      <c r="G19" s="121"/>
      <c r="H19" s="121"/>
      <c r="I19" s="121"/>
      <c r="J19" s="121"/>
      <c r="K19" s="122"/>
      <c r="L19" s="53"/>
      <c r="M19" s="44"/>
      <c r="N19" s="44"/>
      <c r="O19" s="47"/>
    </row>
    <row r="20" spans="3:15" ht="15.75" thickBot="1" x14ac:dyDescent="0.3">
      <c r="C20" s="52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5"/>
    </row>
  </sheetData>
  <mergeCells count="6">
    <mergeCell ref="D18:K19"/>
    <mergeCell ref="D6:E7"/>
    <mergeCell ref="J6:L7"/>
    <mergeCell ref="G9:H9"/>
    <mergeCell ref="F12:I13"/>
    <mergeCell ref="L12:N1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workbookViewId="0">
      <selection activeCell="A6" sqref="A6"/>
    </sheetView>
  </sheetViews>
  <sheetFormatPr baseColWidth="10" defaultColWidth="7.42578125" defaultRowHeight="15" x14ac:dyDescent="0.25"/>
  <cols>
    <col min="1" max="1" width="16.28515625" customWidth="1"/>
    <col min="2" max="2" width="10.425781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0" x14ac:dyDescent="0.25">
      <c r="A2" s="1" t="s">
        <v>99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x14ac:dyDescent="0.25">
      <c r="A4" t="str">
        <f>'BP levier 0.65 4M€'!A4</f>
        <v>Prix achat moy murs</v>
      </c>
      <c r="B4">
        <f>'BP levier 0.65 4M€'!B4</f>
        <v>300</v>
      </c>
      <c r="D4" t="str">
        <f>'BP levier 0.65 4M€'!D4</f>
        <v>Frais de gestion</v>
      </c>
      <c r="F4" s="65"/>
      <c r="G4" s="28">
        <f>'BP levier 0.65 4M€'!G4</f>
        <v>0.1</v>
      </c>
      <c r="H4" t="s">
        <v>96</v>
      </c>
      <c r="I4" s="65">
        <f>'BP levier 0.65 4M€'!Q20</f>
        <v>0.9</v>
      </c>
    </row>
    <row r="5" spans="1:10" x14ac:dyDescent="0.25">
      <c r="A5" t="str">
        <f>'BP levier 0.65 4M€'!A5</f>
        <v>Loyer (taux de cap)</v>
      </c>
      <c r="B5" s="24">
        <f>'BP levier 0.65 4M€'!B5</f>
        <v>0.08</v>
      </c>
      <c r="D5" t="str">
        <f>'BP levier 0.65 4M€'!D5</f>
        <v>Amortissement</v>
      </c>
      <c r="F5" s="28">
        <f>'BP levier 0.65 4M€'!F5</f>
        <v>0.02</v>
      </c>
    </row>
    <row r="6" spans="1:10" x14ac:dyDescent="0.25">
      <c r="A6" t="str">
        <f>'BP levier 0.65 4M€'!A6</f>
        <v>Frais acquisition</v>
      </c>
      <c r="B6" s="28">
        <f>'BP levier 0.65 4M€'!B6</f>
        <v>0.12</v>
      </c>
      <c r="D6" t="str">
        <f>'BP levier 0.65 4M€'!D6</f>
        <v xml:space="preserve">Frais fi </v>
      </c>
      <c r="F6" s="24">
        <f>'BP levier 0.65 4M€'!F6</f>
        <v>4.4999999999999998E-2</v>
      </c>
    </row>
    <row r="7" spans="1:10" x14ac:dyDescent="0.25">
      <c r="A7" t="s">
        <v>106</v>
      </c>
      <c r="B7" s="73">
        <v>0.4</v>
      </c>
      <c r="D7" t="str">
        <f>'BP levier 0.65 4M€'!D7</f>
        <v>Taux IS</v>
      </c>
      <c r="F7" s="28">
        <f>'BP levier 0.65 4M€'!F7</f>
        <v>0.15</v>
      </c>
    </row>
    <row r="8" spans="1:10" x14ac:dyDescent="0.25">
      <c r="A8" t="str">
        <f>'BP levier 0.65 4M€'!A9</f>
        <v>Capitaux propres</v>
      </c>
      <c r="B8" s="62">
        <f>B4*(1+B6)*B7</f>
        <v>134.40000000000003</v>
      </c>
      <c r="D8" t="str">
        <f>'BP levier 0.65 4M€'!D8</f>
        <v>Inflation loyer</v>
      </c>
      <c r="F8" s="24">
        <f>'BP levier 0.65 4M€'!F8</f>
        <v>1.4999999999999999E-2</v>
      </c>
    </row>
    <row r="9" spans="1:10" x14ac:dyDescent="0.25">
      <c r="A9" t="s">
        <v>98</v>
      </c>
      <c r="B9" s="2">
        <f>B4*(1+B6)-B29-B8</f>
        <v>-16.800000000000011</v>
      </c>
      <c r="D9" t="str">
        <f>'BP levier 0.65 4M€'!D9</f>
        <v>Dette/valo mur</v>
      </c>
      <c r="F9" s="28">
        <f>'BP levier 0.65 4M€'!F9</f>
        <v>0.65</v>
      </c>
    </row>
    <row r="10" spans="1:10" x14ac:dyDescent="0.25">
      <c r="A10" t="str">
        <f>+A1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11" spans="1:10" x14ac:dyDescent="0.25">
      <c r="A11" s="3" t="s">
        <v>33</v>
      </c>
      <c r="B11" s="6"/>
      <c r="C11" s="33">
        <v>2012</v>
      </c>
      <c r="D11" s="33">
        <f>+C11+1</f>
        <v>2013</v>
      </c>
      <c r="E11" s="33">
        <f t="shared" ref="E11:I11" si="0">+D11+1</f>
        <v>2014</v>
      </c>
      <c r="F11" s="33">
        <f t="shared" si="0"/>
        <v>2015</v>
      </c>
      <c r="G11" s="33">
        <f t="shared" si="0"/>
        <v>2016</v>
      </c>
      <c r="H11" s="33">
        <f t="shared" si="0"/>
        <v>2017</v>
      </c>
      <c r="I11" s="33">
        <f t="shared" si="0"/>
        <v>2018</v>
      </c>
      <c r="J11" s="6"/>
    </row>
    <row r="12" spans="1:10" x14ac:dyDescent="0.25">
      <c r="A12" s="3" t="s">
        <v>12</v>
      </c>
      <c r="B12" s="6"/>
      <c r="C12" s="57">
        <f>$B$5*B4</f>
        <v>24</v>
      </c>
      <c r="D12" s="57">
        <f>C12*(1+$F$8)</f>
        <v>24.36</v>
      </c>
      <c r="E12" s="57">
        <f t="shared" ref="E12:I12" si="1">D12*(1+$F$8)</f>
        <v>24.725399999999997</v>
      </c>
      <c r="F12" s="57">
        <f t="shared" si="1"/>
        <v>25.096280999999994</v>
      </c>
      <c r="G12" s="57">
        <f t="shared" si="1"/>
        <v>25.47272521499999</v>
      </c>
      <c r="H12" s="57">
        <f t="shared" si="1"/>
        <v>25.854816093224986</v>
      </c>
      <c r="I12" s="57">
        <f t="shared" si="1"/>
        <v>26.242638334623358</v>
      </c>
      <c r="J12" s="6"/>
    </row>
    <row r="13" spans="1:10" x14ac:dyDescent="0.25">
      <c r="A13" s="13" t="s">
        <v>63</v>
      </c>
      <c r="B13" s="6"/>
      <c r="C13" s="57">
        <f>-C12*$J$13</f>
        <v>-0.14400000000000002</v>
      </c>
      <c r="D13" s="57">
        <f t="shared" ref="D13:I13" si="2">-D12*$J$13</f>
        <v>-0.14616000000000001</v>
      </c>
      <c r="E13" s="57">
        <f t="shared" si="2"/>
        <v>-0.1483524</v>
      </c>
      <c r="F13" s="57">
        <f t="shared" si="2"/>
        <v>-0.15057768599999996</v>
      </c>
      <c r="G13" s="57">
        <f t="shared" si="2"/>
        <v>-0.15283635128999995</v>
      </c>
      <c r="H13" s="57">
        <f t="shared" si="2"/>
        <v>-0.15512889655934992</v>
      </c>
      <c r="I13" s="57">
        <f t="shared" si="2"/>
        <v>-0.15745583000774016</v>
      </c>
      <c r="J13" s="66">
        <v>6.0000000000000001E-3</v>
      </c>
    </row>
    <row r="14" spans="1:10" x14ac:dyDescent="0.25">
      <c r="A14" s="4" t="s">
        <v>13</v>
      </c>
      <c r="B14" s="6"/>
      <c r="C14" s="57">
        <f>-C12*$G$4</f>
        <v>-2.4000000000000004</v>
      </c>
      <c r="D14" s="57">
        <f t="shared" ref="D14:I14" si="3">-D12*$G$4</f>
        <v>-2.4359999999999999</v>
      </c>
      <c r="E14" s="57">
        <f t="shared" si="3"/>
        <v>-2.47254</v>
      </c>
      <c r="F14" s="57">
        <f t="shared" si="3"/>
        <v>-2.5096280999999996</v>
      </c>
      <c r="G14" s="57">
        <f t="shared" si="3"/>
        <v>-2.5472725214999992</v>
      </c>
      <c r="H14" s="57">
        <f t="shared" si="3"/>
        <v>-2.5854816093224988</v>
      </c>
      <c r="I14" s="57">
        <f t="shared" si="3"/>
        <v>-2.624263833462336</v>
      </c>
      <c r="J14" s="6"/>
    </row>
    <row r="15" spans="1:10" x14ac:dyDescent="0.25">
      <c r="A15" s="4" t="s">
        <v>56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x14ac:dyDescent="0.25">
      <c r="A16" s="4" t="s">
        <v>14</v>
      </c>
      <c r="B16" s="6"/>
      <c r="C16" s="57">
        <f>-$F$5*$B$4*(1+$B$6)</f>
        <v>-6.7200000000000006</v>
      </c>
      <c r="D16" s="57">
        <f>C16</f>
        <v>-6.7200000000000006</v>
      </c>
      <c r="E16" s="57">
        <f t="shared" ref="E16:I16" si="4">D16</f>
        <v>-6.7200000000000006</v>
      </c>
      <c r="F16" s="57">
        <f t="shared" si="4"/>
        <v>-6.7200000000000006</v>
      </c>
      <c r="G16" s="57">
        <f t="shared" si="4"/>
        <v>-6.7200000000000006</v>
      </c>
      <c r="H16" s="57">
        <f t="shared" si="4"/>
        <v>-6.7200000000000006</v>
      </c>
      <c r="I16" s="57">
        <f t="shared" si="4"/>
        <v>-6.7200000000000006</v>
      </c>
      <c r="J16" s="6"/>
    </row>
    <row r="17" spans="1:10" x14ac:dyDescent="0.25">
      <c r="A17" s="3" t="s">
        <v>15</v>
      </c>
      <c r="B17" s="6"/>
      <c r="C17" s="57">
        <f>C12+C13+C14+C15+C16</f>
        <v>14.736000000000002</v>
      </c>
      <c r="D17" s="57">
        <f t="shared" ref="D17:I17" si="5">D12+D13+D14+D15+D16</f>
        <v>15.057840000000001</v>
      </c>
      <c r="E17" s="57">
        <f t="shared" si="5"/>
        <v>15.384507599999997</v>
      </c>
      <c r="F17" s="57">
        <f t="shared" si="5"/>
        <v>15.716075213999995</v>
      </c>
      <c r="G17" s="57">
        <f t="shared" si="5"/>
        <v>16.052616342209994</v>
      </c>
      <c r="H17" s="57">
        <f t="shared" si="5"/>
        <v>16.394205587343137</v>
      </c>
      <c r="I17" s="57">
        <f t="shared" si="5"/>
        <v>16.740918671153281</v>
      </c>
      <c r="J17" s="6"/>
    </row>
    <row r="18" spans="1:10" x14ac:dyDescent="0.25">
      <c r="A18" s="3" t="s">
        <v>62</v>
      </c>
      <c r="B18" s="6"/>
      <c r="C18" s="63">
        <f>C17/C12</f>
        <v>0.6140000000000001</v>
      </c>
      <c r="D18" s="63">
        <f t="shared" ref="D18:I18" si="6">D17/D12</f>
        <v>0.61813793103448278</v>
      </c>
      <c r="E18" s="63">
        <f t="shared" si="6"/>
        <v>0.62221471037880072</v>
      </c>
      <c r="F18" s="63">
        <f t="shared" si="6"/>
        <v>0.62623124175251299</v>
      </c>
      <c r="G18" s="63">
        <f t="shared" si="6"/>
        <v>0.63018841551971727</v>
      </c>
      <c r="H18" s="63">
        <f t="shared" si="6"/>
        <v>0.63408710888642084</v>
      </c>
      <c r="I18" s="63">
        <f t="shared" si="6"/>
        <v>0.6379281860949958</v>
      </c>
      <c r="J18" s="6"/>
    </row>
    <row r="19" spans="1:10" x14ac:dyDescent="0.25">
      <c r="A19" s="5" t="s">
        <v>36</v>
      </c>
      <c r="B19" s="6"/>
      <c r="C19" s="57"/>
      <c r="D19" s="57"/>
      <c r="E19" s="57"/>
      <c r="F19" s="57"/>
      <c r="G19" s="57"/>
      <c r="H19" s="57"/>
      <c r="I19" s="57"/>
      <c r="J19" s="6"/>
    </row>
    <row r="20" spans="1:10" x14ac:dyDescent="0.25">
      <c r="A20" s="4" t="s">
        <v>16</v>
      </c>
      <c r="B20" s="6"/>
      <c r="C20" s="57">
        <f>-(B40+B41)*$F$6</f>
        <v>-9.072000000000001</v>
      </c>
      <c r="D20" s="57">
        <f t="shared" ref="D20:I20" si="7">-(C40+C41)*$F$6</f>
        <v>-8.6417999999999999</v>
      </c>
      <c r="E20" s="57">
        <f t="shared" si="7"/>
        <v>-7.9866000000000001</v>
      </c>
      <c r="F20" s="57">
        <f t="shared" si="7"/>
        <v>-7.3314000000000004</v>
      </c>
      <c r="G20" s="57">
        <f t="shared" si="7"/>
        <v>-6.6762000000000006</v>
      </c>
      <c r="H20" s="57">
        <f t="shared" si="7"/>
        <v>-6.0209999999999999</v>
      </c>
      <c r="I20" s="57">
        <f t="shared" si="7"/>
        <v>-5.3658000000000001</v>
      </c>
      <c r="J20" s="6"/>
    </row>
    <row r="21" spans="1:10" x14ac:dyDescent="0.25">
      <c r="A21" s="4" t="s">
        <v>18</v>
      </c>
      <c r="B21" s="6"/>
      <c r="C21" s="57">
        <f>-(C17+C19+C20)*$F$7</f>
        <v>-0.84960000000000024</v>
      </c>
      <c r="D21" s="57">
        <f t="shared" ref="D21:I21" si="8">-(D17+D19+D20)*$F$7</f>
        <v>-0.96240600000000009</v>
      </c>
      <c r="E21" s="57">
        <f t="shared" si="8"/>
        <v>-1.1096861399999995</v>
      </c>
      <c r="F21" s="57">
        <f t="shared" si="8"/>
        <v>-1.2577012820999991</v>
      </c>
      <c r="G21" s="57">
        <f t="shared" si="8"/>
        <v>-1.4064624513314989</v>
      </c>
      <c r="H21" s="57">
        <f t="shared" si="8"/>
        <v>-1.5559808381014704</v>
      </c>
      <c r="I21" s="57">
        <f t="shared" si="8"/>
        <v>-1.7062678006729921</v>
      </c>
      <c r="J21" s="6"/>
    </row>
    <row r="22" spans="1:10" x14ac:dyDescent="0.25">
      <c r="A22" s="3" t="s">
        <v>17</v>
      </c>
      <c r="B22" s="6"/>
      <c r="C22" s="59">
        <f>C17+C19+C20+C21</f>
        <v>4.8144000000000009</v>
      </c>
      <c r="D22" s="59">
        <f t="shared" ref="D22:I22" si="9">D17+D19+D20+D21</f>
        <v>5.453634000000001</v>
      </c>
      <c r="E22" s="59">
        <f t="shared" si="9"/>
        <v>6.2882214599999973</v>
      </c>
      <c r="F22" s="59">
        <f t="shared" si="9"/>
        <v>7.126973931899995</v>
      </c>
      <c r="G22" s="59">
        <f t="shared" si="9"/>
        <v>7.9699538908784939</v>
      </c>
      <c r="H22" s="59">
        <f t="shared" si="9"/>
        <v>8.8172247492416655</v>
      </c>
      <c r="I22" s="59">
        <f t="shared" si="9"/>
        <v>9.6688508704802896</v>
      </c>
      <c r="J22" s="6"/>
    </row>
    <row r="23" spans="1:10" x14ac:dyDescent="0.25">
      <c r="A2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4" spans="1:10" x14ac:dyDescent="0.25">
      <c r="A24" s="33" t="s">
        <v>97</v>
      </c>
      <c r="B24" s="33"/>
      <c r="C24" s="33">
        <f t="shared" ref="C24:I24" si="10">C11</f>
        <v>2012</v>
      </c>
      <c r="D24" s="33">
        <f t="shared" si="10"/>
        <v>2013</v>
      </c>
      <c r="E24" s="33">
        <f t="shared" si="10"/>
        <v>2014</v>
      </c>
      <c r="F24" s="33">
        <f t="shared" si="10"/>
        <v>2015</v>
      </c>
      <c r="G24" s="33">
        <f t="shared" si="10"/>
        <v>2016</v>
      </c>
      <c r="H24" s="33">
        <f t="shared" si="10"/>
        <v>2017</v>
      </c>
      <c r="I24" s="33">
        <f t="shared" si="10"/>
        <v>2018</v>
      </c>
    </row>
    <row r="25" spans="1:10" x14ac:dyDescent="0.25">
      <c r="A25" s="6" t="s">
        <v>25</v>
      </c>
      <c r="B25" s="57"/>
      <c r="C25" s="57">
        <f>C22-C16</f>
        <v>11.534400000000002</v>
      </c>
      <c r="D25" s="57">
        <f t="shared" ref="D25:I25" si="11">D22-D16</f>
        <v>12.173634000000002</v>
      </c>
      <c r="E25" s="57">
        <f t="shared" si="11"/>
        <v>13.008221459999998</v>
      </c>
      <c r="F25" s="57">
        <f t="shared" si="11"/>
        <v>13.846973931899996</v>
      </c>
      <c r="G25" s="57">
        <f t="shared" si="11"/>
        <v>14.689953890878495</v>
      </c>
      <c r="H25" s="57">
        <f t="shared" si="11"/>
        <v>15.537224749241666</v>
      </c>
      <c r="I25" s="57">
        <f t="shared" si="11"/>
        <v>16.38885087048029</v>
      </c>
    </row>
    <row r="26" spans="1:10" x14ac:dyDescent="0.25">
      <c r="A26" s="4" t="s">
        <v>58</v>
      </c>
      <c r="B26" s="57">
        <f>B8</f>
        <v>134.40000000000003</v>
      </c>
      <c r="C26" s="57"/>
      <c r="D26" s="57"/>
      <c r="E26" s="57"/>
      <c r="F26" s="57"/>
      <c r="G26" s="57"/>
      <c r="H26" s="57"/>
      <c r="I26" s="57"/>
    </row>
    <row r="27" spans="1:10" x14ac:dyDescent="0.25">
      <c r="A27" s="4" t="s">
        <v>98</v>
      </c>
      <c r="B27" s="57">
        <f>B9</f>
        <v>-16.800000000000011</v>
      </c>
      <c r="C27" s="57">
        <v>5</v>
      </c>
      <c r="D27" s="57"/>
      <c r="E27" s="57"/>
      <c r="F27" s="57"/>
      <c r="G27" s="57"/>
      <c r="H27" s="57"/>
      <c r="I27" s="57"/>
    </row>
    <row r="28" spans="1:10" x14ac:dyDescent="0.25">
      <c r="A28" s="4" t="s">
        <v>45</v>
      </c>
      <c r="B28" s="57"/>
      <c r="C28" s="57">
        <f>-B29/J29</f>
        <v>-14.560000000000002</v>
      </c>
      <c r="D28" s="57">
        <f>C28</f>
        <v>-14.560000000000002</v>
      </c>
      <c r="E28" s="57">
        <f t="shared" ref="E28:I28" si="12">D28</f>
        <v>-14.560000000000002</v>
      </c>
      <c r="F28" s="57">
        <f t="shared" si="12"/>
        <v>-14.560000000000002</v>
      </c>
      <c r="G28" s="57">
        <f t="shared" si="12"/>
        <v>-14.560000000000002</v>
      </c>
      <c r="H28" s="57">
        <f t="shared" si="12"/>
        <v>-14.560000000000002</v>
      </c>
      <c r="I28" s="57">
        <f t="shared" si="12"/>
        <v>-14.560000000000002</v>
      </c>
    </row>
    <row r="29" spans="1:10" x14ac:dyDescent="0.25">
      <c r="A29" s="4" t="s">
        <v>57</v>
      </c>
      <c r="B29" s="64">
        <f>B4*(1+B6)*F9</f>
        <v>218.40000000000003</v>
      </c>
      <c r="C29" s="57"/>
      <c r="D29" s="57"/>
      <c r="E29" s="57"/>
      <c r="F29" s="57"/>
      <c r="G29" s="57"/>
      <c r="H29" s="57"/>
      <c r="I29" s="57"/>
      <c r="J29">
        <v>15</v>
      </c>
    </row>
    <row r="30" spans="1:10" x14ac:dyDescent="0.25">
      <c r="A30" s="4" t="s">
        <v>37</v>
      </c>
      <c r="B30" s="57"/>
      <c r="C30" s="57"/>
      <c r="D30" s="57"/>
      <c r="E30" s="57"/>
      <c r="F30" s="57"/>
      <c r="G30" s="57"/>
      <c r="H30" s="57"/>
      <c r="I30" s="57"/>
    </row>
    <row r="31" spans="1:10" x14ac:dyDescent="0.25">
      <c r="A31" s="4" t="s">
        <v>38</v>
      </c>
      <c r="B31" s="57"/>
      <c r="C31" s="57">
        <f>-B4*(1+B6)</f>
        <v>-336.00000000000006</v>
      </c>
      <c r="D31" s="57"/>
      <c r="E31" s="57"/>
      <c r="F31" s="57"/>
      <c r="G31" s="57"/>
      <c r="H31" s="57"/>
      <c r="I31" s="57"/>
    </row>
    <row r="32" spans="1:10" x14ac:dyDescent="0.25">
      <c r="A32" s="4" t="s">
        <v>26</v>
      </c>
      <c r="B32" s="64"/>
      <c r="C32" s="57">
        <f>B33</f>
        <v>336.00000000000006</v>
      </c>
      <c r="D32" s="57">
        <f>C33</f>
        <v>1.9744000000000028</v>
      </c>
      <c r="E32" s="57">
        <f t="shared" ref="E32:I32" si="13">D33</f>
        <v>-0.41196599999999783</v>
      </c>
      <c r="F32" s="57">
        <f t="shared" si="13"/>
        <v>-1.9637445400000022</v>
      </c>
      <c r="G32" s="57">
        <f t="shared" si="13"/>
        <v>-2.6767706081000089</v>
      </c>
      <c r="H32" s="57">
        <f t="shared" si="13"/>
        <v>-2.5468167172215157</v>
      </c>
      <c r="I32" s="57">
        <f t="shared" si="13"/>
        <v>-1.5695919679798518</v>
      </c>
    </row>
    <row r="33" spans="1:17" x14ac:dyDescent="0.25">
      <c r="A33" s="4" t="s">
        <v>27</v>
      </c>
      <c r="B33" s="57">
        <f>SUM(B25:B31)</f>
        <v>336.00000000000006</v>
      </c>
      <c r="C33" s="57">
        <f>SUM(C25:C32)</f>
        <v>1.9744000000000028</v>
      </c>
      <c r="D33" s="57">
        <f>SUM(D25:D32)</f>
        <v>-0.41196599999999783</v>
      </c>
      <c r="E33" s="57">
        <f t="shared" ref="E33:I33" si="14">SUM(E25:E32)</f>
        <v>-1.9637445400000022</v>
      </c>
      <c r="F33" s="57">
        <f t="shared" si="14"/>
        <v>-2.6767706081000089</v>
      </c>
      <c r="G33" s="57">
        <f t="shared" si="14"/>
        <v>-2.5468167172215157</v>
      </c>
      <c r="H33" s="57">
        <f t="shared" si="14"/>
        <v>-1.5695919679798518</v>
      </c>
      <c r="I33" s="57">
        <f t="shared" si="14"/>
        <v>0.25925890250043615</v>
      </c>
    </row>
    <row r="34" spans="1:17" x14ac:dyDescent="0.25">
      <c r="A3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5" spans="1:17" x14ac:dyDescent="0.25">
      <c r="A35" s="3" t="s">
        <v>40</v>
      </c>
      <c r="B35" s="33"/>
      <c r="C35" s="33">
        <f>C24</f>
        <v>2012</v>
      </c>
      <c r="D35" s="33">
        <f t="shared" ref="D35:I35" si="15">D24</f>
        <v>2013</v>
      </c>
      <c r="E35" s="33">
        <f t="shared" si="15"/>
        <v>2014</v>
      </c>
      <c r="F35" s="33">
        <f t="shared" si="15"/>
        <v>2015</v>
      </c>
      <c r="G35" s="33">
        <f t="shared" si="15"/>
        <v>2016</v>
      </c>
      <c r="H35" s="33">
        <f t="shared" si="15"/>
        <v>2017</v>
      </c>
      <c r="I35" s="33">
        <f t="shared" si="15"/>
        <v>2018</v>
      </c>
    </row>
    <row r="36" spans="1:17" x14ac:dyDescent="0.25">
      <c r="A36" s="4" t="s">
        <v>19</v>
      </c>
      <c r="B36" s="29"/>
      <c r="C36" s="29">
        <f>-C31+C16</f>
        <v>329.28000000000003</v>
      </c>
      <c r="D36" s="29">
        <f>C36+D16</f>
        <v>322.56</v>
      </c>
      <c r="E36" s="29">
        <f t="shared" ref="E36:I36" si="16">D36+E16</f>
        <v>315.83999999999997</v>
      </c>
      <c r="F36" s="29">
        <f t="shared" si="16"/>
        <v>309.11999999999995</v>
      </c>
      <c r="G36" s="29">
        <f t="shared" si="16"/>
        <v>302.39999999999992</v>
      </c>
      <c r="H36" s="29">
        <f t="shared" si="16"/>
        <v>295.67999999999989</v>
      </c>
      <c r="I36" s="29">
        <f t="shared" si="16"/>
        <v>288.95999999999987</v>
      </c>
      <c r="K36" s="71" t="s">
        <v>100</v>
      </c>
      <c r="L36" s="69"/>
      <c r="M36" s="70"/>
      <c r="N36" s="57">
        <f>I39</f>
        <v>184.53925890250045</v>
      </c>
    </row>
    <row r="37" spans="1:17" x14ac:dyDescent="0.25">
      <c r="A37" s="4" t="s">
        <v>20</v>
      </c>
      <c r="B37" s="29">
        <f>B33</f>
        <v>336.00000000000006</v>
      </c>
      <c r="C37" s="29">
        <f>C33</f>
        <v>1.9744000000000028</v>
      </c>
      <c r="D37" s="29">
        <f>D33</f>
        <v>-0.41196599999999783</v>
      </c>
      <c r="E37" s="29">
        <f t="shared" ref="E37:I37" si="17">E33</f>
        <v>-1.9637445400000022</v>
      </c>
      <c r="F37" s="29">
        <f t="shared" si="17"/>
        <v>-2.6767706081000089</v>
      </c>
      <c r="G37" s="29">
        <f t="shared" si="17"/>
        <v>-2.5468167172215157</v>
      </c>
      <c r="H37" s="29">
        <f t="shared" si="17"/>
        <v>-1.5695919679798518</v>
      </c>
      <c r="I37" s="29">
        <f t="shared" si="17"/>
        <v>0.25925890250043615</v>
      </c>
      <c r="K37" s="71" t="s">
        <v>101</v>
      </c>
      <c r="L37" s="69"/>
      <c r="M37" s="70"/>
      <c r="N37" s="67">
        <f>B4*POWER((1+$P$37),7)-I40-I41</f>
        <v>228.27347387053373</v>
      </c>
      <c r="O37" s="68" t="s">
        <v>104</v>
      </c>
      <c r="P37" s="72">
        <v>1.4999999999999999E-2</v>
      </c>
      <c r="Q37" s="8" t="s">
        <v>105</v>
      </c>
    </row>
    <row r="38" spans="1:17" x14ac:dyDescent="0.25">
      <c r="A38" s="4"/>
      <c r="B38" s="29"/>
      <c r="C38" s="29"/>
      <c r="D38" s="29"/>
      <c r="E38" s="29"/>
      <c r="F38" s="29"/>
      <c r="G38" s="29"/>
      <c r="H38" s="29"/>
      <c r="I38" s="29"/>
      <c r="K38" s="71" t="s">
        <v>102</v>
      </c>
      <c r="L38" s="69"/>
      <c r="M38" s="70"/>
      <c r="N38" s="67">
        <f>B4*POWER((1+$P$37),7)+I37-I40-I41</f>
        <v>228.53273277303418</v>
      </c>
    </row>
    <row r="39" spans="1:17" x14ac:dyDescent="0.25">
      <c r="A39" s="4" t="s">
        <v>21</v>
      </c>
      <c r="B39" s="29">
        <f>B26</f>
        <v>134.40000000000003</v>
      </c>
      <c r="C39" s="29">
        <f>B39+C22</f>
        <v>139.21440000000004</v>
      </c>
      <c r="D39" s="29">
        <f>C39+D22</f>
        <v>144.66803400000003</v>
      </c>
      <c r="E39" s="29">
        <f t="shared" ref="E39:I39" si="18">D39+E22</f>
        <v>150.95625546000002</v>
      </c>
      <c r="F39" s="29">
        <f t="shared" si="18"/>
        <v>158.08322939190001</v>
      </c>
      <c r="G39" s="29">
        <f t="shared" si="18"/>
        <v>166.05318328277849</v>
      </c>
      <c r="H39" s="29">
        <f t="shared" si="18"/>
        <v>174.87040803202015</v>
      </c>
      <c r="I39" s="29">
        <f t="shared" si="18"/>
        <v>184.53925890250045</v>
      </c>
      <c r="K39" s="71" t="s">
        <v>103</v>
      </c>
      <c r="L39" s="69"/>
      <c r="M39" s="70"/>
      <c r="N39" s="67">
        <f>B4*(1+B6)*POWER((1+$P$37),7)+I37-I40-I41</f>
        <v>268.48714963749831</v>
      </c>
    </row>
    <row r="40" spans="1:17" x14ac:dyDescent="0.25">
      <c r="A40" s="4" t="s">
        <v>98</v>
      </c>
      <c r="B40" s="29">
        <f>B27</f>
        <v>-16.800000000000011</v>
      </c>
      <c r="C40" s="29">
        <f>B40+C27</f>
        <v>-11.800000000000011</v>
      </c>
      <c r="D40" s="29">
        <f>C40+D27</f>
        <v>-11.800000000000011</v>
      </c>
      <c r="E40" s="29">
        <f t="shared" ref="E40:I40" si="19">D40+E27</f>
        <v>-11.800000000000011</v>
      </c>
      <c r="F40" s="29">
        <f t="shared" si="19"/>
        <v>-11.800000000000011</v>
      </c>
      <c r="G40" s="29">
        <f t="shared" si="19"/>
        <v>-11.800000000000011</v>
      </c>
      <c r="H40" s="29">
        <f t="shared" si="19"/>
        <v>-11.800000000000011</v>
      </c>
      <c r="I40" s="29">
        <f t="shared" si="19"/>
        <v>-11.800000000000011</v>
      </c>
    </row>
    <row r="41" spans="1:17" x14ac:dyDescent="0.25">
      <c r="A41" s="4" t="s">
        <v>22</v>
      </c>
      <c r="B41" s="29">
        <f>B29</f>
        <v>218.40000000000003</v>
      </c>
      <c r="C41" s="29">
        <f>B41+C29+C28</f>
        <v>203.84000000000003</v>
      </c>
      <c r="D41" s="29">
        <f>C41+D28</f>
        <v>189.28000000000003</v>
      </c>
      <c r="E41" s="29">
        <f t="shared" ref="E41:I41" si="20">D41+E28</f>
        <v>174.72000000000003</v>
      </c>
      <c r="F41" s="29">
        <f t="shared" si="20"/>
        <v>160.16000000000003</v>
      </c>
      <c r="G41" s="29">
        <f t="shared" si="20"/>
        <v>145.60000000000002</v>
      </c>
      <c r="H41" s="29">
        <f t="shared" si="20"/>
        <v>131.04000000000002</v>
      </c>
      <c r="I41" s="29">
        <f t="shared" si="20"/>
        <v>116.48000000000002</v>
      </c>
    </row>
    <row r="42" spans="1:17" x14ac:dyDescent="0.25">
      <c r="A42" s="3" t="s">
        <v>23</v>
      </c>
      <c r="B42" s="59">
        <f>SUM(B39:B41)</f>
        <v>336.00000000000006</v>
      </c>
      <c r="C42" s="59">
        <f>SUM(C39:C41)</f>
        <v>331.25440000000003</v>
      </c>
      <c r="D42" s="59">
        <f>SUM(D39:D41)</f>
        <v>322.14803400000005</v>
      </c>
      <c r="E42" s="59">
        <f t="shared" ref="E42:I42" si="21">SUM(E39:E41)</f>
        <v>313.87625546000004</v>
      </c>
      <c r="F42" s="59">
        <f t="shared" si="21"/>
        <v>306.44322939189999</v>
      </c>
      <c r="G42" s="59">
        <f t="shared" si="21"/>
        <v>299.8531832827785</v>
      </c>
      <c r="H42" s="59">
        <f t="shared" si="21"/>
        <v>294.11040803202013</v>
      </c>
      <c r="I42" s="59">
        <f t="shared" si="21"/>
        <v>289.21925890250043</v>
      </c>
    </row>
    <row r="43" spans="1:17" x14ac:dyDescent="0.25">
      <c r="A43" s="4" t="s">
        <v>24</v>
      </c>
      <c r="B43" s="29">
        <f>B42-B36-B37</f>
        <v>0</v>
      </c>
      <c r="C43" s="29">
        <f t="shared" ref="C43:I43" si="22">C42-C36-C37</f>
        <v>0</v>
      </c>
      <c r="D43" s="29">
        <f t="shared" si="22"/>
        <v>4.7961634663806763E-14</v>
      </c>
      <c r="E43" s="29">
        <f t="shared" si="22"/>
        <v>6.5725203057809267E-14</v>
      </c>
      <c r="F43" s="29">
        <f t="shared" si="22"/>
        <v>5.1514348342607263E-14</v>
      </c>
      <c r="G43" s="29">
        <f t="shared" si="22"/>
        <v>9.7699626167013776E-14</v>
      </c>
      <c r="H43" s="29">
        <f t="shared" si="22"/>
        <v>9.0594198809412774E-14</v>
      </c>
      <c r="I43" s="29">
        <f t="shared" si="22"/>
        <v>1.2612133559741778E-13</v>
      </c>
    </row>
    <row r="44" spans="1:17" x14ac:dyDescent="0.25">
      <c r="A44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4"/>
  <sheetViews>
    <sheetView zoomScale="80" zoomScaleNormal="80" workbookViewId="0">
      <selection activeCell="L30" sqref="L30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2.5703125" customWidth="1"/>
    <col min="9" max="9" width="11.2851562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40924</v>
      </c>
      <c r="J2" s="88"/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1330.5600000000002</v>
      </c>
      <c r="M5" s="13">
        <f t="shared" si="0"/>
        <v>3032.4648000000002</v>
      </c>
      <c r="N5" s="13">
        <f t="shared" si="0"/>
        <v>5757.8647440000004</v>
      </c>
      <c r="O5" s="13">
        <f t="shared" si="0"/>
        <v>6037.5888351000003</v>
      </c>
      <c r="P5" s="13">
        <f t="shared" si="0"/>
        <v>8493.806406395699</v>
      </c>
      <c r="Q5" s="13">
        <f t="shared" si="0"/>
        <v>8016.4423679961765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I6" t="s">
        <v>53</v>
      </c>
      <c r="J6" s="4" t="s">
        <v>20</v>
      </c>
      <c r="K6" s="13">
        <f t="shared" si="0"/>
        <v>250</v>
      </c>
      <c r="L6" s="13">
        <f t="shared" si="0"/>
        <v>116.93967999999995</v>
      </c>
      <c r="M6" s="13">
        <f t="shared" si="0"/>
        <v>176.01087999999982</v>
      </c>
      <c r="N6" s="13">
        <f t="shared" si="0"/>
        <v>56.432895999999801</v>
      </c>
      <c r="O6" s="13">
        <f t="shared" si="0"/>
        <v>37.37522209999986</v>
      </c>
      <c r="P6" s="13">
        <f t="shared" si="0"/>
        <v>80.627065038633532</v>
      </c>
      <c r="Q6" s="13">
        <f t="shared" si="0"/>
        <v>2.2221840092014418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250</v>
      </c>
      <c r="L8" s="13">
        <f t="shared" si="1"/>
        <v>237.89967999999999</v>
      </c>
      <c r="M8" s="13">
        <f t="shared" si="1"/>
        <v>237.89968000000002</v>
      </c>
      <c r="N8" s="13">
        <f t="shared" si="1"/>
        <v>237.89967999999999</v>
      </c>
      <c r="O8" s="13">
        <f t="shared" si="1"/>
        <v>237.89967999999999</v>
      </c>
      <c r="P8" s="13">
        <f t="shared" si="1"/>
        <v>237.89967999999999</v>
      </c>
      <c r="Q8" s="13">
        <f t="shared" si="1"/>
        <v>237.89967999999999</v>
      </c>
      <c r="R8" s="4"/>
    </row>
    <row r="9" spans="1:18" x14ac:dyDescent="0.25">
      <c r="A9" s="16" t="s">
        <v>58</v>
      </c>
      <c r="B9" s="9">
        <v>250</v>
      </c>
      <c r="D9" s="20" t="s">
        <v>61</v>
      </c>
      <c r="E9" s="8"/>
      <c r="F9" s="9">
        <v>0.9</v>
      </c>
      <c r="J9" s="4" t="s">
        <v>22</v>
      </c>
      <c r="K9" s="13">
        <f t="shared" si="1"/>
        <v>0</v>
      </c>
      <c r="L9" s="13">
        <f t="shared" si="1"/>
        <v>1209.6000000000001</v>
      </c>
      <c r="M9" s="13">
        <f t="shared" si="1"/>
        <v>2970.576</v>
      </c>
      <c r="N9" s="13">
        <f t="shared" si="1"/>
        <v>5576.3979599999993</v>
      </c>
      <c r="O9" s="13">
        <f t="shared" si="1"/>
        <v>5837.0643771999994</v>
      </c>
      <c r="P9" s="13">
        <f t="shared" si="1"/>
        <v>8336.5337914343327</v>
      </c>
      <c r="Q9" s="13">
        <f t="shared" si="1"/>
        <v>7780.7648720053767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250</v>
      </c>
      <c r="L10" s="13">
        <f t="shared" si="1"/>
        <v>1447.4996800000001</v>
      </c>
      <c r="M10" s="13">
        <f t="shared" si="1"/>
        <v>3208.47568</v>
      </c>
      <c r="N10" s="13">
        <f t="shared" si="1"/>
        <v>5814.2976399999989</v>
      </c>
      <c r="O10" s="13">
        <f t="shared" si="1"/>
        <v>6074.9640571999989</v>
      </c>
      <c r="P10" s="13">
        <f t="shared" si="1"/>
        <v>8574.4334714343331</v>
      </c>
      <c r="Q10" s="13">
        <f t="shared" si="1"/>
        <v>8018.6645520053771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 t="shared" ref="D12" si="3">C15</f>
        <v>4</v>
      </c>
      <c r="E12" s="4">
        <f t="shared" ref="E12" si="4">D15</f>
        <v>9</v>
      </c>
      <c r="F12" s="4">
        <f t="shared" ref="F12" si="5">E15</f>
        <v>17</v>
      </c>
      <c r="G12" s="4">
        <f t="shared" ref="G12:H12" si="6">F15</f>
        <v>18</v>
      </c>
      <c r="H12" s="4">
        <f t="shared" si="6"/>
        <v>25</v>
      </c>
      <c r="I12" s="2"/>
      <c r="J12" s="2"/>
      <c r="K12" s="2"/>
    </row>
    <row r="13" spans="1:18" x14ac:dyDescent="0.25">
      <c r="A13" s="4" t="s">
        <v>3</v>
      </c>
      <c r="B13" s="4"/>
      <c r="C13" s="11">
        <v>4</v>
      </c>
      <c r="D13" s="15">
        <v>6</v>
      </c>
      <c r="E13" s="11">
        <v>9</v>
      </c>
      <c r="F13" s="11">
        <v>2</v>
      </c>
      <c r="G13" s="11">
        <v>9</v>
      </c>
      <c r="H13" s="11"/>
      <c r="I13" s="2"/>
      <c r="J13" s="3" t="s">
        <v>59</v>
      </c>
      <c r="K13" s="87">
        <f>B71</f>
        <v>0.29051230783786264</v>
      </c>
    </row>
    <row r="14" spans="1:18" x14ac:dyDescent="0.25">
      <c r="A14" s="4" t="s">
        <v>4</v>
      </c>
      <c r="B14" s="4"/>
      <c r="C14" s="11">
        <v>0</v>
      </c>
      <c r="D14" s="11">
        <v>-1</v>
      </c>
      <c r="E14" s="11">
        <v>-1</v>
      </c>
      <c r="F14" s="11">
        <v>-1</v>
      </c>
      <c r="G14" s="11">
        <v>-2</v>
      </c>
      <c r="H14" s="11">
        <v>-1</v>
      </c>
      <c r="I14" s="2"/>
      <c r="J14" s="3" t="s">
        <v>60</v>
      </c>
      <c r="K14" s="87">
        <f>B72</f>
        <v>0.41230865795635574</v>
      </c>
    </row>
    <row r="15" spans="1:18" x14ac:dyDescent="0.25">
      <c r="A15" s="4" t="s">
        <v>5</v>
      </c>
      <c r="B15" s="4">
        <f>B12+B13+B14</f>
        <v>0</v>
      </c>
      <c r="C15" s="4">
        <f>C12+C13+C14</f>
        <v>4</v>
      </c>
      <c r="D15" s="4">
        <f>D12+D13+D14</f>
        <v>9</v>
      </c>
      <c r="E15" s="4">
        <f t="shared" ref="E15:H15" si="7">E12+E13+E14</f>
        <v>17</v>
      </c>
      <c r="F15" s="4">
        <f t="shared" si="7"/>
        <v>18</v>
      </c>
      <c r="G15" s="4">
        <f t="shared" si="7"/>
        <v>25</v>
      </c>
      <c r="H15" s="4">
        <f t="shared" si="7"/>
        <v>24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2</v>
      </c>
      <c r="D16" s="4">
        <f>(D12+D15)/2</f>
        <v>6.5</v>
      </c>
      <c r="E16" s="4">
        <f t="shared" ref="E16:H16" si="8">(E12+E15)/2</f>
        <v>13</v>
      </c>
      <c r="F16" s="4">
        <f t="shared" si="8"/>
        <v>17.5</v>
      </c>
      <c r="G16" s="4">
        <f t="shared" si="8"/>
        <v>21.5</v>
      </c>
      <c r="H16" s="4">
        <f t="shared" si="8"/>
        <v>24.5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9">D17*(1+$B$8)</f>
        <v>309.06749999999994</v>
      </c>
      <c r="F17" s="4">
        <f t="shared" si="9"/>
        <v>313.70351249999993</v>
      </c>
      <c r="G17" s="4">
        <f t="shared" si="9"/>
        <v>318.40906518749989</v>
      </c>
      <c r="H17" s="4">
        <f t="shared" si="9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10">D17*(1+$B$6)</f>
        <v>341.03999999999996</v>
      </c>
      <c r="E18" s="4">
        <f t="shared" si="10"/>
        <v>346.15559999999994</v>
      </c>
      <c r="F18" s="4">
        <f t="shared" si="10"/>
        <v>351.34793399999995</v>
      </c>
      <c r="G18" s="4">
        <f t="shared" si="10"/>
        <v>356.6181530099999</v>
      </c>
      <c r="H18" s="4">
        <f t="shared" si="10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360</v>
      </c>
    </row>
    <row r="20" spans="1:18" x14ac:dyDescent="0.25">
      <c r="A20" s="3"/>
      <c r="B20" s="3">
        <f t="shared" ref="B20:H20" si="11">B11</f>
        <v>2012</v>
      </c>
      <c r="C20" s="3">
        <f t="shared" si="11"/>
        <v>2013</v>
      </c>
      <c r="D20" s="3">
        <f t="shared" si="11"/>
        <v>2014</v>
      </c>
      <c r="E20" s="3">
        <f t="shared" si="11"/>
        <v>2015</v>
      </c>
      <c r="F20" s="3">
        <f t="shared" si="11"/>
        <v>2016</v>
      </c>
      <c r="G20" s="3">
        <f t="shared" si="11"/>
        <v>2017</v>
      </c>
      <c r="H20" s="3">
        <f t="shared" si="11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287.70448514630465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12">D12*D17</f>
        <v>1217.9999999999998</v>
      </c>
      <c r="E21" s="4">
        <f t="shared" si="12"/>
        <v>2781.6074999999996</v>
      </c>
      <c r="F21" s="4">
        <f t="shared" si="12"/>
        <v>5332.9597124999991</v>
      </c>
      <c r="G21" s="4">
        <f t="shared" si="12"/>
        <v>5731.363173374998</v>
      </c>
      <c r="H21" s="4">
        <f t="shared" si="12"/>
        <v>8079.6300291328098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112.5</v>
      </c>
    </row>
    <row r="22" spans="1:18" x14ac:dyDescent="0.25">
      <c r="A22" s="4" t="s">
        <v>29</v>
      </c>
      <c r="B22" s="4"/>
      <c r="C22" s="4">
        <f>C16*C17</f>
        <v>600</v>
      </c>
      <c r="D22" s="4">
        <f t="shared" ref="D22:H22" si="13">D16*D17</f>
        <v>1979.2499999999995</v>
      </c>
      <c r="E22" s="4">
        <f t="shared" si="13"/>
        <v>4017.8774999999991</v>
      </c>
      <c r="F22" s="4">
        <f t="shared" si="13"/>
        <v>5489.8114687499992</v>
      </c>
      <c r="G22" s="4">
        <f t="shared" si="13"/>
        <v>6845.7949015312479</v>
      </c>
      <c r="H22" s="4">
        <f t="shared" si="13"/>
        <v>7918.037428550153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67.5</v>
      </c>
    </row>
    <row r="23" spans="1:18" x14ac:dyDescent="0.25">
      <c r="A23" s="4" t="s">
        <v>30</v>
      </c>
      <c r="B23" s="4"/>
      <c r="C23" s="4">
        <f>C15*C17</f>
        <v>1200</v>
      </c>
      <c r="D23" s="4">
        <f t="shared" ref="D23:H23" si="14">D15*D17</f>
        <v>2740.4999999999995</v>
      </c>
      <c r="E23" s="4">
        <f t="shared" si="14"/>
        <v>5254.1474999999991</v>
      </c>
      <c r="F23" s="4">
        <f t="shared" si="14"/>
        <v>5646.6632249999984</v>
      </c>
      <c r="G23" s="4">
        <f t="shared" si="14"/>
        <v>7960.2266296874968</v>
      </c>
      <c r="H23" s="4">
        <f t="shared" si="14"/>
        <v>7756.4448279674971</v>
      </c>
      <c r="I23" s="2" t="s">
        <v>53</v>
      </c>
      <c r="J23" s="2"/>
      <c r="K23" s="2"/>
      <c r="Q23" s="6" t="s">
        <v>23</v>
      </c>
      <c r="R23" s="4">
        <f>SUM(R19:R22)</f>
        <v>827.70448514630471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5">B20</f>
        <v>2012</v>
      </c>
      <c r="C25" s="3">
        <f t="shared" si="15"/>
        <v>2013</v>
      </c>
      <c r="D25" s="3">
        <f t="shared" si="15"/>
        <v>2014</v>
      </c>
      <c r="E25" s="3">
        <f t="shared" si="15"/>
        <v>2015</v>
      </c>
      <c r="F25" s="3">
        <f t="shared" si="15"/>
        <v>2016</v>
      </c>
      <c r="G25" s="3">
        <f t="shared" si="15"/>
        <v>2017</v>
      </c>
      <c r="H25" s="3">
        <f t="shared" si="15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735.8358250812804</v>
      </c>
    </row>
    <row r="26" spans="1:18" x14ac:dyDescent="0.25">
      <c r="A26" s="3" t="s">
        <v>12</v>
      </c>
      <c r="B26" s="3"/>
      <c r="C26" s="3">
        <f t="shared" ref="C26:H26" si="16">C22*$B$5*C75</f>
        <v>48.72</v>
      </c>
      <c r="D26" s="3">
        <f t="shared" si="16"/>
        <v>163.12582649999993</v>
      </c>
      <c r="E26" s="3">
        <f t="shared" si="16"/>
        <v>336.11260921192485</v>
      </c>
      <c r="F26" s="3">
        <f t="shared" si="16"/>
        <v>466.13486341874739</v>
      </c>
      <c r="G26" s="3">
        <f t="shared" si="16"/>
        <v>589.98922730342554</v>
      </c>
      <c r="H26" s="3">
        <f t="shared" si="16"/>
        <v>692.63397519150919</v>
      </c>
      <c r="I26" s="107">
        <f>SUM(C26:H26)</f>
        <v>2296.7165016256067</v>
      </c>
      <c r="J26" s="4">
        <f>I26*4%</f>
        <v>91.868660065024272</v>
      </c>
      <c r="K26" s="2"/>
      <c r="O26" s="108" t="s">
        <v>217</v>
      </c>
      <c r="P26" s="108"/>
      <c r="Q26" s="108"/>
      <c r="R26" s="109">
        <f>R25/6</f>
        <v>122.6393041802134</v>
      </c>
    </row>
    <row r="27" spans="1:18" x14ac:dyDescent="0.25">
      <c r="A27" s="13" t="s">
        <v>63</v>
      </c>
      <c r="B27" s="3"/>
      <c r="C27" s="29">
        <f t="shared" ref="C27:H27" si="17">$I$27*C26</f>
        <v>0.29232000000000002</v>
      </c>
      <c r="D27" s="29">
        <f t="shared" si="17"/>
        <v>0.97875495899999965</v>
      </c>
      <c r="E27" s="29">
        <f t="shared" si="17"/>
        <v>2.0166756552715492</v>
      </c>
      <c r="F27" s="29">
        <f t="shared" si="17"/>
        <v>2.7968091805124842</v>
      </c>
      <c r="G27" s="29">
        <f t="shared" si="17"/>
        <v>3.5399353638205535</v>
      </c>
      <c r="H27" s="29">
        <f t="shared" si="17"/>
        <v>4.1558038511490549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19.872</v>
      </c>
      <c r="D28" s="4">
        <f t="shared" ref="D28:H28" si="18">+D26*$G$4+$F$4</f>
        <v>31.312582649999992</v>
      </c>
      <c r="E28" s="4">
        <f t="shared" si="18"/>
        <v>48.611260921192489</v>
      </c>
      <c r="F28" s="4">
        <f t="shared" si="18"/>
        <v>61.61348634187474</v>
      </c>
      <c r="G28" s="4">
        <f t="shared" si="18"/>
        <v>73.998922730342557</v>
      </c>
      <c r="H28" s="4">
        <f t="shared" si="18"/>
        <v>84.263397519150928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18" x14ac:dyDescent="0.25">
      <c r="A29" s="4" t="s">
        <v>56</v>
      </c>
      <c r="B29" s="4"/>
      <c r="C29" s="4">
        <f t="shared" ref="C29:H29" si="19">-$B$7*C14*$B$4*$Q$22</f>
        <v>0</v>
      </c>
      <c r="D29" s="4">
        <f t="shared" si="19"/>
        <v>11.25</v>
      </c>
      <c r="E29" s="4">
        <f t="shared" si="19"/>
        <v>11.25</v>
      </c>
      <c r="F29" s="4">
        <f t="shared" si="19"/>
        <v>11.25</v>
      </c>
      <c r="G29" s="4">
        <f t="shared" si="19"/>
        <v>22.5</v>
      </c>
      <c r="H29" s="4">
        <f t="shared" si="19"/>
        <v>11.25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13.440000000000001</v>
      </c>
      <c r="D30" s="4">
        <f t="shared" ref="D30:H30" si="20">D22*$F$5*(1+$B$6)</f>
        <v>44.3352</v>
      </c>
      <c r="E30" s="4">
        <f t="shared" si="20"/>
        <v>90.000456</v>
      </c>
      <c r="F30" s="4">
        <f t="shared" si="20"/>
        <v>122.97177689999999</v>
      </c>
      <c r="G30" s="4">
        <f t="shared" si="20"/>
        <v>153.34580579429996</v>
      </c>
      <c r="H30" s="4">
        <f t="shared" si="20"/>
        <v>177.36403839952345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15.115679999999998</v>
      </c>
      <c r="D31" s="3">
        <f t="shared" ref="D31:H31" si="21">D26-D28-D29-D30-D27</f>
        <v>75.249288890999935</v>
      </c>
      <c r="E31" s="3">
        <f t="shared" si="21"/>
        <v>184.23421663546085</v>
      </c>
      <c r="F31" s="3">
        <f t="shared" si="21"/>
        <v>267.50279099636015</v>
      </c>
      <c r="G31" s="3">
        <f t="shared" si="21"/>
        <v>336.60456341496246</v>
      </c>
      <c r="H31" s="3">
        <f t="shared" si="21"/>
        <v>415.60073542168578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0.31025615763546793</v>
      </c>
      <c r="D32" s="27">
        <f t="shared" ref="D32:H32" si="22">D31/D26</f>
        <v>0.46129598547045503</v>
      </c>
      <c r="E32" s="27">
        <f t="shared" si="22"/>
        <v>0.54813241629771159</v>
      </c>
      <c r="F32" s="27">
        <f t="shared" si="22"/>
        <v>0.57387424110359198</v>
      </c>
      <c r="G32" s="27">
        <f t="shared" si="22"/>
        <v>0.57052662631389051</v>
      </c>
      <c r="H32" s="27">
        <f t="shared" si="22"/>
        <v>0.60002938104036063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3">-$B$7*D14*C18</f>
        <v>84.000000000000014</v>
      </c>
      <c r="E33" s="4">
        <f t="shared" si="23"/>
        <v>85.259999999999991</v>
      </c>
      <c r="F33" s="4">
        <f t="shared" si="23"/>
        <v>86.538899999999984</v>
      </c>
      <c r="G33" s="4">
        <f t="shared" si="23"/>
        <v>175.67396699999998</v>
      </c>
      <c r="H33" s="4">
        <f t="shared" si="23"/>
        <v>89.154538252499975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-27.216000000000001</v>
      </c>
      <c r="D34" s="4">
        <f t="shared" ref="D34:H34" si="24">-$F$6*(C54-C51)</f>
        <v>-49.169714400000004</v>
      </c>
      <c r="E34" s="4">
        <f t="shared" si="24"/>
        <v>-125.75543040000001</v>
      </c>
      <c r="F34" s="4">
        <f t="shared" si="24"/>
        <v>-248.39842787999999</v>
      </c>
      <c r="G34" s="4">
        <f t="shared" si="24"/>
        <v>-260.98601197950001</v>
      </c>
      <c r="H34" s="4">
        <f t="shared" si="24"/>
        <v>-371.5158026878064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0</v>
      </c>
      <c r="D35" s="4">
        <f>IF((D31+D33+D34)&gt;0,-(D31+D33+D34)*$F$7,0)</f>
        <v>-16.511936173649989</v>
      </c>
      <c r="E35" s="4">
        <f t="shared" ref="E35:H35" si="25">IF((E31+E33+E34)&gt;0,-(E31+E33+E34)*$F$7,0)</f>
        <v>-21.560817935319118</v>
      </c>
      <c r="F35" s="4">
        <f t="shared" si="25"/>
        <v>-15.846489467454017</v>
      </c>
      <c r="G35" s="4">
        <f t="shared" si="25"/>
        <v>-37.693877765319364</v>
      </c>
      <c r="H35" s="4">
        <f t="shared" si="25"/>
        <v>-19.985920647956906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-12.100320000000004</v>
      </c>
      <c r="D36" s="3">
        <f>D31+D33+D34+D35</f>
        <v>93.567638317349946</v>
      </c>
      <c r="E36" s="3">
        <f t="shared" ref="E36:H36" si="26">E31+E33+E34+E35</f>
        <v>122.17796830014167</v>
      </c>
      <c r="F36" s="3">
        <f t="shared" si="26"/>
        <v>89.796773648906097</v>
      </c>
      <c r="G36" s="3">
        <f t="shared" si="26"/>
        <v>213.59864067014308</v>
      </c>
      <c r="H36" s="3">
        <f t="shared" si="26"/>
        <v>113.25355033842249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-0.24836453201970451</v>
      </c>
      <c r="D37" s="27">
        <f t="shared" ref="D37:H37" si="27">D36/D26</f>
        <v>0.57359181145574145</v>
      </c>
      <c r="E37" s="27">
        <f t="shared" si="27"/>
        <v>0.36350307888362005</v>
      </c>
      <c r="F37" s="27">
        <f t="shared" si="27"/>
        <v>0.19264118755313547</v>
      </c>
      <c r="G37" s="27">
        <f t="shared" si="27"/>
        <v>0.36203820474215448</v>
      </c>
      <c r="H37" s="27">
        <f t="shared" si="27"/>
        <v>0.16351139908652121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8">B25</f>
        <v>2012</v>
      </c>
      <c r="C39" s="3">
        <f t="shared" si="28"/>
        <v>2013</v>
      </c>
      <c r="D39" s="3">
        <f t="shared" si="28"/>
        <v>2014</v>
      </c>
      <c r="E39" s="3">
        <f t="shared" si="28"/>
        <v>2015</v>
      </c>
      <c r="F39" s="3">
        <f t="shared" si="28"/>
        <v>2016</v>
      </c>
      <c r="G39" s="3">
        <f t="shared" si="28"/>
        <v>2017</v>
      </c>
      <c r="H39" s="3">
        <f t="shared" si="28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9">C36+C30</f>
        <v>1.3396799999999978</v>
      </c>
      <c r="D40" s="4">
        <f t="shared" si="29"/>
        <v>137.90283831734996</v>
      </c>
      <c r="E40" s="4">
        <f t="shared" si="29"/>
        <v>212.17842430014167</v>
      </c>
      <c r="F40" s="4">
        <f t="shared" si="29"/>
        <v>212.76855054890609</v>
      </c>
      <c r="G40" s="4">
        <f t="shared" si="29"/>
        <v>366.94444646444305</v>
      </c>
      <c r="H40" s="4">
        <f t="shared" si="29"/>
        <v>290.61758873794594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30">IF(C36&lt;0,0,-C36)</f>
        <v>0</v>
      </c>
      <c r="D41" s="4">
        <f t="shared" si="30"/>
        <v>-93.567638317349946</v>
      </c>
      <c r="E41" s="4">
        <f t="shared" si="30"/>
        <v>-122.17796830014167</v>
      </c>
      <c r="F41" s="4">
        <f t="shared" si="30"/>
        <v>-89.796773648906097</v>
      </c>
      <c r="G41" s="4">
        <f t="shared" si="30"/>
        <v>-213.59864067014308</v>
      </c>
      <c r="H41" s="4">
        <f t="shared" si="30"/>
        <v>-113.25355033842249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-80.640000000000015</v>
      </c>
      <c r="E42" s="4">
        <f>-D54/$I$54</f>
        <v>-198.0384</v>
      </c>
      <c r="F42" s="4">
        <f>-E54/$I$54</f>
        <v>-371.75986399999994</v>
      </c>
      <c r="G42" s="4">
        <f>-F54/$I$54</f>
        <v>-389.13762514666661</v>
      </c>
      <c r="H42" s="4">
        <f>-G54/$I$54</f>
        <v>-555.76891942895554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1209.6000000000001</v>
      </c>
      <c r="D43" s="4">
        <f t="shared" ref="D43:H43" si="31">-D45*$F$9</f>
        <v>1841.6159999999998</v>
      </c>
      <c r="E43" s="4">
        <f t="shared" si="31"/>
        <v>2803.8603599999997</v>
      </c>
      <c r="F43" s="4">
        <f t="shared" si="31"/>
        <v>632.42628119999995</v>
      </c>
      <c r="G43" s="4">
        <f t="shared" si="31"/>
        <v>2888.6070393809991</v>
      </c>
      <c r="H43" s="4">
        <f t="shared" si="31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32">-C14*$B$4</f>
        <v>0</v>
      </c>
      <c r="D44" s="4">
        <f t="shared" si="32"/>
        <v>300</v>
      </c>
      <c r="E44" s="4">
        <f t="shared" si="32"/>
        <v>300</v>
      </c>
      <c r="F44" s="4">
        <f t="shared" si="32"/>
        <v>300</v>
      </c>
      <c r="G44" s="4">
        <f t="shared" si="32"/>
        <v>600</v>
      </c>
      <c r="H44" s="4">
        <f t="shared" si="32"/>
        <v>300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3">-C18*C13</f>
        <v>-1344.0000000000002</v>
      </c>
      <c r="D45" s="4">
        <f t="shared" si="33"/>
        <v>-2046.2399999999998</v>
      </c>
      <c r="E45" s="4">
        <f t="shared" si="33"/>
        <v>-3115.4003999999995</v>
      </c>
      <c r="F45" s="4">
        <f t="shared" si="33"/>
        <v>-702.6958679999999</v>
      </c>
      <c r="G45" s="4">
        <f t="shared" si="33"/>
        <v>-3209.563377089999</v>
      </c>
      <c r="H45" s="4">
        <f t="shared" si="33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250</v>
      </c>
      <c r="D46" s="4">
        <f>C51</f>
        <v>116.93967999999995</v>
      </c>
      <c r="E46" s="4">
        <f t="shared" ref="E46:H46" si="34">D51</f>
        <v>176.01087999999982</v>
      </c>
      <c r="F46" s="4">
        <f t="shared" si="34"/>
        <v>56.432895999999801</v>
      </c>
      <c r="G46" s="4">
        <f t="shared" si="34"/>
        <v>37.37522209999986</v>
      </c>
      <c r="H46" s="4">
        <f t="shared" si="34"/>
        <v>80.627065038633532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116.93967999999995</v>
      </c>
      <c r="D47" s="4">
        <f>SUM(D40:D46)</f>
        <v>176.01087999999982</v>
      </c>
      <c r="E47" s="4">
        <f t="shared" ref="E47:H47" si="35">SUM(E40:E46)</f>
        <v>56.432895999999801</v>
      </c>
      <c r="F47" s="4">
        <f t="shared" si="35"/>
        <v>37.37522209999986</v>
      </c>
      <c r="G47" s="4">
        <f t="shared" si="35"/>
        <v>80.627065038633532</v>
      </c>
      <c r="H47" s="4">
        <f t="shared" si="35"/>
        <v>2.2221840092014418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6">B25</f>
        <v>2012</v>
      </c>
      <c r="C49" s="3">
        <f t="shared" si="36"/>
        <v>2013</v>
      </c>
      <c r="D49" s="3">
        <f t="shared" si="36"/>
        <v>2014</v>
      </c>
      <c r="E49" s="3">
        <f t="shared" si="36"/>
        <v>2015</v>
      </c>
      <c r="F49" s="3">
        <f t="shared" si="36"/>
        <v>2016</v>
      </c>
      <c r="G49" s="3">
        <f t="shared" si="36"/>
        <v>2017</v>
      </c>
      <c r="H49" s="3">
        <f t="shared" si="36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7">B50-C45-C30-C44</f>
        <v>1330.5600000000002</v>
      </c>
      <c r="D50" s="4">
        <f t="shared" si="37"/>
        <v>3032.4648000000002</v>
      </c>
      <c r="E50" s="4">
        <f t="shared" si="37"/>
        <v>5757.8647440000004</v>
      </c>
      <c r="F50" s="4">
        <f t="shared" si="37"/>
        <v>6037.5888351000003</v>
      </c>
      <c r="G50" s="4">
        <f t="shared" si="37"/>
        <v>8493.806406395699</v>
      </c>
      <c r="H50" s="4">
        <f t="shared" si="37"/>
        <v>8016.4423679961765</v>
      </c>
      <c r="I50" s="4"/>
      <c r="J50" s="2"/>
      <c r="K50" s="2"/>
    </row>
    <row r="51" spans="1:11" x14ac:dyDescent="0.25">
      <c r="A51" s="4" t="s">
        <v>20</v>
      </c>
      <c r="B51" s="4">
        <f>B55</f>
        <v>250</v>
      </c>
      <c r="C51" s="4">
        <f>C47</f>
        <v>116.93967999999995</v>
      </c>
      <c r="D51" s="4">
        <f>D47</f>
        <v>176.01087999999982</v>
      </c>
      <c r="E51" s="4">
        <f t="shared" ref="E51:H51" si="38">E47</f>
        <v>56.432895999999801</v>
      </c>
      <c r="F51" s="4">
        <f t="shared" si="38"/>
        <v>37.37522209999986</v>
      </c>
      <c r="G51" s="4">
        <f t="shared" si="38"/>
        <v>80.627065038633532</v>
      </c>
      <c r="H51" s="4">
        <f t="shared" si="38"/>
        <v>2.2221840092014418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250</v>
      </c>
      <c r="C53" s="4">
        <f t="shared" ref="C53:H53" si="39">B53+C36+C41</f>
        <v>237.89967999999999</v>
      </c>
      <c r="D53" s="4">
        <f t="shared" si="39"/>
        <v>237.89968000000002</v>
      </c>
      <c r="E53" s="4">
        <f t="shared" si="39"/>
        <v>237.89967999999999</v>
      </c>
      <c r="F53" s="4">
        <f t="shared" si="39"/>
        <v>237.89967999999999</v>
      </c>
      <c r="G53" s="4">
        <f t="shared" si="39"/>
        <v>237.89967999999999</v>
      </c>
      <c r="H53" s="4">
        <f t="shared" si="39"/>
        <v>237.89967999999999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1209.6000000000001</v>
      </c>
      <c r="D54" s="4">
        <f t="shared" ref="D54:H54" si="40">C54+D43+D42</f>
        <v>2970.576</v>
      </c>
      <c r="E54" s="4">
        <f t="shared" si="40"/>
        <v>5576.3979599999993</v>
      </c>
      <c r="F54" s="4">
        <f t="shared" si="40"/>
        <v>5837.0643771999994</v>
      </c>
      <c r="G54" s="4">
        <f t="shared" si="40"/>
        <v>8336.5337914343327</v>
      </c>
      <c r="H54" s="4">
        <f t="shared" si="40"/>
        <v>7780.7648720053767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250</v>
      </c>
      <c r="C55" s="4">
        <f>SUM(C53:C54)</f>
        <v>1447.4996800000001</v>
      </c>
      <c r="D55" s="4">
        <f>SUM(D53:D54)</f>
        <v>3208.47568</v>
      </c>
      <c r="E55" s="4">
        <f t="shared" ref="E55:H55" si="41">SUM(E53:E54)</f>
        <v>5814.2976399999989</v>
      </c>
      <c r="F55" s="4">
        <f t="shared" si="41"/>
        <v>6074.9640571999989</v>
      </c>
      <c r="G55" s="4">
        <f t="shared" si="41"/>
        <v>8574.4334714343331</v>
      </c>
      <c r="H55" s="4">
        <f t="shared" si="41"/>
        <v>8018.6645520053771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42">E55-SUM(E50:E51)</f>
        <v>0</v>
      </c>
      <c r="F56" s="4">
        <f t="shared" si="42"/>
        <v>0</v>
      </c>
      <c r="G56" s="4">
        <f t="shared" si="42"/>
        <v>0</v>
      </c>
      <c r="H56" s="4">
        <f t="shared" si="42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3">C49</f>
        <v>2013</v>
      </c>
      <c r="D58" s="3">
        <f t="shared" si="43"/>
        <v>2014</v>
      </c>
      <c r="E58" s="3">
        <f t="shared" si="43"/>
        <v>2015</v>
      </c>
      <c r="F58" s="3">
        <f t="shared" si="43"/>
        <v>2016</v>
      </c>
      <c r="G58" s="3">
        <f t="shared" si="43"/>
        <v>2017</v>
      </c>
      <c r="H58" s="3">
        <f t="shared" si="43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1217.9999999999998</v>
      </c>
      <c r="D59" s="4">
        <f>D15*$B$4*(1+$B$8)*(1+$B$8)</f>
        <v>2781.6074999999992</v>
      </c>
      <c r="E59" s="4">
        <f>E15*$B$4*(1+$B$8)*(1+$B$8)*(1+$B$8)</f>
        <v>5332.9597124999973</v>
      </c>
      <c r="F59" s="4">
        <f>F15*$B$4*(1+$B$8)*(1+$B$8)*(1+$B$8)*(1+$B$8)</f>
        <v>5731.3631733749971</v>
      </c>
      <c r="G59" s="4">
        <f>G15*$B$4*(1+$B$8)*(1+$B$8)*(1+$B$8)*(1+$B$8)*(1+$B$8)</f>
        <v>8079.6300291328089</v>
      </c>
      <c r="H59" s="4">
        <f>H15*$B$4*(1+$B$8)*(1+$B$8)*(1+$B$8)*(1+$B$8)*(1+$B$8)*(1+$B$8)</f>
        <v>7872.7915003870066</v>
      </c>
      <c r="I59" s="2"/>
      <c r="J59" s="2"/>
      <c r="K59" s="2"/>
    </row>
    <row r="60" spans="1:11" x14ac:dyDescent="0.25">
      <c r="A60" s="4" t="s">
        <v>20</v>
      </c>
      <c r="B60" s="4">
        <f t="shared" ref="B60:H60" si="44">B51</f>
        <v>250</v>
      </c>
      <c r="C60" s="4">
        <f t="shared" si="44"/>
        <v>116.93967999999995</v>
      </c>
      <c r="D60" s="4">
        <f t="shared" si="44"/>
        <v>176.01087999999982</v>
      </c>
      <c r="E60" s="4">
        <f t="shared" si="44"/>
        <v>56.432895999999801</v>
      </c>
      <c r="F60" s="4">
        <f t="shared" si="44"/>
        <v>37.37522209999986</v>
      </c>
      <c r="G60" s="4">
        <f t="shared" si="44"/>
        <v>80.627065038633532</v>
      </c>
      <c r="H60" s="4">
        <f t="shared" si="44"/>
        <v>2.2221840092014418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5">B53</f>
        <v>250</v>
      </c>
      <c r="C62" s="4">
        <f>C59+C60-C63</f>
        <v>125.33967999999959</v>
      </c>
      <c r="D62" s="4">
        <f t="shared" ref="D62:H62" si="46">D59+D60-D63</f>
        <v>-12.957620000001043</v>
      </c>
      <c r="E62" s="4">
        <f t="shared" si="46"/>
        <v>-187.00535150000269</v>
      </c>
      <c r="F62" s="4">
        <f t="shared" si="46"/>
        <v>-68.325981725002748</v>
      </c>
      <c r="G62" s="4">
        <f t="shared" si="46"/>
        <v>-176.27669726289059</v>
      </c>
      <c r="H62" s="4">
        <f t="shared" si="46"/>
        <v>94.248812390831517</v>
      </c>
      <c r="I62" s="2"/>
      <c r="J62" s="2"/>
      <c r="K62" s="2"/>
    </row>
    <row r="63" spans="1:11" x14ac:dyDescent="0.25">
      <c r="A63" s="4" t="s">
        <v>22</v>
      </c>
      <c r="B63" s="4">
        <f t="shared" si="45"/>
        <v>0</v>
      </c>
      <c r="C63" s="4">
        <f t="shared" si="45"/>
        <v>1209.6000000000001</v>
      </c>
      <c r="D63" s="4">
        <f t="shared" si="45"/>
        <v>2970.576</v>
      </c>
      <c r="E63" s="4">
        <f t="shared" si="45"/>
        <v>5576.3979599999993</v>
      </c>
      <c r="F63" s="4">
        <f t="shared" si="45"/>
        <v>5837.0643771999994</v>
      </c>
      <c r="G63" s="4">
        <f t="shared" si="45"/>
        <v>8336.5337914343327</v>
      </c>
      <c r="H63" s="4">
        <f t="shared" si="45"/>
        <v>7780.7648720053767</v>
      </c>
      <c r="I63" s="2"/>
      <c r="J63" s="2"/>
      <c r="K63" s="2"/>
    </row>
    <row r="64" spans="1:11" x14ac:dyDescent="0.25">
      <c r="A64" s="4" t="s">
        <v>23</v>
      </c>
      <c r="B64" s="4">
        <f t="shared" si="45"/>
        <v>250</v>
      </c>
      <c r="C64" s="4">
        <f>C62+C63</f>
        <v>1334.9396799999997</v>
      </c>
      <c r="D64" s="4">
        <f t="shared" ref="D64:H64" si="47">D62+D63</f>
        <v>2957.618379999999</v>
      </c>
      <c r="E64" s="4">
        <f t="shared" si="47"/>
        <v>5389.3926084999966</v>
      </c>
      <c r="F64" s="4">
        <f t="shared" si="47"/>
        <v>5768.7383954749967</v>
      </c>
      <c r="G64" s="4">
        <f t="shared" si="47"/>
        <v>8160.2570941714421</v>
      </c>
      <c r="H64" s="4">
        <f t="shared" si="47"/>
        <v>7875.0136843962082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8">E64-SUM(E59:E60)</f>
        <v>0</v>
      </c>
      <c r="F65" s="4">
        <f t="shared" si="48"/>
        <v>0</v>
      </c>
      <c r="G65" s="4">
        <f t="shared" si="48"/>
        <v>0</v>
      </c>
      <c r="H65" s="4">
        <f t="shared" si="48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9">C58</f>
        <v>2013</v>
      </c>
      <c r="D67" s="3">
        <f t="shared" si="49"/>
        <v>2014</v>
      </c>
      <c r="E67" s="3">
        <f t="shared" si="49"/>
        <v>2015</v>
      </c>
      <c r="F67" s="3">
        <f t="shared" si="49"/>
        <v>2016</v>
      </c>
      <c r="G67" s="3">
        <f t="shared" si="49"/>
        <v>2017</v>
      </c>
      <c r="H67" s="3">
        <f t="shared" si="49"/>
        <v>2018</v>
      </c>
      <c r="I67" s="75"/>
      <c r="J67" s="2"/>
      <c r="K67" s="3">
        <f>B67</f>
        <v>2012</v>
      </c>
      <c r="L67" s="3">
        <f>K67+1</f>
        <v>2013</v>
      </c>
      <c r="M67" s="3">
        <f t="shared" ref="M67:Q67" si="50">L67+1</f>
        <v>2014</v>
      </c>
      <c r="N67" s="3">
        <f t="shared" si="50"/>
        <v>2015</v>
      </c>
      <c r="O67" s="3">
        <f t="shared" si="50"/>
        <v>2016</v>
      </c>
      <c r="P67" s="3">
        <f t="shared" si="50"/>
        <v>2017</v>
      </c>
      <c r="Q67" s="3">
        <f t="shared" si="50"/>
        <v>2018</v>
      </c>
    </row>
    <row r="68" spans="1:17" x14ac:dyDescent="0.25">
      <c r="A68" s="4" t="s">
        <v>41</v>
      </c>
      <c r="B68" s="4">
        <f>-B62</f>
        <v>-250</v>
      </c>
      <c r="C68" s="4"/>
      <c r="D68" s="4"/>
      <c r="E68" s="4"/>
      <c r="F68" s="4"/>
      <c r="G68" s="4"/>
      <c r="H68" s="4"/>
      <c r="I68" s="2"/>
      <c r="K68" s="4">
        <f t="shared" ref="K68:Q68" si="51">B70</f>
        <v>-250</v>
      </c>
      <c r="L68" s="4">
        <f t="shared" si="51"/>
        <v>0</v>
      </c>
      <c r="M68" s="4">
        <f t="shared" si="51"/>
        <v>93.567638317349946</v>
      </c>
      <c r="N68" s="4">
        <f t="shared" si="51"/>
        <v>122.17796830014167</v>
      </c>
      <c r="O68" s="4">
        <f t="shared" si="51"/>
        <v>89.796773648906097</v>
      </c>
      <c r="P68" s="4">
        <f t="shared" si="51"/>
        <v>213.59864067014308</v>
      </c>
      <c r="Q68" s="4">
        <f t="shared" si="51"/>
        <v>207.502362729254</v>
      </c>
    </row>
    <row r="69" spans="1:17" x14ac:dyDescent="0.25">
      <c r="A69" s="4" t="s">
        <v>42</v>
      </c>
      <c r="B69" s="4"/>
      <c r="C69" s="4">
        <f>-C41</f>
        <v>0</v>
      </c>
      <c r="D69" s="4">
        <f t="shared" ref="D69:G69" si="52">-D41</f>
        <v>93.567638317349946</v>
      </c>
      <c r="E69" s="4">
        <f t="shared" si="52"/>
        <v>122.17796830014167</v>
      </c>
      <c r="F69" s="4">
        <f t="shared" si="52"/>
        <v>89.796773648906097</v>
      </c>
      <c r="G69" s="4">
        <f t="shared" si="52"/>
        <v>213.59864067014308</v>
      </c>
      <c r="H69" s="4">
        <f>-H41+H62</f>
        <v>207.502362729254</v>
      </c>
      <c r="I69" s="2"/>
      <c r="J69" s="24"/>
      <c r="K69" s="6"/>
      <c r="L69" s="4">
        <f>K68+L68</f>
        <v>-250</v>
      </c>
      <c r="M69" s="4">
        <f>M68</f>
        <v>93.567638317349946</v>
      </c>
      <c r="N69" s="4">
        <f t="shared" ref="N69:Q69" si="53">N68</f>
        <v>122.17796830014167</v>
      </c>
      <c r="O69" s="4">
        <f t="shared" si="53"/>
        <v>89.796773648906097</v>
      </c>
      <c r="P69" s="4">
        <f t="shared" si="53"/>
        <v>213.59864067014308</v>
      </c>
      <c r="Q69" s="4">
        <f t="shared" si="53"/>
        <v>207.502362729254</v>
      </c>
    </row>
    <row r="70" spans="1:17" x14ac:dyDescent="0.25">
      <c r="A70" s="4" t="s">
        <v>43</v>
      </c>
      <c r="B70" s="4">
        <f>B68+B69</f>
        <v>-250</v>
      </c>
      <c r="C70" s="4">
        <f t="shared" ref="C70:H70" si="54">C68+C69</f>
        <v>0</v>
      </c>
      <c r="D70" s="4">
        <f t="shared" si="54"/>
        <v>93.567638317349946</v>
      </c>
      <c r="E70" s="4">
        <f t="shared" si="54"/>
        <v>122.17796830014167</v>
      </c>
      <c r="F70" s="4">
        <f t="shared" si="54"/>
        <v>89.796773648906097</v>
      </c>
      <c r="G70" s="4">
        <f t="shared" si="54"/>
        <v>213.59864067014308</v>
      </c>
      <c r="H70" s="4">
        <f t="shared" si="54"/>
        <v>207.502362729254</v>
      </c>
    </row>
    <row r="71" spans="1:17" x14ac:dyDescent="0.25">
      <c r="A71" s="4" t="s">
        <v>59</v>
      </c>
      <c r="B71" s="23">
        <f>IRR(B70:H70)</f>
        <v>0.29051230783786264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0.41230865795635574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5">C67</f>
        <v>2013</v>
      </c>
      <c r="D74" s="3">
        <f t="shared" si="55"/>
        <v>2014</v>
      </c>
      <c r="E74" s="3">
        <f t="shared" si="55"/>
        <v>2015</v>
      </c>
      <c r="F74" s="3">
        <f t="shared" si="55"/>
        <v>2016</v>
      </c>
      <c r="G74" s="3">
        <f t="shared" si="55"/>
        <v>2017</v>
      </c>
      <c r="H74" s="3">
        <f t="shared" si="55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6">D67</f>
        <v>2014</v>
      </c>
      <c r="E77" s="3">
        <f t="shared" si="56"/>
        <v>2015</v>
      </c>
      <c r="F77" s="3">
        <f t="shared" si="56"/>
        <v>2016</v>
      </c>
      <c r="G77" s="3">
        <f t="shared" si="56"/>
        <v>2017</v>
      </c>
      <c r="H77" s="3">
        <f t="shared" si="56"/>
        <v>2018</v>
      </c>
    </row>
    <row r="78" spans="1:17" x14ac:dyDescent="0.25">
      <c r="A78" s="6" t="s">
        <v>64</v>
      </c>
      <c r="B78" s="6"/>
      <c r="C78" s="4">
        <f t="shared" ref="C78:H80" si="57">C13</f>
        <v>4</v>
      </c>
      <c r="D78" s="4">
        <f t="shared" si="57"/>
        <v>6</v>
      </c>
      <c r="E78" s="4">
        <f t="shared" si="57"/>
        <v>9</v>
      </c>
      <c r="F78" s="4">
        <f t="shared" si="57"/>
        <v>2</v>
      </c>
      <c r="G78" s="4">
        <f t="shared" si="57"/>
        <v>9</v>
      </c>
      <c r="H78" s="4">
        <f t="shared" si="57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7"/>
        <v>0</v>
      </c>
      <c r="D79" s="4">
        <f t="shared" si="57"/>
        <v>-1</v>
      </c>
      <c r="E79" s="4">
        <f t="shared" si="57"/>
        <v>-1</v>
      </c>
      <c r="F79" s="4">
        <f t="shared" si="57"/>
        <v>-1</v>
      </c>
      <c r="G79" s="4">
        <f t="shared" si="57"/>
        <v>-2</v>
      </c>
      <c r="H79" s="4">
        <f t="shared" si="57"/>
        <v>-1</v>
      </c>
    </row>
    <row r="80" spans="1:17" x14ac:dyDescent="0.25">
      <c r="A80" s="6" t="s">
        <v>66</v>
      </c>
      <c r="B80" s="6"/>
      <c r="C80" s="4">
        <f t="shared" si="57"/>
        <v>4</v>
      </c>
      <c r="D80" s="4">
        <f t="shared" si="57"/>
        <v>9</v>
      </c>
      <c r="E80" s="4">
        <f t="shared" si="57"/>
        <v>17</v>
      </c>
      <c r="F80" s="4">
        <f t="shared" si="57"/>
        <v>18</v>
      </c>
      <c r="G80" s="4">
        <f t="shared" si="57"/>
        <v>25</v>
      </c>
      <c r="H80" s="4">
        <f t="shared" si="57"/>
        <v>24</v>
      </c>
      <c r="I80" s="32"/>
    </row>
    <row r="81" spans="1:8" x14ac:dyDescent="0.25">
      <c r="A81" s="6" t="s">
        <v>71</v>
      </c>
      <c r="B81" s="6"/>
      <c r="C81" s="4">
        <f t="shared" ref="C81:H81" si="58">C17</f>
        <v>300</v>
      </c>
      <c r="D81" s="4">
        <f t="shared" si="58"/>
        <v>304.49999999999994</v>
      </c>
      <c r="E81" s="4">
        <f t="shared" si="58"/>
        <v>309.06749999999994</v>
      </c>
      <c r="F81" s="4">
        <f t="shared" si="58"/>
        <v>313.70351249999993</v>
      </c>
      <c r="G81" s="4">
        <f t="shared" si="58"/>
        <v>318.40906518749989</v>
      </c>
      <c r="H81" s="4">
        <f t="shared" si="58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9">C77</f>
        <v>2013</v>
      </c>
      <c r="D83" s="35">
        <f t="shared" si="59"/>
        <v>2014</v>
      </c>
      <c r="E83" s="35">
        <f t="shared" si="59"/>
        <v>2015</v>
      </c>
      <c r="F83" s="35">
        <f t="shared" si="59"/>
        <v>2016</v>
      </c>
      <c r="G83" s="35">
        <f t="shared" si="59"/>
        <v>2017</v>
      </c>
      <c r="H83" s="35">
        <f t="shared" si="59"/>
        <v>2018</v>
      </c>
    </row>
    <row r="84" spans="1:8" x14ac:dyDescent="0.25">
      <c r="A84" s="6" t="s">
        <v>12</v>
      </c>
      <c r="B84" s="6"/>
      <c r="C84" s="4">
        <f t="shared" ref="C84:H84" si="60">C26</f>
        <v>48.72</v>
      </c>
      <c r="D84" s="4">
        <f t="shared" si="60"/>
        <v>163.12582649999993</v>
      </c>
      <c r="E84" s="4">
        <f t="shared" si="60"/>
        <v>336.11260921192485</v>
      </c>
      <c r="F84" s="4">
        <f t="shared" si="60"/>
        <v>466.13486341874739</v>
      </c>
      <c r="G84" s="4">
        <f t="shared" si="60"/>
        <v>589.98922730342554</v>
      </c>
      <c r="H84" s="4">
        <f t="shared" si="60"/>
        <v>692.63397519150919</v>
      </c>
    </row>
    <row r="85" spans="1:8" x14ac:dyDescent="0.25">
      <c r="A85" s="6" t="s">
        <v>15</v>
      </c>
      <c r="B85" s="6"/>
      <c r="C85" s="4">
        <f t="shared" ref="C85:H85" si="61">C31</f>
        <v>15.115679999999998</v>
      </c>
      <c r="D85" s="4">
        <f t="shared" si="61"/>
        <v>75.249288890999935</v>
      </c>
      <c r="E85" s="4">
        <f t="shared" si="61"/>
        <v>184.23421663546085</v>
      </c>
      <c r="F85" s="4">
        <f t="shared" si="61"/>
        <v>267.50279099636015</v>
      </c>
      <c r="G85" s="4">
        <f t="shared" si="61"/>
        <v>336.60456341496246</v>
      </c>
      <c r="H85" s="4">
        <f t="shared" si="61"/>
        <v>415.60073542168578</v>
      </c>
    </row>
    <row r="86" spans="1:8" x14ac:dyDescent="0.25">
      <c r="A86" s="6" t="s">
        <v>25</v>
      </c>
      <c r="B86" s="6"/>
      <c r="C86" s="4">
        <f>C40</f>
        <v>1.3396799999999978</v>
      </c>
      <c r="D86" s="4">
        <f t="shared" ref="D86:H86" si="62">D40</f>
        <v>137.90283831734996</v>
      </c>
      <c r="E86" s="4">
        <f t="shared" si="62"/>
        <v>212.17842430014167</v>
      </c>
      <c r="F86" s="4">
        <f t="shared" si="62"/>
        <v>212.76855054890609</v>
      </c>
      <c r="G86" s="4">
        <f t="shared" si="62"/>
        <v>366.94444646444305</v>
      </c>
      <c r="H86" s="4">
        <f t="shared" si="62"/>
        <v>290.61758873794594</v>
      </c>
    </row>
    <row r="87" spans="1:8" x14ac:dyDescent="0.25">
      <c r="A87" s="6" t="s">
        <v>17</v>
      </c>
      <c r="B87" s="6"/>
      <c r="C87" s="4">
        <f t="shared" ref="C87:H87" si="63">C36</f>
        <v>-12.100320000000004</v>
      </c>
      <c r="D87" s="4">
        <f t="shared" si="63"/>
        <v>93.567638317349946</v>
      </c>
      <c r="E87" s="4">
        <f t="shared" si="63"/>
        <v>122.17796830014167</v>
      </c>
      <c r="F87" s="4">
        <f t="shared" si="63"/>
        <v>89.796773648906097</v>
      </c>
      <c r="G87" s="4">
        <f t="shared" si="63"/>
        <v>213.59864067014308</v>
      </c>
      <c r="H87" s="4">
        <f t="shared" si="63"/>
        <v>113.25355033842249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4">C77</f>
        <v>2013</v>
      </c>
      <c r="D89" s="35">
        <f t="shared" si="64"/>
        <v>2014</v>
      </c>
      <c r="E89" s="35">
        <f t="shared" si="64"/>
        <v>2015</v>
      </c>
      <c r="F89" s="35">
        <f t="shared" si="64"/>
        <v>2016</v>
      </c>
      <c r="G89" s="35">
        <f t="shared" si="64"/>
        <v>2017</v>
      </c>
      <c r="H89" s="35">
        <f t="shared" si="64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5">L5</f>
        <v>1330.5600000000002</v>
      </c>
      <c r="D90" s="4">
        <f t="shared" si="65"/>
        <v>3032.4648000000002</v>
      </c>
      <c r="E90" s="4">
        <f t="shared" si="65"/>
        <v>5757.8647440000004</v>
      </c>
      <c r="F90" s="4">
        <f t="shared" si="65"/>
        <v>6037.5888351000003</v>
      </c>
      <c r="G90" s="4">
        <f t="shared" si="65"/>
        <v>8493.806406395699</v>
      </c>
      <c r="H90" s="4">
        <f t="shared" si="65"/>
        <v>8016.4423679961765</v>
      </c>
    </row>
    <row r="91" spans="1:8" x14ac:dyDescent="0.25">
      <c r="A91" s="4" t="s">
        <v>20</v>
      </c>
      <c r="B91" s="4">
        <f>B51</f>
        <v>250</v>
      </c>
      <c r="C91" s="4">
        <f t="shared" si="65"/>
        <v>116.93967999999995</v>
      </c>
      <c r="D91" s="4">
        <f t="shared" si="65"/>
        <v>176.01087999999982</v>
      </c>
      <c r="E91" s="4">
        <f t="shared" si="65"/>
        <v>56.432895999999801</v>
      </c>
      <c r="F91" s="4">
        <f t="shared" si="65"/>
        <v>37.37522209999986</v>
      </c>
      <c r="G91" s="4">
        <f t="shared" si="65"/>
        <v>80.627065038633532</v>
      </c>
      <c r="H91" s="4">
        <f t="shared" si="65"/>
        <v>2.2221840092014418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250</v>
      </c>
      <c r="C93" s="4">
        <f t="shared" ref="C93:H95" si="66">L8</f>
        <v>237.89967999999999</v>
      </c>
      <c r="D93" s="4">
        <f t="shared" si="66"/>
        <v>237.89968000000002</v>
      </c>
      <c r="E93" s="4">
        <f t="shared" si="66"/>
        <v>237.89967999999999</v>
      </c>
      <c r="F93" s="4">
        <f t="shared" si="66"/>
        <v>237.89967999999999</v>
      </c>
      <c r="G93" s="4">
        <f t="shared" si="66"/>
        <v>237.89967999999999</v>
      </c>
      <c r="H93" s="4">
        <f t="shared" si="66"/>
        <v>237.89967999999999</v>
      </c>
    </row>
    <row r="94" spans="1:8" x14ac:dyDescent="0.25">
      <c r="A94" s="4" t="s">
        <v>22</v>
      </c>
      <c r="B94" s="4">
        <f>B54</f>
        <v>0</v>
      </c>
      <c r="C94" s="4">
        <f t="shared" si="66"/>
        <v>1209.6000000000001</v>
      </c>
      <c r="D94" s="4">
        <f t="shared" si="66"/>
        <v>2970.576</v>
      </c>
      <c r="E94" s="4">
        <f t="shared" si="66"/>
        <v>5576.3979599999993</v>
      </c>
      <c r="F94" s="4">
        <f t="shared" si="66"/>
        <v>5837.0643771999994</v>
      </c>
      <c r="G94" s="4">
        <f t="shared" si="66"/>
        <v>8336.5337914343327</v>
      </c>
      <c r="H94" s="4">
        <f t="shared" si="66"/>
        <v>7780.7648720053767</v>
      </c>
    </row>
    <row r="95" spans="1:8" x14ac:dyDescent="0.25">
      <c r="A95" s="4" t="s">
        <v>23</v>
      </c>
      <c r="B95" s="4">
        <f>B55</f>
        <v>250</v>
      </c>
      <c r="C95" s="4">
        <f t="shared" si="66"/>
        <v>1447.4996800000001</v>
      </c>
      <c r="D95" s="4">
        <f t="shared" si="66"/>
        <v>3208.47568</v>
      </c>
      <c r="E95" s="4">
        <f t="shared" si="66"/>
        <v>5814.2976399999989</v>
      </c>
      <c r="F95" s="4">
        <f t="shared" si="66"/>
        <v>6074.9640571999989</v>
      </c>
      <c r="G95" s="4">
        <f t="shared" si="66"/>
        <v>8574.4334714343331</v>
      </c>
      <c r="H95" s="4">
        <f t="shared" si="66"/>
        <v>8018.6645520053771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12" x14ac:dyDescent="0.25">
      <c r="A97" s="3" t="s">
        <v>44</v>
      </c>
      <c r="B97" s="3">
        <f>B89</f>
        <v>2012</v>
      </c>
      <c r="C97" s="3">
        <f t="shared" ref="C97:H97" si="67">C89</f>
        <v>2013</v>
      </c>
      <c r="D97" s="3">
        <f t="shared" si="67"/>
        <v>2014</v>
      </c>
      <c r="E97" s="3">
        <f t="shared" si="67"/>
        <v>2015</v>
      </c>
      <c r="F97" s="3">
        <f t="shared" si="67"/>
        <v>2016</v>
      </c>
      <c r="G97" s="3">
        <f t="shared" si="67"/>
        <v>2017</v>
      </c>
      <c r="H97" s="3">
        <f t="shared" si="67"/>
        <v>2018</v>
      </c>
      <c r="L97" t="s">
        <v>223</v>
      </c>
    </row>
    <row r="98" spans="1:12" x14ac:dyDescent="0.25">
      <c r="A98" s="4" t="s">
        <v>41</v>
      </c>
      <c r="B98" s="4">
        <f>B68</f>
        <v>-250</v>
      </c>
      <c r="C98" s="4">
        <f t="shared" ref="C98:H98" si="68">C68</f>
        <v>0</v>
      </c>
      <c r="D98" s="4">
        <f t="shared" si="68"/>
        <v>0</v>
      </c>
      <c r="E98" s="4">
        <f t="shared" si="68"/>
        <v>0</v>
      </c>
      <c r="F98" s="4">
        <f t="shared" si="68"/>
        <v>0</v>
      </c>
      <c r="G98" s="4">
        <f t="shared" si="68"/>
        <v>0</v>
      </c>
      <c r="H98" s="4">
        <f t="shared" si="68"/>
        <v>0</v>
      </c>
      <c r="I98" s="6" t="s">
        <v>221</v>
      </c>
      <c r="J98" s="6" t="s">
        <v>222</v>
      </c>
      <c r="K98" s="6" t="s">
        <v>214</v>
      </c>
      <c r="L98" s="56">
        <v>0.1</v>
      </c>
    </row>
    <row r="99" spans="1:12" x14ac:dyDescent="0.25">
      <c r="A99" s="4" t="s">
        <v>42</v>
      </c>
      <c r="B99" s="4">
        <f t="shared" ref="B99:H102" si="69">B69</f>
        <v>0</v>
      </c>
      <c r="C99" s="4">
        <f t="shared" si="69"/>
        <v>0</v>
      </c>
      <c r="D99" s="4">
        <f t="shared" si="69"/>
        <v>93.567638317349946</v>
      </c>
      <c r="E99" s="4">
        <f t="shared" si="69"/>
        <v>122.17796830014167</v>
      </c>
      <c r="F99" s="4">
        <f t="shared" si="69"/>
        <v>89.796773648906097</v>
      </c>
      <c r="G99" s="4">
        <f t="shared" si="69"/>
        <v>213.59864067014308</v>
      </c>
      <c r="H99" s="4">
        <f t="shared" si="69"/>
        <v>207.502362729254</v>
      </c>
      <c r="I99" s="17">
        <f>SUM(C99:G99)-H41</f>
        <v>632.39457127496325</v>
      </c>
      <c r="J99" s="4">
        <f>H62</f>
        <v>94.248812390831517</v>
      </c>
      <c r="K99" s="4">
        <f>J99+I99</f>
        <v>726.64338366579477</v>
      </c>
      <c r="L99" s="6">
        <f>K99*$L$98</f>
        <v>72.664338366579486</v>
      </c>
    </row>
    <row r="100" spans="1:12" x14ac:dyDescent="0.25">
      <c r="A100" s="4" t="s">
        <v>43</v>
      </c>
      <c r="B100" s="4">
        <f t="shared" si="69"/>
        <v>-250</v>
      </c>
      <c r="C100" s="4">
        <f t="shared" si="69"/>
        <v>0</v>
      </c>
      <c r="D100" s="4">
        <f t="shared" si="69"/>
        <v>93.567638317349946</v>
      </c>
      <c r="E100" s="4">
        <f t="shared" si="69"/>
        <v>122.17796830014167</v>
      </c>
      <c r="F100" s="4">
        <f t="shared" si="69"/>
        <v>89.796773648906097</v>
      </c>
      <c r="G100" s="4">
        <f t="shared" si="69"/>
        <v>213.59864067014308</v>
      </c>
      <c r="H100" s="4">
        <f t="shared" si="69"/>
        <v>207.502362729254</v>
      </c>
      <c r="J100" s="111" t="s">
        <v>225</v>
      </c>
      <c r="K100" s="111" t="s">
        <v>226</v>
      </c>
      <c r="L100" s="111"/>
    </row>
    <row r="101" spans="1:12" hidden="1" x14ac:dyDescent="0.25">
      <c r="A101" s="3" t="s">
        <v>72</v>
      </c>
      <c r="B101" s="37">
        <f t="shared" si="69"/>
        <v>0.29051230783786264</v>
      </c>
      <c r="C101" s="25"/>
      <c r="D101" s="25"/>
      <c r="E101" s="25"/>
      <c r="F101" s="25"/>
      <c r="G101" s="25"/>
      <c r="H101" s="25"/>
      <c r="J101" s="6"/>
      <c r="K101" s="6"/>
      <c r="L101" s="6"/>
    </row>
    <row r="102" spans="1:12" x14ac:dyDescent="0.25">
      <c r="A102" s="3" t="s">
        <v>208</v>
      </c>
      <c r="B102" s="38">
        <f t="shared" si="69"/>
        <v>0.41230865795635574</v>
      </c>
      <c r="C102" s="25"/>
      <c r="D102" s="25"/>
      <c r="E102" s="25"/>
      <c r="F102" s="25"/>
      <c r="G102" s="25"/>
      <c r="H102" s="25"/>
      <c r="J102" s="6">
        <v>20</v>
      </c>
      <c r="K102" s="6">
        <f>B7*B4</f>
        <v>75</v>
      </c>
      <c r="L102" s="6">
        <f>K102*J102</f>
        <v>1500</v>
      </c>
    </row>
    <row r="104" spans="1:12" x14ac:dyDescent="0.25">
      <c r="J104" s="9" t="s">
        <v>227</v>
      </c>
      <c r="K104" s="11">
        <f>K99+R23</f>
        <v>1554.3478688120995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N10" sqref="N10"/>
    </sheetView>
  </sheetViews>
  <sheetFormatPr baseColWidth="10" defaultColWidth="7.5703125" defaultRowHeight="15" x14ac:dyDescent="0.25"/>
  <cols>
    <col min="1" max="1" width="20.5703125" customWidth="1"/>
    <col min="2" max="2" width="6.28515625" customWidth="1"/>
    <col min="4" max="4" width="3.5703125" customWidth="1"/>
    <col min="5" max="5" width="17.28515625" customWidth="1"/>
  </cols>
  <sheetData>
    <row r="1" spans="1:7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7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7" x14ac:dyDescent="0.25">
      <c r="A4" s="141" t="s">
        <v>92</v>
      </c>
      <c r="B4" s="141"/>
      <c r="C4" s="141"/>
      <c r="E4" s="141" t="s">
        <v>87</v>
      </c>
      <c r="F4" s="141"/>
      <c r="G4" s="141"/>
    </row>
    <row r="5" spans="1:7" x14ac:dyDescent="0.25">
      <c r="A5" s="33" t="s">
        <v>7</v>
      </c>
      <c r="B5" s="59">
        <v>100</v>
      </c>
      <c r="C5" s="33"/>
      <c r="D5" s="1"/>
      <c r="E5" s="33" t="s">
        <v>7</v>
      </c>
      <c r="F5" s="59">
        <f>B5</f>
        <v>100</v>
      </c>
      <c r="G5" s="33"/>
    </row>
    <row r="6" spans="1:7" x14ac:dyDescent="0.25">
      <c r="A6" s="6" t="s">
        <v>78</v>
      </c>
      <c r="B6" s="57">
        <v>20</v>
      </c>
      <c r="C6" s="6"/>
      <c r="E6" s="6" t="s">
        <v>78</v>
      </c>
      <c r="F6" s="57">
        <f t="shared" ref="F6:F9" si="0">B6</f>
        <v>20</v>
      </c>
      <c r="G6" s="6"/>
    </row>
    <row r="7" spans="1:7" x14ac:dyDescent="0.25">
      <c r="A7" s="6" t="s">
        <v>79</v>
      </c>
      <c r="B7" s="57">
        <v>50</v>
      </c>
      <c r="C7" s="6"/>
      <c r="E7" s="6" t="s">
        <v>79</v>
      </c>
      <c r="F7" s="57"/>
      <c r="G7" s="6"/>
    </row>
    <row r="8" spans="1:7" x14ac:dyDescent="0.25">
      <c r="A8" s="6" t="s">
        <v>15</v>
      </c>
      <c r="B8" s="57">
        <f>B5-B6-B7</f>
        <v>30</v>
      </c>
      <c r="C8" s="6"/>
      <c r="E8" s="6" t="s">
        <v>15</v>
      </c>
      <c r="F8" s="57">
        <f>F5-F6</f>
        <v>80</v>
      </c>
      <c r="G8" s="6"/>
    </row>
    <row r="9" spans="1:7" x14ac:dyDescent="0.25">
      <c r="A9" s="6" t="s">
        <v>80</v>
      </c>
      <c r="B9" s="57">
        <v>-20</v>
      </c>
      <c r="C9" s="6"/>
      <c r="E9" s="6" t="s">
        <v>80</v>
      </c>
      <c r="F9" s="57">
        <f t="shared" si="0"/>
        <v>-20</v>
      </c>
      <c r="G9" s="6"/>
    </row>
    <row r="10" spans="1:7" x14ac:dyDescent="0.25">
      <c r="A10" s="6" t="s">
        <v>84</v>
      </c>
      <c r="B10" s="57">
        <f>B8+B9</f>
        <v>10</v>
      </c>
      <c r="C10" s="6"/>
      <c r="E10" s="6" t="str">
        <f>A10</f>
        <v>RCAI</v>
      </c>
      <c r="F10" s="57">
        <f>F8+F9</f>
        <v>60</v>
      </c>
      <c r="G10" s="6"/>
    </row>
    <row r="11" spans="1:7" x14ac:dyDescent="0.25">
      <c r="A11" s="6" t="s">
        <v>18</v>
      </c>
      <c r="B11" s="57">
        <f>-C11*(B8+B9)</f>
        <v>-1.5</v>
      </c>
      <c r="C11" s="56">
        <v>0.15</v>
      </c>
      <c r="E11" s="6" t="s">
        <v>18</v>
      </c>
      <c r="F11" s="57"/>
      <c r="G11" s="6"/>
    </row>
    <row r="12" spans="1:7" x14ac:dyDescent="0.25">
      <c r="A12" s="6" t="s">
        <v>17</v>
      </c>
      <c r="B12" s="57">
        <f>B8+B9+B11</f>
        <v>8.5</v>
      </c>
      <c r="C12" s="6"/>
      <c r="E12" s="6" t="s">
        <v>17</v>
      </c>
      <c r="F12" s="57"/>
      <c r="G12" s="6"/>
    </row>
    <row r="13" spans="1:7" x14ac:dyDescent="0.25">
      <c r="A13" s="6" t="s">
        <v>81</v>
      </c>
      <c r="B13" s="57">
        <f>B12</f>
        <v>8.5</v>
      </c>
      <c r="C13" s="6"/>
      <c r="E13" s="6" t="s">
        <v>81</v>
      </c>
      <c r="F13" s="57"/>
      <c r="G13" s="6"/>
    </row>
    <row r="14" spans="1:7" x14ac:dyDescent="0.25">
      <c r="A14" s="22" t="s">
        <v>89</v>
      </c>
      <c r="B14" s="57">
        <f>-C14*B13</f>
        <v>-1.105</v>
      </c>
      <c r="C14" s="56">
        <v>0.13</v>
      </c>
      <c r="E14" s="6" t="s">
        <v>85</v>
      </c>
      <c r="F14" s="57">
        <f>-F10*G14</f>
        <v>-8.1000000000000014</v>
      </c>
      <c r="G14" s="56">
        <v>0.13500000000000001</v>
      </c>
    </row>
    <row r="15" spans="1:7" x14ac:dyDescent="0.25">
      <c r="A15" s="22" t="s">
        <v>91</v>
      </c>
      <c r="B15" s="57">
        <f>B13</f>
        <v>8.5</v>
      </c>
      <c r="C15" s="56"/>
      <c r="E15" s="22" t="s">
        <v>88</v>
      </c>
      <c r="F15" s="57">
        <f>F10</f>
        <v>60</v>
      </c>
      <c r="G15" s="6"/>
    </row>
    <row r="16" spans="1:7" x14ac:dyDescent="0.25">
      <c r="A16" s="22" t="s">
        <v>90</v>
      </c>
      <c r="B16" s="58">
        <f>-C16*B13</f>
        <v>-3.4000000000000004</v>
      </c>
      <c r="C16" s="56">
        <v>0.4</v>
      </c>
      <c r="E16" s="6" t="s">
        <v>82</v>
      </c>
      <c r="F16" s="57">
        <f>-F15*G16</f>
        <v>-24.599999999999998</v>
      </c>
      <c r="G16" s="56">
        <f>C18</f>
        <v>0.41</v>
      </c>
    </row>
    <row r="17" spans="1:7" x14ac:dyDescent="0.25">
      <c r="A17" s="22" t="s">
        <v>88</v>
      </c>
      <c r="B17" s="57">
        <f>B13+B16</f>
        <v>5.0999999999999996</v>
      </c>
      <c r="C17" s="56"/>
      <c r="E17" s="33" t="s">
        <v>83</v>
      </c>
      <c r="F17" s="59">
        <f>F10+F14+F16</f>
        <v>27.3</v>
      </c>
      <c r="G17" s="6"/>
    </row>
    <row r="18" spans="1:7" x14ac:dyDescent="0.25">
      <c r="A18" s="6" t="s">
        <v>82</v>
      </c>
      <c r="B18" s="57">
        <f>-C18*B17</f>
        <v>-2.0909999999999997</v>
      </c>
      <c r="C18" s="56">
        <v>0.41</v>
      </c>
      <c r="E18" s="6"/>
      <c r="F18" s="57"/>
      <c r="G18" s="6"/>
    </row>
    <row r="19" spans="1:7" x14ac:dyDescent="0.25">
      <c r="A19" s="33" t="s">
        <v>83</v>
      </c>
      <c r="B19" s="59">
        <f>B17+B18</f>
        <v>3.0089999999999999</v>
      </c>
      <c r="C19" s="6"/>
      <c r="E19" s="6"/>
      <c r="F19" s="57"/>
      <c r="G19" s="6"/>
    </row>
    <row r="20" spans="1:7" x14ac:dyDescent="0.25">
      <c r="A20" s="6" t="s">
        <v>93</v>
      </c>
      <c r="B20" s="57">
        <f>-C20*B7</f>
        <v>-16.5</v>
      </c>
      <c r="C20" s="56">
        <v>0.33</v>
      </c>
      <c r="E20" s="6"/>
      <c r="F20" s="60"/>
      <c r="G20" s="6"/>
    </row>
    <row r="21" spans="1:7" x14ac:dyDescent="0.25">
      <c r="A21" s="33" t="s">
        <v>86</v>
      </c>
      <c r="B21" s="59">
        <f>B7+B19+B20</f>
        <v>36.509</v>
      </c>
      <c r="C21" s="33"/>
      <c r="D21" s="1"/>
      <c r="E21" s="33" t="str">
        <f>A21</f>
        <v>Cash total</v>
      </c>
      <c r="F21" s="59">
        <f>F17</f>
        <v>27.3</v>
      </c>
      <c r="G21" s="6"/>
    </row>
  </sheetData>
  <mergeCells count="2">
    <mergeCell ref="E4:G4"/>
    <mergeCell ref="A4:C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zoomScale="80" zoomScaleNormal="80" workbookViewId="0">
      <selection activeCell="I26" sqref="I26"/>
    </sheetView>
  </sheetViews>
  <sheetFormatPr baseColWidth="10" defaultColWidth="7.85546875" defaultRowHeight="15" x14ac:dyDescent="0.25"/>
  <cols>
    <col min="1" max="1" width="19.7109375" customWidth="1"/>
    <col min="10" max="10" width="16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t="s">
        <v>1</v>
      </c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6</v>
      </c>
      <c r="B4" s="9">
        <v>400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B44</f>
        <v>2011</v>
      </c>
      <c r="L4" s="3">
        <f t="shared" si="0"/>
        <v>2012</v>
      </c>
      <c r="M4" s="3">
        <f t="shared" si="0"/>
        <v>2013</v>
      </c>
      <c r="N4" s="3">
        <f t="shared" si="0"/>
        <v>2014</v>
      </c>
      <c r="O4" s="3">
        <f t="shared" si="0"/>
        <v>2015</v>
      </c>
      <c r="P4" s="3">
        <f t="shared" si="0"/>
        <v>2016</v>
      </c>
      <c r="Q4" s="3">
        <f t="shared" si="0"/>
        <v>2017</v>
      </c>
      <c r="R4" s="4"/>
    </row>
    <row r="5" spans="1:18" x14ac:dyDescent="0.25">
      <c r="A5" s="6" t="s">
        <v>7</v>
      </c>
      <c r="B5" s="10">
        <v>0.09</v>
      </c>
      <c r="D5" s="7" t="s">
        <v>10</v>
      </c>
      <c r="E5" s="8"/>
      <c r="F5" s="10">
        <v>0.05</v>
      </c>
      <c r="J5" s="4" t="s">
        <v>19</v>
      </c>
      <c r="K5" s="13">
        <f t="shared" si="0"/>
        <v>0</v>
      </c>
      <c r="L5" s="13">
        <f t="shared" si="0"/>
        <v>2628.0000000000005</v>
      </c>
      <c r="M5" s="13">
        <f t="shared" si="0"/>
        <v>4260.0000000000009</v>
      </c>
      <c r="N5" s="13">
        <f t="shared" si="0"/>
        <v>4594.0000000000009</v>
      </c>
      <c r="O5" s="13">
        <f t="shared" si="0"/>
        <v>4908.0000000000009</v>
      </c>
      <c r="P5" s="13">
        <f t="shared" si="0"/>
        <v>5640.0000000000009</v>
      </c>
      <c r="Q5" s="13">
        <f t="shared" si="0"/>
        <v>5360.0000000000009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0.04</v>
      </c>
      <c r="J6" s="4" t="s">
        <v>20</v>
      </c>
      <c r="K6" s="13">
        <f t="shared" si="0"/>
        <v>2000</v>
      </c>
      <c r="L6" s="13">
        <f t="shared" si="0"/>
        <v>732.56059999999979</v>
      </c>
      <c r="M6" s="13">
        <f t="shared" si="0"/>
        <v>-93.039400000000342</v>
      </c>
      <c r="N6" s="13">
        <f t="shared" si="0"/>
        <v>101.60059999999953</v>
      </c>
      <c r="O6" s="13">
        <f t="shared" si="0"/>
        <v>280.99793333333264</v>
      </c>
      <c r="P6" s="13">
        <f t="shared" si="0"/>
        <v>233.50211111111025</v>
      </c>
      <c r="Q6" s="13">
        <f t="shared" si="0"/>
        <v>256.37267703703617</v>
      </c>
      <c r="R6" s="4"/>
    </row>
    <row r="7" spans="1:18" x14ac:dyDescent="0.25">
      <c r="A7" s="22" t="s">
        <v>52</v>
      </c>
      <c r="B7" s="21">
        <v>0.15</v>
      </c>
      <c r="D7" s="7" t="s">
        <v>35</v>
      </c>
      <c r="E7" s="8"/>
      <c r="F7" s="10">
        <v>0.3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B48</f>
        <v>2000</v>
      </c>
      <c r="L8" s="13">
        <f t="shared" si="1"/>
        <v>2016.5606</v>
      </c>
      <c r="M8" s="13">
        <f t="shared" si="1"/>
        <v>2016.5606</v>
      </c>
      <c r="N8" s="13">
        <f t="shared" si="1"/>
        <v>2016.5605999999998</v>
      </c>
      <c r="O8" s="13">
        <f t="shared" si="1"/>
        <v>2016.5605999999998</v>
      </c>
      <c r="P8" s="13">
        <f t="shared" si="1"/>
        <v>2016.5605999999998</v>
      </c>
      <c r="Q8" s="13">
        <f t="shared" si="1"/>
        <v>2016.5605999999998</v>
      </c>
      <c r="R8" s="4"/>
    </row>
    <row r="9" spans="1:18" x14ac:dyDescent="0.25">
      <c r="A9" s="16" t="s">
        <v>58</v>
      </c>
      <c r="B9" s="9">
        <v>2000</v>
      </c>
      <c r="D9" s="20" t="s">
        <v>61</v>
      </c>
      <c r="E9" s="8"/>
      <c r="F9" s="9">
        <v>0.5</v>
      </c>
      <c r="J9" s="4" t="s">
        <v>22</v>
      </c>
      <c r="K9" s="13">
        <f t="shared" si="1"/>
        <v>0</v>
      </c>
      <c r="L9" s="13">
        <f t="shared" si="1"/>
        <v>1344.0000000000002</v>
      </c>
      <c r="M9" s="13">
        <f t="shared" si="1"/>
        <v>2150.4000000000005</v>
      </c>
      <c r="N9" s="13">
        <f t="shared" si="1"/>
        <v>2679.0400000000004</v>
      </c>
      <c r="O9" s="13">
        <f t="shared" si="1"/>
        <v>3172.4373333333338</v>
      </c>
      <c r="P9" s="13">
        <f t="shared" si="1"/>
        <v>3856.9415111111116</v>
      </c>
      <c r="Q9" s="13">
        <f t="shared" si="1"/>
        <v>3599.8120770370374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2000</v>
      </c>
      <c r="L10" s="13">
        <f t="shared" si="1"/>
        <v>3360.5606000000002</v>
      </c>
      <c r="M10" s="13">
        <f t="shared" si="1"/>
        <v>4166.9606000000003</v>
      </c>
      <c r="N10" s="13">
        <f t="shared" si="1"/>
        <v>4695.6005999999998</v>
      </c>
      <c r="O10" s="13">
        <f t="shared" si="1"/>
        <v>5188.997933333334</v>
      </c>
      <c r="P10" s="13">
        <f t="shared" si="1"/>
        <v>5873.5021111111109</v>
      </c>
      <c r="Q10" s="13">
        <f t="shared" si="1"/>
        <v>5616.3726770370376</v>
      </c>
      <c r="R10" s="4"/>
    </row>
    <row r="11" spans="1:18" x14ac:dyDescent="0.25">
      <c r="A11" s="3" t="s">
        <v>32</v>
      </c>
      <c r="B11" s="3">
        <v>2011</v>
      </c>
      <c r="C11" s="3">
        <f>B11+1</f>
        <v>2012</v>
      </c>
      <c r="D11" s="3">
        <f t="shared" ref="D11:H11" si="2">C11+1</f>
        <v>2013</v>
      </c>
      <c r="E11" s="3">
        <f t="shared" si="2"/>
        <v>2014</v>
      </c>
      <c r="F11" s="3">
        <f t="shared" si="2"/>
        <v>2015</v>
      </c>
      <c r="G11" s="3">
        <f t="shared" si="2"/>
        <v>2016</v>
      </c>
      <c r="H11" s="3">
        <f t="shared" si="2"/>
        <v>2017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</v>
      </c>
      <c r="B12" s="4">
        <v>0</v>
      </c>
      <c r="C12" s="4">
        <f>B15</f>
        <v>0</v>
      </c>
      <c r="D12" s="4">
        <f>C15</f>
        <v>6</v>
      </c>
      <c r="E12" s="4">
        <f t="shared" ref="E12:H12" si="3">D15</f>
        <v>10</v>
      </c>
      <c r="F12" s="4">
        <f t="shared" si="3"/>
        <v>11</v>
      </c>
      <c r="G12" s="4">
        <f t="shared" si="3"/>
        <v>12</v>
      </c>
      <c r="H12" s="4">
        <f t="shared" si="3"/>
        <v>14</v>
      </c>
      <c r="I12" s="2"/>
      <c r="J12" s="2"/>
      <c r="K12" s="2"/>
    </row>
    <row r="13" spans="1:18" x14ac:dyDescent="0.25">
      <c r="A13" s="4" t="s">
        <v>3</v>
      </c>
      <c r="B13" s="4"/>
      <c r="C13" s="11">
        <v>6</v>
      </c>
      <c r="D13" s="15">
        <v>4</v>
      </c>
      <c r="E13" s="11">
        <v>3</v>
      </c>
      <c r="F13" s="11">
        <v>3</v>
      </c>
      <c r="G13" s="11">
        <v>4</v>
      </c>
      <c r="H13" s="11"/>
      <c r="I13" s="2"/>
      <c r="J13" s="4" t="s">
        <v>59</v>
      </c>
      <c r="K13" s="14">
        <f>B66</f>
        <v>8.4884943164050819E-2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-2</v>
      </c>
      <c r="F14" s="11">
        <v>-2</v>
      </c>
      <c r="G14" s="11">
        <v>-2</v>
      </c>
      <c r="H14" s="11">
        <v>0</v>
      </c>
      <c r="I14" s="2"/>
      <c r="J14" s="4" t="s">
        <v>60</v>
      </c>
      <c r="K14" s="14">
        <f>B67</f>
        <v>0.10393155598868486</v>
      </c>
    </row>
    <row r="15" spans="1:18" x14ac:dyDescent="0.25">
      <c r="A15" s="4" t="s">
        <v>5</v>
      </c>
      <c r="B15" s="4">
        <f>B12+B13+B14</f>
        <v>0</v>
      </c>
      <c r="C15" s="4">
        <f>C12+C13+C14</f>
        <v>6</v>
      </c>
      <c r="D15" s="4">
        <f>D12+D13+D14</f>
        <v>10</v>
      </c>
      <c r="E15" s="4">
        <f t="shared" ref="E15:H15" si="4">E12+E13+E14</f>
        <v>11</v>
      </c>
      <c r="F15" s="4">
        <f t="shared" si="4"/>
        <v>12</v>
      </c>
      <c r="G15" s="4">
        <f t="shared" si="4"/>
        <v>14</v>
      </c>
      <c r="H15" s="4">
        <f t="shared" si="4"/>
        <v>14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3</v>
      </c>
      <c r="D16" s="4">
        <f>(D12+D15)/2</f>
        <v>8</v>
      </c>
      <c r="E16" s="4">
        <f t="shared" ref="E16:H16" si="5">(E12+E15)/2</f>
        <v>10.5</v>
      </c>
      <c r="F16" s="4">
        <f t="shared" si="5"/>
        <v>11.5</v>
      </c>
      <c r="G16" s="4">
        <f t="shared" si="5"/>
        <v>13</v>
      </c>
      <c r="H16" s="4">
        <f t="shared" si="5"/>
        <v>14</v>
      </c>
      <c r="I16" s="2"/>
      <c r="J16" s="2"/>
      <c r="K16" s="2"/>
    </row>
    <row r="17" spans="1:18" x14ac:dyDescent="0.25">
      <c r="A1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7" s="2"/>
      <c r="C17" s="2"/>
      <c r="D17" s="2"/>
      <c r="E17" s="2"/>
      <c r="F17" s="2"/>
      <c r="G17" s="2"/>
      <c r="H17" s="2"/>
      <c r="I17" s="2"/>
      <c r="J17" s="2" t="s">
        <v>49</v>
      </c>
      <c r="K17" s="2"/>
    </row>
    <row r="18" spans="1:18" x14ac:dyDescent="0.25">
      <c r="A18" s="3"/>
      <c r="B18" s="3">
        <f>B11</f>
        <v>2011</v>
      </c>
      <c r="C18" s="3">
        <f t="shared" ref="C18:H18" si="6">C11</f>
        <v>2012</v>
      </c>
      <c r="D18" s="3">
        <f t="shared" si="6"/>
        <v>2013</v>
      </c>
      <c r="E18" s="3">
        <f t="shared" si="6"/>
        <v>2014</v>
      </c>
      <c r="F18" s="3">
        <f t="shared" si="6"/>
        <v>2015</v>
      </c>
      <c r="G18" s="3">
        <f t="shared" si="6"/>
        <v>2016</v>
      </c>
      <c r="H18" s="3">
        <f t="shared" si="6"/>
        <v>2017</v>
      </c>
      <c r="I18" s="2"/>
      <c r="J18" s="2" t="s">
        <v>51</v>
      </c>
      <c r="K18" s="2"/>
      <c r="R18" s="2">
        <f>SUM(C13:H13)*4%*B4</f>
        <v>320</v>
      </c>
    </row>
    <row r="19" spans="1:18" x14ac:dyDescent="0.25">
      <c r="A19" s="4" t="s">
        <v>28</v>
      </c>
      <c r="B19" s="4"/>
      <c r="C19" s="4">
        <f>$B$4*C12</f>
        <v>0</v>
      </c>
      <c r="D19" s="4">
        <f>$B$4*D12</f>
        <v>2400</v>
      </c>
      <c r="E19" s="4">
        <f t="shared" ref="E19:H19" si="7">$B$4*E12</f>
        <v>4000</v>
      </c>
      <c r="F19" s="4">
        <f t="shared" si="7"/>
        <v>4400</v>
      </c>
      <c r="G19" s="4">
        <f t="shared" si="7"/>
        <v>4800</v>
      </c>
      <c r="H19" s="4">
        <f t="shared" si="7"/>
        <v>5600</v>
      </c>
      <c r="I19" s="2"/>
      <c r="J19" s="2" t="s">
        <v>50</v>
      </c>
      <c r="K19" s="2"/>
      <c r="R19" s="2">
        <f>SUM(C25:H25)*50%</f>
        <v>159.81300272768635</v>
      </c>
    </row>
    <row r="20" spans="1:18" x14ac:dyDescent="0.25">
      <c r="A20" s="4" t="s">
        <v>29</v>
      </c>
      <c r="B20" s="4"/>
      <c r="C20" s="4">
        <f>$B$4*C16</f>
        <v>1200</v>
      </c>
      <c r="D20" s="4">
        <f>$B$4*D16</f>
        <v>3200</v>
      </c>
      <c r="E20" s="4">
        <f t="shared" ref="E20:H20" si="8">$B$4*E16</f>
        <v>4200</v>
      </c>
      <c r="F20" s="4">
        <f t="shared" si="8"/>
        <v>4600</v>
      </c>
      <c r="G20" s="4">
        <f t="shared" si="8"/>
        <v>5200</v>
      </c>
      <c r="H20" s="4">
        <f t="shared" si="8"/>
        <v>5600</v>
      </c>
      <c r="I20" s="2"/>
      <c r="J20" s="2" t="s">
        <v>54</v>
      </c>
      <c r="K20" s="2"/>
      <c r="Q20" s="26">
        <v>0.05</v>
      </c>
      <c r="R20">
        <f>-SUM(C14:H14)*B4*(1+B7)*Q20</f>
        <v>138</v>
      </c>
    </row>
    <row r="21" spans="1:18" x14ac:dyDescent="0.25">
      <c r="A21" s="4" t="s">
        <v>30</v>
      </c>
      <c r="B21" s="4"/>
      <c r="C21" s="4">
        <f>$B$4*C15</f>
        <v>2400</v>
      </c>
      <c r="D21" s="4">
        <f>$B$4*D15</f>
        <v>4000</v>
      </c>
      <c r="E21" s="4">
        <f t="shared" ref="E21:H21" si="9">$B$4*E15</f>
        <v>4400</v>
      </c>
      <c r="F21" s="4">
        <f t="shared" si="9"/>
        <v>4800</v>
      </c>
      <c r="G21" s="4">
        <f t="shared" si="9"/>
        <v>5600</v>
      </c>
      <c r="H21" s="4">
        <f t="shared" si="9"/>
        <v>5600</v>
      </c>
      <c r="I21" s="2"/>
      <c r="J21" s="2" t="s">
        <v>55</v>
      </c>
      <c r="K21" s="2"/>
      <c r="Q21" s="26">
        <v>0.15</v>
      </c>
      <c r="R21" s="2">
        <f>SUM(C26:H26)</f>
        <v>54</v>
      </c>
    </row>
    <row r="22" spans="1:18" x14ac:dyDescent="0.25">
      <c r="A2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2" s="2"/>
      <c r="C22" s="2"/>
      <c r="D22" s="2"/>
      <c r="E22" s="2"/>
      <c r="F22" s="2"/>
      <c r="G22" s="2"/>
      <c r="H22" s="2"/>
      <c r="I22" s="2" t="s">
        <v>53</v>
      </c>
      <c r="J22" s="2"/>
      <c r="K22" s="2"/>
      <c r="Q22" t="s">
        <v>23</v>
      </c>
      <c r="R22" s="2">
        <f>SUM(R18:R21)</f>
        <v>671.81300272768635</v>
      </c>
    </row>
    <row r="23" spans="1:18" x14ac:dyDescent="0.25">
      <c r="A23" s="3" t="s">
        <v>33</v>
      </c>
      <c r="B23" s="3">
        <f t="shared" ref="B23:H23" si="10">B18</f>
        <v>2011</v>
      </c>
      <c r="C23" s="3">
        <f t="shared" si="10"/>
        <v>2012</v>
      </c>
      <c r="D23" s="3">
        <f t="shared" si="10"/>
        <v>2013</v>
      </c>
      <c r="E23" s="3">
        <f t="shared" si="10"/>
        <v>2014</v>
      </c>
      <c r="F23" s="3">
        <f t="shared" si="10"/>
        <v>2015</v>
      </c>
      <c r="G23" s="3">
        <f t="shared" si="10"/>
        <v>2016</v>
      </c>
      <c r="H23" s="3">
        <f t="shared" si="10"/>
        <v>2017</v>
      </c>
      <c r="I23" s="2"/>
      <c r="J23" s="2"/>
      <c r="K23" s="2"/>
    </row>
    <row r="24" spans="1:18" x14ac:dyDescent="0.25">
      <c r="A24" s="3" t="s">
        <v>12</v>
      </c>
      <c r="B24" s="3"/>
      <c r="C24" s="3">
        <f>C20*$B$5*C70</f>
        <v>109.61999999999999</v>
      </c>
      <c r="D24" s="3">
        <f t="shared" ref="D24:H24" si="11">D20*$B$5*D70</f>
        <v>296.70479999999992</v>
      </c>
      <c r="E24" s="3">
        <f t="shared" si="11"/>
        <v>395.26642574999983</v>
      </c>
      <c r="F24" s="3">
        <f t="shared" si="11"/>
        <v>439.40450995874977</v>
      </c>
      <c r="G24" s="3">
        <f t="shared" si="11"/>
        <v>504.16891381788719</v>
      </c>
      <c r="H24" s="3">
        <f t="shared" si="11"/>
        <v>551.09540502709035</v>
      </c>
      <c r="I24" s="2"/>
      <c r="J24" s="2"/>
      <c r="K24" s="2"/>
    </row>
    <row r="25" spans="1:18" x14ac:dyDescent="0.25">
      <c r="A25" s="4" t="s">
        <v>13</v>
      </c>
      <c r="B25" s="4"/>
      <c r="C25" s="4">
        <f>+C24*$G$4+$F$4</f>
        <v>25.962</v>
      </c>
      <c r="D25" s="4">
        <f t="shared" ref="D25:H25" si="12">+D24*$G$4+$F$4</f>
        <v>44.670479999999998</v>
      </c>
      <c r="E25" s="4">
        <f t="shared" si="12"/>
        <v>54.526642574999983</v>
      </c>
      <c r="F25" s="4">
        <f t="shared" si="12"/>
        <v>58.940450995874983</v>
      </c>
      <c r="G25" s="4">
        <f t="shared" si="12"/>
        <v>65.41689138178873</v>
      </c>
      <c r="H25" s="4">
        <f t="shared" si="12"/>
        <v>70.109540502709038</v>
      </c>
      <c r="I25" s="2"/>
      <c r="J25" s="2"/>
      <c r="K25" s="2"/>
    </row>
    <row r="26" spans="1:18" x14ac:dyDescent="0.25">
      <c r="A26" s="4" t="s">
        <v>56</v>
      </c>
      <c r="B26" s="4"/>
      <c r="C26" s="4">
        <f t="shared" ref="C26:H26" si="13">-$B$7*C14*$B$4*$Q$21</f>
        <v>0</v>
      </c>
      <c r="D26" s="4">
        <f t="shared" si="13"/>
        <v>0</v>
      </c>
      <c r="E26" s="4">
        <f t="shared" si="13"/>
        <v>18</v>
      </c>
      <c r="F26" s="4">
        <f t="shared" si="13"/>
        <v>18</v>
      </c>
      <c r="G26" s="4">
        <f t="shared" si="13"/>
        <v>18</v>
      </c>
      <c r="H26" s="4">
        <f t="shared" si="13"/>
        <v>0</v>
      </c>
      <c r="I26" s="2"/>
      <c r="J26" s="2"/>
      <c r="K26" s="2"/>
    </row>
    <row r="27" spans="1:18" x14ac:dyDescent="0.25">
      <c r="A27" s="4" t="s">
        <v>14</v>
      </c>
      <c r="B27" s="4"/>
      <c r="C27" s="4">
        <f t="shared" ref="C27:H27" si="14">C20*$F$5</f>
        <v>60</v>
      </c>
      <c r="D27" s="4">
        <f t="shared" si="14"/>
        <v>160</v>
      </c>
      <c r="E27" s="4">
        <f t="shared" si="14"/>
        <v>210</v>
      </c>
      <c r="F27" s="4">
        <f t="shared" si="14"/>
        <v>230</v>
      </c>
      <c r="G27" s="4">
        <f t="shared" si="14"/>
        <v>260</v>
      </c>
      <c r="H27" s="4">
        <f t="shared" si="14"/>
        <v>280</v>
      </c>
      <c r="I27" s="2"/>
      <c r="J27" s="2"/>
      <c r="K27" s="2"/>
    </row>
    <row r="28" spans="1:18" x14ac:dyDescent="0.25">
      <c r="A28" s="3" t="s">
        <v>15</v>
      </c>
      <c r="B28" s="3"/>
      <c r="C28" s="3">
        <f>C24-C25-C26-C27</f>
        <v>23.657999999999987</v>
      </c>
      <c r="D28" s="3">
        <f t="shared" ref="D28:H28" si="15">D24-D25-D26-D27</f>
        <v>92.034319999999923</v>
      </c>
      <c r="E28" s="3">
        <f t="shared" si="15"/>
        <v>112.73978317499984</v>
      </c>
      <c r="F28" s="3">
        <f t="shared" si="15"/>
        <v>132.46405896287479</v>
      </c>
      <c r="G28" s="3">
        <f t="shared" si="15"/>
        <v>160.75202243609846</v>
      </c>
      <c r="H28" s="3">
        <f t="shared" si="15"/>
        <v>200.98586452438133</v>
      </c>
      <c r="I28" s="2"/>
      <c r="J28" s="2"/>
      <c r="K28" s="2"/>
    </row>
    <row r="29" spans="1:18" x14ac:dyDescent="0.25">
      <c r="A29" s="5" t="s">
        <v>36</v>
      </c>
      <c r="B29" s="4"/>
      <c r="C29" s="4">
        <f t="shared" ref="C29:H29" si="16">-$B$7*C14*$B$4</f>
        <v>0</v>
      </c>
      <c r="D29" s="4">
        <f t="shared" si="16"/>
        <v>0</v>
      </c>
      <c r="E29" s="4">
        <f t="shared" si="16"/>
        <v>120</v>
      </c>
      <c r="F29" s="4">
        <f t="shared" si="16"/>
        <v>120</v>
      </c>
      <c r="G29" s="4">
        <f t="shared" si="16"/>
        <v>120</v>
      </c>
      <c r="H29" s="4">
        <f t="shared" si="16"/>
        <v>0</v>
      </c>
      <c r="I29" s="2"/>
      <c r="J29" s="2"/>
      <c r="K29" s="2"/>
    </row>
    <row r="30" spans="1:18" x14ac:dyDescent="0.25">
      <c r="A30" s="4" t="s">
        <v>16</v>
      </c>
      <c r="B30" s="4"/>
      <c r="C30" s="4">
        <v>0</v>
      </c>
      <c r="D30" s="4">
        <f t="shared" ref="D30:H30" si="17">-$F$6*(C49-C46)</f>
        <v>-24.457576000000017</v>
      </c>
      <c r="E30" s="4">
        <f t="shared" si="17"/>
        <v>-89.737576000000047</v>
      </c>
      <c r="F30" s="4">
        <f t="shared" si="17"/>
        <v>-103.09757600000005</v>
      </c>
      <c r="G30" s="4">
        <f t="shared" si="17"/>
        <v>-115.65757600000005</v>
      </c>
      <c r="H30" s="4">
        <f t="shared" si="17"/>
        <v>-144.93757600000004</v>
      </c>
      <c r="I30" s="2"/>
      <c r="J30" s="2"/>
      <c r="K30" s="2"/>
    </row>
    <row r="31" spans="1:18" x14ac:dyDescent="0.25">
      <c r="A31" s="4" t="s">
        <v>18</v>
      </c>
      <c r="B31" s="4"/>
      <c r="C31" s="4">
        <f>IF((C28+C30)&gt;0,-(C28+C30)*$F$7,0)</f>
        <v>-7.0973999999999959</v>
      </c>
      <c r="D31" s="4">
        <f>IF((D28+D29+D30)&gt;0,-(D28+D29+D30)*$F$7,0)</f>
        <v>-20.273023199999972</v>
      </c>
      <c r="E31" s="4">
        <f t="shared" ref="E31:H31" si="18">IF((E28+E29+E30)&gt;0,-(E28+E29+E30)*$F$7,0)</f>
        <v>-42.90066215249994</v>
      </c>
      <c r="F31" s="4">
        <f t="shared" si="18"/>
        <v>-44.809944888862418</v>
      </c>
      <c r="G31" s="4">
        <f t="shared" si="18"/>
        <v>-49.528333930829518</v>
      </c>
      <c r="H31" s="4">
        <f t="shared" si="18"/>
        <v>-16.814486557314385</v>
      </c>
      <c r="I31" s="2"/>
      <c r="J31" s="2"/>
      <c r="K31" s="2"/>
    </row>
    <row r="32" spans="1:18" x14ac:dyDescent="0.25">
      <c r="A32" s="3" t="s">
        <v>17</v>
      </c>
      <c r="B32" s="3"/>
      <c r="C32" s="3">
        <f>C28+C29+C30+C31</f>
        <v>16.56059999999999</v>
      </c>
      <c r="D32" s="3">
        <f>D28+D29+D30+D31</f>
        <v>47.303720799999937</v>
      </c>
      <c r="E32" s="3">
        <f t="shared" ref="E32:H32" si="19">E28+E29+E30+E31</f>
        <v>100.10154502249986</v>
      </c>
      <c r="F32" s="3">
        <f t="shared" si="19"/>
        <v>104.55653807401231</v>
      </c>
      <c r="G32" s="3">
        <f t="shared" si="19"/>
        <v>115.56611250526888</v>
      </c>
      <c r="H32" s="3">
        <f t="shared" si="19"/>
        <v>39.23380196706691</v>
      </c>
      <c r="I32" s="2"/>
      <c r="J32" s="2"/>
      <c r="K32" s="2"/>
    </row>
    <row r="33" spans="1:11" x14ac:dyDescent="0.25">
      <c r="A3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25">
      <c r="A34" s="3" t="s">
        <v>31</v>
      </c>
      <c r="B34" s="3">
        <f>B23</f>
        <v>2011</v>
      </c>
      <c r="C34" s="3">
        <f>C23</f>
        <v>2012</v>
      </c>
      <c r="D34" s="3">
        <f t="shared" ref="D34:H34" si="20">D23</f>
        <v>2013</v>
      </c>
      <c r="E34" s="3">
        <f t="shared" si="20"/>
        <v>2014</v>
      </c>
      <c r="F34" s="3">
        <f t="shared" si="20"/>
        <v>2015</v>
      </c>
      <c r="G34" s="3">
        <f t="shared" si="20"/>
        <v>2016</v>
      </c>
      <c r="H34" s="3">
        <f t="shared" si="20"/>
        <v>2017</v>
      </c>
      <c r="I34" s="2"/>
      <c r="J34" s="2"/>
      <c r="K34" s="2"/>
    </row>
    <row r="35" spans="1:11" x14ac:dyDescent="0.25">
      <c r="A35" s="4" t="s">
        <v>25</v>
      </c>
      <c r="B35" s="4"/>
      <c r="C35" s="4">
        <f>C32+C27</f>
        <v>76.560599999999994</v>
      </c>
      <c r="D35" s="4">
        <f>D32+D27</f>
        <v>207.30372079999995</v>
      </c>
      <c r="E35" s="4">
        <f t="shared" ref="E35:H35" si="21">E32+E27</f>
        <v>310.10154502249986</v>
      </c>
      <c r="F35" s="4">
        <f t="shared" si="21"/>
        <v>334.55653807401234</v>
      </c>
      <c r="G35" s="4">
        <f t="shared" si="21"/>
        <v>375.56611250526885</v>
      </c>
      <c r="H35" s="4">
        <f t="shared" si="21"/>
        <v>319.23380196706694</v>
      </c>
      <c r="I35" s="2"/>
      <c r="J35" s="2"/>
      <c r="K35" s="2"/>
    </row>
    <row r="36" spans="1:11" x14ac:dyDescent="0.25">
      <c r="A36" s="4" t="s">
        <v>58</v>
      </c>
      <c r="B36" s="4"/>
      <c r="C36" s="4"/>
      <c r="D36" s="4">
        <f>-D32</f>
        <v>-47.303720799999937</v>
      </c>
      <c r="E36" s="4">
        <f t="shared" ref="E36:H36" si="22">-E32</f>
        <v>-100.10154502249986</v>
      </c>
      <c r="F36" s="4">
        <f t="shared" si="22"/>
        <v>-104.55653807401231</v>
      </c>
      <c r="G36" s="4">
        <f t="shared" si="22"/>
        <v>-115.56611250526888</v>
      </c>
      <c r="H36" s="4">
        <f t="shared" si="22"/>
        <v>-39.23380196706691</v>
      </c>
      <c r="I36" s="2"/>
      <c r="J36" s="2"/>
      <c r="K36" s="2"/>
    </row>
    <row r="37" spans="1:11" x14ac:dyDescent="0.25">
      <c r="A37" s="4" t="s">
        <v>45</v>
      </c>
      <c r="B37" s="4"/>
      <c r="C37" s="4"/>
      <c r="D37" s="4">
        <f>-C49/$I$49</f>
        <v>-89.600000000000009</v>
      </c>
      <c r="E37" s="4">
        <f>-D49/$I$49</f>
        <v>-143.36000000000004</v>
      </c>
      <c r="F37" s="4">
        <f>-E49/$I$49</f>
        <v>-178.60266666666669</v>
      </c>
      <c r="G37" s="4">
        <f>-F49/$I$49</f>
        <v>-211.49582222222224</v>
      </c>
      <c r="H37" s="4">
        <f>-G49/$I$49</f>
        <v>-257.12943407407408</v>
      </c>
      <c r="I37" s="2"/>
      <c r="J37" s="2"/>
      <c r="K37" s="2"/>
    </row>
    <row r="38" spans="1:11" x14ac:dyDescent="0.25">
      <c r="A38" s="4" t="s">
        <v>57</v>
      </c>
      <c r="B38" s="4"/>
      <c r="C38" s="4">
        <f>C13*$B$4*(1+$B$6)*$F$9</f>
        <v>1344.0000000000002</v>
      </c>
      <c r="D38" s="4">
        <f t="shared" ref="D38:H38" si="23">D13*$B$4*(1+$B$6)*$F$9</f>
        <v>896.00000000000011</v>
      </c>
      <c r="E38" s="4">
        <f t="shared" si="23"/>
        <v>672.00000000000011</v>
      </c>
      <c r="F38" s="4">
        <f t="shared" si="23"/>
        <v>672.00000000000011</v>
      </c>
      <c r="G38" s="4">
        <f t="shared" si="23"/>
        <v>896.00000000000011</v>
      </c>
      <c r="H38" s="4">
        <f t="shared" si="23"/>
        <v>0</v>
      </c>
      <c r="I38" s="2"/>
      <c r="J38" s="2"/>
      <c r="K38" s="2"/>
    </row>
    <row r="39" spans="1:11" x14ac:dyDescent="0.25">
      <c r="A39" s="4" t="s">
        <v>37</v>
      </c>
      <c r="B39" s="4"/>
      <c r="C39" s="4">
        <f t="shared" ref="C39:H39" si="24">-C14*$B$4</f>
        <v>0</v>
      </c>
      <c r="D39" s="4">
        <f t="shared" si="24"/>
        <v>0</v>
      </c>
      <c r="E39" s="4">
        <f t="shared" si="24"/>
        <v>800</v>
      </c>
      <c r="F39" s="4">
        <f t="shared" si="24"/>
        <v>800</v>
      </c>
      <c r="G39" s="4">
        <f t="shared" si="24"/>
        <v>800</v>
      </c>
      <c r="H39" s="4">
        <f t="shared" si="24"/>
        <v>0</v>
      </c>
      <c r="I39" s="2"/>
      <c r="J39" s="2"/>
      <c r="K39" s="2"/>
    </row>
    <row r="40" spans="1:11" x14ac:dyDescent="0.25">
      <c r="A40" s="4" t="s">
        <v>38</v>
      </c>
      <c r="B40" s="4"/>
      <c r="C40" s="4">
        <f>-C13*$B$4*(1+$B$6)</f>
        <v>-2688.0000000000005</v>
      </c>
      <c r="D40" s="4">
        <f t="shared" ref="D40:H40" si="25">-D13*$B$4*(1+$B$6)</f>
        <v>-1792.0000000000002</v>
      </c>
      <c r="E40" s="4">
        <f t="shared" si="25"/>
        <v>-1344.0000000000002</v>
      </c>
      <c r="F40" s="4">
        <f t="shared" si="25"/>
        <v>-1344.0000000000002</v>
      </c>
      <c r="G40" s="4">
        <f t="shared" si="25"/>
        <v>-1792.0000000000002</v>
      </c>
      <c r="H40" s="4">
        <f t="shared" si="25"/>
        <v>0</v>
      </c>
      <c r="I40" s="2"/>
      <c r="J40" s="2"/>
      <c r="K40" s="2"/>
    </row>
    <row r="41" spans="1:11" x14ac:dyDescent="0.25">
      <c r="A41" s="4" t="s">
        <v>26</v>
      </c>
      <c r="B41" s="4"/>
      <c r="C41" s="4">
        <f>B46</f>
        <v>2000</v>
      </c>
      <c r="D41" s="4">
        <f>C46</f>
        <v>732.56059999999979</v>
      </c>
      <c r="E41" s="4">
        <f t="shared" ref="E41:H41" si="26">D46</f>
        <v>-93.039400000000342</v>
      </c>
      <c r="F41" s="4">
        <f t="shared" si="26"/>
        <v>101.60059999999953</v>
      </c>
      <c r="G41" s="4">
        <f t="shared" si="26"/>
        <v>280.99793333333264</v>
      </c>
      <c r="H41" s="4">
        <f t="shared" si="26"/>
        <v>233.50211111111025</v>
      </c>
      <c r="I41" s="2"/>
      <c r="J41" s="2"/>
      <c r="K41" s="2"/>
    </row>
    <row r="42" spans="1:11" x14ac:dyDescent="0.25">
      <c r="A42" s="4" t="s">
        <v>27</v>
      </c>
      <c r="B42" s="4"/>
      <c r="C42" s="4">
        <f>SUM(C35:C41)</f>
        <v>732.56059999999979</v>
      </c>
      <c r="D42" s="4">
        <f>SUM(D35:D41)</f>
        <v>-93.039400000000342</v>
      </c>
      <c r="E42" s="4">
        <f t="shared" ref="E42:H42" si="27">SUM(E35:E41)</f>
        <v>101.60059999999953</v>
      </c>
      <c r="F42" s="4">
        <f t="shared" si="27"/>
        <v>280.99793333333264</v>
      </c>
      <c r="G42" s="4">
        <f t="shared" si="27"/>
        <v>233.50211111111025</v>
      </c>
      <c r="H42" s="4">
        <f t="shared" si="27"/>
        <v>256.37267703703617</v>
      </c>
      <c r="I42" s="2"/>
      <c r="J42" s="2"/>
      <c r="K42" s="2"/>
    </row>
    <row r="43" spans="1:11" x14ac:dyDescent="0.25">
      <c r="A43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25">
      <c r="A44" s="3" t="s">
        <v>40</v>
      </c>
      <c r="B44" s="3">
        <f>B23</f>
        <v>2011</v>
      </c>
      <c r="C44" s="3">
        <f>C23</f>
        <v>2012</v>
      </c>
      <c r="D44" s="3">
        <f t="shared" ref="D44:H44" si="28">D23</f>
        <v>2013</v>
      </c>
      <c r="E44" s="3">
        <f t="shared" si="28"/>
        <v>2014</v>
      </c>
      <c r="F44" s="3">
        <f t="shared" si="28"/>
        <v>2015</v>
      </c>
      <c r="G44" s="3">
        <f t="shared" si="28"/>
        <v>2016</v>
      </c>
      <c r="H44" s="3">
        <f t="shared" si="28"/>
        <v>2017</v>
      </c>
      <c r="I44" s="4"/>
      <c r="J44" s="2"/>
      <c r="K44" s="2"/>
    </row>
    <row r="45" spans="1:11" x14ac:dyDescent="0.25">
      <c r="A45" s="4" t="s">
        <v>19</v>
      </c>
      <c r="B45" s="4"/>
      <c r="C45" s="4">
        <f>B45-C40-C27-C39</f>
        <v>2628.0000000000005</v>
      </c>
      <c r="D45" s="4">
        <f>C45-D40-D27-D39</f>
        <v>4260.0000000000009</v>
      </c>
      <c r="E45" s="4">
        <f t="shared" ref="E45:H45" si="29">D45-E40-E27-E39</f>
        <v>4594.0000000000009</v>
      </c>
      <c r="F45" s="4">
        <f t="shared" si="29"/>
        <v>4908.0000000000009</v>
      </c>
      <c r="G45" s="4">
        <f t="shared" si="29"/>
        <v>5640.0000000000009</v>
      </c>
      <c r="H45" s="4">
        <f t="shared" si="29"/>
        <v>5360.0000000000009</v>
      </c>
      <c r="I45" s="4"/>
      <c r="J45" s="2"/>
      <c r="K45" s="2"/>
    </row>
    <row r="46" spans="1:11" x14ac:dyDescent="0.25">
      <c r="A46" s="4" t="s">
        <v>20</v>
      </c>
      <c r="B46" s="4">
        <f>B50</f>
        <v>2000</v>
      </c>
      <c r="C46" s="4">
        <f>C42</f>
        <v>732.56059999999979</v>
      </c>
      <c r="D46" s="4">
        <f>D42</f>
        <v>-93.039400000000342</v>
      </c>
      <c r="E46" s="4">
        <f t="shared" ref="E46:H46" si="30">E42</f>
        <v>101.60059999999953</v>
      </c>
      <c r="F46" s="4">
        <f t="shared" si="30"/>
        <v>280.99793333333264</v>
      </c>
      <c r="G46" s="4">
        <f t="shared" si="30"/>
        <v>233.50211111111025</v>
      </c>
      <c r="H46" s="4">
        <f t="shared" si="30"/>
        <v>256.37267703703617</v>
      </c>
      <c r="I46" s="4"/>
      <c r="J46" s="2"/>
      <c r="K46" s="2"/>
    </row>
    <row r="47" spans="1:11" x14ac:dyDescent="0.25">
      <c r="A47" s="4"/>
      <c r="B47" s="4"/>
      <c r="C47" s="4"/>
      <c r="D47" s="4"/>
      <c r="E47" s="4"/>
      <c r="F47" s="4"/>
      <c r="G47" s="4"/>
      <c r="H47" s="4"/>
      <c r="I47" s="4"/>
      <c r="J47" s="2"/>
      <c r="K47" s="2"/>
    </row>
    <row r="48" spans="1:11" x14ac:dyDescent="0.25">
      <c r="A48" s="4" t="s">
        <v>21</v>
      </c>
      <c r="B48" s="4">
        <f>B9</f>
        <v>2000</v>
      </c>
      <c r="C48" s="4">
        <f>B48+C32+C36</f>
        <v>2016.5606</v>
      </c>
      <c r="D48" s="4">
        <f>C48+D32+D36</f>
        <v>2016.5606</v>
      </c>
      <c r="E48" s="4">
        <f t="shared" ref="E48:H48" si="31">D48+E32+E36</f>
        <v>2016.5605999999998</v>
      </c>
      <c r="F48" s="4">
        <f t="shared" si="31"/>
        <v>2016.5605999999998</v>
      </c>
      <c r="G48" s="4">
        <f t="shared" si="31"/>
        <v>2016.5605999999998</v>
      </c>
      <c r="H48" s="4">
        <f t="shared" si="31"/>
        <v>2016.5605999999998</v>
      </c>
      <c r="I48" s="4"/>
      <c r="J48" s="2"/>
      <c r="K48" s="2"/>
    </row>
    <row r="49" spans="1:17" x14ac:dyDescent="0.25">
      <c r="A49" s="4" t="s">
        <v>22</v>
      </c>
      <c r="B49" s="4"/>
      <c r="C49" s="4">
        <f>B49+C38+C37</f>
        <v>1344.0000000000002</v>
      </c>
      <c r="D49" s="4">
        <f t="shared" ref="D49:H49" si="32">C49+D38+D37</f>
        <v>2150.4000000000005</v>
      </c>
      <c r="E49" s="4">
        <f t="shared" si="32"/>
        <v>2679.0400000000004</v>
      </c>
      <c r="F49" s="4">
        <f t="shared" si="32"/>
        <v>3172.4373333333338</v>
      </c>
      <c r="G49" s="4">
        <f t="shared" si="32"/>
        <v>3856.9415111111116</v>
      </c>
      <c r="H49" s="4">
        <f t="shared" si="32"/>
        <v>3599.8120770370374</v>
      </c>
      <c r="I49" s="4">
        <f>+R9</f>
        <v>15</v>
      </c>
      <c r="J49" s="2"/>
      <c r="K49" s="2"/>
    </row>
    <row r="50" spans="1:17" x14ac:dyDescent="0.25">
      <c r="A50" s="4" t="s">
        <v>23</v>
      </c>
      <c r="B50" s="4">
        <f>SUM(B48:B49)</f>
        <v>2000</v>
      </c>
      <c r="C50" s="4">
        <f>SUM(C48:C49)</f>
        <v>3360.5606000000002</v>
      </c>
      <c r="D50" s="4">
        <f>SUM(D48:D49)</f>
        <v>4166.9606000000003</v>
      </c>
      <c r="E50" s="4">
        <f t="shared" ref="E50:H50" si="33">SUM(E48:E49)</f>
        <v>4695.6005999999998</v>
      </c>
      <c r="F50" s="4">
        <f t="shared" si="33"/>
        <v>5188.997933333334</v>
      </c>
      <c r="G50" s="4">
        <f t="shared" si="33"/>
        <v>5873.5021111111109</v>
      </c>
      <c r="H50" s="4">
        <f t="shared" si="33"/>
        <v>5616.3726770370376</v>
      </c>
      <c r="I50" s="4"/>
      <c r="J50" s="2"/>
      <c r="K50" s="2"/>
    </row>
    <row r="51" spans="1:17" x14ac:dyDescent="0.25">
      <c r="A51" s="4" t="s">
        <v>24</v>
      </c>
      <c r="B51" s="4">
        <f>B50-SUM(B45:B46)</f>
        <v>0</v>
      </c>
      <c r="C51" s="4">
        <f>C50-SUM(C45:C46)</f>
        <v>0</v>
      </c>
      <c r="D51" s="4">
        <f>D50-SUM(D45:D46)</f>
        <v>0</v>
      </c>
      <c r="E51" s="4">
        <f t="shared" ref="E51:H51" si="34">E50-SUM(E45:E46)</f>
        <v>0</v>
      </c>
      <c r="F51" s="4">
        <f t="shared" si="34"/>
        <v>0</v>
      </c>
      <c r="G51" s="4">
        <f t="shared" si="34"/>
        <v>0</v>
      </c>
      <c r="H51" s="4">
        <f t="shared" si="34"/>
        <v>0</v>
      </c>
      <c r="I51" s="4"/>
      <c r="J51" s="2"/>
      <c r="K51" s="2"/>
    </row>
    <row r="52" spans="1:17" x14ac:dyDescent="0.25">
      <c r="A52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7" x14ac:dyDescent="0.25">
      <c r="A53" s="4" t="s">
        <v>39</v>
      </c>
      <c r="B53" s="4">
        <f>B44</f>
        <v>2011</v>
      </c>
      <c r="C53" s="4">
        <f t="shared" ref="C53:H53" si="35">C44</f>
        <v>2012</v>
      </c>
      <c r="D53" s="4">
        <f t="shared" si="35"/>
        <v>2013</v>
      </c>
      <c r="E53" s="4">
        <f t="shared" si="35"/>
        <v>2014</v>
      </c>
      <c r="F53" s="4">
        <f t="shared" si="35"/>
        <v>2015</v>
      </c>
      <c r="G53" s="4">
        <f t="shared" si="35"/>
        <v>2016</v>
      </c>
      <c r="H53" s="4">
        <f t="shared" si="35"/>
        <v>2017</v>
      </c>
      <c r="I53" s="2"/>
      <c r="J53" s="2"/>
      <c r="K53" s="2"/>
    </row>
    <row r="54" spans="1:17" x14ac:dyDescent="0.25">
      <c r="A54" s="4" t="s">
        <v>19</v>
      </c>
      <c r="B54" s="4">
        <f>B45</f>
        <v>0</v>
      </c>
      <c r="C54" s="4">
        <f>C15*$B$4*(1+$B$8)</f>
        <v>2435.9999999999995</v>
      </c>
      <c r="D54" s="4">
        <f>D15*$B$4*(1+$B$8)*(1+$B$8)</f>
        <v>4120.8999999999987</v>
      </c>
      <c r="E54" s="4">
        <f>E15*$B$4*(1+$B$8)*(1+$B$8)*(1+$B$8)</f>
        <v>4600.9848499999989</v>
      </c>
      <c r="F54" s="4">
        <f>F15*$B$4*(1+$B$8)*(1+$B$8)*(1+$B$8)*(1+$B$8)</f>
        <v>5094.5450429999983</v>
      </c>
      <c r="G54" s="4">
        <f>G15*$B$4*(1+$B$8)*(1+$B$8)*(1+$B$8)*(1+$B$8)*(1+$B$8)</f>
        <v>6032.7904217524965</v>
      </c>
      <c r="H54" s="4">
        <f>H15*$B$4*(1+$B$8)*(1+$B$8)*(1+$B$8)*(1+$B$8)*(1+$B$8)*(1+$B$8)</f>
        <v>6123.2822780787837</v>
      </c>
      <c r="I54" s="2"/>
      <c r="J54" s="2"/>
      <c r="K54" s="2"/>
    </row>
    <row r="55" spans="1:17" x14ac:dyDescent="0.25">
      <c r="A55" s="4" t="s">
        <v>20</v>
      </c>
      <c r="B55" s="4">
        <f t="shared" ref="B55:H55" si="36">B46</f>
        <v>2000</v>
      </c>
      <c r="C55" s="4">
        <f t="shared" si="36"/>
        <v>732.56059999999979</v>
      </c>
      <c r="D55" s="4">
        <f t="shared" si="36"/>
        <v>-93.039400000000342</v>
      </c>
      <c r="E55" s="4">
        <f t="shared" si="36"/>
        <v>101.60059999999953</v>
      </c>
      <c r="F55" s="4">
        <f t="shared" si="36"/>
        <v>280.99793333333264</v>
      </c>
      <c r="G55" s="4">
        <f t="shared" si="36"/>
        <v>233.50211111111025</v>
      </c>
      <c r="H55" s="4">
        <f t="shared" si="36"/>
        <v>256.37267703703617</v>
      </c>
      <c r="I55" s="2"/>
      <c r="J55" s="2"/>
      <c r="K55" s="2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2"/>
      <c r="J56" s="2"/>
      <c r="K56" s="2"/>
    </row>
    <row r="57" spans="1:17" x14ac:dyDescent="0.25">
      <c r="A57" s="4" t="s">
        <v>21</v>
      </c>
      <c r="B57" s="4">
        <f t="shared" ref="B57" si="37">B48</f>
        <v>2000</v>
      </c>
      <c r="C57" s="4">
        <f>C54+C55-C58</f>
        <v>1824.5605999999991</v>
      </c>
      <c r="D57" s="4">
        <f t="shared" ref="D57:H57" si="38">D54+D55-D58</f>
        <v>1877.4605999999976</v>
      </c>
      <c r="E57" s="4">
        <f t="shared" si="38"/>
        <v>2023.5454499999983</v>
      </c>
      <c r="F57" s="4">
        <f t="shared" si="38"/>
        <v>2203.1056429999967</v>
      </c>
      <c r="G57" s="4">
        <f t="shared" si="38"/>
        <v>2409.3510217524949</v>
      </c>
      <c r="H57" s="4">
        <f t="shared" si="38"/>
        <v>2779.8428780787822</v>
      </c>
      <c r="I57" s="2"/>
      <c r="J57" s="2"/>
      <c r="K57" s="2"/>
    </row>
    <row r="58" spans="1:17" x14ac:dyDescent="0.25">
      <c r="A58" s="4" t="s">
        <v>22</v>
      </c>
      <c r="B58" s="4">
        <f t="shared" ref="B58:H58" si="39">B49</f>
        <v>0</v>
      </c>
      <c r="C58" s="4">
        <f t="shared" si="39"/>
        <v>1344.0000000000002</v>
      </c>
      <c r="D58" s="4">
        <f t="shared" si="39"/>
        <v>2150.4000000000005</v>
      </c>
      <c r="E58" s="4">
        <f t="shared" si="39"/>
        <v>2679.0400000000004</v>
      </c>
      <c r="F58" s="4">
        <f t="shared" si="39"/>
        <v>3172.4373333333338</v>
      </c>
      <c r="G58" s="4">
        <f t="shared" si="39"/>
        <v>3856.9415111111116</v>
      </c>
      <c r="H58" s="4">
        <f t="shared" si="39"/>
        <v>3599.8120770370374</v>
      </c>
      <c r="I58" s="2"/>
      <c r="J58" s="2"/>
      <c r="K58" s="2"/>
    </row>
    <row r="59" spans="1:17" x14ac:dyDescent="0.25">
      <c r="A59" s="4" t="s">
        <v>23</v>
      </c>
      <c r="B59" s="4">
        <f t="shared" ref="B59" si="40">B50</f>
        <v>2000</v>
      </c>
      <c r="C59" s="4">
        <f>C57+C58</f>
        <v>3168.5605999999993</v>
      </c>
      <c r="D59" s="4">
        <f t="shared" ref="D59:H59" si="41">D57+D58</f>
        <v>4027.8605999999982</v>
      </c>
      <c r="E59" s="4">
        <f t="shared" si="41"/>
        <v>4702.5854499999987</v>
      </c>
      <c r="F59" s="4">
        <f t="shared" si="41"/>
        <v>5375.5429763333304</v>
      </c>
      <c r="G59" s="4">
        <f t="shared" si="41"/>
        <v>6266.2925328636065</v>
      </c>
      <c r="H59" s="4">
        <f t="shared" si="41"/>
        <v>6379.6549551158196</v>
      </c>
      <c r="I59" s="2"/>
      <c r="J59" s="2"/>
      <c r="K59" s="2"/>
    </row>
    <row r="60" spans="1:17" x14ac:dyDescent="0.25">
      <c r="A60" s="4" t="s">
        <v>24</v>
      </c>
      <c r="B60" s="4">
        <f>B59-SUM(B54:B55)</f>
        <v>0</v>
      </c>
      <c r="C60" s="4">
        <f>C59-SUM(C54:C55)</f>
        <v>0</v>
      </c>
      <c r="D60" s="4">
        <f>D59-SUM(D54:D55)</f>
        <v>0</v>
      </c>
      <c r="E60" s="4">
        <f t="shared" ref="E60:H60" si="42">E59-SUM(E54:E55)</f>
        <v>0</v>
      </c>
      <c r="F60" s="4">
        <f t="shared" si="42"/>
        <v>0</v>
      </c>
      <c r="G60" s="4">
        <f t="shared" si="42"/>
        <v>0</v>
      </c>
      <c r="H60" s="4">
        <f t="shared" si="42"/>
        <v>0</v>
      </c>
      <c r="I60" s="2"/>
      <c r="J60" s="2"/>
      <c r="K60" s="2"/>
    </row>
    <row r="61" spans="1:17" x14ac:dyDescent="0.25">
      <c r="A61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7" x14ac:dyDescent="0.25">
      <c r="A62" s="4" t="s">
        <v>44</v>
      </c>
      <c r="B62" s="4">
        <f>B53</f>
        <v>2011</v>
      </c>
      <c r="C62" s="4">
        <f t="shared" ref="C62:H62" si="43">C53</f>
        <v>2012</v>
      </c>
      <c r="D62" s="4">
        <f t="shared" si="43"/>
        <v>2013</v>
      </c>
      <c r="E62" s="4">
        <f t="shared" si="43"/>
        <v>2014</v>
      </c>
      <c r="F62" s="4">
        <f t="shared" si="43"/>
        <v>2015</v>
      </c>
      <c r="G62" s="4">
        <f t="shared" si="43"/>
        <v>2016</v>
      </c>
      <c r="H62" s="4">
        <f t="shared" si="43"/>
        <v>2017</v>
      </c>
      <c r="I62" s="2"/>
      <c r="J62" s="2"/>
      <c r="K62" s="2"/>
    </row>
    <row r="63" spans="1:17" x14ac:dyDescent="0.25">
      <c r="A63" s="4" t="s">
        <v>41</v>
      </c>
      <c r="B63" s="4">
        <f>-B57</f>
        <v>-2000</v>
      </c>
      <c r="C63" s="4"/>
      <c r="D63" s="4"/>
      <c r="E63" s="4"/>
      <c r="F63" s="4"/>
      <c r="G63" s="4"/>
      <c r="H63" s="4"/>
      <c r="I63" s="2"/>
      <c r="J63" s="2"/>
      <c r="K63" s="2"/>
    </row>
    <row r="64" spans="1:17" x14ac:dyDescent="0.25">
      <c r="A64" s="4" t="s">
        <v>42</v>
      </c>
      <c r="B64" s="4"/>
      <c r="C64" s="4">
        <f>-C36</f>
        <v>0</v>
      </c>
      <c r="D64" s="4">
        <f t="shared" ref="D64:G64" si="44">-D36</f>
        <v>47.303720799999937</v>
      </c>
      <c r="E64" s="4">
        <f t="shared" si="44"/>
        <v>100.10154502249986</v>
      </c>
      <c r="F64" s="4">
        <f t="shared" si="44"/>
        <v>104.55653807401231</v>
      </c>
      <c r="G64" s="4">
        <f t="shared" si="44"/>
        <v>115.56611250526888</v>
      </c>
      <c r="H64" s="4">
        <f>-H36+H57</f>
        <v>2819.0766800458491</v>
      </c>
      <c r="I64" s="2"/>
      <c r="K64" s="4">
        <f t="shared" ref="K64:Q64" si="45">B65</f>
        <v>-2000</v>
      </c>
      <c r="L64" s="4">
        <f t="shared" si="45"/>
        <v>0</v>
      </c>
      <c r="M64" s="4">
        <f t="shared" si="45"/>
        <v>47.303720799999937</v>
      </c>
      <c r="N64" s="4">
        <f t="shared" si="45"/>
        <v>100.10154502249986</v>
      </c>
      <c r="O64" s="4">
        <f t="shared" si="45"/>
        <v>104.55653807401231</v>
      </c>
      <c r="P64" s="4">
        <f t="shared" si="45"/>
        <v>115.56611250526888</v>
      </c>
      <c r="Q64" s="4">
        <f t="shared" si="45"/>
        <v>2819.0766800458491</v>
      </c>
    </row>
    <row r="65" spans="1:17" x14ac:dyDescent="0.25">
      <c r="A65" s="4" t="s">
        <v>43</v>
      </c>
      <c r="B65" s="4">
        <f>B63+B64</f>
        <v>-2000</v>
      </c>
      <c r="C65" s="4">
        <f t="shared" ref="C65:H65" si="46">C63+C64</f>
        <v>0</v>
      </c>
      <c r="D65" s="4">
        <f t="shared" si="46"/>
        <v>47.303720799999937</v>
      </c>
      <c r="E65" s="4">
        <f t="shared" si="46"/>
        <v>100.10154502249986</v>
      </c>
      <c r="F65" s="4">
        <f t="shared" si="46"/>
        <v>104.55653807401231</v>
      </c>
      <c r="G65" s="4">
        <f t="shared" si="46"/>
        <v>115.56611250526888</v>
      </c>
      <c r="H65" s="4">
        <f t="shared" si="46"/>
        <v>2819.0766800458491</v>
      </c>
      <c r="I65" s="2"/>
      <c r="J65" s="24"/>
      <c r="K65" s="6"/>
      <c r="L65" s="4">
        <f>K64+L64</f>
        <v>-2000</v>
      </c>
      <c r="M65" s="4">
        <f>M64</f>
        <v>47.303720799999937</v>
      </c>
      <c r="N65" s="4">
        <f t="shared" ref="N65:Q65" si="47">N64</f>
        <v>100.10154502249986</v>
      </c>
      <c r="O65" s="4">
        <f t="shared" si="47"/>
        <v>104.55653807401231</v>
      </c>
      <c r="P65" s="4">
        <f t="shared" si="47"/>
        <v>115.56611250526888</v>
      </c>
      <c r="Q65" s="4">
        <f t="shared" si="47"/>
        <v>2819.0766800458491</v>
      </c>
    </row>
    <row r="66" spans="1:17" x14ac:dyDescent="0.25">
      <c r="A66" s="4" t="s">
        <v>59</v>
      </c>
      <c r="B66" s="23">
        <f>IRR(B65:H65)</f>
        <v>8.4884943164050819E-2</v>
      </c>
      <c r="C66" s="25"/>
      <c r="D66" s="25"/>
      <c r="E66" s="25"/>
      <c r="F66" s="25"/>
      <c r="G66" s="25"/>
      <c r="H66" s="25"/>
    </row>
    <row r="67" spans="1:17" x14ac:dyDescent="0.25">
      <c r="A67" s="4" t="s">
        <v>60</v>
      </c>
      <c r="B67" s="23">
        <f>IRR(L65:Q65)</f>
        <v>0.10393155598868486</v>
      </c>
      <c r="C67" s="25"/>
      <c r="D67" s="25"/>
      <c r="E67" s="25"/>
      <c r="F67" s="25"/>
      <c r="G67" s="25"/>
      <c r="H67" s="25"/>
    </row>
    <row r="68" spans="1:17" x14ac:dyDescent="0.25">
      <c r="A68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69" spans="1:17" x14ac:dyDescent="0.25">
      <c r="A69" s="6"/>
      <c r="B69" s="3">
        <f>B62</f>
        <v>2011</v>
      </c>
      <c r="C69" s="3">
        <f t="shared" ref="C69:H69" si="48">C62</f>
        <v>2012</v>
      </c>
      <c r="D69" s="3">
        <f t="shared" si="48"/>
        <v>2013</v>
      </c>
      <c r="E69" s="3">
        <f t="shared" si="48"/>
        <v>2014</v>
      </c>
      <c r="F69" s="3">
        <f t="shared" si="48"/>
        <v>2015</v>
      </c>
      <c r="G69" s="3">
        <f t="shared" si="48"/>
        <v>2016</v>
      </c>
      <c r="H69" s="3">
        <f t="shared" si="48"/>
        <v>2017</v>
      </c>
    </row>
    <row r="70" spans="1:17" x14ac:dyDescent="0.25">
      <c r="A70" s="17" t="s">
        <v>47</v>
      </c>
      <c r="B70" s="6">
        <v>0</v>
      </c>
      <c r="C70" s="18">
        <f>1+$F$8</f>
        <v>1.0149999999999999</v>
      </c>
      <c r="D70" s="19">
        <f>C70*(1+$F$8)</f>
        <v>1.0302249999999997</v>
      </c>
      <c r="E70" s="19">
        <f>D70*(1+$F$8)</f>
        <v>1.0456783749999996</v>
      </c>
      <c r="F70" s="19">
        <f>E70*(1+$F$8)</f>
        <v>1.0613635506249994</v>
      </c>
      <c r="G70" s="19">
        <f>F70*(1+$F$8)</f>
        <v>1.0772840038843743</v>
      </c>
      <c r="H70" s="19">
        <f>G70*(1+$F$8)</f>
        <v>1.0934432639426397</v>
      </c>
    </row>
    <row r="71" spans="1:17" x14ac:dyDescent="0.25">
      <c r="A71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104" zoomScale="90" zoomScaleNormal="90" workbookViewId="0">
      <selection activeCell="Q14" sqref="Q14"/>
    </sheetView>
  </sheetViews>
  <sheetFormatPr baseColWidth="10" defaultColWidth="11.28515625" defaultRowHeight="15" x14ac:dyDescent="0.25"/>
  <cols>
    <col min="1" max="1" width="14.85546875" customWidth="1"/>
    <col min="2" max="2" width="7.85546875" customWidth="1"/>
    <col min="3" max="3" width="7.42578125" style="84" customWidth="1"/>
    <col min="4" max="4" width="6.42578125" customWidth="1"/>
    <col min="5" max="5" width="8.140625" customWidth="1"/>
    <col min="6" max="6" width="8" customWidth="1"/>
    <col min="7" max="7" width="10" customWidth="1"/>
    <col min="8" max="8" width="8" customWidth="1"/>
    <col min="9" max="9" width="9.28515625" customWidth="1"/>
  </cols>
  <sheetData>
    <row r="1" spans="1:10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3" spans="1:10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0" ht="45" x14ac:dyDescent="0.25">
      <c r="A4" s="74" t="s">
        <v>109</v>
      </c>
      <c r="B4" s="81" t="s">
        <v>121</v>
      </c>
      <c r="C4" s="81" t="s">
        <v>110</v>
      </c>
      <c r="D4" s="81" t="s">
        <v>111</v>
      </c>
      <c r="E4" s="81" t="s">
        <v>153</v>
      </c>
      <c r="F4" s="81" t="s">
        <v>156</v>
      </c>
      <c r="G4" s="81" t="s">
        <v>154</v>
      </c>
      <c r="H4" s="82" t="s">
        <v>155</v>
      </c>
      <c r="I4" s="83" t="s">
        <v>115</v>
      </c>
      <c r="J4" t="s">
        <v>114</v>
      </c>
    </row>
    <row r="5" spans="1:10" x14ac:dyDescent="0.25">
      <c r="A5" s="6" t="s">
        <v>112</v>
      </c>
      <c r="B5" s="6">
        <v>10000</v>
      </c>
      <c r="C5" s="85" t="s">
        <v>113</v>
      </c>
      <c r="D5" s="6">
        <v>1200</v>
      </c>
      <c r="E5" s="6">
        <v>112.6</v>
      </c>
      <c r="F5" s="6">
        <v>1120</v>
      </c>
      <c r="G5" s="4">
        <f>E5/D5*1000</f>
        <v>93.833333333333329</v>
      </c>
      <c r="H5" s="4">
        <f>F5/D5*1000</f>
        <v>933.33333333333337</v>
      </c>
      <c r="I5" s="14">
        <f>G5/H5</f>
        <v>0.10053571428571427</v>
      </c>
      <c r="J5" t="s">
        <v>118</v>
      </c>
    </row>
    <row r="6" spans="1:10" x14ac:dyDescent="0.25">
      <c r="A6" s="6" t="s">
        <v>116</v>
      </c>
      <c r="B6" s="6">
        <v>13730</v>
      </c>
      <c r="C6" s="85" t="s">
        <v>117</v>
      </c>
      <c r="D6" s="6">
        <v>1784</v>
      </c>
      <c r="E6" s="6">
        <v>406.7</v>
      </c>
      <c r="F6" s="6">
        <v>3490</v>
      </c>
      <c r="G6" s="4">
        <f t="shared" ref="G6:G87" si="0">E6/D6*1000</f>
        <v>227.9708520179372</v>
      </c>
      <c r="H6" s="4">
        <f t="shared" ref="H6:H87" si="1">F6/D6*1000</f>
        <v>1956.2780269058296</v>
      </c>
      <c r="I6" s="14">
        <f t="shared" ref="I6:I87" si="2">G6/H6</f>
        <v>0.11653295128939826</v>
      </c>
      <c r="J6" t="s">
        <v>127</v>
      </c>
    </row>
    <row r="7" spans="1:10" x14ac:dyDescent="0.25">
      <c r="A7" s="6" t="s">
        <v>119</v>
      </c>
      <c r="B7" s="6">
        <v>30000</v>
      </c>
      <c r="C7" s="85" t="s">
        <v>113</v>
      </c>
      <c r="D7" s="6">
        <v>82</v>
      </c>
      <c r="E7" s="6">
        <v>18.5</v>
      </c>
      <c r="F7" s="6">
        <v>170</v>
      </c>
      <c r="G7" s="4">
        <f t="shared" si="0"/>
        <v>225.60975609756099</v>
      </c>
      <c r="H7" s="4">
        <f t="shared" si="1"/>
        <v>2073.1707317073169</v>
      </c>
      <c r="I7" s="14">
        <f t="shared" si="2"/>
        <v>0.10882352941176472</v>
      </c>
      <c r="J7" t="s">
        <v>135</v>
      </c>
    </row>
    <row r="8" spans="1:10" x14ac:dyDescent="0.25">
      <c r="A8" s="6" t="s">
        <v>120</v>
      </c>
      <c r="B8" s="6">
        <v>42000</v>
      </c>
      <c r="C8" s="85" t="s">
        <v>113</v>
      </c>
      <c r="D8" s="6">
        <v>202</v>
      </c>
      <c r="E8" s="6">
        <v>21.66</v>
      </c>
      <c r="F8" s="6">
        <v>205</v>
      </c>
      <c r="G8" s="4">
        <f t="shared" si="0"/>
        <v>107.22772277227723</v>
      </c>
      <c r="H8" s="4">
        <f t="shared" si="1"/>
        <v>1014.8514851485148</v>
      </c>
      <c r="I8" s="14">
        <f t="shared" si="2"/>
        <v>0.10565853658536586</v>
      </c>
      <c r="J8" t="s">
        <v>147</v>
      </c>
    </row>
    <row r="9" spans="1:10" x14ac:dyDescent="0.25">
      <c r="A9" s="6" t="s">
        <v>122</v>
      </c>
      <c r="B9" s="6">
        <v>44500</v>
      </c>
      <c r="C9" s="85" t="s">
        <v>113</v>
      </c>
      <c r="D9" s="6">
        <v>733</v>
      </c>
      <c r="E9" s="6">
        <v>212.8</v>
      </c>
      <c r="F9" s="6">
        <v>2000</v>
      </c>
      <c r="G9" s="4">
        <f t="shared" si="0"/>
        <v>290.31377899045026</v>
      </c>
      <c r="H9" s="4">
        <f t="shared" si="1"/>
        <v>2728.512960436562</v>
      </c>
      <c r="I9" s="14">
        <f t="shared" si="2"/>
        <v>0.10640000000000002</v>
      </c>
      <c r="J9" t="s">
        <v>150</v>
      </c>
    </row>
    <row r="10" spans="1:10" x14ac:dyDescent="0.25">
      <c r="A10" s="6" t="s">
        <v>123</v>
      </c>
      <c r="B10" s="6">
        <v>51200</v>
      </c>
      <c r="C10" s="85" t="s">
        <v>113</v>
      </c>
      <c r="D10" s="6">
        <v>1213</v>
      </c>
      <c r="E10" s="6">
        <v>126.8</v>
      </c>
      <c r="F10" s="6">
        <v>1230</v>
      </c>
      <c r="G10" s="4">
        <f t="shared" si="0"/>
        <v>104.53421269579555</v>
      </c>
      <c r="H10" s="4">
        <f t="shared" si="1"/>
        <v>1014.0148392415498</v>
      </c>
      <c r="I10" s="14">
        <f t="shared" si="2"/>
        <v>0.10308943089430894</v>
      </c>
      <c r="J10" t="s">
        <v>149</v>
      </c>
    </row>
    <row r="11" spans="1:10" x14ac:dyDescent="0.25">
      <c r="A11" s="6" t="s">
        <v>124</v>
      </c>
      <c r="B11" s="6">
        <v>54000</v>
      </c>
      <c r="C11" s="85" t="s">
        <v>113</v>
      </c>
      <c r="D11" s="6">
        <v>101</v>
      </c>
      <c r="E11" s="6">
        <v>49.4</v>
      </c>
      <c r="F11" s="6">
        <v>510</v>
      </c>
      <c r="G11" s="4">
        <f t="shared" si="0"/>
        <v>489.10891089108912</v>
      </c>
      <c r="H11" s="4">
        <f t="shared" si="1"/>
        <v>5049.5049504950493</v>
      </c>
      <c r="I11" s="14">
        <f t="shared" si="2"/>
        <v>9.6862745098039216E-2</v>
      </c>
      <c r="J11" t="s">
        <v>152</v>
      </c>
    </row>
    <row r="12" spans="1:10" x14ac:dyDescent="0.25">
      <c r="A12" s="6" t="s">
        <v>125</v>
      </c>
      <c r="B12" s="6">
        <v>59000</v>
      </c>
      <c r="C12" s="85" t="s">
        <v>126</v>
      </c>
      <c r="D12" s="6">
        <v>209</v>
      </c>
      <c r="E12" s="6">
        <v>28.7</v>
      </c>
      <c r="F12" s="6">
        <v>270</v>
      </c>
      <c r="G12" s="4">
        <f t="shared" si="0"/>
        <v>137.32057416267943</v>
      </c>
      <c r="H12" s="4">
        <f t="shared" si="1"/>
        <v>1291.8660287081341</v>
      </c>
      <c r="I12" s="14">
        <f t="shared" si="2"/>
        <v>0.10629629629629629</v>
      </c>
      <c r="J12" t="s">
        <v>193</v>
      </c>
    </row>
    <row r="13" spans="1:10" x14ac:dyDescent="0.25">
      <c r="A13" s="6" t="s">
        <v>130</v>
      </c>
      <c r="B13" s="6">
        <v>62200</v>
      </c>
      <c r="C13" s="85" t="s">
        <v>113</v>
      </c>
      <c r="D13" s="6">
        <v>289</v>
      </c>
      <c r="E13" s="6">
        <v>142.1</v>
      </c>
      <c r="F13" s="6">
        <v>830</v>
      </c>
      <c r="G13" s="4">
        <f t="shared" si="0"/>
        <v>491.69550173010379</v>
      </c>
      <c r="H13" s="4">
        <f t="shared" si="1"/>
        <v>2871.9723183391002</v>
      </c>
      <c r="I13" s="14">
        <f t="shared" si="2"/>
        <v>0.17120481927710843</v>
      </c>
    </row>
    <row r="14" spans="1:10" x14ac:dyDescent="0.25">
      <c r="A14" s="6" t="s">
        <v>131</v>
      </c>
      <c r="B14" s="6">
        <v>69001</v>
      </c>
      <c r="C14" s="85" t="s">
        <v>134</v>
      </c>
      <c r="D14" s="6">
        <v>63</v>
      </c>
      <c r="E14" s="6">
        <v>11.9</v>
      </c>
      <c r="F14" s="6">
        <v>115</v>
      </c>
      <c r="G14" s="4">
        <f t="shared" si="0"/>
        <v>188.88888888888889</v>
      </c>
      <c r="H14" s="4">
        <f t="shared" si="1"/>
        <v>1825.3968253968253</v>
      </c>
      <c r="I14" s="14">
        <f t="shared" si="2"/>
        <v>0.10347826086956521</v>
      </c>
    </row>
    <row r="15" spans="1:10" x14ac:dyDescent="0.25">
      <c r="A15" s="6" t="s">
        <v>132</v>
      </c>
      <c r="B15" s="6">
        <v>73100</v>
      </c>
      <c r="C15" s="85" t="s">
        <v>113</v>
      </c>
      <c r="D15" s="6">
        <v>1231</v>
      </c>
      <c r="E15" s="6">
        <v>177.9</v>
      </c>
      <c r="F15" s="6">
        <v>1720</v>
      </c>
      <c r="G15" s="4">
        <f t="shared" si="0"/>
        <v>144.51665312753858</v>
      </c>
      <c r="H15" s="4">
        <f t="shared" si="1"/>
        <v>1397.2380178716489</v>
      </c>
      <c r="I15" s="14">
        <f t="shared" si="2"/>
        <v>0.10343023255813953</v>
      </c>
    </row>
    <row r="16" spans="1:10" x14ac:dyDescent="0.25">
      <c r="A16" s="6" t="s">
        <v>133</v>
      </c>
      <c r="B16" s="6">
        <v>75012</v>
      </c>
      <c r="C16" s="85" t="s">
        <v>113</v>
      </c>
      <c r="D16" s="6">
        <v>1617</v>
      </c>
      <c r="E16" s="6">
        <v>302.3</v>
      </c>
      <c r="F16" s="6">
        <v>3440</v>
      </c>
      <c r="G16" s="4">
        <f t="shared" si="0"/>
        <v>186.95114409400125</v>
      </c>
      <c r="H16" s="4">
        <f t="shared" si="1"/>
        <v>2127.3964131106986</v>
      </c>
      <c r="I16" s="14">
        <f t="shared" si="2"/>
        <v>8.7877906976744205E-2</v>
      </c>
    </row>
    <row r="17" spans="1:9" x14ac:dyDescent="0.25">
      <c r="A17" s="6" t="s">
        <v>133</v>
      </c>
      <c r="B17" s="6">
        <v>75003</v>
      </c>
      <c r="C17" s="85" t="s">
        <v>113</v>
      </c>
      <c r="D17" s="6">
        <v>53</v>
      </c>
      <c r="E17" s="6">
        <v>22</v>
      </c>
      <c r="F17" s="6">
        <v>180</v>
      </c>
      <c r="G17" s="4">
        <f t="shared" si="0"/>
        <v>415.09433962264154</v>
      </c>
      <c r="H17" s="4">
        <f t="shared" si="1"/>
        <v>3396.2264150943397</v>
      </c>
      <c r="I17" s="14">
        <f t="shared" si="2"/>
        <v>0.12222222222222223</v>
      </c>
    </row>
    <row r="18" spans="1:9" x14ac:dyDescent="0.25">
      <c r="A18" s="6" t="s">
        <v>133</v>
      </c>
      <c r="B18" s="6">
        <v>75013</v>
      </c>
      <c r="C18" s="85" t="s">
        <v>113</v>
      </c>
      <c r="D18" s="6">
        <v>32</v>
      </c>
      <c r="E18" s="6">
        <v>7.8</v>
      </c>
      <c r="F18" s="6">
        <v>75</v>
      </c>
      <c r="G18" s="4">
        <f t="shared" si="0"/>
        <v>243.75</v>
      </c>
      <c r="H18" s="4">
        <f t="shared" si="1"/>
        <v>2343.75</v>
      </c>
      <c r="I18" s="14">
        <f t="shared" si="2"/>
        <v>0.104</v>
      </c>
    </row>
    <row r="19" spans="1:9" x14ac:dyDescent="0.25">
      <c r="A19" s="6" t="s">
        <v>136</v>
      </c>
      <c r="B19" s="6">
        <v>86000</v>
      </c>
      <c r="C19" s="85" t="s">
        <v>113</v>
      </c>
      <c r="D19" s="6">
        <v>201</v>
      </c>
      <c r="E19" s="6">
        <v>57.9</v>
      </c>
      <c r="F19" s="6">
        <v>730</v>
      </c>
      <c r="G19" s="4">
        <f t="shared" si="0"/>
        <v>288.05970149253727</v>
      </c>
      <c r="H19" s="4">
        <f t="shared" si="1"/>
        <v>3631.8407960199006</v>
      </c>
      <c r="I19" s="14">
        <f t="shared" si="2"/>
        <v>7.9315068493150676E-2</v>
      </c>
    </row>
    <row r="20" spans="1:9" x14ac:dyDescent="0.25">
      <c r="A20" s="6" t="s">
        <v>137</v>
      </c>
      <c r="B20" s="6">
        <v>91160</v>
      </c>
      <c r="C20" s="85" t="s">
        <v>126</v>
      </c>
      <c r="D20" s="6">
        <v>700</v>
      </c>
      <c r="E20" s="6">
        <v>99.3</v>
      </c>
      <c r="F20" s="6">
        <v>860</v>
      </c>
      <c r="G20" s="4">
        <f t="shared" si="0"/>
        <v>141.85714285714286</v>
      </c>
      <c r="H20" s="4">
        <f t="shared" si="1"/>
        <v>1228.5714285714287</v>
      </c>
      <c r="I20" s="14">
        <f t="shared" si="2"/>
        <v>0.11546511627906976</v>
      </c>
    </row>
    <row r="21" spans="1:9" x14ac:dyDescent="0.25">
      <c r="A21" s="6" t="s">
        <v>138</v>
      </c>
      <c r="B21" s="6">
        <v>94130</v>
      </c>
      <c r="C21" s="85" t="s">
        <v>113</v>
      </c>
      <c r="D21" s="6">
        <v>171</v>
      </c>
      <c r="E21" s="6">
        <v>71.2</v>
      </c>
      <c r="F21" s="6">
        <v>710</v>
      </c>
      <c r="G21" s="4">
        <f t="shared" si="0"/>
        <v>416.37426900584796</v>
      </c>
      <c r="H21" s="4">
        <f t="shared" si="1"/>
        <v>4152.0467836257312</v>
      </c>
      <c r="I21" s="14">
        <f t="shared" si="2"/>
        <v>0.10028169014084506</v>
      </c>
    </row>
    <row r="22" spans="1:9" x14ac:dyDescent="0.25">
      <c r="A22" s="6" t="s">
        <v>133</v>
      </c>
      <c r="B22" s="6">
        <v>75020</v>
      </c>
      <c r="C22" s="85" t="s">
        <v>148</v>
      </c>
      <c r="D22" s="6">
        <v>307</v>
      </c>
      <c r="E22" s="6">
        <v>94.5</v>
      </c>
      <c r="F22" s="6">
        <v>1130</v>
      </c>
      <c r="G22" s="4">
        <f t="shared" si="0"/>
        <v>307.81758957654728</v>
      </c>
      <c r="H22" s="4">
        <f t="shared" si="1"/>
        <v>3680.7817589576548</v>
      </c>
      <c r="I22" s="14">
        <f t="shared" si="2"/>
        <v>8.3628318584070813E-2</v>
      </c>
    </row>
    <row r="23" spans="1:9" x14ac:dyDescent="0.25">
      <c r="A23" s="6" t="s">
        <v>133</v>
      </c>
      <c r="B23" s="6">
        <v>75016</v>
      </c>
      <c r="C23" s="85" t="s">
        <v>148</v>
      </c>
      <c r="D23" s="6">
        <v>52</v>
      </c>
      <c r="E23" s="6">
        <v>30.4</v>
      </c>
      <c r="F23" s="6">
        <v>350</v>
      </c>
      <c r="G23" s="4">
        <f t="shared" si="0"/>
        <v>584.61538461538453</v>
      </c>
      <c r="H23" s="4">
        <f t="shared" si="1"/>
        <v>6730.7692307692305</v>
      </c>
      <c r="I23" s="14">
        <f t="shared" si="2"/>
        <v>8.6857142857142841E-2</v>
      </c>
    </row>
    <row r="24" spans="1:9" x14ac:dyDescent="0.25">
      <c r="A24" s="6" t="s">
        <v>133</v>
      </c>
      <c r="B24" s="6">
        <v>75008</v>
      </c>
      <c r="C24" s="85" t="s">
        <v>126</v>
      </c>
      <c r="D24" s="6">
        <v>124</v>
      </c>
      <c r="E24" s="22">
        <v>40.6</v>
      </c>
      <c r="F24" s="6">
        <v>530</v>
      </c>
      <c r="G24" s="4">
        <f t="shared" si="0"/>
        <v>327.41935483870969</v>
      </c>
      <c r="H24" s="4">
        <f t="shared" si="1"/>
        <v>4274.1935483870966</v>
      </c>
      <c r="I24" s="14">
        <f t="shared" si="2"/>
        <v>7.6603773584905666E-2</v>
      </c>
    </row>
    <row r="25" spans="1:9" x14ac:dyDescent="0.25">
      <c r="A25" s="6" t="s">
        <v>139</v>
      </c>
      <c r="B25" s="6">
        <v>92300</v>
      </c>
      <c r="C25" s="85" t="s">
        <v>126</v>
      </c>
      <c r="D25" s="6">
        <v>404</v>
      </c>
      <c r="E25" s="6">
        <v>78.099999999999994</v>
      </c>
      <c r="F25" s="6">
        <v>855</v>
      </c>
      <c r="G25" s="4">
        <f t="shared" si="0"/>
        <v>193.31683168316829</v>
      </c>
      <c r="H25" s="4">
        <f t="shared" si="1"/>
        <v>2116.3366336633662</v>
      </c>
      <c r="I25" s="14">
        <f t="shared" si="2"/>
        <v>9.1345029239766076E-2</v>
      </c>
    </row>
    <row r="26" spans="1:9" x14ac:dyDescent="0.25">
      <c r="A26" s="6" t="s">
        <v>140</v>
      </c>
      <c r="B26" s="6">
        <v>78000</v>
      </c>
      <c r="C26" s="85" t="s">
        <v>146</v>
      </c>
      <c r="D26" s="6">
        <v>1741</v>
      </c>
      <c r="E26" s="6">
        <v>94.3</v>
      </c>
      <c r="F26" s="6">
        <v>1020</v>
      </c>
      <c r="G26" s="4">
        <f t="shared" si="0"/>
        <v>54.164273406088455</v>
      </c>
      <c r="H26" s="4">
        <f t="shared" si="1"/>
        <v>585.87018954623784</v>
      </c>
      <c r="I26" s="14">
        <f t="shared" si="2"/>
        <v>9.2450980392156851E-2</v>
      </c>
    </row>
    <row r="27" spans="1:9" x14ac:dyDescent="0.25">
      <c r="A27" s="6" t="s">
        <v>141</v>
      </c>
      <c r="B27" s="6">
        <v>78100</v>
      </c>
      <c r="C27" s="85" t="s">
        <v>145</v>
      </c>
      <c r="D27" s="6">
        <v>107</v>
      </c>
      <c r="E27" s="6">
        <v>53.3</v>
      </c>
      <c r="F27" s="6">
        <v>605</v>
      </c>
      <c r="G27" s="4">
        <f t="shared" si="0"/>
        <v>498.13084112149528</v>
      </c>
      <c r="H27" s="4">
        <f t="shared" si="1"/>
        <v>5654.2056074766351</v>
      </c>
      <c r="I27" s="14">
        <f t="shared" si="2"/>
        <v>8.8099173553719004E-2</v>
      </c>
    </row>
    <row r="28" spans="1:9" x14ac:dyDescent="0.25">
      <c r="A28" s="6" t="s">
        <v>142</v>
      </c>
      <c r="B28" s="6"/>
      <c r="C28" s="85" t="s">
        <v>113</v>
      </c>
      <c r="D28" s="6">
        <v>1120</v>
      </c>
      <c r="E28" s="6">
        <v>117.5</v>
      </c>
      <c r="F28" s="6">
        <v>1340</v>
      </c>
      <c r="G28" s="4">
        <f t="shared" si="0"/>
        <v>104.91071428571429</v>
      </c>
      <c r="H28" s="4">
        <f t="shared" si="1"/>
        <v>1196.4285714285713</v>
      </c>
      <c r="I28" s="14">
        <f t="shared" si="2"/>
        <v>8.7686567164179122E-2</v>
      </c>
    </row>
    <row r="29" spans="1:9" x14ac:dyDescent="0.25">
      <c r="A29" s="6" t="s">
        <v>133</v>
      </c>
      <c r="B29" s="6">
        <v>75016</v>
      </c>
      <c r="C29" s="85" t="s">
        <v>113</v>
      </c>
      <c r="D29" s="6">
        <v>292</v>
      </c>
      <c r="E29" s="6">
        <v>75.7</v>
      </c>
      <c r="F29" s="6">
        <v>910</v>
      </c>
      <c r="G29" s="4">
        <f t="shared" si="0"/>
        <v>259.24657534246575</v>
      </c>
      <c r="H29" s="4">
        <f t="shared" si="1"/>
        <v>3116.4383561643835</v>
      </c>
      <c r="I29" s="14">
        <f t="shared" si="2"/>
        <v>8.3186813186813188E-2</v>
      </c>
    </row>
    <row r="30" spans="1:9" x14ac:dyDescent="0.25">
      <c r="A30" s="6" t="s">
        <v>143</v>
      </c>
      <c r="B30" s="6">
        <v>78300</v>
      </c>
      <c r="C30" s="85" t="s">
        <v>113</v>
      </c>
      <c r="D30" s="6">
        <v>103</v>
      </c>
      <c r="E30" s="6">
        <v>25.2</v>
      </c>
      <c r="F30" s="6">
        <v>270</v>
      </c>
      <c r="G30" s="4">
        <f t="shared" si="0"/>
        <v>244.66019417475727</v>
      </c>
      <c r="H30" s="4">
        <f t="shared" si="1"/>
        <v>2621.3592233009708</v>
      </c>
      <c r="I30" s="14">
        <f t="shared" si="2"/>
        <v>9.3333333333333324E-2</v>
      </c>
    </row>
    <row r="31" spans="1:9" x14ac:dyDescent="0.25">
      <c r="A31" s="6" t="s">
        <v>133</v>
      </c>
      <c r="B31" s="6">
        <v>75009</v>
      </c>
      <c r="C31" s="85" t="s">
        <v>113</v>
      </c>
      <c r="D31" s="6">
        <v>53</v>
      </c>
      <c r="E31" s="6">
        <v>16.5</v>
      </c>
      <c r="F31" s="6">
        <v>192</v>
      </c>
      <c r="G31" s="4">
        <f t="shared" si="0"/>
        <v>311.32075471698113</v>
      </c>
      <c r="H31" s="4">
        <f t="shared" si="1"/>
        <v>3622.6415094339623</v>
      </c>
      <c r="I31" s="14">
        <f t="shared" si="2"/>
        <v>8.59375E-2</v>
      </c>
    </row>
    <row r="32" spans="1:9" x14ac:dyDescent="0.25">
      <c r="A32" s="6" t="s">
        <v>144</v>
      </c>
      <c r="B32" s="6">
        <v>94140</v>
      </c>
      <c r="C32" s="85" t="s">
        <v>151</v>
      </c>
      <c r="D32" s="6">
        <v>1051</v>
      </c>
      <c r="E32" s="6">
        <v>112.3</v>
      </c>
      <c r="F32" s="6">
        <v>1160</v>
      </c>
      <c r="G32" s="4">
        <f t="shared" si="0"/>
        <v>106.85061845861084</v>
      </c>
      <c r="H32" s="4">
        <f t="shared" si="1"/>
        <v>1103.7107516650808</v>
      </c>
      <c r="I32" s="14">
        <f t="shared" si="2"/>
        <v>9.6810344827586201E-2</v>
      </c>
    </row>
    <row r="33" spans="1:9" x14ac:dyDescent="0.25">
      <c r="A33" s="6" t="s">
        <v>133</v>
      </c>
      <c r="B33" s="6">
        <v>75018</v>
      </c>
      <c r="C33" s="85" t="s">
        <v>113</v>
      </c>
      <c r="D33" s="6">
        <v>159</v>
      </c>
      <c r="E33" s="6">
        <v>50.7</v>
      </c>
      <c r="F33" s="6">
        <v>550</v>
      </c>
      <c r="G33" s="4">
        <f t="shared" si="0"/>
        <v>318.86792452830196</v>
      </c>
      <c r="H33" s="4">
        <f t="shared" si="1"/>
        <v>3459.1194968553459</v>
      </c>
      <c r="I33" s="14">
        <f t="shared" si="2"/>
        <v>9.2181818181818198E-2</v>
      </c>
    </row>
    <row r="34" spans="1:9" x14ac:dyDescent="0.25">
      <c r="A34" s="6" t="s">
        <v>133</v>
      </c>
      <c r="B34" s="6">
        <v>75020</v>
      </c>
      <c r="C34" s="85" t="s">
        <v>134</v>
      </c>
      <c r="D34" s="6">
        <v>46</v>
      </c>
      <c r="E34" s="6">
        <v>25.1</v>
      </c>
      <c r="F34" s="6">
        <v>262</v>
      </c>
      <c r="G34" s="4">
        <f t="shared" si="0"/>
        <v>545.6521739130435</v>
      </c>
      <c r="H34" s="4">
        <f t="shared" si="1"/>
        <v>5695.652173913044</v>
      </c>
      <c r="I34" s="14">
        <f t="shared" si="2"/>
        <v>9.5801526717557248E-2</v>
      </c>
    </row>
    <row r="35" spans="1:9" x14ac:dyDescent="0.25">
      <c r="A35" s="6" t="s">
        <v>133</v>
      </c>
      <c r="B35" s="6">
        <v>75017</v>
      </c>
      <c r="C35" s="85" t="s">
        <v>113</v>
      </c>
      <c r="D35" s="6">
        <v>39</v>
      </c>
      <c r="E35" s="6">
        <v>8.3000000000000007</v>
      </c>
      <c r="F35" s="6">
        <v>95</v>
      </c>
      <c r="G35" s="4">
        <f t="shared" si="0"/>
        <v>212.82051282051285</v>
      </c>
      <c r="H35" s="4">
        <f t="shared" si="1"/>
        <v>2435.8974358974356</v>
      </c>
      <c r="I35" s="14">
        <f t="shared" si="2"/>
        <v>8.7368421052631595E-2</v>
      </c>
    </row>
    <row r="36" spans="1:9" x14ac:dyDescent="0.25">
      <c r="A36" s="6" t="s">
        <v>133</v>
      </c>
      <c r="B36" s="6">
        <v>75011</v>
      </c>
      <c r="C36" s="85" t="s">
        <v>113</v>
      </c>
      <c r="D36" s="6">
        <v>56</v>
      </c>
      <c r="E36" s="6">
        <v>18.5</v>
      </c>
      <c r="F36" s="6">
        <v>220</v>
      </c>
      <c r="G36" s="4">
        <f t="shared" si="0"/>
        <v>330.35714285714283</v>
      </c>
      <c r="H36" s="4">
        <f t="shared" si="1"/>
        <v>3928.5714285714284</v>
      </c>
      <c r="I36" s="14">
        <f t="shared" si="2"/>
        <v>8.4090909090909091E-2</v>
      </c>
    </row>
    <row r="37" spans="1:9" x14ac:dyDescent="0.25">
      <c r="A37" s="6" t="s">
        <v>133</v>
      </c>
      <c r="B37" s="6">
        <v>75017</v>
      </c>
      <c r="C37" s="85" t="s">
        <v>113</v>
      </c>
      <c r="D37" s="6">
        <v>40</v>
      </c>
      <c r="E37" s="6">
        <v>11.8</v>
      </c>
      <c r="F37" s="6">
        <v>125</v>
      </c>
      <c r="G37" s="4">
        <f t="shared" si="0"/>
        <v>295.00000000000006</v>
      </c>
      <c r="H37" s="4">
        <f t="shared" si="1"/>
        <v>3125</v>
      </c>
      <c r="I37" s="14">
        <f t="shared" si="2"/>
        <v>9.4400000000000012E-2</v>
      </c>
    </row>
    <row r="38" spans="1:9" x14ac:dyDescent="0.25">
      <c r="A38" s="6" t="s">
        <v>133</v>
      </c>
      <c r="B38" s="6">
        <v>75017</v>
      </c>
      <c r="C38" s="85" t="s">
        <v>134</v>
      </c>
      <c r="D38" s="6">
        <v>27</v>
      </c>
      <c r="E38" s="6">
        <v>7</v>
      </c>
      <c r="F38" s="6">
        <v>85</v>
      </c>
      <c r="G38" s="4">
        <f t="shared" si="0"/>
        <v>259.25925925925924</v>
      </c>
      <c r="H38" s="4">
        <f t="shared" si="1"/>
        <v>3148.1481481481483</v>
      </c>
      <c r="I38" s="14">
        <f t="shared" si="2"/>
        <v>8.2352941176470573E-2</v>
      </c>
    </row>
    <row r="39" spans="1:9" x14ac:dyDescent="0.25">
      <c r="A39" s="6" t="s">
        <v>133</v>
      </c>
      <c r="B39" s="6">
        <v>75003</v>
      </c>
      <c r="C39" s="85" t="s">
        <v>113</v>
      </c>
      <c r="D39" s="6">
        <v>72</v>
      </c>
      <c r="E39" s="6">
        <v>35.1</v>
      </c>
      <c r="F39" s="6">
        <v>370</v>
      </c>
      <c r="G39" s="4">
        <f t="shared" si="0"/>
        <v>487.50000000000006</v>
      </c>
      <c r="H39" s="4">
        <f t="shared" si="1"/>
        <v>5138.8888888888896</v>
      </c>
      <c r="I39" s="14">
        <f t="shared" si="2"/>
        <v>9.4864864864864867E-2</v>
      </c>
    </row>
    <row r="40" spans="1:9" x14ac:dyDescent="0.25">
      <c r="A40" s="6" t="s">
        <v>133</v>
      </c>
      <c r="B40" s="6">
        <v>75011</v>
      </c>
      <c r="C40" s="85" t="s">
        <v>134</v>
      </c>
      <c r="D40" s="6">
        <v>107</v>
      </c>
      <c r="E40" s="6">
        <v>28.5</v>
      </c>
      <c r="F40" s="6">
        <v>310</v>
      </c>
      <c r="G40" s="4">
        <f t="shared" si="0"/>
        <v>266.35514018691589</v>
      </c>
      <c r="H40" s="4">
        <f t="shared" si="1"/>
        <v>2897.1962616822429</v>
      </c>
      <c r="I40" s="14">
        <f t="shared" si="2"/>
        <v>9.1935483870967741E-2</v>
      </c>
    </row>
    <row r="41" spans="1:9" x14ac:dyDescent="0.25">
      <c r="A41" s="6" t="s">
        <v>133</v>
      </c>
      <c r="B41" s="6">
        <v>75003</v>
      </c>
      <c r="C41" s="85" t="s">
        <v>113</v>
      </c>
      <c r="D41" s="6">
        <v>171</v>
      </c>
      <c r="E41" s="6">
        <v>50.9</v>
      </c>
      <c r="F41" s="6">
        <v>585</v>
      </c>
      <c r="G41" s="4">
        <f t="shared" si="0"/>
        <v>297.66081871345028</v>
      </c>
      <c r="H41" s="4">
        <f t="shared" si="1"/>
        <v>3421.0526315789475</v>
      </c>
      <c r="I41" s="14">
        <f t="shared" si="2"/>
        <v>8.7008547008547002E-2</v>
      </c>
    </row>
    <row r="42" spans="1:9" x14ac:dyDescent="0.25">
      <c r="A42" s="6" t="s">
        <v>133</v>
      </c>
      <c r="B42" s="6">
        <v>75004</v>
      </c>
      <c r="C42" s="85" t="s">
        <v>113</v>
      </c>
      <c r="D42" s="6">
        <v>120</v>
      </c>
      <c r="E42" s="6">
        <v>86.5</v>
      </c>
      <c r="F42" s="6">
        <v>870</v>
      </c>
      <c r="G42" s="4">
        <f t="shared" si="0"/>
        <v>720.83333333333337</v>
      </c>
      <c r="H42" s="4">
        <f t="shared" si="1"/>
        <v>7250</v>
      </c>
      <c r="I42" s="14">
        <f t="shared" si="2"/>
        <v>9.9425287356321848E-2</v>
      </c>
    </row>
    <row r="43" spans="1:9" x14ac:dyDescent="0.25">
      <c r="A43" s="6" t="s">
        <v>133</v>
      </c>
      <c r="B43" s="6">
        <v>75013</v>
      </c>
      <c r="C43" s="85" t="s">
        <v>113</v>
      </c>
      <c r="D43" s="6">
        <v>48</v>
      </c>
      <c r="E43" s="6">
        <v>23.1</v>
      </c>
      <c r="F43" s="6">
        <v>220</v>
      </c>
      <c r="G43" s="4">
        <f t="shared" si="0"/>
        <v>481.25</v>
      </c>
      <c r="H43" s="4">
        <f t="shared" si="1"/>
        <v>4583.333333333333</v>
      </c>
      <c r="I43" s="14">
        <f t="shared" si="2"/>
        <v>0.10500000000000001</v>
      </c>
    </row>
    <row r="44" spans="1:9" x14ac:dyDescent="0.25">
      <c r="A44" s="6" t="s">
        <v>133</v>
      </c>
      <c r="B44" s="6">
        <v>75009</v>
      </c>
      <c r="C44" s="85" t="s">
        <v>134</v>
      </c>
      <c r="D44" s="6">
        <v>52</v>
      </c>
      <c r="E44" s="6">
        <v>24.1</v>
      </c>
      <c r="F44" s="6">
        <v>310</v>
      </c>
      <c r="G44" s="4">
        <f t="shared" si="0"/>
        <v>463.46153846153845</v>
      </c>
      <c r="H44" s="4">
        <f t="shared" si="1"/>
        <v>5961.5384615384619</v>
      </c>
      <c r="I44" s="14">
        <f t="shared" si="2"/>
        <v>7.7741935483870955E-2</v>
      </c>
    </row>
    <row r="45" spans="1:9" x14ac:dyDescent="0.25">
      <c r="A45" s="6" t="s">
        <v>133</v>
      </c>
      <c r="B45" s="6">
        <v>75016</v>
      </c>
      <c r="C45" s="85" t="s">
        <v>113</v>
      </c>
      <c r="D45" s="6">
        <v>150</v>
      </c>
      <c r="E45" s="6">
        <v>64</v>
      </c>
      <c r="F45" s="6">
        <v>800</v>
      </c>
      <c r="G45" s="4">
        <f t="shared" si="0"/>
        <v>426.66666666666669</v>
      </c>
      <c r="H45" s="4">
        <f t="shared" si="1"/>
        <v>5333.333333333333</v>
      </c>
      <c r="I45" s="14">
        <f t="shared" si="2"/>
        <v>0.08</v>
      </c>
    </row>
    <row r="46" spans="1:9" x14ac:dyDescent="0.25">
      <c r="A46" s="6" t="s">
        <v>133</v>
      </c>
      <c r="B46" s="6">
        <v>75002</v>
      </c>
      <c r="C46" s="85" t="s">
        <v>134</v>
      </c>
      <c r="D46" s="6">
        <v>97</v>
      </c>
      <c r="E46" s="6">
        <v>42</v>
      </c>
      <c r="F46" s="6">
        <v>480</v>
      </c>
      <c r="G46" s="4">
        <f t="shared" si="0"/>
        <v>432.98969072164948</v>
      </c>
      <c r="H46" s="4">
        <f t="shared" si="1"/>
        <v>4948.4536082474233</v>
      </c>
      <c r="I46" s="14">
        <f t="shared" si="2"/>
        <v>8.7499999999999994E-2</v>
      </c>
    </row>
    <row r="47" spans="1:9" x14ac:dyDescent="0.25">
      <c r="A47" s="6" t="s">
        <v>157</v>
      </c>
      <c r="B47" s="6">
        <v>78190</v>
      </c>
      <c r="C47" s="85" t="s">
        <v>151</v>
      </c>
      <c r="D47" s="6">
        <v>1183</v>
      </c>
      <c r="E47" s="6">
        <v>121.1</v>
      </c>
      <c r="F47" s="6">
        <v>1220</v>
      </c>
      <c r="G47" s="4">
        <f t="shared" si="0"/>
        <v>102.36686390532545</v>
      </c>
      <c r="H47" s="4">
        <f t="shared" si="1"/>
        <v>1031.2764158918005</v>
      </c>
      <c r="I47" s="14">
        <f t="shared" si="2"/>
        <v>9.9262295081967211E-2</v>
      </c>
    </row>
    <row r="48" spans="1:9" x14ac:dyDescent="0.25">
      <c r="A48" s="6" t="s">
        <v>158</v>
      </c>
      <c r="B48" s="6">
        <v>91571</v>
      </c>
      <c r="C48" s="85" t="s">
        <v>151</v>
      </c>
      <c r="D48" s="6">
        <v>740</v>
      </c>
      <c r="E48" s="6">
        <v>99.3</v>
      </c>
      <c r="F48" s="6">
        <v>1050</v>
      </c>
      <c r="G48" s="4">
        <f t="shared" si="0"/>
        <v>134.18918918918916</v>
      </c>
      <c r="H48" s="4">
        <f t="shared" si="1"/>
        <v>1418.918918918919</v>
      </c>
      <c r="I48" s="14">
        <f t="shared" si="2"/>
        <v>9.4571428571428556E-2</v>
      </c>
    </row>
    <row r="49" spans="1:9" x14ac:dyDescent="0.25">
      <c r="A49" s="6" t="s">
        <v>159</v>
      </c>
      <c r="B49" s="6">
        <v>44600</v>
      </c>
      <c r="C49" s="85" t="s">
        <v>113</v>
      </c>
      <c r="D49" s="6">
        <v>684</v>
      </c>
      <c r="E49" s="6">
        <v>93</v>
      </c>
      <c r="F49" s="6">
        <v>955</v>
      </c>
      <c r="G49" s="4">
        <f t="shared" si="0"/>
        <v>135.96491228070175</v>
      </c>
      <c r="H49" s="4">
        <f t="shared" si="1"/>
        <v>1396.1988304093566</v>
      </c>
      <c r="I49" s="14">
        <f t="shared" si="2"/>
        <v>9.7382198952879598E-2</v>
      </c>
    </row>
    <row r="50" spans="1:9" x14ac:dyDescent="0.25">
      <c r="A50" s="6" t="s">
        <v>160</v>
      </c>
      <c r="B50" s="6">
        <v>28000</v>
      </c>
      <c r="C50" s="85" t="s">
        <v>113</v>
      </c>
      <c r="D50" s="6">
        <v>161</v>
      </c>
      <c r="E50" s="6">
        <v>78.099999999999994</v>
      </c>
      <c r="F50" s="6">
        <v>785</v>
      </c>
      <c r="G50" s="4">
        <f t="shared" si="0"/>
        <v>485.09316770186336</v>
      </c>
      <c r="H50" s="4">
        <f t="shared" si="1"/>
        <v>4875.7763975155285</v>
      </c>
      <c r="I50" s="14">
        <f t="shared" si="2"/>
        <v>9.94904458598726E-2</v>
      </c>
    </row>
    <row r="51" spans="1:9" x14ac:dyDescent="0.25">
      <c r="A51" s="6" t="s">
        <v>161</v>
      </c>
      <c r="B51" s="6">
        <v>94220</v>
      </c>
      <c r="C51" s="85" t="s">
        <v>113</v>
      </c>
      <c r="D51" s="6">
        <v>2289</v>
      </c>
      <c r="E51" s="6">
        <v>558.79999999999995</v>
      </c>
      <c r="F51" s="6">
        <v>5915</v>
      </c>
      <c r="G51" s="4">
        <f t="shared" si="0"/>
        <v>244.12407164700741</v>
      </c>
      <c r="H51" s="4">
        <f t="shared" si="1"/>
        <v>2584.0978593272171</v>
      </c>
      <c r="I51" s="14">
        <f t="shared" si="2"/>
        <v>9.4471682163989851E-2</v>
      </c>
    </row>
    <row r="52" spans="1:9" x14ac:dyDescent="0.25">
      <c r="A52" s="6" t="s">
        <v>162</v>
      </c>
      <c r="B52" s="6">
        <v>93500</v>
      </c>
      <c r="C52" s="85" t="s">
        <v>145</v>
      </c>
      <c r="D52" s="6">
        <v>167</v>
      </c>
      <c r="E52" s="6">
        <v>31.9</v>
      </c>
      <c r="F52" s="6">
        <v>290</v>
      </c>
      <c r="G52" s="4">
        <f t="shared" si="0"/>
        <v>191.01796407185628</v>
      </c>
      <c r="H52" s="4">
        <f t="shared" si="1"/>
        <v>1736.5269461077844</v>
      </c>
      <c r="I52" s="14">
        <f t="shared" si="2"/>
        <v>0.11</v>
      </c>
    </row>
    <row r="53" spans="1:9" x14ac:dyDescent="0.25">
      <c r="A53" s="6" t="s">
        <v>159</v>
      </c>
      <c r="B53" s="6">
        <v>44600</v>
      </c>
      <c r="C53" s="85" t="s">
        <v>113</v>
      </c>
      <c r="D53" s="6">
        <v>257</v>
      </c>
      <c r="E53" s="6">
        <v>34.9</v>
      </c>
      <c r="F53" s="6">
        <v>359</v>
      </c>
      <c r="G53" s="4">
        <f t="shared" si="0"/>
        <v>135.79766536964979</v>
      </c>
      <c r="H53" s="4">
        <f t="shared" si="1"/>
        <v>1396.8871595330738</v>
      </c>
      <c r="I53" s="14">
        <f t="shared" si="2"/>
        <v>9.721448467966573E-2</v>
      </c>
    </row>
    <row r="54" spans="1:9" x14ac:dyDescent="0.25">
      <c r="A54" s="6" t="s">
        <v>133</v>
      </c>
      <c r="B54" s="6">
        <v>75005</v>
      </c>
      <c r="C54" s="85" t="s">
        <v>113</v>
      </c>
      <c r="D54" s="6">
        <v>73</v>
      </c>
      <c r="E54" s="6">
        <v>38.1</v>
      </c>
      <c r="F54" s="6">
        <v>460</v>
      </c>
      <c r="G54" s="4">
        <f t="shared" si="0"/>
        <v>521.91780821917814</v>
      </c>
      <c r="H54" s="4">
        <f t="shared" si="1"/>
        <v>6301.3698630136987</v>
      </c>
      <c r="I54" s="14">
        <f t="shared" si="2"/>
        <v>8.2826086956521744E-2</v>
      </c>
    </row>
    <row r="55" spans="1:9" x14ac:dyDescent="0.25">
      <c r="A55" s="6" t="s">
        <v>133</v>
      </c>
      <c r="B55" s="6">
        <v>75001</v>
      </c>
      <c r="C55" s="85" t="s">
        <v>113</v>
      </c>
      <c r="D55" s="6">
        <v>65</v>
      </c>
      <c r="E55" s="6">
        <v>35</v>
      </c>
      <c r="F55" s="6">
        <v>420</v>
      </c>
      <c r="G55" s="4">
        <f t="shared" si="0"/>
        <v>538.46153846153845</v>
      </c>
      <c r="H55" s="4">
        <f t="shared" si="1"/>
        <v>6461.5384615384619</v>
      </c>
      <c r="I55" s="14">
        <f t="shared" si="2"/>
        <v>8.3333333333333329E-2</v>
      </c>
    </row>
    <row r="56" spans="1:9" x14ac:dyDescent="0.25">
      <c r="A56" s="6" t="s">
        <v>163</v>
      </c>
      <c r="B56" s="6">
        <v>94160</v>
      </c>
      <c r="C56" s="85" t="s">
        <v>113</v>
      </c>
      <c r="D56" s="6">
        <v>70</v>
      </c>
      <c r="E56" s="6">
        <v>29.1</v>
      </c>
      <c r="F56" s="6">
        <v>290</v>
      </c>
      <c r="G56" s="4">
        <f t="shared" si="0"/>
        <v>415.71428571428578</v>
      </c>
      <c r="H56" s="4">
        <f t="shared" si="1"/>
        <v>4142.8571428571431</v>
      </c>
      <c r="I56" s="14">
        <f t="shared" si="2"/>
        <v>0.1003448275862069</v>
      </c>
    </row>
    <row r="57" spans="1:9" x14ac:dyDescent="0.25">
      <c r="A57" s="6" t="s">
        <v>133</v>
      </c>
      <c r="B57" s="6">
        <v>75017</v>
      </c>
      <c r="C57" s="85" t="s">
        <v>145</v>
      </c>
      <c r="D57" s="6">
        <v>295</v>
      </c>
      <c r="E57" s="6">
        <v>77.2</v>
      </c>
      <c r="F57" s="6">
        <v>1040</v>
      </c>
      <c r="G57" s="4">
        <f t="shared" si="0"/>
        <v>261.69491525423729</v>
      </c>
      <c r="H57" s="4">
        <f t="shared" si="1"/>
        <v>3525.4237288135591</v>
      </c>
      <c r="I57" s="14">
        <f t="shared" si="2"/>
        <v>7.4230769230769239E-2</v>
      </c>
    </row>
    <row r="58" spans="1:9" x14ac:dyDescent="0.25">
      <c r="A58" s="6" t="s">
        <v>133</v>
      </c>
      <c r="B58" s="6">
        <v>75020</v>
      </c>
      <c r="C58" s="85" t="s">
        <v>113</v>
      </c>
      <c r="D58" s="6">
        <v>72</v>
      </c>
      <c r="E58" s="6">
        <v>21.5</v>
      </c>
      <c r="F58" s="6">
        <v>245</v>
      </c>
      <c r="G58" s="4">
        <f t="shared" si="0"/>
        <v>298.61111111111109</v>
      </c>
      <c r="H58" s="4">
        <f t="shared" si="1"/>
        <v>3402.7777777777778</v>
      </c>
      <c r="I58" s="14">
        <f t="shared" si="2"/>
        <v>8.7755102040816324E-2</v>
      </c>
    </row>
    <row r="59" spans="1:9" x14ac:dyDescent="0.25">
      <c r="A59" s="6" t="s">
        <v>133</v>
      </c>
      <c r="B59" s="6">
        <v>75014</v>
      </c>
      <c r="C59" s="85" t="s">
        <v>113</v>
      </c>
      <c r="D59" s="6">
        <v>226</v>
      </c>
      <c r="E59" s="6">
        <v>47.9</v>
      </c>
      <c r="F59" s="6">
        <v>525</v>
      </c>
      <c r="G59" s="4">
        <f t="shared" si="0"/>
        <v>211.94690265486727</v>
      </c>
      <c r="H59" s="4">
        <f t="shared" si="1"/>
        <v>2323.0088495575224</v>
      </c>
      <c r="I59" s="14">
        <f t="shared" si="2"/>
        <v>9.1238095238095229E-2</v>
      </c>
    </row>
    <row r="60" spans="1:9" x14ac:dyDescent="0.25">
      <c r="A60" s="6" t="s">
        <v>164</v>
      </c>
      <c r="B60" s="6">
        <v>93130</v>
      </c>
      <c r="C60" s="85" t="s">
        <v>113</v>
      </c>
      <c r="D60" s="6">
        <v>374</v>
      </c>
      <c r="E60" s="6">
        <v>71.7</v>
      </c>
      <c r="F60" s="6">
        <v>770</v>
      </c>
      <c r="G60" s="4">
        <f t="shared" si="0"/>
        <v>191.71122994652407</v>
      </c>
      <c r="H60" s="4">
        <f t="shared" si="1"/>
        <v>2058.8235294117644</v>
      </c>
      <c r="I60" s="14">
        <f t="shared" si="2"/>
        <v>9.311688311688314E-2</v>
      </c>
    </row>
    <row r="61" spans="1:9" x14ac:dyDescent="0.25">
      <c r="A61" s="6" t="s">
        <v>165</v>
      </c>
      <c r="B61" s="6">
        <v>38000</v>
      </c>
      <c r="C61" s="85" t="s">
        <v>113</v>
      </c>
      <c r="D61" s="6">
        <v>88</v>
      </c>
      <c r="E61" s="6">
        <v>24.7</v>
      </c>
      <c r="F61" s="6">
        <v>255</v>
      </c>
      <c r="G61" s="4">
        <f t="shared" si="0"/>
        <v>280.68181818181819</v>
      </c>
      <c r="H61" s="4">
        <f t="shared" si="1"/>
        <v>2897.727272727273</v>
      </c>
      <c r="I61" s="14">
        <f t="shared" si="2"/>
        <v>9.6862745098039216E-2</v>
      </c>
    </row>
    <row r="62" spans="1:9" x14ac:dyDescent="0.25">
      <c r="A62" s="6" t="s">
        <v>166</v>
      </c>
      <c r="B62" s="6">
        <v>72000</v>
      </c>
      <c r="C62" s="85" t="s">
        <v>113</v>
      </c>
      <c r="D62" s="6">
        <v>277</v>
      </c>
      <c r="E62" s="6">
        <v>33.5</v>
      </c>
      <c r="F62" s="6">
        <v>280</v>
      </c>
      <c r="G62" s="4">
        <f t="shared" si="0"/>
        <v>120.93862815884476</v>
      </c>
      <c r="H62" s="4">
        <f t="shared" si="1"/>
        <v>1010.8303249097472</v>
      </c>
      <c r="I62" s="14">
        <f t="shared" si="2"/>
        <v>0.11964285714285715</v>
      </c>
    </row>
    <row r="63" spans="1:9" x14ac:dyDescent="0.25">
      <c r="A63" s="6" t="s">
        <v>167</v>
      </c>
      <c r="B63" s="6">
        <v>14400</v>
      </c>
      <c r="C63" s="85" t="s">
        <v>113</v>
      </c>
      <c r="D63" s="6">
        <v>70</v>
      </c>
      <c r="E63" s="6">
        <v>8</v>
      </c>
      <c r="F63" s="6">
        <v>58</v>
      </c>
      <c r="G63" s="4">
        <f t="shared" si="0"/>
        <v>114.28571428571428</v>
      </c>
      <c r="H63" s="4">
        <f t="shared" si="1"/>
        <v>828.57142857142867</v>
      </c>
      <c r="I63" s="14">
        <f t="shared" si="2"/>
        <v>0.13793103448275859</v>
      </c>
    </row>
    <row r="64" spans="1:9" x14ac:dyDescent="0.25">
      <c r="A64" s="6" t="s">
        <v>119</v>
      </c>
      <c r="B64" s="6">
        <v>30900</v>
      </c>
      <c r="C64" s="85" t="s">
        <v>113</v>
      </c>
      <c r="D64" s="6">
        <v>32</v>
      </c>
      <c r="E64" s="6">
        <v>9.5</v>
      </c>
      <c r="F64" s="6">
        <v>65</v>
      </c>
      <c r="G64" s="4">
        <f t="shared" si="0"/>
        <v>296.875</v>
      </c>
      <c r="H64" s="4">
        <f t="shared" si="1"/>
        <v>2031.25</v>
      </c>
      <c r="I64" s="14">
        <f t="shared" si="2"/>
        <v>0.14615384615384616</v>
      </c>
    </row>
    <row r="65" spans="1:9" x14ac:dyDescent="0.25">
      <c r="A65" s="6" t="s">
        <v>133</v>
      </c>
      <c r="B65" s="6">
        <v>75007</v>
      </c>
      <c r="C65" s="85" t="s">
        <v>113</v>
      </c>
      <c r="D65" s="6">
        <v>57</v>
      </c>
      <c r="E65" s="6">
        <v>43.5</v>
      </c>
      <c r="F65" s="6">
        <v>510</v>
      </c>
      <c r="G65" s="4">
        <f t="shared" si="0"/>
        <v>763.1578947368422</v>
      </c>
      <c r="H65" s="4">
        <f t="shared" si="1"/>
        <v>8947.3684210526317</v>
      </c>
      <c r="I65" s="14">
        <f t="shared" si="2"/>
        <v>8.5294117647058826E-2</v>
      </c>
    </row>
    <row r="66" spans="1:9" x14ac:dyDescent="0.25">
      <c r="A66" s="6" t="s">
        <v>168</v>
      </c>
      <c r="B66" s="6">
        <v>49400</v>
      </c>
      <c r="C66" s="85" t="s">
        <v>113</v>
      </c>
      <c r="D66" s="6">
        <v>42</v>
      </c>
      <c r="E66" s="6">
        <v>9.8000000000000007</v>
      </c>
      <c r="F66" s="6">
        <v>105</v>
      </c>
      <c r="G66" s="4">
        <f t="shared" si="0"/>
        <v>233.33333333333334</v>
      </c>
      <c r="H66" s="4">
        <f t="shared" si="1"/>
        <v>2500</v>
      </c>
      <c r="I66" s="14">
        <f t="shared" si="2"/>
        <v>9.3333333333333338E-2</v>
      </c>
    </row>
    <row r="67" spans="1:9" x14ac:dyDescent="0.25">
      <c r="A67" s="6" t="s">
        <v>140</v>
      </c>
      <c r="B67" s="6">
        <v>78000</v>
      </c>
      <c r="C67" s="85" t="s">
        <v>113</v>
      </c>
      <c r="D67" s="6">
        <v>72</v>
      </c>
      <c r="E67" s="6">
        <v>21</v>
      </c>
      <c r="F67" s="6">
        <v>260</v>
      </c>
      <c r="G67" s="4">
        <f t="shared" si="0"/>
        <v>291.66666666666669</v>
      </c>
      <c r="H67" s="4">
        <f t="shared" si="1"/>
        <v>3611.1111111111113</v>
      </c>
      <c r="I67" s="14">
        <f t="shared" si="2"/>
        <v>8.0769230769230774E-2</v>
      </c>
    </row>
    <row r="68" spans="1:9" x14ac:dyDescent="0.25">
      <c r="A68" s="6" t="s">
        <v>169</v>
      </c>
      <c r="B68" s="6">
        <v>17000</v>
      </c>
      <c r="C68" s="85" t="s">
        <v>113</v>
      </c>
      <c r="D68" s="6">
        <v>80</v>
      </c>
      <c r="E68" s="6">
        <v>35</v>
      </c>
      <c r="F68" s="6">
        <v>380</v>
      </c>
      <c r="G68" s="4">
        <f t="shared" si="0"/>
        <v>437.5</v>
      </c>
      <c r="H68" s="4">
        <f t="shared" si="1"/>
        <v>4750</v>
      </c>
      <c r="I68" s="14">
        <f t="shared" si="2"/>
        <v>9.2105263157894732E-2</v>
      </c>
    </row>
    <row r="69" spans="1:9" x14ac:dyDescent="0.25">
      <c r="A69" s="6" t="s">
        <v>170</v>
      </c>
      <c r="B69" s="6">
        <v>76000</v>
      </c>
      <c r="C69" s="85" t="s">
        <v>113</v>
      </c>
      <c r="D69" s="6">
        <v>150</v>
      </c>
      <c r="E69" s="6">
        <v>30</v>
      </c>
      <c r="F69" s="6">
        <v>315</v>
      </c>
      <c r="G69" s="4">
        <f t="shared" si="0"/>
        <v>200</v>
      </c>
      <c r="H69" s="4">
        <f t="shared" si="1"/>
        <v>2100</v>
      </c>
      <c r="I69" s="14">
        <f t="shared" si="2"/>
        <v>9.5238095238095233E-2</v>
      </c>
    </row>
    <row r="70" spans="1:9" x14ac:dyDescent="0.25">
      <c r="A70" s="6" t="s">
        <v>171</v>
      </c>
      <c r="B70" s="6">
        <v>92140</v>
      </c>
      <c r="C70" s="85" t="s">
        <v>113</v>
      </c>
      <c r="D70" s="6">
        <v>133</v>
      </c>
      <c r="E70" s="6">
        <v>48.2</v>
      </c>
      <c r="F70" s="6">
        <v>500</v>
      </c>
      <c r="G70" s="4">
        <f t="shared" si="0"/>
        <v>362.40601503759399</v>
      </c>
      <c r="H70" s="4">
        <f t="shared" si="1"/>
        <v>3759.3984962406016</v>
      </c>
      <c r="I70" s="14">
        <f t="shared" si="2"/>
        <v>9.64E-2</v>
      </c>
    </row>
    <row r="71" spans="1:9" x14ac:dyDescent="0.25">
      <c r="A71" s="6" t="s">
        <v>160</v>
      </c>
      <c r="B71" s="6">
        <v>28000</v>
      </c>
      <c r="C71" s="85" t="s">
        <v>113</v>
      </c>
      <c r="D71" s="6">
        <v>275</v>
      </c>
      <c r="E71" s="6">
        <v>127</v>
      </c>
      <c r="F71" s="6">
        <v>1350</v>
      </c>
      <c r="G71" s="4">
        <f t="shared" si="0"/>
        <v>461.81818181818181</v>
      </c>
      <c r="H71" s="4">
        <f t="shared" si="1"/>
        <v>4909.090909090909</v>
      </c>
      <c r="I71" s="14">
        <f t="shared" si="2"/>
        <v>9.4074074074074074E-2</v>
      </c>
    </row>
    <row r="72" spans="1:9" x14ac:dyDescent="0.25">
      <c r="A72" s="6" t="s">
        <v>133</v>
      </c>
      <c r="B72" s="6">
        <v>75009</v>
      </c>
      <c r="C72" s="85" t="s">
        <v>113</v>
      </c>
      <c r="D72" s="6">
        <v>69</v>
      </c>
      <c r="E72" s="6">
        <v>33.1</v>
      </c>
      <c r="F72" s="6">
        <v>380</v>
      </c>
      <c r="G72" s="4">
        <f t="shared" si="0"/>
        <v>479.71014492753625</v>
      </c>
      <c r="H72" s="4">
        <f t="shared" si="1"/>
        <v>5507.246376811594</v>
      </c>
      <c r="I72" s="14">
        <f t="shared" si="2"/>
        <v>8.7105263157894741E-2</v>
      </c>
    </row>
    <row r="73" spans="1:9" x14ac:dyDescent="0.25">
      <c r="A73" s="6" t="s">
        <v>171</v>
      </c>
      <c r="B73" s="6">
        <v>92140</v>
      </c>
      <c r="C73" s="85" t="s">
        <v>113</v>
      </c>
      <c r="D73" s="6">
        <v>85</v>
      </c>
      <c r="E73" s="6">
        <v>26.7</v>
      </c>
      <c r="F73" s="6">
        <v>265</v>
      </c>
      <c r="G73" s="4">
        <f t="shared" si="0"/>
        <v>314.11764705882348</v>
      </c>
      <c r="H73" s="4">
        <f t="shared" si="1"/>
        <v>3117.6470588235293</v>
      </c>
      <c r="I73" s="14">
        <f t="shared" si="2"/>
        <v>0.10075471698113206</v>
      </c>
    </row>
    <row r="74" spans="1:9" x14ac:dyDescent="0.25">
      <c r="A74" s="6" t="s">
        <v>161</v>
      </c>
      <c r="B74" s="6">
        <v>94000</v>
      </c>
      <c r="C74" s="85" t="s">
        <v>117</v>
      </c>
      <c r="D74" s="6">
        <v>301</v>
      </c>
      <c r="E74" s="6">
        <v>73.5</v>
      </c>
      <c r="F74" s="6">
        <v>778</v>
      </c>
      <c r="G74" s="4">
        <f t="shared" si="0"/>
        <v>244.18604651162789</v>
      </c>
      <c r="H74" s="4">
        <f t="shared" si="1"/>
        <v>2584.7176079734218</v>
      </c>
      <c r="I74" s="14">
        <f t="shared" si="2"/>
        <v>9.4473007712082266E-2</v>
      </c>
    </row>
    <row r="75" spans="1:9" x14ac:dyDescent="0.25">
      <c r="A75" s="6" t="s">
        <v>161</v>
      </c>
      <c r="B75" s="6">
        <v>94000</v>
      </c>
      <c r="C75" s="85" t="s">
        <v>117</v>
      </c>
      <c r="D75" s="6">
        <v>51</v>
      </c>
      <c r="E75" s="6">
        <v>12.45</v>
      </c>
      <c r="F75" s="6">
        <v>132</v>
      </c>
      <c r="G75" s="4">
        <f t="shared" si="0"/>
        <v>244.11764705882354</v>
      </c>
      <c r="H75" s="4">
        <f t="shared" si="1"/>
        <v>2588.2352941176473</v>
      </c>
      <c r="I75" s="14">
        <f t="shared" si="2"/>
        <v>9.4318181818181815E-2</v>
      </c>
    </row>
    <row r="76" spans="1:9" x14ac:dyDescent="0.25">
      <c r="A76" s="6" t="s">
        <v>173</v>
      </c>
      <c r="B76" s="6">
        <v>94700</v>
      </c>
      <c r="C76" s="85" t="s">
        <v>126</v>
      </c>
      <c r="D76" s="6">
        <v>129</v>
      </c>
      <c r="E76" s="6">
        <v>30.8</v>
      </c>
      <c r="F76" s="6">
        <v>335</v>
      </c>
      <c r="G76" s="4">
        <f t="shared" si="0"/>
        <v>238.75968992248062</v>
      </c>
      <c r="H76" s="4">
        <f t="shared" si="1"/>
        <v>2596.8992248062018</v>
      </c>
      <c r="I76" s="14">
        <f t="shared" si="2"/>
        <v>9.1940298507462673E-2</v>
      </c>
    </row>
    <row r="77" spans="1:9" x14ac:dyDescent="0.25">
      <c r="A77" s="6" t="s">
        <v>174</v>
      </c>
      <c r="B77" s="6">
        <v>76290</v>
      </c>
      <c r="C77" s="85" t="s">
        <v>113</v>
      </c>
      <c r="D77" s="6">
        <v>1430</v>
      </c>
      <c r="E77" s="6">
        <v>89</v>
      </c>
      <c r="F77" s="6">
        <v>875</v>
      </c>
      <c r="G77" s="4">
        <f t="shared" si="0"/>
        <v>62.237762237762233</v>
      </c>
      <c r="H77" s="4">
        <f t="shared" si="1"/>
        <v>611.88811188811189</v>
      </c>
      <c r="I77" s="14">
        <f t="shared" si="2"/>
        <v>0.1017142857142857</v>
      </c>
    </row>
    <row r="78" spans="1:9" x14ac:dyDescent="0.25">
      <c r="A78" s="6" t="s">
        <v>175</v>
      </c>
      <c r="B78" s="6">
        <v>89100</v>
      </c>
      <c r="C78" s="85" t="s">
        <v>113</v>
      </c>
      <c r="D78" s="6">
        <v>3663</v>
      </c>
      <c r="E78" s="6">
        <v>283</v>
      </c>
      <c r="F78" s="6">
        <v>2875</v>
      </c>
      <c r="G78" s="4">
        <f t="shared" si="0"/>
        <v>77.259077259077259</v>
      </c>
      <c r="H78" s="4">
        <f t="shared" si="1"/>
        <v>784.87578487578492</v>
      </c>
      <c r="I78" s="14">
        <f t="shared" si="2"/>
        <v>9.8434782608695648E-2</v>
      </c>
    </row>
    <row r="79" spans="1:9" x14ac:dyDescent="0.25">
      <c r="A79" s="6" t="s">
        <v>176</v>
      </c>
      <c r="B79" s="6">
        <v>94260</v>
      </c>
      <c r="C79" s="85" t="s">
        <v>113</v>
      </c>
      <c r="D79" s="6">
        <v>3149</v>
      </c>
      <c r="E79" s="6">
        <v>359</v>
      </c>
      <c r="F79" s="6">
        <v>3000</v>
      </c>
      <c r="G79" s="4">
        <f t="shared" si="0"/>
        <v>114.00444585582726</v>
      </c>
      <c r="H79" s="4">
        <f t="shared" si="1"/>
        <v>952.68339155287401</v>
      </c>
      <c r="I79" s="14">
        <f t="shared" si="2"/>
        <v>0.11966666666666667</v>
      </c>
    </row>
    <row r="80" spans="1:9" x14ac:dyDescent="0.25">
      <c r="A80" s="6" t="s">
        <v>177</v>
      </c>
      <c r="B80" s="6">
        <v>51000</v>
      </c>
      <c r="C80" s="85" t="s">
        <v>113</v>
      </c>
      <c r="D80" s="6">
        <v>2106</v>
      </c>
      <c r="E80" s="6">
        <v>236</v>
      </c>
      <c r="F80" s="6">
        <v>2500</v>
      </c>
      <c r="G80" s="4">
        <f t="shared" si="0"/>
        <v>112.0607787274454</v>
      </c>
      <c r="H80" s="4">
        <f t="shared" si="1"/>
        <v>1187.0845204178538</v>
      </c>
      <c r="I80" s="14">
        <f t="shared" si="2"/>
        <v>9.4399999999999998E-2</v>
      </c>
    </row>
    <row r="81" spans="1:9" x14ac:dyDescent="0.25">
      <c r="A81" s="6" t="s">
        <v>178</v>
      </c>
      <c r="B81" s="6">
        <v>78500</v>
      </c>
      <c r="C81" s="85" t="s">
        <v>113</v>
      </c>
      <c r="D81" s="6">
        <v>187</v>
      </c>
      <c r="E81" s="6">
        <v>39</v>
      </c>
      <c r="F81" s="6">
        <v>443</v>
      </c>
      <c r="G81" s="4">
        <f t="shared" si="0"/>
        <v>208.55614973262033</v>
      </c>
      <c r="H81" s="4">
        <f t="shared" si="1"/>
        <v>2368.9839572192514</v>
      </c>
      <c r="I81" s="14">
        <f t="shared" si="2"/>
        <v>8.8036117381489851E-2</v>
      </c>
    </row>
    <row r="82" spans="1:9" x14ac:dyDescent="0.25">
      <c r="A82" s="6" t="s">
        <v>133</v>
      </c>
      <c r="B82" s="6">
        <v>75002</v>
      </c>
      <c r="C82" s="85" t="s">
        <v>113</v>
      </c>
      <c r="D82" s="6">
        <v>182</v>
      </c>
      <c r="E82" s="6">
        <v>74.7</v>
      </c>
      <c r="F82" s="6">
        <v>920</v>
      </c>
      <c r="G82" s="4">
        <f t="shared" si="0"/>
        <v>410.43956043956047</v>
      </c>
      <c r="H82" s="4">
        <f t="shared" si="1"/>
        <v>5054.9450549450548</v>
      </c>
      <c r="I82" s="14">
        <f t="shared" si="2"/>
        <v>8.1195652173913044E-2</v>
      </c>
    </row>
    <row r="83" spans="1:9" x14ac:dyDescent="0.25">
      <c r="A83" s="6" t="s">
        <v>179</v>
      </c>
      <c r="B83" s="6">
        <v>78000</v>
      </c>
      <c r="C83" s="85" t="s">
        <v>113</v>
      </c>
      <c r="D83" s="6">
        <v>1461</v>
      </c>
      <c r="E83" s="6">
        <v>328</v>
      </c>
      <c r="F83" s="6">
        <v>3550</v>
      </c>
      <c r="G83" s="4">
        <f t="shared" si="0"/>
        <v>224.50376454483231</v>
      </c>
      <c r="H83" s="4">
        <f t="shared" si="1"/>
        <v>2429.84257357974</v>
      </c>
      <c r="I83" s="14">
        <f t="shared" si="2"/>
        <v>9.2394366197183095E-2</v>
      </c>
    </row>
    <row r="84" spans="1:9" x14ac:dyDescent="0.25">
      <c r="A84" s="6" t="s">
        <v>180</v>
      </c>
      <c r="B84" s="6">
        <v>92800</v>
      </c>
      <c r="C84" s="85" t="s">
        <v>145</v>
      </c>
      <c r="D84" s="6">
        <v>740</v>
      </c>
      <c r="E84" s="6">
        <v>223</v>
      </c>
      <c r="F84" s="6">
        <v>2900</v>
      </c>
      <c r="G84" s="4">
        <f t="shared" si="0"/>
        <v>301.35135135135135</v>
      </c>
      <c r="H84" s="4">
        <f t="shared" si="1"/>
        <v>3918.9189189189187</v>
      </c>
      <c r="I84" s="14">
        <f t="shared" si="2"/>
        <v>7.6896551724137938E-2</v>
      </c>
    </row>
    <row r="85" spans="1:9" x14ac:dyDescent="0.25">
      <c r="A85" s="6" t="s">
        <v>181</v>
      </c>
      <c r="B85" s="6">
        <v>21000</v>
      </c>
      <c r="C85" s="85" t="s">
        <v>145</v>
      </c>
      <c r="D85" s="6">
        <v>1111</v>
      </c>
      <c r="E85" s="6">
        <v>107</v>
      </c>
      <c r="F85" s="6">
        <v>1000</v>
      </c>
      <c r="G85" s="4">
        <f t="shared" si="0"/>
        <v>96.309630963096311</v>
      </c>
      <c r="H85" s="4">
        <f t="shared" si="1"/>
        <v>900.09000900090007</v>
      </c>
      <c r="I85" s="14">
        <f t="shared" si="2"/>
        <v>0.107</v>
      </c>
    </row>
    <row r="86" spans="1:9" x14ac:dyDescent="0.25">
      <c r="A86" s="6" t="s">
        <v>175</v>
      </c>
      <c r="B86" s="6">
        <v>89100</v>
      </c>
      <c r="C86" s="85" t="s">
        <v>113</v>
      </c>
      <c r="D86" s="6">
        <v>770</v>
      </c>
      <c r="E86" s="6">
        <v>76.5</v>
      </c>
      <c r="F86" s="6">
        <v>880</v>
      </c>
      <c r="G86" s="4">
        <f t="shared" si="0"/>
        <v>99.350649350649363</v>
      </c>
      <c r="H86" s="4">
        <f t="shared" si="1"/>
        <v>1142.8571428571429</v>
      </c>
      <c r="I86" s="14">
        <f t="shared" si="2"/>
        <v>8.6931818181818193E-2</v>
      </c>
    </row>
    <row r="87" spans="1:9" x14ac:dyDescent="0.25">
      <c r="A87" s="6" t="s">
        <v>182</v>
      </c>
      <c r="B87" s="6">
        <v>58640</v>
      </c>
      <c r="C87" s="85" t="s">
        <v>113</v>
      </c>
      <c r="D87" s="6">
        <v>1192</v>
      </c>
      <c r="E87" s="6">
        <v>127.5</v>
      </c>
      <c r="F87" s="6">
        <v>1475</v>
      </c>
      <c r="G87" s="4">
        <f t="shared" si="0"/>
        <v>106.96308724832215</v>
      </c>
      <c r="H87" s="4">
        <f t="shared" si="1"/>
        <v>1237.4161073825503</v>
      </c>
      <c r="I87" s="14">
        <f t="shared" si="2"/>
        <v>8.6440677966101706E-2</v>
      </c>
    </row>
    <row r="88" spans="1:9" x14ac:dyDescent="0.25">
      <c r="A88" s="6" t="s">
        <v>133</v>
      </c>
      <c r="B88" s="6">
        <v>75009</v>
      </c>
      <c r="C88" s="85" t="s">
        <v>113</v>
      </c>
      <c r="D88" s="6">
        <v>655</v>
      </c>
      <c r="E88" s="6">
        <v>188.7</v>
      </c>
      <c r="F88" s="6">
        <v>2500</v>
      </c>
      <c r="G88" s="4">
        <f t="shared" ref="G88:G131" si="3">E88/D88*1000</f>
        <v>288.09160305343511</v>
      </c>
      <c r="H88" s="4">
        <f t="shared" ref="H88:H130" si="4">F88/D88*1000</f>
        <v>3816.7938931297713</v>
      </c>
      <c r="I88" s="14">
        <f t="shared" ref="I88:I130" si="5">G88/H88</f>
        <v>7.5479999999999992E-2</v>
      </c>
    </row>
    <row r="89" spans="1:9" x14ac:dyDescent="0.25">
      <c r="A89" s="6" t="s">
        <v>183</v>
      </c>
      <c r="B89" s="6">
        <v>92400</v>
      </c>
      <c r="C89" s="85" t="s">
        <v>113</v>
      </c>
      <c r="D89" s="6">
        <v>520</v>
      </c>
      <c r="E89" s="6">
        <v>154.80000000000001</v>
      </c>
      <c r="F89" s="6">
        <v>1280</v>
      </c>
      <c r="G89" s="4">
        <f t="shared" si="3"/>
        <v>297.69230769230768</v>
      </c>
      <c r="H89" s="4">
        <f t="shared" si="4"/>
        <v>2461.5384615384619</v>
      </c>
      <c r="I89" s="14">
        <f t="shared" si="5"/>
        <v>0.12093749999999998</v>
      </c>
    </row>
    <row r="90" spans="1:9" x14ac:dyDescent="0.25">
      <c r="A90" s="6" t="s">
        <v>133</v>
      </c>
      <c r="B90" s="6">
        <v>75009</v>
      </c>
      <c r="C90" s="85" t="s">
        <v>145</v>
      </c>
      <c r="D90" s="6">
        <v>87</v>
      </c>
      <c r="E90" s="6">
        <v>46.8</v>
      </c>
      <c r="F90" s="6">
        <v>600</v>
      </c>
      <c r="G90" s="4">
        <f t="shared" si="3"/>
        <v>537.93103448275861</v>
      </c>
      <c r="H90" s="4">
        <f t="shared" si="4"/>
        <v>6896.5517241379303</v>
      </c>
      <c r="I90" s="14">
        <f t="shared" si="5"/>
        <v>7.8E-2</v>
      </c>
    </row>
    <row r="91" spans="1:9" x14ac:dyDescent="0.25">
      <c r="A91" s="6" t="s">
        <v>184</v>
      </c>
      <c r="B91" s="6">
        <v>94410</v>
      </c>
      <c r="C91" s="85" t="s">
        <v>113</v>
      </c>
      <c r="D91" s="6">
        <v>56</v>
      </c>
      <c r="E91" s="6">
        <v>13.8</v>
      </c>
      <c r="F91" s="6">
        <v>155</v>
      </c>
      <c r="G91" s="4">
        <f t="shared" si="3"/>
        <v>246.42857142857144</v>
      </c>
      <c r="H91" s="4">
        <f t="shared" si="4"/>
        <v>2767.8571428571427</v>
      </c>
      <c r="I91" s="14">
        <f t="shared" si="5"/>
        <v>8.9032258064516145E-2</v>
      </c>
    </row>
    <row r="92" spans="1:9" x14ac:dyDescent="0.25">
      <c r="A92" s="6" t="s">
        <v>185</v>
      </c>
      <c r="B92" s="6">
        <v>93200</v>
      </c>
      <c r="C92" s="85" t="s">
        <v>113</v>
      </c>
      <c r="D92" s="6">
        <v>1695</v>
      </c>
      <c r="E92" s="6">
        <v>234.3</v>
      </c>
      <c r="F92" s="6">
        <v>2620</v>
      </c>
      <c r="G92" s="4">
        <f t="shared" si="3"/>
        <v>138.23008849557522</v>
      </c>
      <c r="H92" s="4">
        <f t="shared" si="4"/>
        <v>1545.7227138643068</v>
      </c>
      <c r="I92" s="14">
        <f t="shared" si="5"/>
        <v>8.9427480916030533E-2</v>
      </c>
    </row>
    <row r="93" spans="1:9" x14ac:dyDescent="0.25">
      <c r="A93" s="6" t="s">
        <v>186</v>
      </c>
      <c r="B93" s="6">
        <v>78150</v>
      </c>
      <c r="C93" s="85" t="s">
        <v>113</v>
      </c>
      <c r="D93" s="6">
        <v>666</v>
      </c>
      <c r="E93" s="6">
        <v>191</v>
      </c>
      <c r="F93" s="6">
        <v>2425</v>
      </c>
      <c r="G93" s="4">
        <f t="shared" si="3"/>
        <v>286.78678678678676</v>
      </c>
      <c r="H93" s="4">
        <f t="shared" si="4"/>
        <v>3641.1411411411414</v>
      </c>
      <c r="I93" s="14">
        <f t="shared" si="5"/>
        <v>7.8762886597938134E-2</v>
      </c>
    </row>
    <row r="94" spans="1:9" x14ac:dyDescent="0.25">
      <c r="A94" s="6" t="s">
        <v>157</v>
      </c>
      <c r="B94" s="6">
        <v>78190</v>
      </c>
      <c r="C94" s="85" t="s">
        <v>113</v>
      </c>
      <c r="D94" s="6">
        <v>179</v>
      </c>
      <c r="E94" s="6">
        <v>38.200000000000003</v>
      </c>
      <c r="F94" s="6">
        <v>360</v>
      </c>
      <c r="G94" s="4">
        <f t="shared" si="3"/>
        <v>213.40782122905031</v>
      </c>
      <c r="H94" s="4">
        <f t="shared" si="4"/>
        <v>2011.1731843575419</v>
      </c>
      <c r="I94" s="14">
        <f t="shared" si="5"/>
        <v>0.10611111111111113</v>
      </c>
    </row>
    <row r="95" spans="1:9" x14ac:dyDescent="0.25">
      <c r="A95" s="6" t="s">
        <v>187</v>
      </c>
      <c r="B95" s="6">
        <v>45300</v>
      </c>
      <c r="C95" s="85" t="s">
        <v>113</v>
      </c>
      <c r="D95" s="6">
        <v>417</v>
      </c>
      <c r="E95" s="6">
        <v>41</v>
      </c>
      <c r="F95" s="6">
        <v>480</v>
      </c>
      <c r="G95" s="4">
        <f t="shared" si="3"/>
        <v>98.321342925659465</v>
      </c>
      <c r="H95" s="4">
        <f t="shared" si="4"/>
        <v>1151.0791366906474</v>
      </c>
      <c r="I95" s="14">
        <f t="shared" si="5"/>
        <v>8.5416666666666669E-2</v>
      </c>
    </row>
    <row r="96" spans="1:9" x14ac:dyDescent="0.25">
      <c r="A96" s="6" t="s">
        <v>184</v>
      </c>
      <c r="B96" s="6">
        <v>94410</v>
      </c>
      <c r="C96" s="85" t="s">
        <v>113</v>
      </c>
      <c r="D96" s="6">
        <v>110</v>
      </c>
      <c r="E96" s="6">
        <v>24</v>
      </c>
      <c r="F96" s="6">
        <v>278</v>
      </c>
      <c r="G96" s="4">
        <f t="shared" si="3"/>
        <v>218.18181818181816</v>
      </c>
      <c r="H96" s="4">
        <f t="shared" si="4"/>
        <v>2527.2727272727275</v>
      </c>
      <c r="I96" s="14">
        <f t="shared" si="5"/>
        <v>8.6330935251798552E-2</v>
      </c>
    </row>
    <row r="97" spans="1:9" x14ac:dyDescent="0.25">
      <c r="A97" s="6" t="s">
        <v>188</v>
      </c>
      <c r="B97" s="6">
        <v>91300</v>
      </c>
      <c r="C97" s="85" t="s">
        <v>113</v>
      </c>
      <c r="D97" s="6">
        <v>1030</v>
      </c>
      <c r="E97" s="6">
        <v>63</v>
      </c>
      <c r="F97" s="6">
        <v>680</v>
      </c>
      <c r="G97" s="4">
        <f t="shared" si="3"/>
        <v>61.165048543689323</v>
      </c>
      <c r="H97" s="4">
        <f t="shared" si="4"/>
        <v>660.19417475728164</v>
      </c>
      <c r="I97" s="14">
        <f t="shared" si="5"/>
        <v>9.2647058823529402E-2</v>
      </c>
    </row>
    <row r="98" spans="1:9" x14ac:dyDescent="0.25">
      <c r="A98" s="6" t="s">
        <v>140</v>
      </c>
      <c r="B98" s="6">
        <v>78000</v>
      </c>
      <c r="C98" s="85" t="s">
        <v>113</v>
      </c>
      <c r="D98" s="6">
        <v>659</v>
      </c>
      <c r="E98" s="6">
        <v>178</v>
      </c>
      <c r="F98" s="6">
        <v>2200</v>
      </c>
      <c r="G98" s="4">
        <f t="shared" si="3"/>
        <v>270.10622154779969</v>
      </c>
      <c r="H98" s="4">
        <f t="shared" si="4"/>
        <v>3338.3915022761757</v>
      </c>
      <c r="I98" s="14">
        <f t="shared" si="5"/>
        <v>8.0909090909090917E-2</v>
      </c>
    </row>
    <row r="99" spans="1:9" x14ac:dyDescent="0.25">
      <c r="A99" s="6" t="s">
        <v>169</v>
      </c>
      <c r="B99" s="6">
        <v>17000</v>
      </c>
      <c r="C99" s="85" t="s">
        <v>113</v>
      </c>
      <c r="D99" s="6">
        <v>39</v>
      </c>
      <c r="E99" s="6">
        <v>5.3</v>
      </c>
      <c r="F99" s="6">
        <v>58</v>
      </c>
      <c r="G99" s="4">
        <f t="shared" si="3"/>
        <v>135.89743589743588</v>
      </c>
      <c r="H99" s="4">
        <f t="shared" si="4"/>
        <v>1487.1794871794873</v>
      </c>
      <c r="I99" s="14">
        <f t="shared" si="5"/>
        <v>9.1379310344827575E-2</v>
      </c>
    </row>
    <row r="100" spans="1:9" x14ac:dyDescent="0.25">
      <c r="A100" s="6" t="s">
        <v>140</v>
      </c>
      <c r="B100" s="6">
        <v>78000</v>
      </c>
      <c r="C100" s="85" t="s">
        <v>194</v>
      </c>
      <c r="D100" s="6">
        <v>15</v>
      </c>
      <c r="E100" s="6">
        <v>1.5</v>
      </c>
      <c r="F100" s="6">
        <v>18</v>
      </c>
      <c r="G100" s="4">
        <f t="shared" si="3"/>
        <v>100</v>
      </c>
      <c r="H100" s="4">
        <f t="shared" si="4"/>
        <v>1200</v>
      </c>
      <c r="I100" s="14">
        <f t="shared" si="5"/>
        <v>8.3333333333333329E-2</v>
      </c>
    </row>
    <row r="101" spans="1:9" x14ac:dyDescent="0.25">
      <c r="A101" s="6" t="s">
        <v>133</v>
      </c>
      <c r="B101" s="6">
        <v>75019</v>
      </c>
      <c r="C101" s="85" t="s">
        <v>113</v>
      </c>
      <c r="D101" s="6">
        <v>84</v>
      </c>
      <c r="E101" s="6">
        <v>38.200000000000003</v>
      </c>
      <c r="F101" s="6">
        <v>460</v>
      </c>
      <c r="G101" s="4">
        <f t="shared" si="3"/>
        <v>454.76190476190482</v>
      </c>
      <c r="H101" s="4">
        <f t="shared" si="4"/>
        <v>5476.1904761904761</v>
      </c>
      <c r="I101" s="14">
        <f t="shared" si="5"/>
        <v>8.304347826086958E-2</v>
      </c>
    </row>
    <row r="102" spans="1:9" x14ac:dyDescent="0.25">
      <c r="A102" s="6" t="s">
        <v>189</v>
      </c>
      <c r="B102" s="6">
        <v>52000</v>
      </c>
      <c r="C102" s="85" t="s">
        <v>113</v>
      </c>
      <c r="D102" s="6">
        <v>1200</v>
      </c>
      <c r="E102" s="6">
        <v>90</v>
      </c>
      <c r="F102" s="6">
        <v>980</v>
      </c>
      <c r="G102" s="4">
        <f t="shared" si="3"/>
        <v>75</v>
      </c>
      <c r="H102" s="4">
        <f t="shared" si="4"/>
        <v>816.66666666666663</v>
      </c>
      <c r="I102" s="14">
        <f t="shared" si="5"/>
        <v>9.1836734693877556E-2</v>
      </c>
    </row>
    <row r="103" spans="1:9" x14ac:dyDescent="0.25">
      <c r="A103" s="6" t="s">
        <v>183</v>
      </c>
      <c r="B103" s="6">
        <v>92000</v>
      </c>
      <c r="C103" s="85" t="s">
        <v>113</v>
      </c>
      <c r="D103" s="6">
        <v>265</v>
      </c>
      <c r="E103" s="6">
        <v>94.4</v>
      </c>
      <c r="F103" s="6">
        <v>1180</v>
      </c>
      <c r="G103" s="4">
        <f t="shared" si="3"/>
        <v>356.22641509433964</v>
      </c>
      <c r="H103" s="4">
        <f t="shared" si="4"/>
        <v>4452.8301886792451</v>
      </c>
      <c r="I103" s="14">
        <f t="shared" si="5"/>
        <v>0.08</v>
      </c>
    </row>
    <row r="104" spans="1:9" x14ac:dyDescent="0.25">
      <c r="A104" s="6" t="s">
        <v>184</v>
      </c>
      <c r="B104" s="6">
        <v>94000</v>
      </c>
      <c r="C104" s="85" t="s">
        <v>113</v>
      </c>
      <c r="D104" s="6">
        <v>53</v>
      </c>
      <c r="E104" s="6">
        <v>14.2</v>
      </c>
      <c r="F104" s="6">
        <v>170</v>
      </c>
      <c r="G104" s="4">
        <f t="shared" si="3"/>
        <v>267.92452830188677</v>
      </c>
      <c r="H104" s="4">
        <f t="shared" si="4"/>
        <v>3207.5471698113211</v>
      </c>
      <c r="I104" s="14">
        <f t="shared" si="5"/>
        <v>8.3529411764705866E-2</v>
      </c>
    </row>
    <row r="105" spans="1:9" x14ac:dyDescent="0.25">
      <c r="A105" s="6" t="s">
        <v>133</v>
      </c>
      <c r="B105" s="6">
        <v>75004</v>
      </c>
      <c r="C105" s="85" t="s">
        <v>113</v>
      </c>
      <c r="D105" s="6">
        <v>259</v>
      </c>
      <c r="E105" s="6">
        <v>128.19999999999999</v>
      </c>
      <c r="F105" s="6">
        <v>1720</v>
      </c>
      <c r="G105" s="4">
        <f t="shared" si="3"/>
        <v>494.98069498069492</v>
      </c>
      <c r="H105" s="4">
        <f t="shared" si="4"/>
        <v>6640.9266409266411</v>
      </c>
      <c r="I105" s="14">
        <f t="shared" si="5"/>
        <v>7.4534883720930228E-2</v>
      </c>
    </row>
    <row r="106" spans="1:9" x14ac:dyDescent="0.25">
      <c r="A106" s="6" t="s">
        <v>190</v>
      </c>
      <c r="B106" s="6">
        <v>87000</v>
      </c>
      <c r="C106" s="85" t="s">
        <v>113</v>
      </c>
      <c r="D106" s="6">
        <v>624</v>
      </c>
      <c r="E106" s="6">
        <v>70</v>
      </c>
      <c r="F106" s="6">
        <v>880</v>
      </c>
      <c r="G106" s="4">
        <f t="shared" si="3"/>
        <v>112.17948717948718</v>
      </c>
      <c r="H106" s="4">
        <f t="shared" si="4"/>
        <v>1410.2564102564104</v>
      </c>
      <c r="I106" s="14">
        <f t="shared" si="5"/>
        <v>7.9545454545454544E-2</v>
      </c>
    </row>
    <row r="107" spans="1:9" x14ac:dyDescent="0.25">
      <c r="A107" s="6" t="s">
        <v>190</v>
      </c>
      <c r="B107" s="6">
        <v>87000</v>
      </c>
      <c r="C107" s="85" t="s">
        <v>113</v>
      </c>
      <c r="D107" s="6">
        <v>720</v>
      </c>
      <c r="E107" s="6">
        <v>73.3</v>
      </c>
      <c r="F107" s="6">
        <v>896</v>
      </c>
      <c r="G107" s="4">
        <f t="shared" si="3"/>
        <v>101.80555555555556</v>
      </c>
      <c r="H107" s="4">
        <f t="shared" si="4"/>
        <v>1244.4444444444446</v>
      </c>
      <c r="I107" s="14">
        <f t="shared" si="5"/>
        <v>8.1808035714285701E-2</v>
      </c>
    </row>
    <row r="108" spans="1:9" x14ac:dyDescent="0.25">
      <c r="A108" s="6" t="s">
        <v>191</v>
      </c>
      <c r="B108" s="6">
        <v>66000</v>
      </c>
      <c r="C108" s="85" t="s">
        <v>113</v>
      </c>
      <c r="D108" s="6">
        <v>1490</v>
      </c>
      <c r="E108" s="6">
        <v>142.4</v>
      </c>
      <c r="F108" s="6">
        <v>1690</v>
      </c>
      <c r="G108" s="4">
        <f t="shared" si="3"/>
        <v>95.570469798657726</v>
      </c>
      <c r="H108" s="4">
        <f t="shared" si="4"/>
        <v>1134.2281879194632</v>
      </c>
      <c r="I108" s="14">
        <f t="shared" si="5"/>
        <v>8.4260355029585801E-2</v>
      </c>
    </row>
    <row r="109" spans="1:9" x14ac:dyDescent="0.25">
      <c r="A109" s="6" t="s">
        <v>140</v>
      </c>
      <c r="B109" s="6">
        <v>78000</v>
      </c>
      <c r="C109" s="85" t="s">
        <v>113</v>
      </c>
      <c r="D109" s="6">
        <v>134</v>
      </c>
      <c r="E109" s="6">
        <v>40.200000000000003</v>
      </c>
      <c r="F109" s="6">
        <v>470</v>
      </c>
      <c r="G109" s="4">
        <f t="shared" si="3"/>
        <v>300.00000000000006</v>
      </c>
      <c r="H109" s="4">
        <f t="shared" si="4"/>
        <v>3507.4626865671644</v>
      </c>
      <c r="I109" s="14">
        <f t="shared" si="5"/>
        <v>8.5531914893617028E-2</v>
      </c>
    </row>
    <row r="110" spans="1:9" x14ac:dyDescent="0.25">
      <c r="A110" s="6" t="s">
        <v>140</v>
      </c>
      <c r="B110" s="6">
        <v>78000</v>
      </c>
      <c r="C110" s="85" t="s">
        <v>113</v>
      </c>
      <c r="D110" s="6">
        <v>242</v>
      </c>
      <c r="E110" s="6">
        <v>101.7</v>
      </c>
      <c r="F110" s="6">
        <v>930</v>
      </c>
      <c r="G110" s="4">
        <f t="shared" si="3"/>
        <v>420.24793388429754</v>
      </c>
      <c r="H110" s="4">
        <f t="shared" si="4"/>
        <v>3842.9752066115702</v>
      </c>
      <c r="I110" s="14">
        <f t="shared" si="5"/>
        <v>0.10935483870967742</v>
      </c>
    </row>
    <row r="111" spans="1:9" x14ac:dyDescent="0.25">
      <c r="A111" s="6" t="s">
        <v>192</v>
      </c>
      <c r="B111" s="6">
        <v>14000</v>
      </c>
      <c r="C111" s="85" t="s">
        <v>113</v>
      </c>
      <c r="D111" s="6">
        <v>590</v>
      </c>
      <c r="E111" s="6">
        <v>51.3</v>
      </c>
      <c r="F111" s="6">
        <v>510</v>
      </c>
      <c r="G111" s="4">
        <f t="shared" si="3"/>
        <v>86.949152542372872</v>
      </c>
      <c r="H111" s="4">
        <f t="shared" si="4"/>
        <v>864.40677966101703</v>
      </c>
      <c r="I111" s="14">
        <f t="shared" si="5"/>
        <v>0.10058823529411763</v>
      </c>
    </row>
    <row r="112" spans="1:9" x14ac:dyDescent="0.25">
      <c r="A112" s="6" t="s">
        <v>170</v>
      </c>
      <c r="B112" s="6">
        <v>76000</v>
      </c>
      <c r="C112" s="85" t="s">
        <v>113</v>
      </c>
      <c r="D112" s="6">
        <v>394</v>
      </c>
      <c r="E112" s="6">
        <v>73</v>
      </c>
      <c r="F112" s="6">
        <v>910</v>
      </c>
      <c r="G112" s="4">
        <f t="shared" si="3"/>
        <v>185.27918781725887</v>
      </c>
      <c r="H112" s="4">
        <f t="shared" si="4"/>
        <v>2309.6446700507618</v>
      </c>
      <c r="I112" s="14">
        <f t="shared" si="5"/>
        <v>8.0219780219780198E-2</v>
      </c>
    </row>
    <row r="113" spans="1:9" x14ac:dyDescent="0.25">
      <c r="A113" s="6" t="s">
        <v>195</v>
      </c>
      <c r="B113" s="6">
        <v>93000</v>
      </c>
      <c r="C113" s="85" t="s">
        <v>113</v>
      </c>
      <c r="D113" s="6">
        <v>470</v>
      </c>
      <c r="E113" s="6">
        <v>180</v>
      </c>
      <c r="F113" s="6">
        <v>2150</v>
      </c>
      <c r="G113" s="4">
        <f t="shared" si="3"/>
        <v>382.97872340425533</v>
      </c>
      <c r="H113" s="4">
        <f t="shared" si="4"/>
        <v>4574.4680851063831</v>
      </c>
      <c r="I113" s="14">
        <f t="shared" si="5"/>
        <v>8.3720930232558138E-2</v>
      </c>
    </row>
    <row r="114" spans="1:9" x14ac:dyDescent="0.25">
      <c r="A114" s="6" t="s">
        <v>196</v>
      </c>
      <c r="B114" s="6">
        <v>10000</v>
      </c>
      <c r="C114" s="85" t="s">
        <v>113</v>
      </c>
      <c r="D114" s="6">
        <v>289</v>
      </c>
      <c r="E114" s="6">
        <v>28</v>
      </c>
      <c r="F114" s="6">
        <v>410</v>
      </c>
      <c r="G114" s="4">
        <f t="shared" si="3"/>
        <v>96.885813148788927</v>
      </c>
      <c r="H114" s="4">
        <f t="shared" si="4"/>
        <v>1418.6851211072665</v>
      </c>
      <c r="I114" s="14">
        <f t="shared" si="5"/>
        <v>6.829268292682926E-2</v>
      </c>
    </row>
    <row r="115" spans="1:9" x14ac:dyDescent="0.25">
      <c r="A115" s="6" t="s">
        <v>197</v>
      </c>
      <c r="B115" s="6">
        <v>78000</v>
      </c>
      <c r="C115" s="85" t="s">
        <v>113</v>
      </c>
      <c r="D115" s="6">
        <v>50</v>
      </c>
      <c r="E115" s="6">
        <v>12</v>
      </c>
      <c r="F115" s="6">
        <v>157</v>
      </c>
      <c r="G115" s="4">
        <f t="shared" si="3"/>
        <v>240</v>
      </c>
      <c r="H115" s="4">
        <f t="shared" si="4"/>
        <v>3140</v>
      </c>
      <c r="I115" s="14">
        <f t="shared" si="5"/>
        <v>7.6433121019108277E-2</v>
      </c>
    </row>
    <row r="116" spans="1:9" x14ac:dyDescent="0.25">
      <c r="A116" s="6" t="s">
        <v>166</v>
      </c>
      <c r="B116" s="6">
        <v>72000</v>
      </c>
      <c r="C116" s="85" t="s">
        <v>113</v>
      </c>
      <c r="D116" s="6">
        <v>116</v>
      </c>
      <c r="E116" s="6">
        <v>12</v>
      </c>
      <c r="F116" s="6">
        <v>140</v>
      </c>
      <c r="G116" s="4">
        <f t="shared" si="3"/>
        <v>103.44827586206897</v>
      </c>
      <c r="H116" s="4">
        <f t="shared" si="4"/>
        <v>1206.8965517241379</v>
      </c>
      <c r="I116" s="14">
        <f t="shared" si="5"/>
        <v>8.5714285714285715E-2</v>
      </c>
    </row>
    <row r="117" spans="1:9" x14ac:dyDescent="0.25">
      <c r="A117" s="6" t="s">
        <v>178</v>
      </c>
      <c r="B117" s="6">
        <v>78500</v>
      </c>
      <c r="C117" s="85" t="s">
        <v>113</v>
      </c>
      <c r="D117" s="6">
        <v>130</v>
      </c>
      <c r="E117" s="6">
        <v>27</v>
      </c>
      <c r="F117" s="6">
        <v>307</v>
      </c>
      <c r="G117" s="4">
        <f t="shared" si="3"/>
        <v>207.69230769230771</v>
      </c>
      <c r="H117" s="4">
        <f t="shared" si="4"/>
        <v>2361.5384615384614</v>
      </c>
      <c r="I117" s="14">
        <f t="shared" si="5"/>
        <v>8.7947882736156363E-2</v>
      </c>
    </row>
    <row r="118" spans="1:9" x14ac:dyDescent="0.25">
      <c r="A118" s="6" t="s">
        <v>198</v>
      </c>
      <c r="B118" s="6">
        <v>86200</v>
      </c>
      <c r="C118" s="85" t="s">
        <v>113</v>
      </c>
      <c r="D118" s="6">
        <v>1126</v>
      </c>
      <c r="E118" s="6">
        <v>113</v>
      </c>
      <c r="F118" s="6">
        <v>1330</v>
      </c>
      <c r="G118" s="4">
        <f t="shared" si="3"/>
        <v>100.35523978685613</v>
      </c>
      <c r="H118" s="4">
        <f t="shared" si="4"/>
        <v>1181.1722912966252</v>
      </c>
      <c r="I118" s="14">
        <f t="shared" si="5"/>
        <v>8.49624060150376E-2</v>
      </c>
    </row>
    <row r="119" spans="1:9" x14ac:dyDescent="0.25">
      <c r="A119" s="6" t="s">
        <v>199</v>
      </c>
      <c r="B119" s="6">
        <v>66000</v>
      </c>
      <c r="C119" s="85" t="s">
        <v>113</v>
      </c>
      <c r="D119" s="6">
        <v>1200</v>
      </c>
      <c r="E119" s="6">
        <v>90</v>
      </c>
      <c r="F119" s="6">
        <v>950</v>
      </c>
      <c r="G119" s="4">
        <f t="shared" si="3"/>
        <v>75</v>
      </c>
      <c r="H119" s="4">
        <f t="shared" si="4"/>
        <v>791.66666666666663</v>
      </c>
      <c r="I119" s="14">
        <f t="shared" si="5"/>
        <v>9.4736842105263161E-2</v>
      </c>
    </row>
    <row r="120" spans="1:9" x14ac:dyDescent="0.25">
      <c r="A120" s="6" t="s">
        <v>200</v>
      </c>
      <c r="B120" s="6">
        <v>59000</v>
      </c>
      <c r="C120" s="85" t="s">
        <v>113</v>
      </c>
      <c r="D120" s="6">
        <v>612</v>
      </c>
      <c r="E120" s="6">
        <v>71</v>
      </c>
      <c r="F120" s="6">
        <v>700</v>
      </c>
      <c r="G120" s="4">
        <f t="shared" si="3"/>
        <v>116.01307189542484</v>
      </c>
      <c r="H120" s="4">
        <f t="shared" si="4"/>
        <v>1143.7908496732025</v>
      </c>
      <c r="I120" s="14">
        <f t="shared" si="5"/>
        <v>0.10142857142857145</v>
      </c>
    </row>
    <row r="121" spans="1:9" x14ac:dyDescent="0.25">
      <c r="A121" s="6" t="s">
        <v>201</v>
      </c>
      <c r="B121" s="6">
        <v>76000</v>
      </c>
      <c r="C121" s="85" t="s">
        <v>113</v>
      </c>
      <c r="D121" s="6">
        <v>648</v>
      </c>
      <c r="E121" s="6">
        <v>90</v>
      </c>
      <c r="F121" s="6">
        <v>1150</v>
      </c>
      <c r="G121" s="4">
        <f t="shared" si="3"/>
        <v>138.88888888888889</v>
      </c>
      <c r="H121" s="4">
        <f t="shared" si="4"/>
        <v>1774.6913580246915</v>
      </c>
      <c r="I121" s="14">
        <f t="shared" si="5"/>
        <v>7.8260869565217384E-2</v>
      </c>
    </row>
    <row r="122" spans="1:9" x14ac:dyDescent="0.25">
      <c r="A122" s="6" t="s">
        <v>202</v>
      </c>
      <c r="B122" s="6">
        <v>86000</v>
      </c>
      <c r="C122" s="85" t="s">
        <v>113</v>
      </c>
      <c r="D122" s="6">
        <v>1500</v>
      </c>
      <c r="E122" s="6">
        <v>171</v>
      </c>
      <c r="F122" s="6">
        <v>2230</v>
      </c>
      <c r="G122" s="4">
        <f t="shared" si="3"/>
        <v>114</v>
      </c>
      <c r="H122" s="4">
        <f t="shared" si="4"/>
        <v>1486.6666666666665</v>
      </c>
      <c r="I122" s="14">
        <f t="shared" si="5"/>
        <v>7.6681614349775787E-2</v>
      </c>
    </row>
    <row r="123" spans="1:9" x14ac:dyDescent="0.25">
      <c r="A123" s="6" t="s">
        <v>133</v>
      </c>
      <c r="B123" s="6">
        <v>75017</v>
      </c>
      <c r="C123" s="85" t="s">
        <v>113</v>
      </c>
      <c r="D123" s="6">
        <v>117</v>
      </c>
      <c r="E123" s="6">
        <v>73</v>
      </c>
      <c r="F123" s="6">
        <v>880</v>
      </c>
      <c r="G123" s="4">
        <f t="shared" si="3"/>
        <v>623.9316239316239</v>
      </c>
      <c r="H123" s="4">
        <f t="shared" si="4"/>
        <v>7521.3675213675215</v>
      </c>
      <c r="I123" s="14">
        <f t="shared" si="5"/>
        <v>8.2954545454545447E-2</v>
      </c>
    </row>
    <row r="124" spans="1:9" x14ac:dyDescent="0.25">
      <c r="A124" s="6" t="s">
        <v>203</v>
      </c>
      <c r="B124" s="6">
        <v>78000</v>
      </c>
      <c r="C124" s="85" t="s">
        <v>113</v>
      </c>
      <c r="D124" s="6">
        <v>198</v>
      </c>
      <c r="E124" s="6">
        <v>42.3</v>
      </c>
      <c r="F124" s="6">
        <v>500</v>
      </c>
      <c r="G124" s="4">
        <f t="shared" si="3"/>
        <v>213.63636363636363</v>
      </c>
      <c r="H124" s="4">
        <f t="shared" si="4"/>
        <v>2525.2525252525252</v>
      </c>
      <c r="I124" s="14">
        <f t="shared" si="5"/>
        <v>8.4599999999999995E-2</v>
      </c>
    </row>
    <row r="125" spans="1:9" x14ac:dyDescent="0.25">
      <c r="A125" s="6" t="s">
        <v>189</v>
      </c>
      <c r="B125" s="6">
        <v>52000</v>
      </c>
      <c r="C125" s="85" t="s">
        <v>113</v>
      </c>
      <c r="D125" s="6">
        <v>1815</v>
      </c>
      <c r="E125" s="6">
        <v>153</v>
      </c>
      <c r="F125" s="6">
        <v>1710</v>
      </c>
      <c r="G125" s="4">
        <f t="shared" si="3"/>
        <v>84.297520661157023</v>
      </c>
      <c r="H125" s="4">
        <f t="shared" si="4"/>
        <v>942.14876033057851</v>
      </c>
      <c r="I125" s="14">
        <f t="shared" si="5"/>
        <v>8.9473684210526316E-2</v>
      </c>
    </row>
    <row r="126" spans="1:9" x14ac:dyDescent="0.25">
      <c r="A126" s="6" t="s">
        <v>204</v>
      </c>
      <c r="B126" s="6">
        <v>78000</v>
      </c>
      <c r="C126" s="85" t="s">
        <v>113</v>
      </c>
      <c r="D126" s="6">
        <v>129</v>
      </c>
      <c r="E126" s="6">
        <v>52</v>
      </c>
      <c r="F126" s="6">
        <v>670</v>
      </c>
      <c r="G126" s="4">
        <f t="shared" si="3"/>
        <v>403.10077519379843</v>
      </c>
      <c r="H126" s="4">
        <f t="shared" si="4"/>
        <v>5193.7984496124036</v>
      </c>
      <c r="I126" s="14">
        <f t="shared" si="5"/>
        <v>7.7611940298507445E-2</v>
      </c>
    </row>
    <row r="127" spans="1:9" x14ac:dyDescent="0.25">
      <c r="A127" s="6" t="s">
        <v>174</v>
      </c>
      <c r="B127" s="6">
        <v>76000</v>
      </c>
      <c r="C127" s="85" t="s">
        <v>113</v>
      </c>
      <c r="D127" s="6">
        <v>553</v>
      </c>
      <c r="E127" s="6">
        <v>73</v>
      </c>
      <c r="F127" s="6">
        <v>847</v>
      </c>
      <c r="G127" s="4">
        <f t="shared" si="3"/>
        <v>132.00723327305604</v>
      </c>
      <c r="H127" s="4">
        <f t="shared" si="4"/>
        <v>1531.6455696202531</v>
      </c>
      <c r="I127" s="14">
        <f t="shared" si="5"/>
        <v>8.6186540731995276E-2</v>
      </c>
    </row>
    <row r="128" spans="1:9" x14ac:dyDescent="0.25">
      <c r="A128" s="6" t="s">
        <v>140</v>
      </c>
      <c r="B128" s="6">
        <v>78000</v>
      </c>
      <c r="C128" s="85" t="s">
        <v>113</v>
      </c>
      <c r="D128" s="6">
        <v>350</v>
      </c>
      <c r="E128" s="6">
        <v>73</v>
      </c>
      <c r="F128" s="6">
        <v>850</v>
      </c>
      <c r="G128" s="4">
        <f t="shared" si="3"/>
        <v>208.57142857142858</v>
      </c>
      <c r="H128" s="4">
        <f t="shared" si="4"/>
        <v>2428.5714285714284</v>
      </c>
      <c r="I128" s="14">
        <f t="shared" si="5"/>
        <v>8.5882352941176479E-2</v>
      </c>
    </row>
    <row r="129" spans="1:10" x14ac:dyDescent="0.25">
      <c r="A129" s="6" t="s">
        <v>174</v>
      </c>
      <c r="B129" s="6">
        <v>76000</v>
      </c>
      <c r="C129" s="85" t="s">
        <v>113</v>
      </c>
      <c r="D129" s="6">
        <v>445</v>
      </c>
      <c r="E129" s="6">
        <v>132</v>
      </c>
      <c r="F129" s="6">
        <v>650</v>
      </c>
      <c r="G129" s="4">
        <f t="shared" si="3"/>
        <v>296.62921348314609</v>
      </c>
      <c r="H129" s="4">
        <f t="shared" si="4"/>
        <v>1460.6741573033707</v>
      </c>
      <c r="I129" s="14">
        <f t="shared" si="5"/>
        <v>0.2030769230769231</v>
      </c>
    </row>
    <row r="130" spans="1:10" x14ac:dyDescent="0.25">
      <c r="A130" s="6" t="s">
        <v>205</v>
      </c>
      <c r="B130" s="6">
        <v>92000</v>
      </c>
      <c r="C130" s="85" t="s">
        <v>113</v>
      </c>
      <c r="D130" s="6">
        <v>330</v>
      </c>
      <c r="E130" s="6">
        <v>59.5</v>
      </c>
      <c r="F130" s="6">
        <v>744</v>
      </c>
      <c r="G130" s="4">
        <f t="shared" si="3"/>
        <v>180.30303030303031</v>
      </c>
      <c r="H130" s="4">
        <f t="shared" si="4"/>
        <v>2254.5454545454545</v>
      </c>
      <c r="I130" s="14">
        <f t="shared" si="5"/>
        <v>7.9973118279569891E-2</v>
      </c>
    </row>
    <row r="131" spans="1:10" x14ac:dyDescent="0.25">
      <c r="A131" s="33" t="s">
        <v>128</v>
      </c>
      <c r="B131" s="33"/>
      <c r="C131" s="79"/>
      <c r="D131" s="3">
        <f>SUM(D5:D130)</f>
        <v>63238</v>
      </c>
      <c r="E131" s="3">
        <f t="shared" ref="E131:F131" si="6">SUM(E5:E130)</f>
        <v>10479.710000000001</v>
      </c>
      <c r="F131" s="3">
        <f t="shared" si="6"/>
        <v>112834</v>
      </c>
      <c r="G131" s="4">
        <f t="shared" si="3"/>
        <v>165.71855529902908</v>
      </c>
      <c r="H131" s="3">
        <f>+F131/D131*1000</f>
        <v>1784.2752775230083</v>
      </c>
      <c r="I131" s="37">
        <f>E131/F131</f>
        <v>9.2877235585018703E-2</v>
      </c>
      <c r="J131" s="80">
        <f>AVERAGE(I5,I130)</f>
        <v>9.025441628264208E-2</v>
      </c>
    </row>
    <row r="132" spans="1:10" x14ac:dyDescent="0.25">
      <c r="A132" s="33" t="s">
        <v>129</v>
      </c>
      <c r="B132" s="33"/>
      <c r="C132" s="79"/>
      <c r="D132" s="3"/>
      <c r="E132" s="3"/>
      <c r="F132" s="3"/>
      <c r="G132" s="3"/>
      <c r="H132" s="3">
        <f>+STDEV(H5,H130)</f>
        <v>934.23805029495304</v>
      </c>
      <c r="I132" s="37">
        <f>+STDEV(I5,I130)</f>
        <v>1.4539951074744085E-2</v>
      </c>
    </row>
    <row r="133" spans="1:10" x14ac:dyDescent="0.25">
      <c r="A133" s="33" t="s">
        <v>172</v>
      </c>
      <c r="B133" s="33"/>
      <c r="C133" s="79"/>
      <c r="D133" s="86"/>
      <c r="E133" s="86"/>
      <c r="F133" s="86"/>
      <c r="G133" s="86"/>
      <c r="H133" s="86">
        <f t="shared" ref="H133:I133" si="7">H132/H131</f>
        <v>0.52359524455884077</v>
      </c>
      <c r="I133" s="86">
        <f t="shared" si="7"/>
        <v>0.1565502136574079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02"/>
  <sheetViews>
    <sheetView zoomScale="80" zoomScaleNormal="80" workbookViewId="0">
      <selection activeCell="J2" sqref="J2"/>
    </sheetView>
  </sheetViews>
  <sheetFormatPr baseColWidth="10" defaultColWidth="7.85546875" defaultRowHeight="15" x14ac:dyDescent="0.25"/>
  <cols>
    <col min="1" max="1" width="19.7109375" customWidth="1"/>
    <col min="3" max="3" width="6.85546875" customWidth="1"/>
    <col min="6" max="6" width="11.7109375" customWidth="1"/>
    <col min="10" max="10" width="16.28515625" customWidth="1"/>
    <col min="18" max="18" width="9.28515625" customWidth="1"/>
  </cols>
  <sheetData>
    <row r="1" spans="1:18" x14ac:dyDescent="0.25">
      <c r="A1" t="str">
        <f>REPT("-",300)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2" spans="1:18" x14ac:dyDescent="0.25">
      <c r="A2" s="1" t="s">
        <v>0</v>
      </c>
      <c r="F2" s="106">
        <v>40920</v>
      </c>
      <c r="J2" s="88"/>
    </row>
    <row r="3" spans="1:18" x14ac:dyDescent="0.25">
      <c r="A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4" spans="1:18" x14ac:dyDescent="0.25">
      <c r="A4" s="6" t="s">
        <v>94</v>
      </c>
      <c r="B4" s="9">
        <v>300</v>
      </c>
      <c r="D4" s="7" t="s">
        <v>9</v>
      </c>
      <c r="E4" s="8"/>
      <c r="F4" s="11">
        <v>15</v>
      </c>
      <c r="G4" s="10">
        <v>0.1</v>
      </c>
      <c r="J4" s="3" t="s">
        <v>40</v>
      </c>
      <c r="K4" s="3">
        <f t="shared" ref="K4:Q6" si="0">B49</f>
        <v>2012</v>
      </c>
      <c r="L4" s="3">
        <f t="shared" si="0"/>
        <v>2013</v>
      </c>
      <c r="M4" s="3">
        <f t="shared" si="0"/>
        <v>2014</v>
      </c>
      <c r="N4" s="3">
        <f t="shared" si="0"/>
        <v>2015</v>
      </c>
      <c r="O4" s="3">
        <f t="shared" si="0"/>
        <v>2016</v>
      </c>
      <c r="P4" s="3">
        <f t="shared" si="0"/>
        <v>2017</v>
      </c>
      <c r="Q4" s="3">
        <f t="shared" si="0"/>
        <v>2018</v>
      </c>
      <c r="R4" s="4"/>
    </row>
    <row r="5" spans="1:18" x14ac:dyDescent="0.25">
      <c r="A5" s="6" t="s">
        <v>107</v>
      </c>
      <c r="B5" s="21">
        <v>0.08</v>
      </c>
      <c r="D5" s="7" t="s">
        <v>10</v>
      </c>
      <c r="E5" s="8"/>
      <c r="F5" s="10">
        <v>0.02</v>
      </c>
      <c r="J5" s="4" t="s">
        <v>19</v>
      </c>
      <c r="K5" s="13">
        <f t="shared" si="0"/>
        <v>0</v>
      </c>
      <c r="L5" s="13">
        <f t="shared" si="0"/>
        <v>6652.8000000000011</v>
      </c>
      <c r="M5" s="13">
        <f t="shared" si="0"/>
        <v>16645.272000000001</v>
      </c>
      <c r="N5" s="13">
        <f t="shared" si="0"/>
        <v>25235.712299999996</v>
      </c>
      <c r="O5" s="13">
        <f t="shared" si="0"/>
        <v>27902.149508279996</v>
      </c>
      <c r="P5" s="13">
        <f t="shared" si="0"/>
        <v>29175.316484282994</v>
      </c>
      <c r="Q5" s="13">
        <f t="shared" si="0"/>
        <v>26174.450558276447</v>
      </c>
      <c r="R5" s="4"/>
    </row>
    <row r="6" spans="1:18" x14ac:dyDescent="0.25">
      <c r="A6" s="6" t="s">
        <v>8</v>
      </c>
      <c r="B6" s="10">
        <v>0.12</v>
      </c>
      <c r="D6" s="7" t="s">
        <v>34</v>
      </c>
      <c r="E6" s="8"/>
      <c r="F6" s="12">
        <v>4.4999999999999998E-2</v>
      </c>
      <c r="H6" t="s">
        <v>53</v>
      </c>
      <c r="J6" s="4" t="s">
        <v>20</v>
      </c>
      <c r="K6" s="13">
        <f t="shared" si="0"/>
        <v>8000</v>
      </c>
      <c r="L6" s="13">
        <f t="shared" si="0"/>
        <v>5715.2</v>
      </c>
      <c r="M6" s="13">
        <f t="shared" si="0"/>
        <v>2081.8080000000009</v>
      </c>
      <c r="N6" s="13">
        <f t="shared" si="0"/>
        <v>201.26665333333585</v>
      </c>
      <c r="O6" s="13">
        <f t="shared" si="0"/>
        <v>26.382695097780925</v>
      </c>
      <c r="P6" s="13">
        <f t="shared" si="0"/>
        <v>206.2684990142634</v>
      </c>
      <c r="Q6" s="13">
        <f t="shared" si="0"/>
        <v>1781.6954261343283</v>
      </c>
      <c r="R6" s="4"/>
    </row>
    <row r="7" spans="1:18" x14ac:dyDescent="0.25">
      <c r="A7" s="22" t="s">
        <v>52</v>
      </c>
      <c r="B7" s="21">
        <v>0.25</v>
      </c>
      <c r="D7" s="7" t="s">
        <v>35</v>
      </c>
      <c r="E7" s="8"/>
      <c r="F7" s="10">
        <v>0.15</v>
      </c>
      <c r="J7" s="4"/>
      <c r="K7" s="13"/>
      <c r="L7" s="13"/>
      <c r="M7" s="13"/>
      <c r="N7" s="13"/>
      <c r="O7" s="13"/>
      <c r="P7" s="13"/>
      <c r="Q7" s="13"/>
      <c r="R7" s="4"/>
    </row>
    <row r="8" spans="1:18" x14ac:dyDescent="0.25">
      <c r="A8" s="16" t="s">
        <v>46</v>
      </c>
      <c r="B8" s="21">
        <v>1.4999999999999999E-2</v>
      </c>
      <c r="D8" s="20" t="s">
        <v>48</v>
      </c>
      <c r="E8" s="8"/>
      <c r="F8" s="21">
        <v>1.4999999999999999E-2</v>
      </c>
      <c r="J8" s="4" t="s">
        <v>21</v>
      </c>
      <c r="K8" s="13">
        <f t="shared" ref="K8:Q11" si="1">B53</f>
        <v>8000</v>
      </c>
      <c r="L8" s="13">
        <f t="shared" si="1"/>
        <v>8000</v>
      </c>
      <c r="M8" s="13">
        <f t="shared" si="1"/>
        <v>8000</v>
      </c>
      <c r="N8" s="13">
        <f t="shared" si="1"/>
        <v>8000</v>
      </c>
      <c r="O8" s="13">
        <f t="shared" si="1"/>
        <v>8000</v>
      </c>
      <c r="P8" s="13">
        <f t="shared" si="1"/>
        <v>8000</v>
      </c>
      <c r="Q8" s="13">
        <f t="shared" si="1"/>
        <v>8000</v>
      </c>
      <c r="R8" s="4"/>
    </row>
    <row r="9" spans="1:18" x14ac:dyDescent="0.25">
      <c r="A9" s="16" t="s">
        <v>58</v>
      </c>
      <c r="B9" s="9">
        <v>8000</v>
      </c>
      <c r="D9" s="20" t="s">
        <v>61</v>
      </c>
      <c r="E9" s="8"/>
      <c r="F9" s="9">
        <v>0.65</v>
      </c>
      <c r="J9" s="4" t="s">
        <v>22</v>
      </c>
      <c r="K9" s="13">
        <f t="shared" si="1"/>
        <v>0</v>
      </c>
      <c r="L9" s="13">
        <f t="shared" si="1"/>
        <v>4368.0000000000009</v>
      </c>
      <c r="M9" s="13">
        <f t="shared" si="1"/>
        <v>10727.08</v>
      </c>
      <c r="N9" s="13">
        <f t="shared" si="1"/>
        <v>17436.978953333331</v>
      </c>
      <c r="O9" s="13">
        <f t="shared" si="1"/>
        <v>19928.532203377777</v>
      </c>
      <c r="P9" s="13">
        <f t="shared" si="1"/>
        <v>21381.58498329726</v>
      </c>
      <c r="Q9" s="13">
        <f t="shared" si="1"/>
        <v>19956.145984410778</v>
      </c>
      <c r="R9" s="11">
        <v>15</v>
      </c>
    </row>
    <row r="10" spans="1:18" x14ac:dyDescent="0.25">
      <c r="A10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I10" t="s">
        <v>53</v>
      </c>
      <c r="J10" s="4" t="s">
        <v>23</v>
      </c>
      <c r="K10" s="13">
        <f t="shared" si="1"/>
        <v>8000</v>
      </c>
      <c r="L10" s="13">
        <f t="shared" si="1"/>
        <v>12368</v>
      </c>
      <c r="M10" s="13">
        <f t="shared" si="1"/>
        <v>18727.080000000002</v>
      </c>
      <c r="N10" s="13">
        <f t="shared" si="1"/>
        <v>25436.978953333331</v>
      </c>
      <c r="O10" s="13">
        <f t="shared" si="1"/>
        <v>27928.532203377777</v>
      </c>
      <c r="P10" s="13">
        <f t="shared" si="1"/>
        <v>29381.58498329726</v>
      </c>
      <c r="Q10" s="13">
        <f t="shared" si="1"/>
        <v>27956.145984410778</v>
      </c>
      <c r="R10" s="4"/>
    </row>
    <row r="11" spans="1:18" x14ac:dyDescent="0.25">
      <c r="A11" s="3" t="s">
        <v>32</v>
      </c>
      <c r="B11" s="3">
        <v>2012</v>
      </c>
      <c r="C11" s="3">
        <f>B11+1</f>
        <v>2013</v>
      </c>
      <c r="D11" s="3">
        <f t="shared" ref="D11:H11" si="2">C11+1</f>
        <v>2014</v>
      </c>
      <c r="E11" s="3">
        <f t="shared" si="2"/>
        <v>2015</v>
      </c>
      <c r="F11" s="3">
        <f t="shared" si="2"/>
        <v>2016</v>
      </c>
      <c r="G11" s="3">
        <f t="shared" si="2"/>
        <v>2017</v>
      </c>
      <c r="H11" s="3">
        <f t="shared" si="2"/>
        <v>2018</v>
      </c>
      <c r="I11" s="2"/>
      <c r="J11" s="4" t="s">
        <v>24</v>
      </c>
      <c r="K11" s="13">
        <f t="shared" si="1"/>
        <v>0</v>
      </c>
      <c r="L11" s="13">
        <f t="shared" si="1"/>
        <v>0</v>
      </c>
      <c r="M11" s="13">
        <f t="shared" si="1"/>
        <v>0</v>
      </c>
      <c r="N11" s="13">
        <f t="shared" si="1"/>
        <v>0</v>
      </c>
      <c r="O11" s="13">
        <f t="shared" si="1"/>
        <v>0</v>
      </c>
      <c r="P11" s="13">
        <f t="shared" si="1"/>
        <v>0</v>
      </c>
      <c r="Q11" s="13">
        <f t="shared" si="1"/>
        <v>0</v>
      </c>
      <c r="R11" s="4"/>
    </row>
    <row r="12" spans="1:18" x14ac:dyDescent="0.25">
      <c r="A12" s="4" t="s">
        <v>239</v>
      </c>
      <c r="B12" s="4">
        <v>0</v>
      </c>
      <c r="C12" s="4">
        <f>B15</f>
        <v>0</v>
      </c>
      <c r="D12" s="4">
        <f>C15</f>
        <v>20</v>
      </c>
      <c r="E12" s="4">
        <f t="shared" ref="E12:H12" si="3">D15</f>
        <v>50</v>
      </c>
      <c r="F12" s="4">
        <f t="shared" si="3"/>
        <v>75</v>
      </c>
      <c r="G12" s="4">
        <f t="shared" si="3"/>
        <v>83</v>
      </c>
      <c r="H12" s="4">
        <f t="shared" si="3"/>
        <v>87</v>
      </c>
      <c r="I12" s="2"/>
      <c r="J12" s="2"/>
      <c r="K12" s="2"/>
    </row>
    <row r="13" spans="1:18" x14ac:dyDescent="0.25">
      <c r="A13" s="4" t="s">
        <v>3</v>
      </c>
      <c r="B13" s="4"/>
      <c r="C13" s="11">
        <v>20</v>
      </c>
      <c r="D13" s="15">
        <v>30</v>
      </c>
      <c r="E13" s="11">
        <v>33</v>
      </c>
      <c r="F13" s="11">
        <v>16</v>
      </c>
      <c r="G13" s="11">
        <v>12</v>
      </c>
      <c r="H13" s="11"/>
      <c r="I13" s="2"/>
      <c r="J13" s="3" t="s">
        <v>59</v>
      </c>
      <c r="K13" s="87">
        <f>B71</f>
        <v>8.4099011528801837E-2</v>
      </c>
    </row>
    <row r="14" spans="1:18" x14ac:dyDescent="0.25">
      <c r="A14" s="4" t="s">
        <v>4</v>
      </c>
      <c r="B14" s="4"/>
      <c r="C14" s="11">
        <v>0</v>
      </c>
      <c r="D14" s="11">
        <v>0</v>
      </c>
      <c r="E14" s="11">
        <v>-8</v>
      </c>
      <c r="F14" s="11">
        <v>-8</v>
      </c>
      <c r="G14" s="11">
        <v>-8</v>
      </c>
      <c r="H14" s="11">
        <v>-8</v>
      </c>
      <c r="I14" s="2"/>
      <c r="J14" s="3" t="s">
        <v>60</v>
      </c>
      <c r="K14" s="87">
        <f>B72</f>
        <v>0.10518207636484256</v>
      </c>
    </row>
    <row r="15" spans="1:18" x14ac:dyDescent="0.25">
      <c r="A15" s="4" t="s">
        <v>240</v>
      </c>
      <c r="B15" s="4">
        <f>B12+B13+B14</f>
        <v>0</v>
      </c>
      <c r="C15" s="4">
        <f>C12+C13+C14</f>
        <v>20</v>
      </c>
      <c r="D15" s="4">
        <f>D12+D13+D14</f>
        <v>50</v>
      </c>
      <c r="E15" s="4">
        <f t="shared" ref="E15:H15" si="4">E12+E13+E14</f>
        <v>75</v>
      </c>
      <c r="F15" s="4">
        <f t="shared" si="4"/>
        <v>83</v>
      </c>
      <c r="G15" s="4">
        <f t="shared" si="4"/>
        <v>87</v>
      </c>
      <c r="H15" s="4">
        <f t="shared" si="4"/>
        <v>79</v>
      </c>
      <c r="I15" s="2"/>
      <c r="J15" s="2"/>
      <c r="K15" s="2"/>
    </row>
    <row r="16" spans="1:18" x14ac:dyDescent="0.25">
      <c r="A16" s="4" t="s">
        <v>11</v>
      </c>
      <c r="B16" s="4"/>
      <c r="C16" s="4">
        <f>(C12+C15)/2</f>
        <v>10</v>
      </c>
      <c r="D16" s="4">
        <f>(D12+D15)/2</f>
        <v>35</v>
      </c>
      <c r="E16" s="4">
        <f t="shared" ref="E16:H16" si="5">(E12+E15)/2</f>
        <v>62.5</v>
      </c>
      <c r="F16" s="4">
        <f t="shared" si="5"/>
        <v>79</v>
      </c>
      <c r="G16" s="4">
        <f t="shared" si="5"/>
        <v>85</v>
      </c>
      <c r="H16" s="4">
        <f t="shared" si="5"/>
        <v>83</v>
      </c>
      <c r="I16" s="2"/>
      <c r="J16" s="2"/>
      <c r="K16" s="2"/>
    </row>
    <row r="17" spans="1:18" x14ac:dyDescent="0.25">
      <c r="A17" s="4" t="s">
        <v>70</v>
      </c>
      <c r="B17" s="4"/>
      <c r="C17" s="4">
        <f>B4</f>
        <v>300</v>
      </c>
      <c r="D17" s="4">
        <f>C17*(1+$B$8)</f>
        <v>304.49999999999994</v>
      </c>
      <c r="E17" s="4">
        <f t="shared" ref="E17:H17" si="6">D17*(1+$B$8)</f>
        <v>309.06749999999994</v>
      </c>
      <c r="F17" s="4">
        <f t="shared" si="6"/>
        <v>313.70351249999993</v>
      </c>
      <c r="G17" s="4">
        <f t="shared" si="6"/>
        <v>318.40906518749989</v>
      </c>
      <c r="H17" s="4">
        <f t="shared" si="6"/>
        <v>323.18520116531238</v>
      </c>
      <c r="I17" s="2"/>
      <c r="J17" s="2"/>
      <c r="K17" s="2"/>
    </row>
    <row r="18" spans="1:18" x14ac:dyDescent="0.25">
      <c r="A18" s="4" t="s">
        <v>69</v>
      </c>
      <c r="B18" s="4"/>
      <c r="C18" s="4">
        <f>C17*(1+$B$6)</f>
        <v>336.00000000000006</v>
      </c>
      <c r="D18" s="4">
        <f t="shared" ref="D18:H18" si="7">D17*(1+$B$6)</f>
        <v>341.03999999999996</v>
      </c>
      <c r="E18" s="4">
        <f t="shared" si="7"/>
        <v>346.15559999999994</v>
      </c>
      <c r="F18" s="4">
        <f t="shared" si="7"/>
        <v>351.34793399999995</v>
      </c>
      <c r="G18" s="4">
        <f t="shared" si="7"/>
        <v>356.6181530099999</v>
      </c>
      <c r="H18" s="4">
        <f t="shared" si="7"/>
        <v>361.9674253051499</v>
      </c>
      <c r="I18" s="2" t="s">
        <v>53</v>
      </c>
      <c r="J18" s="75" t="s">
        <v>49</v>
      </c>
      <c r="K18" s="2"/>
    </row>
    <row r="19" spans="1:18" x14ac:dyDescent="0.25">
      <c r="A19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19" s="2"/>
      <c r="C19" s="2"/>
      <c r="D19" s="2"/>
      <c r="E19" s="2"/>
      <c r="F19" s="2"/>
      <c r="G19" s="2"/>
      <c r="H19" s="2"/>
      <c r="I19" s="2" t="s">
        <v>53</v>
      </c>
      <c r="J19" s="76" t="s">
        <v>108</v>
      </c>
      <c r="K19" s="77"/>
      <c r="L19" s="78"/>
      <c r="M19" s="78"/>
      <c r="N19" s="78"/>
      <c r="O19" s="78"/>
      <c r="P19" s="78"/>
      <c r="Q19" s="10">
        <v>0.04</v>
      </c>
      <c r="R19" s="4">
        <f>SUM(C13:H13)*B4*$Q$19</f>
        <v>1332</v>
      </c>
    </row>
    <row r="20" spans="1:18" x14ac:dyDescent="0.25">
      <c r="A20" s="3"/>
      <c r="B20" s="3">
        <f t="shared" ref="B20:H20" si="8">B11</f>
        <v>2012</v>
      </c>
      <c r="C20" s="3">
        <f t="shared" si="8"/>
        <v>2013</v>
      </c>
      <c r="D20" s="3">
        <f t="shared" si="8"/>
        <v>2014</v>
      </c>
      <c r="E20" s="3">
        <f t="shared" si="8"/>
        <v>2015</v>
      </c>
      <c r="F20" s="3">
        <f t="shared" si="8"/>
        <v>2016</v>
      </c>
      <c r="G20" s="3">
        <f t="shared" si="8"/>
        <v>2017</v>
      </c>
      <c r="H20" s="3">
        <f t="shared" si="8"/>
        <v>2018</v>
      </c>
      <c r="I20" s="2"/>
      <c r="J20" s="76" t="s">
        <v>95</v>
      </c>
      <c r="K20" s="77"/>
      <c r="L20" s="78"/>
      <c r="M20" s="78"/>
      <c r="N20" s="78"/>
      <c r="O20" s="78"/>
      <c r="P20" s="78"/>
      <c r="Q20" s="10">
        <v>0.9</v>
      </c>
      <c r="R20" s="4">
        <f>SUM(C28:H28)*$Q$20</f>
        <v>937.90364659149793</v>
      </c>
    </row>
    <row r="21" spans="1:18" x14ac:dyDescent="0.25">
      <c r="A21" s="4" t="s">
        <v>28</v>
      </c>
      <c r="B21" s="4"/>
      <c r="C21" s="4">
        <f>C12*C17</f>
        <v>0</v>
      </c>
      <c r="D21" s="4">
        <f t="shared" ref="D21:H21" si="9">D12*D17</f>
        <v>6089.9999999999991</v>
      </c>
      <c r="E21" s="4">
        <f t="shared" si="9"/>
        <v>15453.374999999996</v>
      </c>
      <c r="F21" s="4">
        <f t="shared" si="9"/>
        <v>23527.763437499994</v>
      </c>
      <c r="G21" s="4">
        <f t="shared" si="9"/>
        <v>26427.952410562491</v>
      </c>
      <c r="H21" s="4">
        <f t="shared" si="9"/>
        <v>28117.112501382177</v>
      </c>
      <c r="I21" s="2"/>
      <c r="J21" s="76" t="s">
        <v>54</v>
      </c>
      <c r="K21" s="77"/>
      <c r="L21" s="78"/>
      <c r="M21" s="78"/>
      <c r="N21" s="78"/>
      <c r="O21" s="78"/>
      <c r="P21" s="78"/>
      <c r="Q21" s="10">
        <v>0.05</v>
      </c>
      <c r="R21" s="6">
        <f>-SUM(C14:H14)*B4*(1+B7)*Q21</f>
        <v>600</v>
      </c>
    </row>
    <row r="22" spans="1:18" x14ac:dyDescent="0.25">
      <c r="A22" s="4" t="s">
        <v>29</v>
      </c>
      <c r="B22" s="4"/>
      <c r="C22" s="4">
        <f>C16*C17</f>
        <v>3000</v>
      </c>
      <c r="D22" s="4">
        <f t="shared" ref="D22:H22" si="10">D16*D17</f>
        <v>10657.499999999998</v>
      </c>
      <c r="E22" s="4">
        <f t="shared" si="10"/>
        <v>19316.718749999996</v>
      </c>
      <c r="F22" s="4">
        <f t="shared" si="10"/>
        <v>24782.577487499995</v>
      </c>
      <c r="G22" s="4">
        <f t="shared" si="10"/>
        <v>27064.77054093749</v>
      </c>
      <c r="H22" s="4">
        <f t="shared" si="10"/>
        <v>26824.371696720926</v>
      </c>
      <c r="I22" s="2"/>
      <c r="J22" s="76" t="s">
        <v>55</v>
      </c>
      <c r="K22" s="77"/>
      <c r="L22" s="78"/>
      <c r="M22" s="78"/>
      <c r="N22" s="78"/>
      <c r="O22" s="78"/>
      <c r="P22" s="78"/>
      <c r="Q22" s="10">
        <v>0.15</v>
      </c>
      <c r="R22" s="4">
        <f>SUM(C29:H29)</f>
        <v>360</v>
      </c>
    </row>
    <row r="23" spans="1:18" x14ac:dyDescent="0.25">
      <c r="A23" s="4" t="s">
        <v>30</v>
      </c>
      <c r="B23" s="4"/>
      <c r="C23" s="4">
        <f>C15*C17</f>
        <v>6000</v>
      </c>
      <c r="D23" s="4">
        <f t="shared" ref="D23:H23" si="11">D15*D17</f>
        <v>15224.999999999996</v>
      </c>
      <c r="E23" s="4">
        <f t="shared" si="11"/>
        <v>23180.062499999996</v>
      </c>
      <c r="F23" s="4">
        <f t="shared" si="11"/>
        <v>26037.391537499996</v>
      </c>
      <c r="G23" s="4">
        <f t="shared" si="11"/>
        <v>27701.588671312489</v>
      </c>
      <c r="H23" s="4">
        <f t="shared" si="11"/>
        <v>25531.630892059678</v>
      </c>
      <c r="I23" s="2" t="s">
        <v>53</v>
      </c>
      <c r="J23" s="2"/>
      <c r="K23" s="2"/>
      <c r="Q23" s="6" t="s">
        <v>23</v>
      </c>
      <c r="R23" s="4">
        <f>SUM(R19:R22)</f>
        <v>3229.9036465914978</v>
      </c>
    </row>
    <row r="24" spans="1:18" x14ac:dyDescent="0.25">
      <c r="A24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8" x14ac:dyDescent="0.25">
      <c r="A25" s="3" t="s">
        <v>33</v>
      </c>
      <c r="B25" s="3">
        <f t="shared" ref="B25:H25" si="12">B20</f>
        <v>2012</v>
      </c>
      <c r="C25" s="3">
        <f t="shared" si="12"/>
        <v>2013</v>
      </c>
      <c r="D25" s="3">
        <f t="shared" si="12"/>
        <v>2014</v>
      </c>
      <c r="E25" s="3">
        <f t="shared" si="12"/>
        <v>2015</v>
      </c>
      <c r="F25" s="3">
        <f t="shared" si="12"/>
        <v>2016</v>
      </c>
      <c r="G25" s="3">
        <f t="shared" si="12"/>
        <v>2017</v>
      </c>
      <c r="H25" s="3">
        <f t="shared" si="12"/>
        <v>2018</v>
      </c>
      <c r="I25" s="107" t="s">
        <v>214</v>
      </c>
      <c r="J25" s="4" t="s">
        <v>215</v>
      </c>
      <c r="K25" s="2"/>
      <c r="O25" s="9" t="s">
        <v>216</v>
      </c>
      <c r="P25" s="9"/>
      <c r="Q25" s="9"/>
      <c r="R25" s="11">
        <f>R23-J26</f>
        <v>2849.0575814397207</v>
      </c>
    </row>
    <row r="26" spans="1:18" x14ac:dyDescent="0.25">
      <c r="A26" s="3" t="s">
        <v>12</v>
      </c>
      <c r="B26" s="3"/>
      <c r="C26" s="3">
        <f t="shared" ref="C26:H26" si="13">C22*$B$5*C75</f>
        <v>243.59999999999997</v>
      </c>
      <c r="D26" s="3">
        <f t="shared" si="13"/>
        <v>878.36983499999963</v>
      </c>
      <c r="E26" s="3">
        <f t="shared" si="13"/>
        <v>1615.9260058265615</v>
      </c>
      <c r="F26" s="3">
        <f t="shared" si="13"/>
        <v>2104.2659548617739</v>
      </c>
      <c r="G26" s="3">
        <f t="shared" si="13"/>
        <v>2332.51554980424</v>
      </c>
      <c r="H26" s="3">
        <f t="shared" si="13"/>
        <v>2346.4742833018472</v>
      </c>
      <c r="I26" s="107">
        <f>SUM(C26:H26)</f>
        <v>9521.1516287944214</v>
      </c>
      <c r="J26" s="4">
        <f>I26*4%</f>
        <v>380.84606515177688</v>
      </c>
      <c r="K26" s="2"/>
      <c r="O26" s="108" t="s">
        <v>217</v>
      </c>
      <c r="P26" s="108"/>
      <c r="Q26" s="108"/>
      <c r="R26" s="109">
        <f>R25/6</f>
        <v>474.84293023995343</v>
      </c>
    </row>
    <row r="27" spans="1:18" x14ac:dyDescent="0.25">
      <c r="A27" s="13" t="s">
        <v>63</v>
      </c>
      <c r="B27" s="3"/>
      <c r="C27" s="29">
        <f t="shared" ref="C27:H27" si="14">$I$27*C26</f>
        <v>1.4615999999999998</v>
      </c>
      <c r="D27" s="29">
        <f t="shared" si="14"/>
        <v>5.2702190099999981</v>
      </c>
      <c r="E27" s="29">
        <f t="shared" si="14"/>
        <v>9.6955560349593704</v>
      </c>
      <c r="F27" s="29">
        <f t="shared" si="14"/>
        <v>12.625595729170644</v>
      </c>
      <c r="G27" s="29">
        <f t="shared" si="14"/>
        <v>13.99509329882544</v>
      </c>
      <c r="H27" s="29">
        <f t="shared" si="14"/>
        <v>14.078845699811083</v>
      </c>
      <c r="I27" s="14">
        <v>6.0000000000000001E-3</v>
      </c>
      <c r="J27" s="2"/>
      <c r="K27" s="2"/>
    </row>
    <row r="28" spans="1:18" x14ac:dyDescent="0.25">
      <c r="A28" s="4" t="s">
        <v>13</v>
      </c>
      <c r="B28" s="4"/>
      <c r="C28" s="4">
        <f>+C26*$G$4+$F$4</f>
        <v>39.36</v>
      </c>
      <c r="D28" s="4">
        <f t="shared" ref="D28:H28" si="15">+D26*$G$4+$F$4</f>
        <v>102.83698349999997</v>
      </c>
      <c r="E28" s="4">
        <f t="shared" si="15"/>
        <v>176.59260058265616</v>
      </c>
      <c r="F28" s="4">
        <f t="shared" si="15"/>
        <v>225.4265954861774</v>
      </c>
      <c r="G28" s="4">
        <f t="shared" si="15"/>
        <v>248.251554980424</v>
      </c>
      <c r="H28" s="4">
        <f t="shared" si="15"/>
        <v>249.64742833018474</v>
      </c>
      <c r="I28" s="2"/>
      <c r="J28" s="2"/>
      <c r="K28" s="2"/>
      <c r="M28" s="110" t="s">
        <v>218</v>
      </c>
      <c r="N28" s="110"/>
      <c r="O28" s="110"/>
      <c r="P28" s="110"/>
      <c r="Q28" s="110"/>
      <c r="R28" s="110" t="s">
        <v>220</v>
      </c>
    </row>
    <row r="29" spans="1:18" x14ac:dyDescent="0.25">
      <c r="A29" s="4" t="s">
        <v>56</v>
      </c>
      <c r="B29" s="4"/>
      <c r="C29" s="4">
        <f t="shared" ref="C29:H29" si="16">-$B$7*C14*$B$4*$Q$22</f>
        <v>0</v>
      </c>
      <c r="D29" s="4">
        <f t="shared" si="16"/>
        <v>0</v>
      </c>
      <c r="E29" s="4">
        <f t="shared" si="16"/>
        <v>90</v>
      </c>
      <c r="F29" s="4">
        <f t="shared" si="16"/>
        <v>90</v>
      </c>
      <c r="G29" s="4">
        <f t="shared" si="16"/>
        <v>90</v>
      </c>
      <c r="H29" s="4">
        <f t="shared" si="16"/>
        <v>90</v>
      </c>
      <c r="I29" s="2"/>
      <c r="J29" s="2"/>
      <c r="K29" s="2"/>
    </row>
    <row r="30" spans="1:18" x14ac:dyDescent="0.25">
      <c r="A30" s="4" t="s">
        <v>14</v>
      </c>
      <c r="B30" s="4"/>
      <c r="C30" s="4">
        <f>C22*$F$5*(1+$B$6)</f>
        <v>67.2</v>
      </c>
      <c r="D30" s="4">
        <f t="shared" ref="D30:H30" si="17">D22*$F$5*(1+$B$6)</f>
        <v>238.72800000000001</v>
      </c>
      <c r="E30" s="4">
        <f t="shared" si="17"/>
        <v>432.69449999999995</v>
      </c>
      <c r="F30" s="4">
        <f t="shared" si="17"/>
        <v>555.12973571999999</v>
      </c>
      <c r="G30" s="4">
        <f t="shared" si="17"/>
        <v>606.25086011699989</v>
      </c>
      <c r="H30" s="4">
        <f t="shared" si="17"/>
        <v>600.86592600654876</v>
      </c>
      <c r="I30" s="2"/>
      <c r="J30" s="2"/>
      <c r="K30" s="2"/>
    </row>
    <row r="31" spans="1:18" x14ac:dyDescent="0.25">
      <c r="A31" s="3" t="s">
        <v>15</v>
      </c>
      <c r="B31" s="3"/>
      <c r="C31" s="3">
        <f>C26-C28-C29-C30-C27</f>
        <v>135.57839999999996</v>
      </c>
      <c r="D31" s="3">
        <f t="shared" ref="D31:H31" si="18">D26-D28-D29-D30-D27</f>
        <v>531.53463248999958</v>
      </c>
      <c r="E31" s="3">
        <f t="shared" si="18"/>
        <v>906.94334920894607</v>
      </c>
      <c r="F31" s="3">
        <f t="shared" si="18"/>
        <v>1221.084027926426</v>
      </c>
      <c r="G31" s="3">
        <f t="shared" si="18"/>
        <v>1374.0180414079909</v>
      </c>
      <c r="H31" s="3">
        <f t="shared" si="18"/>
        <v>1391.8820832653028</v>
      </c>
      <c r="I31" s="2"/>
      <c r="J31" s="2"/>
      <c r="K31" s="2"/>
    </row>
    <row r="32" spans="1:18" x14ac:dyDescent="0.25">
      <c r="A32" s="3" t="s">
        <v>62</v>
      </c>
      <c r="B32" s="3"/>
      <c r="C32" s="27">
        <f>C31/C26</f>
        <v>0.55656157635467973</v>
      </c>
      <c r="D32" s="27">
        <f t="shared" ref="D32:H32" si="19">D31/D26</f>
        <v>0.6051376212048537</v>
      </c>
      <c r="E32" s="27">
        <f t="shared" si="19"/>
        <v>0.56125301897411817</v>
      </c>
      <c r="F32" s="27">
        <f t="shared" si="19"/>
        <v>0.5802897799611253</v>
      </c>
      <c r="G32" s="27">
        <f t="shared" si="19"/>
        <v>0.58907133181740523</v>
      </c>
      <c r="H32" s="27">
        <f t="shared" si="19"/>
        <v>0.59318019940398081</v>
      </c>
      <c r="I32" s="2"/>
      <c r="J32" s="2"/>
      <c r="K32" s="2"/>
    </row>
    <row r="33" spans="1:11" x14ac:dyDescent="0.25">
      <c r="A33" s="5" t="s">
        <v>36</v>
      </c>
      <c r="B33" s="4"/>
      <c r="C33" s="4">
        <f>-$B$7*C14*B18</f>
        <v>0</v>
      </c>
      <c r="D33" s="4">
        <f t="shared" ref="D33:H33" si="20">-$B$7*D14*C18</f>
        <v>0</v>
      </c>
      <c r="E33" s="4">
        <f t="shared" si="20"/>
        <v>682.07999999999993</v>
      </c>
      <c r="F33" s="4">
        <f t="shared" si="20"/>
        <v>692.31119999999987</v>
      </c>
      <c r="G33" s="4">
        <f t="shared" si="20"/>
        <v>702.6958679999999</v>
      </c>
      <c r="H33" s="4">
        <f t="shared" si="20"/>
        <v>713.2363060199998</v>
      </c>
      <c r="I33" s="2"/>
      <c r="J33" s="2"/>
      <c r="K33" s="2"/>
    </row>
    <row r="34" spans="1:11" x14ac:dyDescent="0.25">
      <c r="A34" s="4" t="s">
        <v>16</v>
      </c>
      <c r="B34" s="4"/>
      <c r="C34" s="4">
        <f>-C54*F6/2</f>
        <v>-98.280000000000015</v>
      </c>
      <c r="D34" s="4">
        <f t="shared" ref="D34:H34" si="21">-$F$6*(C54-C51)</f>
        <v>60.623999999999945</v>
      </c>
      <c r="E34" s="4">
        <f t="shared" si="21"/>
        <v>-389.03723999999994</v>
      </c>
      <c r="F34" s="4">
        <f t="shared" si="21"/>
        <v>-775.60705349999978</v>
      </c>
      <c r="G34" s="4">
        <f t="shared" si="21"/>
        <v>-895.59672787259979</v>
      </c>
      <c r="H34" s="4">
        <f t="shared" si="21"/>
        <v>-952.88924179273488</v>
      </c>
      <c r="I34" s="2"/>
      <c r="J34" s="2"/>
      <c r="K34" s="2"/>
    </row>
    <row r="35" spans="1:11" x14ac:dyDescent="0.25">
      <c r="A35" s="4" t="s">
        <v>18</v>
      </c>
      <c r="B35" s="4"/>
      <c r="C35" s="4">
        <f>IF((C31+C34)&gt;0,-(C31+C34)*$F$7,0)</f>
        <v>-5.5947599999999911</v>
      </c>
      <c r="D35" s="4">
        <f>IF((D31+D33+D34)&gt;0,-(D31+D33+D34)*$F$7,0)</f>
        <v>-88.823794873499921</v>
      </c>
      <c r="E35" s="4">
        <f t="shared" ref="E35:H35" si="22">IF((E31+E33+E34)&gt;0,-(E31+E33+E34)*$F$7,0)</f>
        <v>-179.99791638134192</v>
      </c>
      <c r="F35" s="4">
        <f t="shared" si="22"/>
        <v>-170.66822616396388</v>
      </c>
      <c r="G35" s="4">
        <f t="shared" si="22"/>
        <v>-177.16757723030864</v>
      </c>
      <c r="H35" s="4">
        <f t="shared" si="22"/>
        <v>-172.83437212388509</v>
      </c>
      <c r="I35" s="2"/>
      <c r="J35" s="2"/>
      <c r="K35" s="2"/>
    </row>
    <row r="36" spans="1:11" x14ac:dyDescent="0.25">
      <c r="A36" s="3" t="s">
        <v>17</v>
      </c>
      <c r="B36" s="3"/>
      <c r="C36" s="3">
        <f>C31+C33+C34+C35</f>
        <v>31.703639999999954</v>
      </c>
      <c r="D36" s="3">
        <f>D31+D33+D34+D35</f>
        <v>503.33483761649956</v>
      </c>
      <c r="E36" s="3">
        <f t="shared" ref="E36:H36" si="23">E31+E33+E34+E35</f>
        <v>1019.9881928276042</v>
      </c>
      <c r="F36" s="3">
        <f t="shared" si="23"/>
        <v>967.119948262462</v>
      </c>
      <c r="G36" s="3">
        <f t="shared" si="23"/>
        <v>1003.9496043050823</v>
      </c>
      <c r="H36" s="3">
        <f t="shared" si="23"/>
        <v>979.3947753686823</v>
      </c>
      <c r="I36" s="2"/>
      <c r="J36" s="2"/>
      <c r="K36" s="2"/>
    </row>
    <row r="37" spans="1:11" x14ac:dyDescent="0.25">
      <c r="A37" s="3" t="s">
        <v>206</v>
      </c>
      <c r="B37" s="3"/>
      <c r="C37" s="27">
        <f>C36/C26</f>
        <v>0.13014630541871905</v>
      </c>
      <c r="D37" s="27">
        <f t="shared" ref="D37:H37" si="24">D36/D26</f>
        <v>0.57303292708873566</v>
      </c>
      <c r="E37" s="27">
        <f t="shared" si="24"/>
        <v>0.63120971452270824</v>
      </c>
      <c r="F37" s="27">
        <f t="shared" si="24"/>
        <v>0.45959967466469354</v>
      </c>
      <c r="G37" s="27">
        <f t="shared" si="24"/>
        <v>0.43041496738975238</v>
      </c>
      <c r="H37" s="27">
        <f t="shared" si="24"/>
        <v>0.41738994641378491</v>
      </c>
      <c r="I37" s="2"/>
      <c r="J37" s="2"/>
      <c r="K37" s="2"/>
    </row>
    <row r="38" spans="1:11" x14ac:dyDescent="0.25">
      <c r="A3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25">
      <c r="A39" s="3" t="s">
        <v>31</v>
      </c>
      <c r="B39" s="3">
        <f t="shared" ref="B39:H39" si="25">B25</f>
        <v>2012</v>
      </c>
      <c r="C39" s="3">
        <f t="shared" si="25"/>
        <v>2013</v>
      </c>
      <c r="D39" s="3">
        <f t="shared" si="25"/>
        <v>2014</v>
      </c>
      <c r="E39" s="3">
        <f t="shared" si="25"/>
        <v>2015</v>
      </c>
      <c r="F39" s="3">
        <f t="shared" si="25"/>
        <v>2016</v>
      </c>
      <c r="G39" s="3">
        <f t="shared" si="25"/>
        <v>2017</v>
      </c>
      <c r="H39" s="3">
        <f t="shared" si="25"/>
        <v>2018</v>
      </c>
      <c r="I39" s="2"/>
      <c r="J39" s="2"/>
      <c r="K39" s="2"/>
    </row>
    <row r="40" spans="1:11" x14ac:dyDescent="0.25">
      <c r="A40" s="4" t="s">
        <v>25</v>
      </c>
      <c r="B40" s="4"/>
      <c r="C40" s="4">
        <f t="shared" ref="C40:H40" si="26">C36+C30</f>
        <v>98.903639999999953</v>
      </c>
      <c r="D40" s="4">
        <f t="shared" si="26"/>
        <v>742.06283761649956</v>
      </c>
      <c r="E40" s="4">
        <f t="shared" si="26"/>
        <v>1452.6826928276041</v>
      </c>
      <c r="F40" s="4">
        <f t="shared" si="26"/>
        <v>1522.2496839824621</v>
      </c>
      <c r="G40" s="4">
        <f t="shared" si="26"/>
        <v>1610.2004644220822</v>
      </c>
      <c r="H40" s="4">
        <f t="shared" si="26"/>
        <v>1580.2607013752311</v>
      </c>
      <c r="I40" s="2"/>
      <c r="J40" s="2"/>
      <c r="K40" s="2"/>
    </row>
    <row r="41" spans="1:11" x14ac:dyDescent="0.25">
      <c r="A41" s="4" t="s">
        <v>58</v>
      </c>
      <c r="B41" s="4"/>
      <c r="C41" s="4">
        <f t="shared" ref="C41:H41" si="27">IF(C36&lt;0,0,-C36)</f>
        <v>-31.703639999999954</v>
      </c>
      <c r="D41" s="4">
        <f t="shared" si="27"/>
        <v>-503.33483761649956</v>
      </c>
      <c r="E41" s="4">
        <f t="shared" si="27"/>
        <v>-1019.9881928276042</v>
      </c>
      <c r="F41" s="4">
        <f t="shared" si="27"/>
        <v>-967.119948262462</v>
      </c>
      <c r="G41" s="4">
        <f t="shared" si="27"/>
        <v>-1003.9496043050823</v>
      </c>
      <c r="H41" s="4">
        <f t="shared" si="27"/>
        <v>-979.3947753686823</v>
      </c>
      <c r="I41" s="2"/>
      <c r="J41" s="2"/>
      <c r="K41" s="2"/>
    </row>
    <row r="42" spans="1:11" x14ac:dyDescent="0.25">
      <c r="A42" s="4" t="s">
        <v>45</v>
      </c>
      <c r="B42" s="4"/>
      <c r="C42" s="4"/>
      <c r="D42" s="4">
        <f>-C54/$I$54</f>
        <v>-291.20000000000005</v>
      </c>
      <c r="E42" s="4">
        <f>-D54/$I$54</f>
        <v>-715.13866666666661</v>
      </c>
      <c r="F42" s="4">
        <f>-E54/$I$54</f>
        <v>-1162.4652635555553</v>
      </c>
      <c r="G42" s="4">
        <f>-F54/$I$54</f>
        <v>-1328.5688135585185</v>
      </c>
      <c r="H42" s="4">
        <f>-G54/$I$54</f>
        <v>-1425.4389988864839</v>
      </c>
      <c r="I42" s="2"/>
      <c r="J42" s="2"/>
      <c r="K42" s="2"/>
    </row>
    <row r="43" spans="1:11" x14ac:dyDescent="0.25">
      <c r="A43" s="4" t="s">
        <v>57</v>
      </c>
      <c r="B43" s="4"/>
      <c r="C43" s="4">
        <f>-C45*$F$9</f>
        <v>4368.0000000000009</v>
      </c>
      <c r="D43" s="4">
        <f t="shared" ref="D43:H43" si="28">-D45*$F$9</f>
        <v>6650.28</v>
      </c>
      <c r="E43" s="4">
        <f t="shared" si="28"/>
        <v>7425.0376199999992</v>
      </c>
      <c r="F43" s="4">
        <f t="shared" si="28"/>
        <v>3654.0185135999996</v>
      </c>
      <c r="G43" s="4">
        <f t="shared" si="28"/>
        <v>2781.6215934779998</v>
      </c>
      <c r="H43" s="4">
        <f t="shared" si="28"/>
        <v>0</v>
      </c>
      <c r="I43" s="2"/>
      <c r="J43" s="2"/>
      <c r="K43" s="2"/>
    </row>
    <row r="44" spans="1:11" x14ac:dyDescent="0.25">
      <c r="A44" s="4" t="s">
        <v>37</v>
      </c>
      <c r="B44" s="4"/>
      <c r="C44" s="4">
        <f t="shared" ref="C44:H44" si="29">-C14*$B$4</f>
        <v>0</v>
      </c>
      <c r="D44" s="4">
        <f t="shared" si="29"/>
        <v>0</v>
      </c>
      <c r="E44" s="4">
        <f t="shared" si="29"/>
        <v>2400</v>
      </c>
      <c r="F44" s="4">
        <f t="shared" si="29"/>
        <v>2400</v>
      </c>
      <c r="G44" s="4">
        <f t="shared" si="29"/>
        <v>2400</v>
      </c>
      <c r="H44" s="4">
        <f t="shared" si="29"/>
        <v>2400</v>
      </c>
      <c r="I44" s="2"/>
      <c r="J44" s="2"/>
      <c r="K44" s="2"/>
    </row>
    <row r="45" spans="1:11" x14ac:dyDescent="0.25">
      <c r="A45" s="4" t="s">
        <v>38</v>
      </c>
      <c r="B45" s="4"/>
      <c r="C45" s="4">
        <f t="shared" ref="C45:H45" si="30">-C18*C13</f>
        <v>-6720.0000000000009</v>
      </c>
      <c r="D45" s="4">
        <f t="shared" si="30"/>
        <v>-10231.199999999999</v>
      </c>
      <c r="E45" s="4">
        <f t="shared" si="30"/>
        <v>-11423.134799999998</v>
      </c>
      <c r="F45" s="4">
        <f t="shared" si="30"/>
        <v>-5621.5669439999992</v>
      </c>
      <c r="G45" s="4">
        <f t="shared" si="30"/>
        <v>-4279.4178361199993</v>
      </c>
      <c r="H45" s="4">
        <f t="shared" si="30"/>
        <v>0</v>
      </c>
      <c r="I45" s="2"/>
      <c r="J45" s="2"/>
      <c r="K45" s="2"/>
    </row>
    <row r="46" spans="1:11" x14ac:dyDescent="0.25">
      <c r="A46" s="4" t="s">
        <v>26</v>
      </c>
      <c r="B46" s="4"/>
      <c r="C46" s="4">
        <f>B51</f>
        <v>8000</v>
      </c>
      <c r="D46" s="4">
        <f>C51</f>
        <v>5715.2</v>
      </c>
      <c r="E46" s="4">
        <f t="shared" ref="E46:H46" si="31">D51</f>
        <v>2081.8080000000009</v>
      </c>
      <c r="F46" s="4">
        <f t="shared" si="31"/>
        <v>201.26665333333585</v>
      </c>
      <c r="G46" s="4">
        <f t="shared" si="31"/>
        <v>26.382695097780925</v>
      </c>
      <c r="H46" s="4">
        <f t="shared" si="31"/>
        <v>206.2684990142634</v>
      </c>
      <c r="I46" s="2"/>
      <c r="J46" s="2"/>
      <c r="K46" s="2"/>
    </row>
    <row r="47" spans="1:11" x14ac:dyDescent="0.25">
      <c r="A47" s="4" t="s">
        <v>27</v>
      </c>
      <c r="B47" s="4"/>
      <c r="C47" s="4">
        <f>SUM(C40:C46)</f>
        <v>5715.2</v>
      </c>
      <c r="D47" s="4">
        <f>SUM(D40:D46)</f>
        <v>2081.8080000000009</v>
      </c>
      <c r="E47" s="4">
        <f t="shared" ref="E47:H47" si="32">SUM(E40:E46)</f>
        <v>201.26665333333585</v>
      </c>
      <c r="F47" s="4">
        <f t="shared" si="32"/>
        <v>26.382695097780925</v>
      </c>
      <c r="G47" s="4">
        <f t="shared" si="32"/>
        <v>206.2684990142634</v>
      </c>
      <c r="H47" s="4">
        <f t="shared" si="32"/>
        <v>1781.6954261343283</v>
      </c>
      <c r="I47" s="2"/>
      <c r="J47" s="2"/>
      <c r="K47" s="2"/>
    </row>
    <row r="48" spans="1:11" x14ac:dyDescent="0.25">
      <c r="A48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48" s="2"/>
      <c r="C48" s="2"/>
      <c r="D48" s="2"/>
      <c r="E48" s="2"/>
      <c r="F48" s="2"/>
      <c r="G48" s="2"/>
      <c r="H48" s="2"/>
      <c r="I48" s="4"/>
      <c r="J48" s="2"/>
      <c r="K48" s="2"/>
    </row>
    <row r="49" spans="1:11" x14ac:dyDescent="0.25">
      <c r="A49" s="3" t="s">
        <v>40</v>
      </c>
      <c r="B49" s="3">
        <f t="shared" ref="B49:H49" si="33">B25</f>
        <v>2012</v>
      </c>
      <c r="C49" s="3">
        <f t="shared" si="33"/>
        <v>2013</v>
      </c>
      <c r="D49" s="3">
        <f t="shared" si="33"/>
        <v>2014</v>
      </c>
      <c r="E49" s="3">
        <f t="shared" si="33"/>
        <v>2015</v>
      </c>
      <c r="F49" s="3">
        <f t="shared" si="33"/>
        <v>2016</v>
      </c>
      <c r="G49" s="3">
        <f t="shared" si="33"/>
        <v>2017</v>
      </c>
      <c r="H49" s="3">
        <f t="shared" si="33"/>
        <v>2018</v>
      </c>
      <c r="J49" s="2"/>
      <c r="K49" s="2"/>
    </row>
    <row r="50" spans="1:11" x14ac:dyDescent="0.25">
      <c r="A50" s="4" t="s">
        <v>19</v>
      </c>
      <c r="B50" s="4"/>
      <c r="C50" s="4">
        <f t="shared" ref="C50:H50" si="34">B50-C45-C30-C44</f>
        <v>6652.8000000000011</v>
      </c>
      <c r="D50" s="4">
        <f t="shared" si="34"/>
        <v>16645.272000000001</v>
      </c>
      <c r="E50" s="4">
        <f t="shared" si="34"/>
        <v>25235.712299999996</v>
      </c>
      <c r="F50" s="4">
        <f t="shared" si="34"/>
        <v>27902.149508279996</v>
      </c>
      <c r="G50" s="4">
        <f t="shared" si="34"/>
        <v>29175.316484282994</v>
      </c>
      <c r="H50" s="4">
        <f t="shared" si="34"/>
        <v>26174.450558276447</v>
      </c>
      <c r="I50" s="4"/>
      <c r="J50" s="2"/>
      <c r="K50" s="2"/>
    </row>
    <row r="51" spans="1:11" x14ac:dyDescent="0.25">
      <c r="A51" s="4" t="s">
        <v>20</v>
      </c>
      <c r="B51" s="4">
        <f>B55</f>
        <v>8000</v>
      </c>
      <c r="C51" s="4">
        <f>C47</f>
        <v>5715.2</v>
      </c>
      <c r="D51" s="4">
        <f>D47</f>
        <v>2081.8080000000009</v>
      </c>
      <c r="E51" s="4">
        <f t="shared" ref="E51:H51" si="35">E47</f>
        <v>201.26665333333585</v>
      </c>
      <c r="F51" s="4">
        <f t="shared" si="35"/>
        <v>26.382695097780925</v>
      </c>
      <c r="G51" s="4">
        <f t="shared" si="35"/>
        <v>206.2684990142634</v>
      </c>
      <c r="H51" s="4">
        <f t="shared" si="35"/>
        <v>1781.6954261343283</v>
      </c>
      <c r="I51" s="4"/>
      <c r="J51" s="2"/>
      <c r="K51" s="2"/>
    </row>
    <row r="52" spans="1:11" x14ac:dyDescent="0.25">
      <c r="A52" s="4"/>
      <c r="B52" s="4"/>
      <c r="C52" s="4"/>
      <c r="D52" s="4"/>
      <c r="E52" s="4"/>
      <c r="F52" s="4"/>
      <c r="G52" s="4"/>
      <c r="H52" s="4"/>
      <c r="I52" s="4"/>
      <c r="J52" s="2"/>
      <c r="K52" s="2"/>
    </row>
    <row r="53" spans="1:11" x14ac:dyDescent="0.25">
      <c r="A53" s="4" t="s">
        <v>21</v>
      </c>
      <c r="B53" s="4">
        <f>B9</f>
        <v>8000</v>
      </c>
      <c r="C53" s="4">
        <f t="shared" ref="C53:H53" si="36">B53+C36+C41</f>
        <v>8000</v>
      </c>
      <c r="D53" s="4">
        <f t="shared" si="36"/>
        <v>8000</v>
      </c>
      <c r="E53" s="4">
        <f t="shared" si="36"/>
        <v>8000</v>
      </c>
      <c r="F53" s="4">
        <f t="shared" si="36"/>
        <v>8000</v>
      </c>
      <c r="G53" s="4">
        <f t="shared" si="36"/>
        <v>8000</v>
      </c>
      <c r="H53" s="4">
        <f t="shared" si="36"/>
        <v>8000</v>
      </c>
      <c r="I53" s="4"/>
      <c r="J53" s="2"/>
      <c r="K53" s="2"/>
    </row>
    <row r="54" spans="1:11" x14ac:dyDescent="0.25">
      <c r="A54" s="4" t="s">
        <v>22</v>
      </c>
      <c r="B54" s="4"/>
      <c r="C54" s="4">
        <f>B54+C43+C42</f>
        <v>4368.0000000000009</v>
      </c>
      <c r="D54" s="4">
        <f t="shared" ref="D54:H54" si="37">C54+D43+D42</f>
        <v>10727.08</v>
      </c>
      <c r="E54" s="4">
        <f t="shared" si="37"/>
        <v>17436.978953333331</v>
      </c>
      <c r="F54" s="4">
        <f t="shared" si="37"/>
        <v>19928.532203377777</v>
      </c>
      <c r="G54" s="4">
        <f t="shared" si="37"/>
        <v>21381.58498329726</v>
      </c>
      <c r="H54" s="4">
        <f t="shared" si="37"/>
        <v>19956.145984410778</v>
      </c>
      <c r="I54" s="4">
        <f>+R9</f>
        <v>15</v>
      </c>
      <c r="J54" s="2"/>
      <c r="K54" s="2"/>
    </row>
    <row r="55" spans="1:11" x14ac:dyDescent="0.25">
      <c r="A55" s="4" t="s">
        <v>23</v>
      </c>
      <c r="B55" s="4">
        <f>SUM(B53:B54)</f>
        <v>8000</v>
      </c>
      <c r="C55" s="4">
        <f>SUM(C53:C54)</f>
        <v>12368</v>
      </c>
      <c r="D55" s="4">
        <f>SUM(D53:D54)</f>
        <v>18727.080000000002</v>
      </c>
      <c r="E55" s="4">
        <f t="shared" ref="E55:H55" si="38">SUM(E53:E54)</f>
        <v>25436.978953333331</v>
      </c>
      <c r="F55" s="4">
        <f t="shared" si="38"/>
        <v>27928.532203377777</v>
      </c>
      <c r="G55" s="4">
        <f t="shared" si="38"/>
        <v>29381.58498329726</v>
      </c>
      <c r="H55" s="4">
        <f t="shared" si="38"/>
        <v>27956.145984410778</v>
      </c>
      <c r="I55" s="4"/>
      <c r="J55" s="2"/>
      <c r="K55" s="2"/>
    </row>
    <row r="56" spans="1:11" x14ac:dyDescent="0.25">
      <c r="A56" s="4" t="s">
        <v>24</v>
      </c>
      <c r="B56" s="4">
        <f>B55-SUM(B50:B51)</f>
        <v>0</v>
      </c>
      <c r="C56" s="4">
        <f>C55-SUM(C50:C51)</f>
        <v>0</v>
      </c>
      <c r="D56" s="4">
        <f>D55-SUM(D50:D51)</f>
        <v>0</v>
      </c>
      <c r="E56" s="4">
        <f t="shared" ref="E56:H56" si="39">E55-SUM(E50:E51)</f>
        <v>0</v>
      </c>
      <c r="F56" s="4">
        <f t="shared" si="39"/>
        <v>0</v>
      </c>
      <c r="G56" s="4">
        <f t="shared" si="39"/>
        <v>0</v>
      </c>
      <c r="H56" s="4">
        <f t="shared" si="39"/>
        <v>0</v>
      </c>
      <c r="I56" s="4"/>
      <c r="J56" s="2"/>
      <c r="K56" s="2"/>
    </row>
    <row r="57" spans="1:11" x14ac:dyDescent="0.25">
      <c r="A57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3" t="s">
        <v>39</v>
      </c>
      <c r="B58" s="3">
        <f>B49</f>
        <v>2012</v>
      </c>
      <c r="C58" s="3">
        <f t="shared" ref="C58:H58" si="40">C49</f>
        <v>2013</v>
      </c>
      <c r="D58" s="3">
        <f t="shared" si="40"/>
        <v>2014</v>
      </c>
      <c r="E58" s="3">
        <f t="shared" si="40"/>
        <v>2015</v>
      </c>
      <c r="F58" s="3">
        <f t="shared" si="40"/>
        <v>2016</v>
      </c>
      <c r="G58" s="3">
        <f t="shared" si="40"/>
        <v>2017</v>
      </c>
      <c r="H58" s="3">
        <f t="shared" si="40"/>
        <v>2018</v>
      </c>
      <c r="I58" s="2"/>
      <c r="J58" s="2"/>
      <c r="K58" s="2"/>
    </row>
    <row r="59" spans="1:11" x14ac:dyDescent="0.25">
      <c r="A59" s="4" t="s">
        <v>19</v>
      </c>
      <c r="B59" s="4">
        <f>B50</f>
        <v>0</v>
      </c>
      <c r="C59" s="4">
        <f>C15*$B$4*(1+$B$8)</f>
        <v>6089.9999999999991</v>
      </c>
      <c r="D59" s="4">
        <f>D15*$B$4*(1+$B$8)*(1+$B$8)</f>
        <v>15453.374999999996</v>
      </c>
      <c r="E59" s="4">
        <f>E15*$B$4*(1+$B$8)*(1+$B$8)*(1+$B$8)</f>
        <v>23527.763437499991</v>
      </c>
      <c r="F59" s="4">
        <f>F15*$B$4*(1+$B$8)*(1+$B$8)*(1+$B$8)*(1+$B$8)</f>
        <v>26427.952410562491</v>
      </c>
      <c r="G59" s="4">
        <f>G15*$B$4*(1+$B$8)*(1+$B$8)*(1+$B$8)*(1+$B$8)*(1+$B$8)</f>
        <v>28117.112501382169</v>
      </c>
      <c r="H59" s="4">
        <f>H15*$B$4*(1+$B$8)*(1+$B$8)*(1+$B$8)*(1+$B$8)*(1+$B$8)*(1+$B$8)</f>
        <v>25914.605355440566</v>
      </c>
      <c r="I59" s="2"/>
      <c r="J59" s="2"/>
      <c r="K59" s="2"/>
    </row>
    <row r="60" spans="1:11" x14ac:dyDescent="0.25">
      <c r="A60" s="4" t="s">
        <v>20</v>
      </c>
      <c r="B60" s="4">
        <f t="shared" ref="B60:H60" si="41">B51</f>
        <v>8000</v>
      </c>
      <c r="C60" s="4">
        <f t="shared" si="41"/>
        <v>5715.2</v>
      </c>
      <c r="D60" s="4">
        <f t="shared" si="41"/>
        <v>2081.8080000000009</v>
      </c>
      <c r="E60" s="4">
        <f t="shared" si="41"/>
        <v>201.26665333333585</v>
      </c>
      <c r="F60" s="4">
        <f t="shared" si="41"/>
        <v>26.382695097780925</v>
      </c>
      <c r="G60" s="4">
        <f t="shared" si="41"/>
        <v>206.2684990142634</v>
      </c>
      <c r="H60" s="4">
        <f t="shared" si="41"/>
        <v>1781.6954261343283</v>
      </c>
      <c r="I60" s="2"/>
      <c r="J60" s="2"/>
      <c r="K60" s="2"/>
    </row>
    <row r="61" spans="1:11" x14ac:dyDescent="0.25">
      <c r="A61" s="4"/>
      <c r="B61" s="4"/>
      <c r="C61" s="4"/>
      <c r="D61" s="4"/>
      <c r="E61" s="4"/>
      <c r="F61" s="4"/>
      <c r="G61" s="4"/>
      <c r="H61" s="4"/>
      <c r="I61" s="2"/>
      <c r="J61" s="2"/>
      <c r="K61" s="2"/>
    </row>
    <row r="62" spans="1:11" x14ac:dyDescent="0.25">
      <c r="A62" s="4" t="s">
        <v>21</v>
      </c>
      <c r="B62" s="4">
        <f t="shared" ref="B62:H64" si="42">B53</f>
        <v>8000</v>
      </c>
      <c r="C62" s="4">
        <f>C59+C60-C63</f>
        <v>7437.199999999998</v>
      </c>
      <c r="D62" s="4">
        <f t="shared" ref="D62:H62" si="43">D59+D60-D63</f>
        <v>6808.1029999999973</v>
      </c>
      <c r="E62" s="4">
        <f t="shared" si="43"/>
        <v>6292.0511374999951</v>
      </c>
      <c r="F62" s="4">
        <f t="shared" si="43"/>
        <v>6525.8029022824958</v>
      </c>
      <c r="G62" s="4">
        <f t="shared" si="43"/>
        <v>6941.7960170991719</v>
      </c>
      <c r="H62" s="4">
        <f t="shared" si="43"/>
        <v>7740.1547971641157</v>
      </c>
      <c r="I62" s="2"/>
      <c r="J62" s="2"/>
      <c r="K62" s="2"/>
    </row>
    <row r="63" spans="1:11" x14ac:dyDescent="0.25">
      <c r="A63" s="4" t="s">
        <v>22</v>
      </c>
      <c r="B63" s="4">
        <f t="shared" si="42"/>
        <v>0</v>
      </c>
      <c r="C63" s="4">
        <f t="shared" si="42"/>
        <v>4368.0000000000009</v>
      </c>
      <c r="D63" s="4">
        <f t="shared" si="42"/>
        <v>10727.08</v>
      </c>
      <c r="E63" s="4">
        <f t="shared" si="42"/>
        <v>17436.978953333331</v>
      </c>
      <c r="F63" s="4">
        <f t="shared" si="42"/>
        <v>19928.532203377777</v>
      </c>
      <c r="G63" s="4">
        <f t="shared" si="42"/>
        <v>21381.58498329726</v>
      </c>
      <c r="H63" s="4">
        <f t="shared" si="42"/>
        <v>19956.145984410778</v>
      </c>
      <c r="I63" s="2"/>
      <c r="J63" s="2"/>
      <c r="K63" s="2"/>
    </row>
    <row r="64" spans="1:11" x14ac:dyDescent="0.25">
      <c r="A64" s="4" t="s">
        <v>23</v>
      </c>
      <c r="B64" s="4">
        <f t="shared" si="42"/>
        <v>8000</v>
      </c>
      <c r="C64" s="4">
        <f>C62+C63</f>
        <v>11805.199999999999</v>
      </c>
      <c r="D64" s="4">
        <f t="shared" ref="D64:H64" si="44">D62+D63</f>
        <v>17535.182999999997</v>
      </c>
      <c r="E64" s="4">
        <f t="shared" si="44"/>
        <v>23729.030090833327</v>
      </c>
      <c r="F64" s="4">
        <f t="shared" si="44"/>
        <v>26454.335105660273</v>
      </c>
      <c r="G64" s="4">
        <f t="shared" si="44"/>
        <v>28323.381000396432</v>
      </c>
      <c r="H64" s="4">
        <f t="shared" si="44"/>
        <v>27696.300781574893</v>
      </c>
      <c r="I64" s="2"/>
      <c r="J64" s="2"/>
      <c r="K64" s="2"/>
    </row>
    <row r="65" spans="1:17" x14ac:dyDescent="0.25">
      <c r="A65" s="4" t="s">
        <v>24</v>
      </c>
      <c r="B65" s="4">
        <f>B64-SUM(B59:B60)</f>
        <v>0</v>
      </c>
      <c r="C65" s="4">
        <f>C64-SUM(C59:C60)</f>
        <v>0</v>
      </c>
      <c r="D65" s="4">
        <f>D64-SUM(D59:D60)</f>
        <v>0</v>
      </c>
      <c r="E65" s="4">
        <f t="shared" ref="E65:H65" si="45">E64-SUM(E59:E60)</f>
        <v>0</v>
      </c>
      <c r="F65" s="4">
        <f t="shared" si="45"/>
        <v>0</v>
      </c>
      <c r="G65" s="4">
        <f t="shared" si="45"/>
        <v>0</v>
      </c>
      <c r="H65" s="4">
        <f t="shared" si="45"/>
        <v>0</v>
      </c>
      <c r="I65" s="2"/>
      <c r="J65" s="2"/>
      <c r="K65" s="2"/>
    </row>
    <row r="66" spans="1:17" x14ac:dyDescent="0.25">
      <c r="A66" s="2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7" x14ac:dyDescent="0.25">
      <c r="A67" s="3" t="s">
        <v>44</v>
      </c>
      <c r="B67" s="3">
        <f>B58</f>
        <v>2012</v>
      </c>
      <c r="C67" s="3">
        <f t="shared" ref="C67:H67" si="46">C58</f>
        <v>2013</v>
      </c>
      <c r="D67" s="3">
        <f t="shared" si="46"/>
        <v>2014</v>
      </c>
      <c r="E67" s="3">
        <f t="shared" si="46"/>
        <v>2015</v>
      </c>
      <c r="F67" s="3">
        <f t="shared" si="46"/>
        <v>2016</v>
      </c>
      <c r="G67" s="3">
        <f t="shared" si="46"/>
        <v>2017</v>
      </c>
      <c r="H67" s="3">
        <f t="shared" si="46"/>
        <v>2018</v>
      </c>
      <c r="I67" s="75"/>
      <c r="J67" s="2"/>
      <c r="K67" s="2"/>
    </row>
    <row r="68" spans="1:17" x14ac:dyDescent="0.25">
      <c r="A68" s="4" t="s">
        <v>41</v>
      </c>
      <c r="B68" s="4">
        <f>-B62</f>
        <v>-8000</v>
      </c>
      <c r="C68" s="4"/>
      <c r="D68" s="4"/>
      <c r="E68" s="4"/>
      <c r="F68" s="4"/>
      <c r="G68" s="4"/>
      <c r="H68" s="4"/>
      <c r="I68" s="2"/>
      <c r="K68" s="4">
        <f t="shared" ref="K68:Q68" si="47">B70</f>
        <v>-8000</v>
      </c>
      <c r="L68" s="4">
        <f t="shared" si="47"/>
        <v>31.703639999999954</v>
      </c>
      <c r="M68" s="4">
        <f t="shared" si="47"/>
        <v>503.33483761649956</v>
      </c>
      <c r="N68" s="4">
        <f t="shared" si="47"/>
        <v>1019.9881928276042</v>
      </c>
      <c r="O68" s="4">
        <f t="shared" si="47"/>
        <v>967.119948262462</v>
      </c>
      <c r="P68" s="4">
        <f t="shared" si="47"/>
        <v>1003.9496043050823</v>
      </c>
      <c r="Q68" s="4">
        <f t="shared" si="47"/>
        <v>8719.5495725327983</v>
      </c>
    </row>
    <row r="69" spans="1:17" x14ac:dyDescent="0.25">
      <c r="A69" s="4" t="s">
        <v>42</v>
      </c>
      <c r="B69" s="4"/>
      <c r="C69" s="4">
        <f>-C41</f>
        <v>31.703639999999954</v>
      </c>
      <c r="D69" s="4">
        <f t="shared" ref="D69:G69" si="48">-D41</f>
        <v>503.33483761649956</v>
      </c>
      <c r="E69" s="4">
        <f t="shared" si="48"/>
        <v>1019.9881928276042</v>
      </c>
      <c r="F69" s="4">
        <f t="shared" si="48"/>
        <v>967.119948262462</v>
      </c>
      <c r="G69" s="4">
        <f t="shared" si="48"/>
        <v>1003.9496043050823</v>
      </c>
      <c r="H69" s="4">
        <f>-H41+H62</f>
        <v>8719.5495725327983</v>
      </c>
      <c r="I69" s="2"/>
      <c r="J69" s="24"/>
      <c r="K69" s="6"/>
      <c r="L69" s="4">
        <f>K68+L68</f>
        <v>-7968.2963600000003</v>
      </c>
      <c r="M69" s="4">
        <f>M68</f>
        <v>503.33483761649956</v>
      </c>
      <c r="N69" s="4">
        <f t="shared" ref="N69:Q69" si="49">N68</f>
        <v>1019.9881928276042</v>
      </c>
      <c r="O69" s="4">
        <f t="shared" si="49"/>
        <v>967.119948262462</v>
      </c>
      <c r="P69" s="4">
        <f t="shared" si="49"/>
        <v>1003.9496043050823</v>
      </c>
      <c r="Q69" s="4">
        <f t="shared" si="49"/>
        <v>8719.5495725327983</v>
      </c>
    </row>
    <row r="70" spans="1:17" x14ac:dyDescent="0.25">
      <c r="A70" s="4" t="s">
        <v>43</v>
      </c>
      <c r="B70" s="4">
        <f>B68+B69</f>
        <v>-8000</v>
      </c>
      <c r="C70" s="4">
        <f t="shared" ref="C70:H70" si="50">C68+C69</f>
        <v>31.703639999999954</v>
      </c>
      <c r="D70" s="4">
        <f t="shared" si="50"/>
        <v>503.33483761649956</v>
      </c>
      <c r="E70" s="4">
        <f t="shared" si="50"/>
        <v>1019.9881928276042</v>
      </c>
      <c r="F70" s="4">
        <f t="shared" si="50"/>
        <v>967.119948262462</v>
      </c>
      <c r="G70" s="4">
        <f t="shared" si="50"/>
        <v>1003.9496043050823</v>
      </c>
      <c r="H70" s="4">
        <f t="shared" si="50"/>
        <v>8719.5495725327983</v>
      </c>
    </row>
    <row r="71" spans="1:17" x14ac:dyDescent="0.25">
      <c r="A71" s="4" t="s">
        <v>59</v>
      </c>
      <c r="B71" s="23">
        <f>IRR(B70:H70)</f>
        <v>8.4099011528801837E-2</v>
      </c>
      <c r="C71" s="25"/>
      <c r="D71" s="25"/>
      <c r="E71" s="25"/>
      <c r="F71" s="25"/>
      <c r="G71" s="25"/>
      <c r="H71" s="25"/>
    </row>
    <row r="72" spans="1:17" x14ac:dyDescent="0.25">
      <c r="A72" s="4" t="s">
        <v>60</v>
      </c>
      <c r="B72" s="23">
        <f>IRR(L69:Q69)</f>
        <v>0.10518207636484256</v>
      </c>
      <c r="C72" s="25"/>
      <c r="D72" s="25"/>
      <c r="E72" s="25"/>
      <c r="F72" s="25"/>
      <c r="G72" s="25"/>
      <c r="H72" s="25"/>
    </row>
    <row r="73" spans="1:17" x14ac:dyDescent="0.25">
      <c r="A73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4" spans="1:17" x14ac:dyDescent="0.25">
      <c r="A74" s="6"/>
      <c r="B74" s="3">
        <f>B67</f>
        <v>2012</v>
      </c>
      <c r="C74" s="3">
        <f t="shared" ref="C74:H74" si="51">C67</f>
        <v>2013</v>
      </c>
      <c r="D74" s="3">
        <f t="shared" si="51"/>
        <v>2014</v>
      </c>
      <c r="E74" s="3">
        <f t="shared" si="51"/>
        <v>2015</v>
      </c>
      <c r="F74" s="3">
        <f t="shared" si="51"/>
        <v>2016</v>
      </c>
      <c r="G74" s="3">
        <f t="shared" si="51"/>
        <v>2017</v>
      </c>
      <c r="H74" s="3">
        <f t="shared" si="51"/>
        <v>2018</v>
      </c>
    </row>
    <row r="75" spans="1:17" x14ac:dyDescent="0.25">
      <c r="A75" s="17" t="s">
        <v>47</v>
      </c>
      <c r="B75" s="6">
        <v>0</v>
      </c>
      <c r="C75" s="18">
        <f>1+$F$8</f>
        <v>1.0149999999999999</v>
      </c>
      <c r="D75" s="19">
        <f>C75*(1+$F$8)</f>
        <v>1.0302249999999997</v>
      </c>
      <c r="E75" s="19">
        <f>D75*(1+$F$8)</f>
        <v>1.0456783749999996</v>
      </c>
      <c r="F75" s="19">
        <f>E75*(1+$F$8)</f>
        <v>1.0613635506249994</v>
      </c>
      <c r="G75" s="19">
        <f>F75*(1+$F$8)</f>
        <v>1.0772840038843743</v>
      </c>
      <c r="H75" s="19">
        <f>G75*(1+$F$8)</f>
        <v>1.0934432639426397</v>
      </c>
    </row>
    <row r="76" spans="1:17" x14ac:dyDescent="0.25">
      <c r="A76" t="str">
        <f>A1</f>
        <v>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v>
      </c>
    </row>
    <row r="77" spans="1:17" x14ac:dyDescent="0.25">
      <c r="A77" s="33" t="s">
        <v>68</v>
      </c>
      <c r="B77" s="3">
        <f>B67</f>
        <v>2012</v>
      </c>
      <c r="C77" s="3">
        <f>C67</f>
        <v>2013</v>
      </c>
      <c r="D77" s="3">
        <f t="shared" ref="D77:H77" si="52">D67</f>
        <v>2014</v>
      </c>
      <c r="E77" s="3">
        <f t="shared" si="52"/>
        <v>2015</v>
      </c>
      <c r="F77" s="3">
        <f t="shared" si="52"/>
        <v>2016</v>
      </c>
      <c r="G77" s="3">
        <f t="shared" si="52"/>
        <v>2017</v>
      </c>
      <c r="H77" s="3">
        <f t="shared" si="52"/>
        <v>2018</v>
      </c>
    </row>
    <row r="78" spans="1:17" x14ac:dyDescent="0.25">
      <c r="A78" s="6" t="s">
        <v>64</v>
      </c>
      <c r="B78" s="6"/>
      <c r="C78" s="4">
        <f t="shared" ref="C78:H80" si="53">C13</f>
        <v>20</v>
      </c>
      <c r="D78" s="4">
        <f t="shared" si="53"/>
        <v>30</v>
      </c>
      <c r="E78" s="4">
        <f t="shared" si="53"/>
        <v>33</v>
      </c>
      <c r="F78" s="4">
        <f t="shared" si="53"/>
        <v>16</v>
      </c>
      <c r="G78" s="4">
        <f t="shared" si="53"/>
        <v>12</v>
      </c>
      <c r="H78" s="4">
        <f t="shared" si="53"/>
        <v>0</v>
      </c>
      <c r="J78" t="s">
        <v>67</v>
      </c>
    </row>
    <row r="79" spans="1:17" x14ac:dyDescent="0.25">
      <c r="A79" s="6" t="s">
        <v>65</v>
      </c>
      <c r="B79" s="6"/>
      <c r="C79" s="4">
        <f t="shared" si="53"/>
        <v>0</v>
      </c>
      <c r="D79" s="4">
        <f t="shared" si="53"/>
        <v>0</v>
      </c>
      <c r="E79" s="4">
        <f t="shared" si="53"/>
        <v>-8</v>
      </c>
      <c r="F79" s="4">
        <f t="shared" si="53"/>
        <v>-8</v>
      </c>
      <c r="G79" s="4">
        <f t="shared" si="53"/>
        <v>-8</v>
      </c>
      <c r="H79" s="4">
        <f t="shared" si="53"/>
        <v>-8</v>
      </c>
    </row>
    <row r="80" spans="1:17" x14ac:dyDescent="0.25">
      <c r="A80" s="6" t="s">
        <v>66</v>
      </c>
      <c r="B80" s="6"/>
      <c r="C80" s="4">
        <f t="shared" si="53"/>
        <v>20</v>
      </c>
      <c r="D80" s="4">
        <f t="shared" si="53"/>
        <v>50</v>
      </c>
      <c r="E80" s="4">
        <f t="shared" si="53"/>
        <v>75</v>
      </c>
      <c r="F80" s="4">
        <f t="shared" si="53"/>
        <v>83</v>
      </c>
      <c r="G80" s="4">
        <f t="shared" si="53"/>
        <v>87</v>
      </c>
      <c r="H80" s="4">
        <f t="shared" si="53"/>
        <v>79</v>
      </c>
      <c r="I80" s="32"/>
    </row>
    <row r="81" spans="1:8" x14ac:dyDescent="0.25">
      <c r="A81" s="6" t="s">
        <v>71</v>
      </c>
      <c r="B81" s="6"/>
      <c r="C81" s="4">
        <f t="shared" ref="C81:H81" si="54">C17</f>
        <v>300</v>
      </c>
      <c r="D81" s="4">
        <f t="shared" si="54"/>
        <v>304.49999999999994</v>
      </c>
      <c r="E81" s="4">
        <f t="shared" si="54"/>
        <v>309.06749999999994</v>
      </c>
      <c r="F81" s="4">
        <f t="shared" si="54"/>
        <v>313.70351249999993</v>
      </c>
      <c r="G81" s="4">
        <f t="shared" si="54"/>
        <v>318.40906518749989</v>
      </c>
      <c r="H81" s="4">
        <f t="shared" si="54"/>
        <v>323.18520116531238</v>
      </c>
    </row>
    <row r="82" spans="1:8" x14ac:dyDescent="0.25">
      <c r="A82" s="30"/>
      <c r="B82" s="30"/>
      <c r="C82" s="31"/>
      <c r="D82" s="31"/>
      <c r="E82" s="31"/>
      <c r="F82" s="31"/>
      <c r="G82" s="31"/>
      <c r="H82" s="31"/>
    </row>
    <row r="83" spans="1:8" x14ac:dyDescent="0.25">
      <c r="A83" s="34" t="s">
        <v>33</v>
      </c>
      <c r="B83" s="35">
        <f>B77</f>
        <v>2012</v>
      </c>
      <c r="C83" s="35">
        <f t="shared" ref="C83:H83" si="55">C77</f>
        <v>2013</v>
      </c>
      <c r="D83" s="35">
        <f t="shared" si="55"/>
        <v>2014</v>
      </c>
      <c r="E83" s="35">
        <f t="shared" si="55"/>
        <v>2015</v>
      </c>
      <c r="F83" s="35">
        <f t="shared" si="55"/>
        <v>2016</v>
      </c>
      <c r="G83" s="35">
        <f t="shared" si="55"/>
        <v>2017</v>
      </c>
      <c r="H83" s="35">
        <f t="shared" si="55"/>
        <v>2018</v>
      </c>
    </row>
    <row r="84" spans="1:8" x14ac:dyDescent="0.25">
      <c r="A84" s="6" t="s">
        <v>12</v>
      </c>
      <c r="B84" s="6"/>
      <c r="C84" s="4">
        <f t="shared" ref="C84:H84" si="56">C26</f>
        <v>243.59999999999997</v>
      </c>
      <c r="D84" s="4">
        <f t="shared" si="56"/>
        <v>878.36983499999963</v>
      </c>
      <c r="E84" s="4">
        <f t="shared" si="56"/>
        <v>1615.9260058265615</v>
      </c>
      <c r="F84" s="4">
        <f t="shared" si="56"/>
        <v>2104.2659548617739</v>
      </c>
      <c r="G84" s="4">
        <f t="shared" si="56"/>
        <v>2332.51554980424</v>
      </c>
      <c r="H84" s="4">
        <f t="shared" si="56"/>
        <v>2346.4742833018472</v>
      </c>
    </row>
    <row r="85" spans="1:8" x14ac:dyDescent="0.25">
      <c r="A85" s="6" t="s">
        <v>15</v>
      </c>
      <c r="B85" s="6"/>
      <c r="C85" s="4">
        <f t="shared" ref="C85:H85" si="57">C31</f>
        <v>135.57839999999996</v>
      </c>
      <c r="D85" s="4">
        <f t="shared" si="57"/>
        <v>531.53463248999958</v>
      </c>
      <c r="E85" s="4">
        <f t="shared" si="57"/>
        <v>906.94334920894607</v>
      </c>
      <c r="F85" s="4">
        <f t="shared" si="57"/>
        <v>1221.084027926426</v>
      </c>
      <c r="G85" s="4">
        <f t="shared" si="57"/>
        <v>1374.0180414079909</v>
      </c>
      <c r="H85" s="4">
        <f t="shared" si="57"/>
        <v>1391.8820832653028</v>
      </c>
    </row>
    <row r="86" spans="1:8" x14ac:dyDescent="0.25">
      <c r="A86" s="6" t="s">
        <v>25</v>
      </c>
      <c r="B86" s="6"/>
      <c r="C86" s="4">
        <f>C40</f>
        <v>98.903639999999953</v>
      </c>
      <c r="D86" s="4">
        <f t="shared" ref="D86:H86" si="58">D40</f>
        <v>742.06283761649956</v>
      </c>
      <c r="E86" s="4">
        <f t="shared" si="58"/>
        <v>1452.6826928276041</v>
      </c>
      <c r="F86" s="4">
        <f t="shared" si="58"/>
        <v>1522.2496839824621</v>
      </c>
      <c r="G86" s="4">
        <f t="shared" si="58"/>
        <v>1610.2004644220822</v>
      </c>
      <c r="H86" s="4">
        <f t="shared" si="58"/>
        <v>1580.2607013752311</v>
      </c>
    </row>
    <row r="87" spans="1:8" x14ac:dyDescent="0.25">
      <c r="A87" s="6" t="s">
        <v>17</v>
      </c>
      <c r="B87" s="6"/>
      <c r="C87" s="4">
        <f t="shared" ref="C87:H87" si="59">C36</f>
        <v>31.703639999999954</v>
      </c>
      <c r="D87" s="4">
        <f t="shared" si="59"/>
        <v>503.33483761649956</v>
      </c>
      <c r="E87" s="4">
        <f t="shared" si="59"/>
        <v>1019.9881928276042</v>
      </c>
      <c r="F87" s="4">
        <f t="shared" si="59"/>
        <v>967.119948262462</v>
      </c>
      <c r="G87" s="4">
        <f t="shared" si="59"/>
        <v>1003.9496043050823</v>
      </c>
      <c r="H87" s="4">
        <f t="shared" si="59"/>
        <v>979.3947753686823</v>
      </c>
    </row>
    <row r="88" spans="1:8" x14ac:dyDescent="0.25">
      <c r="A88" s="30"/>
      <c r="B88" s="30"/>
      <c r="C88" s="30"/>
      <c r="D88" s="30"/>
      <c r="E88" s="30"/>
      <c r="F88" s="30"/>
      <c r="G88" s="30"/>
      <c r="H88" s="30"/>
    </row>
    <row r="89" spans="1:8" x14ac:dyDescent="0.25">
      <c r="A89" s="34" t="s">
        <v>40</v>
      </c>
      <c r="B89" s="35">
        <f>B77</f>
        <v>2012</v>
      </c>
      <c r="C89" s="35">
        <f t="shared" ref="C89:H89" si="60">C77</f>
        <v>2013</v>
      </c>
      <c r="D89" s="35">
        <f t="shared" si="60"/>
        <v>2014</v>
      </c>
      <c r="E89" s="35">
        <f t="shared" si="60"/>
        <v>2015</v>
      </c>
      <c r="F89" s="35">
        <f t="shared" si="60"/>
        <v>2016</v>
      </c>
      <c r="G89" s="35">
        <f t="shared" si="60"/>
        <v>2017</v>
      </c>
      <c r="H89" s="35">
        <f t="shared" si="60"/>
        <v>2018</v>
      </c>
    </row>
    <row r="90" spans="1:8" x14ac:dyDescent="0.25">
      <c r="A90" s="4" t="s">
        <v>19</v>
      </c>
      <c r="B90" s="4">
        <f>B50</f>
        <v>0</v>
      </c>
      <c r="C90" s="4">
        <f t="shared" ref="C90:H91" si="61">L5</f>
        <v>6652.8000000000011</v>
      </c>
      <c r="D90" s="4">
        <f t="shared" si="61"/>
        <v>16645.272000000001</v>
      </c>
      <c r="E90" s="4">
        <f t="shared" si="61"/>
        <v>25235.712299999996</v>
      </c>
      <c r="F90" s="4">
        <f t="shared" si="61"/>
        <v>27902.149508279996</v>
      </c>
      <c r="G90" s="4">
        <f t="shared" si="61"/>
        <v>29175.316484282994</v>
      </c>
      <c r="H90" s="4">
        <f t="shared" si="61"/>
        <v>26174.450558276447</v>
      </c>
    </row>
    <row r="91" spans="1:8" x14ac:dyDescent="0.25">
      <c r="A91" s="4" t="s">
        <v>20</v>
      </c>
      <c r="B91" s="4">
        <f>B51</f>
        <v>8000</v>
      </c>
      <c r="C91" s="4">
        <f t="shared" si="61"/>
        <v>5715.2</v>
      </c>
      <c r="D91" s="4">
        <f t="shared" si="61"/>
        <v>2081.8080000000009</v>
      </c>
      <c r="E91" s="4">
        <f t="shared" si="61"/>
        <v>201.26665333333585</v>
      </c>
      <c r="F91" s="4">
        <f t="shared" si="61"/>
        <v>26.382695097780925</v>
      </c>
      <c r="G91" s="4">
        <f t="shared" si="61"/>
        <v>206.2684990142634</v>
      </c>
      <c r="H91" s="4">
        <f t="shared" si="61"/>
        <v>1781.6954261343283</v>
      </c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21</v>
      </c>
      <c r="B93" s="4">
        <f>B53</f>
        <v>8000</v>
      </c>
      <c r="C93" s="4">
        <f t="shared" ref="C93:H95" si="62">L8</f>
        <v>8000</v>
      </c>
      <c r="D93" s="4">
        <f t="shared" si="62"/>
        <v>8000</v>
      </c>
      <c r="E93" s="4">
        <f t="shared" si="62"/>
        <v>8000</v>
      </c>
      <c r="F93" s="4">
        <f t="shared" si="62"/>
        <v>8000</v>
      </c>
      <c r="G93" s="4">
        <f t="shared" si="62"/>
        <v>8000</v>
      </c>
      <c r="H93" s="4">
        <f t="shared" si="62"/>
        <v>8000</v>
      </c>
    </row>
    <row r="94" spans="1:8" x14ac:dyDescent="0.25">
      <c r="A94" s="4" t="s">
        <v>22</v>
      </c>
      <c r="B94" s="4">
        <f>B54</f>
        <v>0</v>
      </c>
      <c r="C94" s="4">
        <f t="shared" si="62"/>
        <v>4368.0000000000009</v>
      </c>
      <c r="D94" s="4">
        <f t="shared" si="62"/>
        <v>10727.08</v>
      </c>
      <c r="E94" s="4">
        <f t="shared" si="62"/>
        <v>17436.978953333331</v>
      </c>
      <c r="F94" s="4">
        <f t="shared" si="62"/>
        <v>19928.532203377777</v>
      </c>
      <c r="G94" s="4">
        <f t="shared" si="62"/>
        <v>21381.58498329726</v>
      </c>
      <c r="H94" s="4">
        <f t="shared" si="62"/>
        <v>19956.145984410778</v>
      </c>
    </row>
    <row r="95" spans="1:8" x14ac:dyDescent="0.25">
      <c r="A95" s="4" t="s">
        <v>23</v>
      </c>
      <c r="B95" s="4">
        <f>B55</f>
        <v>8000</v>
      </c>
      <c r="C95" s="4">
        <f t="shared" si="62"/>
        <v>12368</v>
      </c>
      <c r="D95" s="4">
        <f t="shared" si="62"/>
        <v>18727.080000000002</v>
      </c>
      <c r="E95" s="4">
        <f t="shared" si="62"/>
        <v>25436.978953333331</v>
      </c>
      <c r="F95" s="4">
        <f t="shared" si="62"/>
        <v>27928.532203377777</v>
      </c>
      <c r="G95" s="4">
        <f t="shared" si="62"/>
        <v>29381.58498329726</v>
      </c>
      <c r="H95" s="4">
        <f t="shared" si="62"/>
        <v>27956.145984410778</v>
      </c>
    </row>
    <row r="96" spans="1:8" x14ac:dyDescent="0.25">
      <c r="A96" s="36"/>
      <c r="B96" s="36"/>
      <c r="C96" s="36"/>
      <c r="D96" s="36"/>
      <c r="E96" s="36"/>
      <c r="F96" s="36"/>
      <c r="G96" s="36"/>
      <c r="H96" s="36"/>
    </row>
    <row r="97" spans="1:8" x14ac:dyDescent="0.25">
      <c r="A97" s="3" t="s">
        <v>44</v>
      </c>
      <c r="B97" s="3">
        <f>B89</f>
        <v>2012</v>
      </c>
      <c r="C97" s="3">
        <f t="shared" ref="C97:H97" si="63">C89</f>
        <v>2013</v>
      </c>
      <c r="D97" s="3">
        <f t="shared" si="63"/>
        <v>2014</v>
      </c>
      <c r="E97" s="3">
        <f t="shared" si="63"/>
        <v>2015</v>
      </c>
      <c r="F97" s="3">
        <f t="shared" si="63"/>
        <v>2016</v>
      </c>
      <c r="G97" s="3">
        <f t="shared" si="63"/>
        <v>2017</v>
      </c>
      <c r="H97" s="3">
        <f t="shared" si="63"/>
        <v>2018</v>
      </c>
    </row>
    <row r="98" spans="1:8" x14ac:dyDescent="0.25">
      <c r="A98" s="4" t="s">
        <v>41</v>
      </c>
      <c r="B98" s="4">
        <f>B68</f>
        <v>-8000</v>
      </c>
      <c r="C98" s="4">
        <f t="shared" ref="C98:H98" si="64">C68</f>
        <v>0</v>
      </c>
      <c r="D98" s="4">
        <f t="shared" si="64"/>
        <v>0</v>
      </c>
      <c r="E98" s="4">
        <f t="shared" si="64"/>
        <v>0</v>
      </c>
      <c r="F98" s="4">
        <f t="shared" si="64"/>
        <v>0</v>
      </c>
      <c r="G98" s="4">
        <f t="shared" si="64"/>
        <v>0</v>
      </c>
      <c r="H98" s="4">
        <f t="shared" si="64"/>
        <v>0</v>
      </c>
    </row>
    <row r="99" spans="1:8" x14ac:dyDescent="0.25">
      <c r="A99" s="4" t="s">
        <v>42</v>
      </c>
      <c r="B99" s="4">
        <f t="shared" ref="B99:H102" si="65">B69</f>
        <v>0</v>
      </c>
      <c r="C99" s="4">
        <f t="shared" si="65"/>
        <v>31.703639999999954</v>
      </c>
      <c r="D99" s="4">
        <f t="shared" si="65"/>
        <v>503.33483761649956</v>
      </c>
      <c r="E99" s="4">
        <f t="shared" si="65"/>
        <v>1019.9881928276042</v>
      </c>
      <c r="F99" s="4">
        <f t="shared" si="65"/>
        <v>967.119948262462</v>
      </c>
      <c r="G99" s="4">
        <f t="shared" si="65"/>
        <v>1003.9496043050823</v>
      </c>
      <c r="H99" s="4">
        <f t="shared" si="65"/>
        <v>8719.5495725327983</v>
      </c>
    </row>
    <row r="100" spans="1:8" x14ac:dyDescent="0.25">
      <c r="A100" s="4" t="s">
        <v>43</v>
      </c>
      <c r="B100" s="4">
        <f t="shared" si="65"/>
        <v>-8000</v>
      </c>
      <c r="C100" s="4">
        <f t="shared" si="65"/>
        <v>31.703639999999954</v>
      </c>
      <c r="D100" s="4">
        <f t="shared" si="65"/>
        <v>503.33483761649956</v>
      </c>
      <c r="E100" s="4">
        <f t="shared" si="65"/>
        <v>1019.9881928276042</v>
      </c>
      <c r="F100" s="4">
        <f t="shared" si="65"/>
        <v>967.119948262462</v>
      </c>
      <c r="G100" s="4">
        <f t="shared" si="65"/>
        <v>1003.9496043050823</v>
      </c>
      <c r="H100" s="4">
        <f t="shared" si="65"/>
        <v>8719.5495725327983</v>
      </c>
    </row>
    <row r="101" spans="1:8" hidden="1" x14ac:dyDescent="0.25">
      <c r="A101" s="3" t="s">
        <v>72</v>
      </c>
      <c r="B101" s="37">
        <f t="shared" si="65"/>
        <v>8.4099011528801837E-2</v>
      </c>
      <c r="C101" s="25"/>
      <c r="D101" s="25"/>
      <c r="E101" s="25"/>
      <c r="F101" s="25"/>
      <c r="G101" s="25"/>
      <c r="H101" s="25"/>
    </row>
    <row r="102" spans="1:8" x14ac:dyDescent="0.25">
      <c r="A102" s="3" t="s">
        <v>208</v>
      </c>
      <c r="B102" s="38">
        <f t="shared" si="65"/>
        <v>0.10518207636484256</v>
      </c>
      <c r="C102" s="25"/>
      <c r="D102" s="25"/>
      <c r="E102" s="25"/>
      <c r="F102" s="25"/>
      <c r="G102" s="25"/>
      <c r="H102" s="25"/>
    </row>
  </sheetData>
  <pageMargins left="0.70866141732283472" right="0.70866141732283472" top="0.74803149606299213" bottom="0.74803149606299213" header="0.31496062992125984" footer="0.31496062992125984"/>
  <pageSetup paperSize="9" scale="7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12</vt:i4>
      </vt:variant>
    </vt:vector>
  </HeadingPairs>
  <TitlesOfParts>
    <vt:vector size="28" baseType="lpstr">
      <vt:lpstr>BP levier 0.65, 5M€, 28% revte </vt:lpstr>
      <vt:lpstr>BP levier 0.65, 5M€ 0% revente </vt:lpstr>
      <vt:lpstr>montage</vt:lpstr>
      <vt:lpstr>SCI</vt:lpstr>
      <vt:lpstr>BP levier 0,9 0,25M€ </vt:lpstr>
      <vt:lpstr>fiscalité</vt:lpstr>
      <vt:lpstr>BP Levier 50 2 M€</vt:lpstr>
      <vt:lpstr>Foncia Pierre data</vt:lpstr>
      <vt:lpstr>BP levier 0.65 8M€ </vt:lpstr>
      <vt:lpstr>BP levier 0.65 8M€  peu revente</vt:lpstr>
      <vt:lpstr>BP levier 0.65 8M€ pas revente</vt:lpstr>
      <vt:lpstr>BP levier 0.75 1,5%</vt:lpstr>
      <vt:lpstr>BP levier 0.7 8M€ </vt:lpstr>
      <vt:lpstr>BP levier 0.65 4M€</vt:lpstr>
      <vt:lpstr>BP levier 0.2</vt:lpstr>
      <vt:lpstr>BP levier 0.8</vt:lpstr>
      <vt:lpstr>'BP levier 0,9 0,25M€ '!Zone_d_impression</vt:lpstr>
      <vt:lpstr>'BP levier 0.2'!Zone_d_impression</vt:lpstr>
      <vt:lpstr>'BP levier 0.65 4M€'!Zone_d_impression</vt:lpstr>
      <vt:lpstr>'BP levier 0.65 8M€ '!Zone_d_impression</vt:lpstr>
      <vt:lpstr>'BP levier 0.65 8M€  peu revente'!Zone_d_impression</vt:lpstr>
      <vt:lpstr>'BP levier 0.65 8M€ pas revente'!Zone_d_impression</vt:lpstr>
      <vt:lpstr>'BP levier 0.65, 5M€ 0% revente '!Zone_d_impression</vt:lpstr>
      <vt:lpstr>'BP levier 0.65, 5M€, 28% revte '!Zone_d_impression</vt:lpstr>
      <vt:lpstr>'BP levier 0.7 8M€ '!Zone_d_impression</vt:lpstr>
      <vt:lpstr>'BP levier 0.75 1,5%'!Zone_d_impression</vt:lpstr>
      <vt:lpstr>'BP levier 0.8'!Zone_d_impression</vt:lpstr>
      <vt:lpstr>'BP Levier 50 2 M€'!Zone_d_impression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SAINT-CRICQ</dc:creator>
  <cp:lastModifiedBy>Olivier</cp:lastModifiedBy>
  <cp:lastPrinted>2011-11-22T09:17:58Z</cp:lastPrinted>
  <dcterms:created xsi:type="dcterms:W3CDTF">2011-11-21T12:25:52Z</dcterms:created>
  <dcterms:modified xsi:type="dcterms:W3CDTF">2012-02-14T13:14:22Z</dcterms:modified>
</cp:coreProperties>
</file>