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45" windowWidth="12120" windowHeight="6900" tabRatio="885" firstSheet="1" activeTab="2"/>
  </bookViews>
  <sheets>
    <sheet name="BP 14 12 2010" sheetId="7" r:id="rId1"/>
    <sheet name="BP 14 simu" sheetId="14" r:id="rId2"/>
    <sheet name="BP 14 simu 140111" sheetId="20" r:id="rId3"/>
    <sheet name="Mécanique PV vendeur" sheetId="18" r:id="rId4"/>
    <sheet name="Agenda Vente MURE" sheetId="8" r:id="rId5"/>
    <sheet name="Exploit Mure" sheetId="1" r:id="rId6"/>
    <sheet name="Bil Mure (2)" sheetId="4" r:id="rId7"/>
    <sheet name="Bil détails" sheetId="19" r:id="rId8"/>
    <sheet name="Rentabilite synth" sheetId="10" r:id="rId9"/>
    <sheet name="tri actionnaires" sheetId="11" r:id="rId10"/>
    <sheet name="tri act. modifié" sheetId="13" r:id="rId11"/>
    <sheet name="BP extension" sheetId="15" r:id="rId12"/>
    <sheet name="Feuil1" sheetId="16" r:id="rId13"/>
  </sheets>
  <definedNames>
    <definedName name="_xlnm.Print_Area" localSheetId="0">'BP 14 12 2010'!$A$81:$L$111</definedName>
  </definedNames>
  <calcPr calcId="125725"/>
</workbook>
</file>

<file path=xl/calcChain.xml><?xml version="1.0" encoding="utf-8"?>
<calcChain xmlns="http://schemas.openxmlformats.org/spreadsheetml/2006/main">
  <c r="AA110" i="20"/>
  <c r="AA100" l="1"/>
  <c r="AA99"/>
  <c r="Z100"/>
  <c r="AB100" s="1"/>
  <c r="Z99"/>
  <c r="AB99" s="1"/>
  <c r="AE93" l="1"/>
  <c r="AF93"/>
  <c r="R12" i="4"/>
  <c r="P12"/>
  <c r="P11"/>
  <c r="P10"/>
  <c r="AB101" i="20"/>
  <c r="AA110" i="14"/>
  <c r="C110" i="20"/>
  <c r="O109"/>
  <c r="H109"/>
  <c r="I108"/>
  <c r="I109" s="1"/>
  <c r="H108"/>
  <c r="G108"/>
  <c r="G109" s="1"/>
  <c r="F108"/>
  <c r="AF105"/>
  <c r="N100"/>
  <c r="V99"/>
  <c r="N99"/>
  <c r="Z94" s="1"/>
  <c r="I99"/>
  <c r="H99"/>
  <c r="G99"/>
  <c r="F99"/>
  <c r="F109" s="1"/>
  <c r="N98"/>
  <c r="Z93" s="1"/>
  <c r="F98"/>
  <c r="Z95"/>
  <c r="AC93"/>
  <c r="S87"/>
  <c r="Q87"/>
  <c r="P87"/>
  <c r="V87" s="1"/>
  <c r="P100" s="1"/>
  <c r="S86"/>
  <c r="Q86"/>
  <c r="R86" s="1"/>
  <c r="P86"/>
  <c r="V86" s="1"/>
  <c r="P99" s="1"/>
  <c r="Q85"/>
  <c r="P85"/>
  <c r="R85" s="1"/>
  <c r="J85"/>
  <c r="P84"/>
  <c r="D77"/>
  <c r="C77"/>
  <c r="C107" s="1"/>
  <c r="D76"/>
  <c r="D106" s="1"/>
  <c r="C76"/>
  <c r="C106" s="1"/>
  <c r="D75"/>
  <c r="C75"/>
  <c r="C105" s="1"/>
  <c r="E74"/>
  <c r="E104" s="1"/>
  <c r="J104" s="1"/>
  <c r="D74"/>
  <c r="D104" s="1"/>
  <c r="C74"/>
  <c r="C104" s="1"/>
  <c r="D73"/>
  <c r="C73"/>
  <c r="C103" s="1"/>
  <c r="D72"/>
  <c r="D102" s="1"/>
  <c r="C72"/>
  <c r="C102" s="1"/>
  <c r="D71"/>
  <c r="C71"/>
  <c r="C101" s="1"/>
  <c r="D69"/>
  <c r="D99" s="1"/>
  <c r="C69"/>
  <c r="C99" s="1"/>
  <c r="D68"/>
  <c r="D98" s="1"/>
  <c r="C68"/>
  <c r="C53" s="1"/>
  <c r="E67"/>
  <c r="E97" s="1"/>
  <c r="J97" s="1"/>
  <c r="D67"/>
  <c r="D97" s="1"/>
  <c r="C67"/>
  <c r="D66"/>
  <c r="C66"/>
  <c r="C96" s="1"/>
  <c r="D65"/>
  <c r="D95" s="1"/>
  <c r="C65"/>
  <c r="C95" s="1"/>
  <c r="D64"/>
  <c r="D49" s="1"/>
  <c r="C64"/>
  <c r="C94" s="1"/>
  <c r="E63"/>
  <c r="E93" s="1"/>
  <c r="J93" s="1"/>
  <c r="F63" s="1"/>
  <c r="G63" s="1"/>
  <c r="H63" s="1"/>
  <c r="I63" s="1"/>
  <c r="D63"/>
  <c r="D93" s="1"/>
  <c r="C63"/>
  <c r="C93" s="1"/>
  <c r="D62"/>
  <c r="C62"/>
  <c r="C92" s="1"/>
  <c r="D61"/>
  <c r="D91" s="1"/>
  <c r="C61"/>
  <c r="C91" s="1"/>
  <c r="D60"/>
  <c r="C60"/>
  <c r="C90" s="1"/>
  <c r="E59"/>
  <c r="E89" s="1"/>
  <c r="J89" s="1"/>
  <c r="D59"/>
  <c r="D89" s="1"/>
  <c r="C59"/>
  <c r="C89" s="1"/>
  <c r="D58"/>
  <c r="C58"/>
  <c r="C88" s="1"/>
  <c r="D57"/>
  <c r="C57"/>
  <c r="C87" s="1"/>
  <c r="D56"/>
  <c r="E56" s="1"/>
  <c r="E86" s="1"/>
  <c r="C56"/>
  <c r="C86" s="1"/>
  <c r="D52"/>
  <c r="D50"/>
  <c r="D46"/>
  <c r="D42"/>
  <c r="D55" s="1"/>
  <c r="D85" s="1"/>
  <c r="C42"/>
  <c r="C55" s="1"/>
  <c r="C85" s="1"/>
  <c r="E38"/>
  <c r="I37"/>
  <c r="J37" s="1"/>
  <c r="K37" s="1"/>
  <c r="D37"/>
  <c r="E37" s="1"/>
  <c r="G37" s="1"/>
  <c r="H37" s="1"/>
  <c r="C37"/>
  <c r="G36"/>
  <c r="H36" s="1"/>
  <c r="I36" s="1"/>
  <c r="J36" s="1"/>
  <c r="K36" s="1"/>
  <c r="E36"/>
  <c r="E35"/>
  <c r="G35" s="1"/>
  <c r="H35" s="1"/>
  <c r="I35" s="1"/>
  <c r="J35" s="1"/>
  <c r="K35" s="1"/>
  <c r="H34"/>
  <c r="I34" s="1"/>
  <c r="J34" s="1"/>
  <c r="K34" s="1"/>
  <c r="G34"/>
  <c r="E34"/>
  <c r="I33"/>
  <c r="J33" s="1"/>
  <c r="K33" s="1"/>
  <c r="F33"/>
  <c r="F38" s="1"/>
  <c r="E33"/>
  <c r="G33" s="1"/>
  <c r="H33" s="1"/>
  <c r="D33"/>
  <c r="D38" s="1"/>
  <c r="C33"/>
  <c r="C38" s="1"/>
  <c r="E32"/>
  <c r="G32" s="1"/>
  <c r="H32" s="1"/>
  <c r="I32" s="1"/>
  <c r="J32" s="1"/>
  <c r="K32" s="1"/>
  <c r="H31"/>
  <c r="I31" s="1"/>
  <c r="J31" s="1"/>
  <c r="K31" s="1"/>
  <c r="G31"/>
  <c r="E31"/>
  <c r="E30"/>
  <c r="G30" s="1"/>
  <c r="H30" s="1"/>
  <c r="I30" s="1"/>
  <c r="J30" s="1"/>
  <c r="K30" s="1"/>
  <c r="E28"/>
  <c r="F27"/>
  <c r="F28" s="1"/>
  <c r="E27"/>
  <c r="D27"/>
  <c r="C27"/>
  <c r="G26"/>
  <c r="H26" s="1"/>
  <c r="I26" s="1"/>
  <c r="J26" s="1"/>
  <c r="K26" s="1"/>
  <c r="E26"/>
  <c r="E25"/>
  <c r="E24"/>
  <c r="G24" s="1"/>
  <c r="F23"/>
  <c r="E23"/>
  <c r="D23"/>
  <c r="D28" s="1"/>
  <c r="C23"/>
  <c r="C28" s="1"/>
  <c r="I22"/>
  <c r="J22" s="1"/>
  <c r="K22" s="1"/>
  <c r="E22"/>
  <c r="G22" s="1"/>
  <c r="H22" s="1"/>
  <c r="G21"/>
  <c r="H21" s="1"/>
  <c r="I21" s="1"/>
  <c r="J21" s="1"/>
  <c r="K21" s="1"/>
  <c r="E21"/>
  <c r="E20"/>
  <c r="G20" s="1"/>
  <c r="H20" s="1"/>
  <c r="I20" s="1"/>
  <c r="J20" s="1"/>
  <c r="K20" s="1"/>
  <c r="H19"/>
  <c r="I19" s="1"/>
  <c r="J19" s="1"/>
  <c r="K19" s="1"/>
  <c r="G19"/>
  <c r="E19"/>
  <c r="E18"/>
  <c r="G18" s="1"/>
  <c r="C17"/>
  <c r="H16"/>
  <c r="I16" s="1"/>
  <c r="J16" s="1"/>
  <c r="K16" s="1"/>
  <c r="G16"/>
  <c r="E16"/>
  <c r="E15"/>
  <c r="G15" s="1"/>
  <c r="H15" s="1"/>
  <c r="I15" s="1"/>
  <c r="J15" s="1"/>
  <c r="K15" s="1"/>
  <c r="H14"/>
  <c r="I14" s="1"/>
  <c r="J14" s="1"/>
  <c r="K14" s="1"/>
  <c r="G14"/>
  <c r="E14"/>
  <c r="E13"/>
  <c r="G13" s="1"/>
  <c r="H13" s="1"/>
  <c r="I13" s="1"/>
  <c r="J13" s="1"/>
  <c r="K13" s="1"/>
  <c r="H12"/>
  <c r="I12" s="1"/>
  <c r="J12" s="1"/>
  <c r="K12" s="1"/>
  <c r="G12"/>
  <c r="E12"/>
  <c r="G10"/>
  <c r="H10" s="1"/>
  <c r="I10" s="1"/>
  <c r="J10" s="1"/>
  <c r="K10" s="1"/>
  <c r="E10"/>
  <c r="F9"/>
  <c r="E9"/>
  <c r="F8"/>
  <c r="F17" s="1"/>
  <c r="D8"/>
  <c r="D17" s="1"/>
  <c r="C8"/>
  <c r="E7"/>
  <c r="G7" s="1"/>
  <c r="H7" s="1"/>
  <c r="I7" s="1"/>
  <c r="J7" s="1"/>
  <c r="K7" s="1"/>
  <c r="H6"/>
  <c r="I6" s="1"/>
  <c r="J6" s="1"/>
  <c r="K6" s="1"/>
  <c r="G6"/>
  <c r="E6"/>
  <c r="E5"/>
  <c r="G5" s="1"/>
  <c r="G4"/>
  <c r="G42" s="1"/>
  <c r="G55" s="1"/>
  <c r="E4"/>
  <c r="E42" s="1"/>
  <c r="E55" s="1"/>
  <c r="A1"/>
  <c r="AM46" i="11"/>
  <c r="Z48"/>
  <c r="AD35"/>
  <c r="AB35"/>
  <c r="D47" i="20" l="1"/>
  <c r="E51"/>
  <c r="E61"/>
  <c r="E65"/>
  <c r="E95" s="1"/>
  <c r="J95" s="1"/>
  <c r="L95" s="1"/>
  <c r="E72"/>
  <c r="E102" s="1"/>
  <c r="J102" s="1"/>
  <c r="E76"/>
  <c r="E106" s="1"/>
  <c r="J106" s="1"/>
  <c r="L106" s="1"/>
  <c r="R87"/>
  <c r="R88"/>
  <c r="R89" s="1"/>
  <c r="R92" s="1"/>
  <c r="V85"/>
  <c r="P98" s="1"/>
  <c r="H24"/>
  <c r="G27"/>
  <c r="D40"/>
  <c r="E17"/>
  <c r="D29"/>
  <c r="E29" s="1"/>
  <c r="L89"/>
  <c r="F59"/>
  <c r="G59" s="1"/>
  <c r="H59" s="1"/>
  <c r="I59" s="1"/>
  <c r="J59" s="1"/>
  <c r="K59" s="1"/>
  <c r="A83"/>
  <c r="A81"/>
  <c r="A111"/>
  <c r="A3"/>
  <c r="F29"/>
  <c r="F40"/>
  <c r="J86"/>
  <c r="D87"/>
  <c r="E57"/>
  <c r="E87" s="1"/>
  <c r="J87" s="1"/>
  <c r="D88"/>
  <c r="E58"/>
  <c r="E88" s="1"/>
  <c r="J88" s="1"/>
  <c r="J63"/>
  <c r="K63" s="1"/>
  <c r="J50"/>
  <c r="D103"/>
  <c r="D45"/>
  <c r="E73" s="1"/>
  <c r="L104"/>
  <c r="F74"/>
  <c r="G74" s="1"/>
  <c r="H74" s="1"/>
  <c r="I74" s="1"/>
  <c r="J74" s="1"/>
  <c r="K74" s="1"/>
  <c r="Z101"/>
  <c r="H4"/>
  <c r="F72"/>
  <c r="G72" s="1"/>
  <c r="H72" s="1"/>
  <c r="I72" s="1"/>
  <c r="J72" s="1"/>
  <c r="K72" s="1"/>
  <c r="C40"/>
  <c r="C29"/>
  <c r="A54"/>
  <c r="D92"/>
  <c r="E62"/>
  <c r="E92" s="1"/>
  <c r="J92" s="1"/>
  <c r="D48"/>
  <c r="D94"/>
  <c r="E64"/>
  <c r="E94" s="1"/>
  <c r="J94" s="1"/>
  <c r="W88"/>
  <c r="G8"/>
  <c r="H5"/>
  <c r="I5" s="1"/>
  <c r="J5" s="1"/>
  <c r="K5" s="1"/>
  <c r="E8"/>
  <c r="G9"/>
  <c r="H9" s="1"/>
  <c r="I9" s="1"/>
  <c r="J9" s="1"/>
  <c r="K9" s="1"/>
  <c r="G23"/>
  <c r="H18"/>
  <c r="I18" s="1"/>
  <c r="J18" s="1"/>
  <c r="K18" s="1"/>
  <c r="G38"/>
  <c r="H38" s="1"/>
  <c r="I38" s="1"/>
  <c r="J38" s="1"/>
  <c r="K38" s="1"/>
  <c r="E46"/>
  <c r="E91"/>
  <c r="J91" s="1"/>
  <c r="E48"/>
  <c r="L97"/>
  <c r="F67"/>
  <c r="G67" s="1"/>
  <c r="H67" s="1"/>
  <c r="I67" s="1"/>
  <c r="J67" s="1"/>
  <c r="K67" s="1"/>
  <c r="D107"/>
  <c r="E77"/>
  <c r="E107" s="1"/>
  <c r="J107" s="1"/>
  <c r="C98"/>
  <c r="D86"/>
  <c r="D90"/>
  <c r="E60"/>
  <c r="E90" s="1"/>
  <c r="J90" s="1"/>
  <c r="F65"/>
  <c r="G65" s="1"/>
  <c r="H65" s="1"/>
  <c r="I65" s="1"/>
  <c r="J65" s="1"/>
  <c r="K65" s="1"/>
  <c r="C78"/>
  <c r="W87"/>
  <c r="L93"/>
  <c r="F76"/>
  <c r="G76" s="1"/>
  <c r="H76" s="1"/>
  <c r="I76" s="1"/>
  <c r="J76" s="1"/>
  <c r="K76" s="1"/>
  <c r="D96"/>
  <c r="E66"/>
  <c r="C97"/>
  <c r="D51"/>
  <c r="D78"/>
  <c r="D101"/>
  <c r="E71"/>
  <c r="W85"/>
  <c r="AE105"/>
  <c r="AE106" s="1"/>
  <c r="AE98" s="1"/>
  <c r="AE99" s="1"/>
  <c r="AE100" s="1"/>
  <c r="AC94"/>
  <c r="AG93"/>
  <c r="AH98"/>
  <c r="D105"/>
  <c r="E75"/>
  <c r="E105" s="1"/>
  <c r="J105" s="1"/>
  <c r="W86"/>
  <c r="V101"/>
  <c r="V102"/>
  <c r="V103" s="1"/>
  <c r="Z51" i="11"/>
  <c r="Y35"/>
  <c r="AI45"/>
  <c r="AL43"/>
  <c r="AL36"/>
  <c r="AL37"/>
  <c r="AL38"/>
  <c r="AL39"/>
  <c r="AL40"/>
  <c r="AL41"/>
  <c r="AL42"/>
  <c r="AL35"/>
  <c r="AE45"/>
  <c r="Z45"/>
  <c r="AH36"/>
  <c r="AH37"/>
  <c r="AH43" s="1"/>
  <c r="AH38"/>
  <c r="AH39"/>
  <c r="AH40"/>
  <c r="AH41"/>
  <c r="AH42"/>
  <c r="AH35"/>
  <c r="AG35"/>
  <c r="AK36"/>
  <c r="AK37"/>
  <c r="AK38"/>
  <c r="AK39"/>
  <c r="AK42"/>
  <c r="AK35"/>
  <c r="AG36"/>
  <c r="AG37"/>
  <c r="AG38"/>
  <c r="AG41"/>
  <c r="AG42"/>
  <c r="AI43"/>
  <c r="AE43"/>
  <c r="Z43"/>
  <c r="AN36"/>
  <c r="AN37"/>
  <c r="AN38"/>
  <c r="AN39"/>
  <c r="AN40"/>
  <c r="AN41"/>
  <c r="AN42"/>
  <c r="AN35"/>
  <c r="AD36"/>
  <c r="AD37"/>
  <c r="AD38"/>
  <c r="AD39"/>
  <c r="AD40"/>
  <c r="AD41"/>
  <c r="AD42"/>
  <c r="AD43"/>
  <c r="AE35"/>
  <c r="AI35"/>
  <c r="AE36"/>
  <c r="AI36"/>
  <c r="AE37"/>
  <c r="AI37"/>
  <c r="AE38"/>
  <c r="AI38"/>
  <c r="AE39"/>
  <c r="AI39"/>
  <c r="AE40"/>
  <c r="AI40"/>
  <c r="AE41"/>
  <c r="AI41"/>
  <c r="AE42"/>
  <c r="AI42"/>
  <c r="Z42"/>
  <c r="Z36"/>
  <c r="Z37"/>
  <c r="Z38"/>
  <c r="Z39"/>
  <c r="Z40"/>
  <c r="Z41"/>
  <c r="Z35"/>
  <c r="P85" i="14"/>
  <c r="E47" i="20" l="1"/>
  <c r="T86"/>
  <c r="Q99" s="1"/>
  <c r="T85"/>
  <c r="T87"/>
  <c r="Q100" s="1"/>
  <c r="U88"/>
  <c r="E103"/>
  <c r="J103" s="1"/>
  <c r="E45"/>
  <c r="C79"/>
  <c r="C109" s="1"/>
  <c r="C108"/>
  <c r="H42"/>
  <c r="H55" s="1"/>
  <c r="I4"/>
  <c r="D108"/>
  <c r="D79"/>
  <c r="D109" s="1"/>
  <c r="L91"/>
  <c r="F61"/>
  <c r="G61" s="1"/>
  <c r="H61" s="1"/>
  <c r="I61" s="1"/>
  <c r="J61" s="1"/>
  <c r="K61" s="1"/>
  <c r="G11"/>
  <c r="H11" s="1"/>
  <c r="I11" s="1"/>
  <c r="J11" s="1"/>
  <c r="K11" s="1"/>
  <c r="H8"/>
  <c r="I8" s="1"/>
  <c r="J8" s="1"/>
  <c r="K8" s="1"/>
  <c r="G17"/>
  <c r="L88"/>
  <c r="K102" s="1"/>
  <c r="L102" s="1"/>
  <c r="K88"/>
  <c r="F58"/>
  <c r="G58" s="1"/>
  <c r="H58" s="1"/>
  <c r="I58" s="1"/>
  <c r="J58" s="1"/>
  <c r="K58" s="1"/>
  <c r="L86"/>
  <c r="F56"/>
  <c r="D43"/>
  <c r="D44"/>
  <c r="E96"/>
  <c r="J96" s="1"/>
  <c r="E50"/>
  <c r="F77"/>
  <c r="G77" s="1"/>
  <c r="H77" s="1"/>
  <c r="I77" s="1"/>
  <c r="J77" s="1"/>
  <c r="K77" s="1"/>
  <c r="L107"/>
  <c r="L94"/>
  <c r="F64"/>
  <c r="G64" s="1"/>
  <c r="H64" s="1"/>
  <c r="I64" s="1"/>
  <c r="J64" s="1"/>
  <c r="K64" s="1"/>
  <c r="L105"/>
  <c r="F75"/>
  <c r="G75" s="1"/>
  <c r="H75" s="1"/>
  <c r="I75" s="1"/>
  <c r="J75" s="1"/>
  <c r="K75" s="1"/>
  <c r="Q98"/>
  <c r="G28"/>
  <c r="H23"/>
  <c r="AD98"/>
  <c r="AF98"/>
  <c r="AG98" s="1"/>
  <c r="E78"/>
  <c r="E101"/>
  <c r="F60"/>
  <c r="G60" s="1"/>
  <c r="H60" s="1"/>
  <c r="I60" s="1"/>
  <c r="J60" s="1"/>
  <c r="K60" s="1"/>
  <c r="L90"/>
  <c r="E49"/>
  <c r="L92"/>
  <c r="F62"/>
  <c r="G62" s="1"/>
  <c r="H62" s="1"/>
  <c r="I62" s="1"/>
  <c r="J62" s="1"/>
  <c r="K62" s="1"/>
  <c r="F57"/>
  <c r="G57" s="1"/>
  <c r="H57" s="1"/>
  <c r="I57" s="1"/>
  <c r="J57" s="1"/>
  <c r="K57" s="1"/>
  <c r="L87"/>
  <c r="E39"/>
  <c r="E40" s="1"/>
  <c r="I24"/>
  <c r="H27"/>
  <c r="AE44" i="11"/>
  <c r="AE46" s="1"/>
  <c r="AG39"/>
  <c r="AM35"/>
  <c r="AK41"/>
  <c r="AB40"/>
  <c r="Z44"/>
  <c r="Z46" s="1"/>
  <c r="AB37"/>
  <c r="AM37" s="1"/>
  <c r="AB41"/>
  <c r="AM41" s="1"/>
  <c r="AB38"/>
  <c r="AM38" s="1"/>
  <c r="AB42"/>
  <c r="AM42" s="1"/>
  <c r="AB39"/>
  <c r="AM39" s="1"/>
  <c r="AI44"/>
  <c r="AI46" s="1"/>
  <c r="AB36"/>
  <c r="AM36" s="1"/>
  <c r="AG40"/>
  <c r="AK40"/>
  <c r="T88" i="20" l="1"/>
  <c r="E43"/>
  <c r="E44"/>
  <c r="G40"/>
  <c r="G29"/>
  <c r="G39" s="1"/>
  <c r="H39" s="1"/>
  <c r="I39" s="1"/>
  <c r="J39" s="1"/>
  <c r="K39" s="1"/>
  <c r="H17"/>
  <c r="J101"/>
  <c r="E108"/>
  <c r="H28"/>
  <c r="I23"/>
  <c r="L96"/>
  <c r="F66"/>
  <c r="G66" s="1"/>
  <c r="H66" s="1"/>
  <c r="I66" s="1"/>
  <c r="J66" s="1"/>
  <c r="K66" s="1"/>
  <c r="D53"/>
  <c r="J4"/>
  <c r="I42"/>
  <c r="I55" s="1"/>
  <c r="I27"/>
  <c r="J24"/>
  <c r="G56"/>
  <c r="K99"/>
  <c r="K101" s="1"/>
  <c r="K108" s="1"/>
  <c r="K109" s="1"/>
  <c r="K113"/>
  <c r="K114" s="1"/>
  <c r="K115" s="1"/>
  <c r="F73"/>
  <c r="G73" s="1"/>
  <c r="H73" s="1"/>
  <c r="I73" s="1"/>
  <c r="J73" s="1"/>
  <c r="K73" s="1"/>
  <c r="L103"/>
  <c r="Q110" s="1"/>
  <c r="AK43" i="11"/>
  <c r="AM40"/>
  <c r="AM43" s="1"/>
  <c r="AB43"/>
  <c r="AG43"/>
  <c r="G43" i="20" l="1"/>
  <c r="H40"/>
  <c r="H56"/>
  <c r="J108"/>
  <c r="L101"/>
  <c r="O98" s="1"/>
  <c r="R99" s="1"/>
  <c r="S99" s="1"/>
  <c r="F71"/>
  <c r="J42"/>
  <c r="J55" s="1"/>
  <c r="K4"/>
  <c r="J23"/>
  <c r="I28"/>
  <c r="I17"/>
  <c r="H29"/>
  <c r="K24"/>
  <c r="K27" s="1"/>
  <c r="J27"/>
  <c r="D80"/>
  <c r="D110" s="1"/>
  <c r="E52"/>
  <c r="E53" s="1"/>
  <c r="Z27" i="11"/>
  <c r="Z28"/>
  <c r="Z29"/>
  <c r="Z26"/>
  <c r="Y27"/>
  <c r="Y28"/>
  <c r="Y29"/>
  <c r="Y26"/>
  <c r="AB25"/>
  <c r="AB26" s="1"/>
  <c r="AA25"/>
  <c r="AA26" s="1"/>
  <c r="AA14"/>
  <c r="F29" i="18"/>
  <c r="J31" s="1"/>
  <c r="P87" i="14"/>
  <c r="P86"/>
  <c r="AF13" i="11"/>
  <c r="AF12"/>
  <c r="AF11"/>
  <c r="AF10"/>
  <c r="AC10"/>
  <c r="AE11"/>
  <c r="AE12"/>
  <c r="AE13"/>
  <c r="AE10"/>
  <c r="AB10"/>
  <c r="AD14"/>
  <c r="AD13"/>
  <c r="AD12"/>
  <c r="AD11"/>
  <c r="Z11"/>
  <c r="AD10"/>
  <c r="Z10"/>
  <c r="J30" i="19"/>
  <c r="J29"/>
  <c r="J31" s="1"/>
  <c r="K16"/>
  <c r="J16"/>
  <c r="L15"/>
  <c r="L12"/>
  <c r="L11"/>
  <c r="L16" s="1"/>
  <c r="L10"/>
  <c r="K8"/>
  <c r="K17" s="1"/>
  <c r="J8"/>
  <c r="J17" s="1"/>
  <c r="L7"/>
  <c r="L6"/>
  <c r="L5"/>
  <c r="R26" i="18"/>
  <c r="F14"/>
  <c r="H14" s="1"/>
  <c r="F15"/>
  <c r="J15"/>
  <c r="J14"/>
  <c r="L14"/>
  <c r="L13"/>
  <c r="C40"/>
  <c r="F16"/>
  <c r="J16" s="1"/>
  <c r="L16" s="1"/>
  <c r="C15"/>
  <c r="E15" s="1"/>
  <c r="Q28"/>
  <c r="S28" s="1"/>
  <c r="T28" s="1"/>
  <c r="T29" s="1"/>
  <c r="H8"/>
  <c r="F8"/>
  <c r="J6"/>
  <c r="J8" s="1"/>
  <c r="E14"/>
  <c r="K42" i="20" l="1"/>
  <c r="K55" s="1"/>
  <c r="L42"/>
  <c r="L55" s="1"/>
  <c r="L108"/>
  <c r="J17"/>
  <c r="I29"/>
  <c r="I40"/>
  <c r="H43"/>
  <c r="E68"/>
  <c r="E80"/>
  <c r="K23"/>
  <c r="K28" s="1"/>
  <c r="J28"/>
  <c r="G71"/>
  <c r="F78"/>
  <c r="I56"/>
  <c r="AA29" i="11"/>
  <c r="AA27"/>
  <c r="AC26"/>
  <c r="AC29"/>
  <c r="AB29"/>
  <c r="AA28"/>
  <c r="AB28"/>
  <c r="AC28" s="1"/>
  <c r="AB27"/>
  <c r="AC27" s="1"/>
  <c r="AD27" s="1"/>
  <c r="L31" i="18"/>
  <c r="F31"/>
  <c r="H31"/>
  <c r="AE14" i="11"/>
  <c r="L8" i="19"/>
  <c r="L17" s="1"/>
  <c r="L15" i="18"/>
  <c r="L20" s="1"/>
  <c r="L6"/>
  <c r="L8" s="1"/>
  <c r="E13"/>
  <c r="F13" s="1"/>
  <c r="H27"/>
  <c r="AB88" i="14"/>
  <c r="AC88" s="1"/>
  <c r="H71" i="20" l="1"/>
  <c r="G78"/>
  <c r="E98"/>
  <c r="E69"/>
  <c r="E79" s="1"/>
  <c r="J56"/>
  <c r="J29"/>
  <c r="K17"/>
  <c r="K29" s="1"/>
  <c r="J40"/>
  <c r="I43"/>
  <c r="R100"/>
  <c r="S100" s="1"/>
  <c r="N108"/>
  <c r="P107" s="1"/>
  <c r="R107" s="1"/>
  <c r="R98"/>
  <c r="O101"/>
  <c r="L23" i="18"/>
  <c r="L27" s="1"/>
  <c r="J13"/>
  <c r="J20" s="1"/>
  <c r="J23" s="1"/>
  <c r="H13"/>
  <c r="H20" s="1"/>
  <c r="AC94" i="14"/>
  <c r="AC93"/>
  <c r="S107" i="20" l="1"/>
  <c r="V105"/>
  <c r="V106" s="1"/>
  <c r="H78"/>
  <c r="I71"/>
  <c r="R101"/>
  <c r="S98"/>
  <c r="J98"/>
  <c r="E99"/>
  <c r="E109" s="1"/>
  <c r="X99"/>
  <c r="E110"/>
  <c r="X100"/>
  <c r="K40"/>
  <c r="K43" s="1"/>
  <c r="J43"/>
  <c r="K56"/>
  <c r="J27" i="18"/>
  <c r="C20"/>
  <c r="F20"/>
  <c r="F23" s="1"/>
  <c r="E6"/>
  <c r="AF105" i="14"/>
  <c r="X98" i="20" l="1"/>
  <c r="T99"/>
  <c r="AA94" s="1"/>
  <c r="I78"/>
  <c r="J71"/>
  <c r="L98"/>
  <c r="F53"/>
  <c r="F80" s="1"/>
  <c r="F68"/>
  <c r="J99"/>
  <c r="J109" s="1"/>
  <c r="T100"/>
  <c r="AA95" s="1"/>
  <c r="S101"/>
  <c r="AF94" i="14"/>
  <c r="AG94"/>
  <c r="AE93"/>
  <c r="AG93" s="1"/>
  <c r="Z94"/>
  <c r="Z95"/>
  <c r="Z93"/>
  <c r="V99"/>
  <c r="R85"/>
  <c r="Q85"/>
  <c r="V85"/>
  <c r="AC11" i="11"/>
  <c r="AC12"/>
  <c r="AC13"/>
  <c r="AB14"/>
  <c r="AB11"/>
  <c r="AB12"/>
  <c r="AB13"/>
  <c r="AA10"/>
  <c r="AA11"/>
  <c r="AA12"/>
  <c r="AA13"/>
  <c r="Z13"/>
  <c r="Z12"/>
  <c r="Y21"/>
  <c r="Y20"/>
  <c r="Y19"/>
  <c r="Y18"/>
  <c r="Y17"/>
  <c r="Y11"/>
  <c r="Y12"/>
  <c r="Y13"/>
  <c r="Y10"/>
  <c r="G33"/>
  <c r="Z2"/>
  <c r="I2"/>
  <c r="G2"/>
  <c r="AC99" i="20" l="1"/>
  <c r="AC100"/>
  <c r="G52"/>
  <c r="G53" s="1"/>
  <c r="F69"/>
  <c r="F79" s="1"/>
  <c r="K71"/>
  <c r="K78" s="1"/>
  <c r="J78"/>
  <c r="Q109"/>
  <c r="Q111" s="1"/>
  <c r="L99"/>
  <c r="L109" s="1"/>
  <c r="W85" i="14"/>
  <c r="AD94"/>
  <c r="AF93"/>
  <c r="P98"/>
  <c r="Z98" s="1"/>
  <c r="AB98" s="1"/>
  <c r="AD100" i="20" l="1"/>
  <c r="AF100"/>
  <c r="AG100" s="1"/>
  <c r="AH100"/>
  <c r="AA101"/>
  <c r="AA102" s="1"/>
  <c r="AA103" s="1"/>
  <c r="Z110"/>
  <c r="AB110" s="1"/>
  <c r="AB105"/>
  <c r="AB102"/>
  <c r="G68"/>
  <c r="AD99"/>
  <c r="AF99"/>
  <c r="AG99" s="1"/>
  <c r="AH99"/>
  <c r="F27" i="18"/>
  <c r="V101" i="14"/>
  <c r="V102" s="1"/>
  <c r="V103" s="1"/>
  <c r="AC110" i="20" l="1"/>
  <c r="AE94"/>
  <c r="H52"/>
  <c r="H53" s="1"/>
  <c r="G69"/>
  <c r="G79" s="1"/>
  <c r="Z112"/>
  <c r="G80"/>
  <c r="S87" i="14"/>
  <c r="S86"/>
  <c r="AD94" i="20" l="1"/>
  <c r="AF94"/>
  <c r="AG94"/>
  <c r="AD110"/>
  <c r="AB112"/>
  <c r="H68"/>
  <c r="O109" i="14"/>
  <c r="I52" i="20" l="1"/>
  <c r="I53" s="1"/>
  <c r="H69"/>
  <c r="H79" s="1"/>
  <c r="H80"/>
  <c r="N99" i="14"/>
  <c r="N100"/>
  <c r="N98"/>
  <c r="I68" i="20" l="1"/>
  <c r="I80"/>
  <c r="C11" i="15"/>
  <c r="D9"/>
  <c r="E10" s="1"/>
  <c r="V86" i="14"/>
  <c r="V87"/>
  <c r="P100" s="1"/>
  <c r="Z100" s="1"/>
  <c r="Q87"/>
  <c r="J52" i="20" l="1"/>
  <c r="J53" s="1"/>
  <c r="I69"/>
  <c r="I79" s="1"/>
  <c r="P99" i="14"/>
  <c r="Z99" s="1"/>
  <c r="Z101" s="1"/>
  <c r="AC98" s="1"/>
  <c r="D11" i="15"/>
  <c r="D12" s="1"/>
  <c r="E11" s="1"/>
  <c r="J68" i="20" l="1"/>
  <c r="J80"/>
  <c r="AE105" i="14"/>
  <c r="AE106" s="1"/>
  <c r="AE98" s="1"/>
  <c r="AH98"/>
  <c r="AD98"/>
  <c r="C110"/>
  <c r="G109"/>
  <c r="F109"/>
  <c r="I108"/>
  <c r="I109" s="1"/>
  <c r="H108"/>
  <c r="H109" s="1"/>
  <c r="G108"/>
  <c r="F108"/>
  <c r="D102"/>
  <c r="I99"/>
  <c r="H99"/>
  <c r="G99"/>
  <c r="F99"/>
  <c r="F98"/>
  <c r="D97"/>
  <c r="D93"/>
  <c r="R87"/>
  <c r="Q86"/>
  <c r="R86" s="1"/>
  <c r="J85"/>
  <c r="C85"/>
  <c r="P84"/>
  <c r="D77"/>
  <c r="D107" s="1"/>
  <c r="C77"/>
  <c r="C107" s="1"/>
  <c r="E76"/>
  <c r="E106" s="1"/>
  <c r="J106" s="1"/>
  <c r="D76"/>
  <c r="D106" s="1"/>
  <c r="C76"/>
  <c r="C106" s="1"/>
  <c r="D75"/>
  <c r="E75" s="1"/>
  <c r="E105" s="1"/>
  <c r="J105" s="1"/>
  <c r="L105" s="1"/>
  <c r="C75"/>
  <c r="C105" s="1"/>
  <c r="D74"/>
  <c r="C74"/>
  <c r="C104" s="1"/>
  <c r="D73"/>
  <c r="C73"/>
  <c r="C103" s="1"/>
  <c r="E72"/>
  <c r="E102" s="1"/>
  <c r="J102" s="1"/>
  <c r="F72" s="1"/>
  <c r="G72" s="1"/>
  <c r="H72" s="1"/>
  <c r="I72" s="1"/>
  <c r="J72" s="1"/>
  <c r="K72" s="1"/>
  <c r="D72"/>
  <c r="C72"/>
  <c r="C102" s="1"/>
  <c r="D71"/>
  <c r="D101" s="1"/>
  <c r="C71"/>
  <c r="D69"/>
  <c r="D99" s="1"/>
  <c r="C69"/>
  <c r="C99" s="1"/>
  <c r="D68"/>
  <c r="D98" s="1"/>
  <c r="C68"/>
  <c r="C98" s="1"/>
  <c r="E67"/>
  <c r="D67"/>
  <c r="C67"/>
  <c r="C97" s="1"/>
  <c r="D66"/>
  <c r="D96" s="1"/>
  <c r="C66"/>
  <c r="D65"/>
  <c r="C65"/>
  <c r="C95" s="1"/>
  <c r="D64"/>
  <c r="D94" s="1"/>
  <c r="C64"/>
  <c r="C94" s="1"/>
  <c r="E63"/>
  <c r="E93" s="1"/>
  <c r="J93" s="1"/>
  <c r="D63"/>
  <c r="C63"/>
  <c r="C93" s="1"/>
  <c r="D62"/>
  <c r="D92" s="1"/>
  <c r="C62"/>
  <c r="C92" s="1"/>
  <c r="D61"/>
  <c r="C61"/>
  <c r="D48" s="1"/>
  <c r="D60"/>
  <c r="C60"/>
  <c r="C90" s="1"/>
  <c r="D59"/>
  <c r="D89" s="1"/>
  <c r="C59"/>
  <c r="C89" s="1"/>
  <c r="D58"/>
  <c r="D88" s="1"/>
  <c r="C58"/>
  <c r="C88" s="1"/>
  <c r="D57"/>
  <c r="C57"/>
  <c r="C87" s="1"/>
  <c r="E56"/>
  <c r="E86" s="1"/>
  <c r="D56"/>
  <c r="D86" s="1"/>
  <c r="C56"/>
  <c r="C86" s="1"/>
  <c r="C53"/>
  <c r="D52"/>
  <c r="E42"/>
  <c r="E55" s="1"/>
  <c r="D42"/>
  <c r="D55" s="1"/>
  <c r="D85" s="1"/>
  <c r="C42"/>
  <c r="C55" s="1"/>
  <c r="F38"/>
  <c r="D37"/>
  <c r="E37" s="1"/>
  <c r="G37" s="1"/>
  <c r="H37" s="1"/>
  <c r="I37" s="1"/>
  <c r="J37" s="1"/>
  <c r="K37" s="1"/>
  <c r="C37"/>
  <c r="G36"/>
  <c r="H36" s="1"/>
  <c r="I36" s="1"/>
  <c r="J36" s="1"/>
  <c r="K36" s="1"/>
  <c r="E36"/>
  <c r="H35"/>
  <c r="I35" s="1"/>
  <c r="J35" s="1"/>
  <c r="K35" s="1"/>
  <c r="G35"/>
  <c r="E35"/>
  <c r="E34"/>
  <c r="G34" s="1"/>
  <c r="H34" s="1"/>
  <c r="I34" s="1"/>
  <c r="J34" s="1"/>
  <c r="K34" s="1"/>
  <c r="K33"/>
  <c r="G33"/>
  <c r="H33" s="1"/>
  <c r="I33" s="1"/>
  <c r="J33" s="1"/>
  <c r="F33"/>
  <c r="E33"/>
  <c r="D33"/>
  <c r="D38" s="1"/>
  <c r="E38" s="1"/>
  <c r="C33"/>
  <c r="C38" s="1"/>
  <c r="E32"/>
  <c r="G32" s="1"/>
  <c r="H32" s="1"/>
  <c r="I32" s="1"/>
  <c r="J32" s="1"/>
  <c r="K32" s="1"/>
  <c r="K31"/>
  <c r="E31"/>
  <c r="G31" s="1"/>
  <c r="H31" s="1"/>
  <c r="I31" s="1"/>
  <c r="J31" s="1"/>
  <c r="E30"/>
  <c r="G30" s="1"/>
  <c r="H30" s="1"/>
  <c r="I30" s="1"/>
  <c r="J30" s="1"/>
  <c r="K30" s="1"/>
  <c r="F27"/>
  <c r="D27"/>
  <c r="E27" s="1"/>
  <c r="C27"/>
  <c r="I26"/>
  <c r="J26" s="1"/>
  <c r="K26" s="1"/>
  <c r="G26"/>
  <c r="H26" s="1"/>
  <c r="E26"/>
  <c r="E25"/>
  <c r="E24"/>
  <c r="G24" s="1"/>
  <c r="G27" s="1"/>
  <c r="F23"/>
  <c r="F28" s="1"/>
  <c r="D23"/>
  <c r="E23" s="1"/>
  <c r="C23"/>
  <c r="C28" s="1"/>
  <c r="I22"/>
  <c r="J22" s="1"/>
  <c r="K22" s="1"/>
  <c r="H22"/>
  <c r="G22"/>
  <c r="E22"/>
  <c r="K21"/>
  <c r="E21"/>
  <c r="G21" s="1"/>
  <c r="H21" s="1"/>
  <c r="I21" s="1"/>
  <c r="J21" s="1"/>
  <c r="G20"/>
  <c r="E20"/>
  <c r="I19"/>
  <c r="J19" s="1"/>
  <c r="K19" s="1"/>
  <c r="G19"/>
  <c r="H19" s="1"/>
  <c r="E19"/>
  <c r="I18"/>
  <c r="J18" s="1"/>
  <c r="K18" s="1"/>
  <c r="H18"/>
  <c r="G18"/>
  <c r="E18"/>
  <c r="F17"/>
  <c r="F29" s="1"/>
  <c r="E16"/>
  <c r="G16" s="1"/>
  <c r="H16" s="1"/>
  <c r="I16" s="1"/>
  <c r="J16" s="1"/>
  <c r="K16" s="1"/>
  <c r="E15"/>
  <c r="G15" s="1"/>
  <c r="H15" s="1"/>
  <c r="I15" s="1"/>
  <c r="J15" s="1"/>
  <c r="K15" s="1"/>
  <c r="E14"/>
  <c r="G14" s="1"/>
  <c r="H14" s="1"/>
  <c r="I14" s="1"/>
  <c r="J14" s="1"/>
  <c r="K14" s="1"/>
  <c r="G13"/>
  <c r="H13" s="1"/>
  <c r="I13" s="1"/>
  <c r="J13" s="1"/>
  <c r="K13" s="1"/>
  <c r="E13"/>
  <c r="E12"/>
  <c r="G12" s="1"/>
  <c r="H12" s="1"/>
  <c r="I12" s="1"/>
  <c r="J12" s="1"/>
  <c r="K12" s="1"/>
  <c r="H10"/>
  <c r="I10" s="1"/>
  <c r="J10" s="1"/>
  <c r="K10" s="1"/>
  <c r="G10"/>
  <c r="E10"/>
  <c r="J9"/>
  <c r="K9" s="1"/>
  <c r="F9"/>
  <c r="G9" s="1"/>
  <c r="H9" s="1"/>
  <c r="I9" s="1"/>
  <c r="E9"/>
  <c r="F8"/>
  <c r="E8"/>
  <c r="D8"/>
  <c r="D17" s="1"/>
  <c r="C8"/>
  <c r="C17" s="1"/>
  <c r="J7"/>
  <c r="K7" s="1"/>
  <c r="E7"/>
  <c r="G7" s="1"/>
  <c r="H7" s="1"/>
  <c r="I7" s="1"/>
  <c r="H6"/>
  <c r="I6" s="1"/>
  <c r="J6" s="1"/>
  <c r="K6" s="1"/>
  <c r="G6"/>
  <c r="E6"/>
  <c r="E5"/>
  <c r="G5" s="1"/>
  <c r="I4"/>
  <c r="H4"/>
  <c r="H42" s="1"/>
  <c r="H55" s="1"/>
  <c r="G4"/>
  <c r="G42" s="1"/>
  <c r="G55" s="1"/>
  <c r="E4"/>
  <c r="A3"/>
  <c r="A1"/>
  <c r="I54" i="13"/>
  <c r="F54"/>
  <c r="E54"/>
  <c r="D54"/>
  <c r="F55" s="1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H6" s="1"/>
  <c r="AA5"/>
  <c r="Z5"/>
  <c r="I5"/>
  <c r="G5"/>
  <c r="AA4"/>
  <c r="Z4"/>
  <c r="I4"/>
  <c r="G4"/>
  <c r="H4" s="1"/>
  <c r="AA3"/>
  <c r="Z3"/>
  <c r="I3"/>
  <c r="G3"/>
  <c r="AA2"/>
  <c r="Z2"/>
  <c r="I2"/>
  <c r="G2"/>
  <c r="G54" s="1"/>
  <c r="AA5" i="11"/>
  <c r="AA4"/>
  <c r="AA3"/>
  <c r="Z5"/>
  <c r="Z4"/>
  <c r="Z3"/>
  <c r="AA2"/>
  <c r="I54"/>
  <c r="J54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G3"/>
  <c r="H3" s="1"/>
  <c r="G4"/>
  <c r="H4" s="1"/>
  <c r="G5"/>
  <c r="H5" s="1"/>
  <c r="G6"/>
  <c r="G7"/>
  <c r="H7" s="1"/>
  <c r="G8"/>
  <c r="H8" s="1"/>
  <c r="G9"/>
  <c r="H9" s="1"/>
  <c r="G10"/>
  <c r="G11"/>
  <c r="H11" s="1"/>
  <c r="G12"/>
  <c r="H12" s="1"/>
  <c r="G13"/>
  <c r="H13" s="1"/>
  <c r="G14"/>
  <c r="G15"/>
  <c r="H15" s="1"/>
  <c r="G16"/>
  <c r="H16" s="1"/>
  <c r="G17"/>
  <c r="H17" s="1"/>
  <c r="G18"/>
  <c r="G19"/>
  <c r="H19" s="1"/>
  <c r="G20"/>
  <c r="H20" s="1"/>
  <c r="G21"/>
  <c r="H21" s="1"/>
  <c r="G22"/>
  <c r="G23"/>
  <c r="H23" s="1"/>
  <c r="G24"/>
  <c r="H24" s="1"/>
  <c r="G25"/>
  <c r="H25" s="1"/>
  <c r="G26"/>
  <c r="G27"/>
  <c r="H27" s="1"/>
  <c r="G28"/>
  <c r="H28" s="1"/>
  <c r="G29"/>
  <c r="H29" s="1"/>
  <c r="G30"/>
  <c r="G31"/>
  <c r="H31" s="1"/>
  <c r="G32"/>
  <c r="H32" s="1"/>
  <c r="H33"/>
  <c r="G34"/>
  <c r="G35"/>
  <c r="H35" s="1"/>
  <c r="G36"/>
  <c r="H36" s="1"/>
  <c r="G37"/>
  <c r="H37" s="1"/>
  <c r="G38"/>
  <c r="G39"/>
  <c r="H39" s="1"/>
  <c r="G40"/>
  <c r="H40" s="1"/>
  <c r="G41"/>
  <c r="H41" s="1"/>
  <c r="G42"/>
  <c r="G43"/>
  <c r="H43" s="1"/>
  <c r="G44"/>
  <c r="H44" s="1"/>
  <c r="G45"/>
  <c r="H45" s="1"/>
  <c r="G46"/>
  <c r="G47"/>
  <c r="H47" s="1"/>
  <c r="G48"/>
  <c r="H48" s="1"/>
  <c r="G49"/>
  <c r="H49" s="1"/>
  <c r="G50"/>
  <c r="G51"/>
  <c r="H51" s="1"/>
  <c r="G52"/>
  <c r="H52" s="1"/>
  <c r="G53"/>
  <c r="H53" s="1"/>
  <c r="H6"/>
  <c r="H10"/>
  <c r="H14"/>
  <c r="H18"/>
  <c r="H22"/>
  <c r="H26"/>
  <c r="H30"/>
  <c r="H34"/>
  <c r="H38"/>
  <c r="H42"/>
  <c r="H46"/>
  <c r="H50"/>
  <c r="H2"/>
  <c r="F55"/>
  <c r="E54"/>
  <c r="F54"/>
  <c r="D54"/>
  <c r="D51" i="14" l="1"/>
  <c r="E59"/>
  <c r="E89" s="1"/>
  <c r="J89" s="1"/>
  <c r="L89" s="1"/>
  <c r="E64"/>
  <c r="C78"/>
  <c r="C79" s="1"/>
  <c r="C109" s="1"/>
  <c r="E71"/>
  <c r="E101" s="1"/>
  <c r="J101" s="1"/>
  <c r="C101"/>
  <c r="D105"/>
  <c r="K52" i="20"/>
  <c r="K53" s="1"/>
  <c r="J69"/>
  <c r="J79" s="1"/>
  <c r="R88" i="14"/>
  <c r="T85" s="1"/>
  <c r="W87"/>
  <c r="W86"/>
  <c r="Z6" i="13"/>
  <c r="AA6"/>
  <c r="F71" i="14"/>
  <c r="G8"/>
  <c r="H5"/>
  <c r="I5" s="1"/>
  <c r="J5" s="1"/>
  <c r="K5" s="1"/>
  <c r="A111"/>
  <c r="A81"/>
  <c r="A83"/>
  <c r="A54"/>
  <c r="F40"/>
  <c r="L93"/>
  <c r="F63"/>
  <c r="G63" s="1"/>
  <c r="H63" s="1"/>
  <c r="I63" s="1"/>
  <c r="F76"/>
  <c r="G76" s="1"/>
  <c r="H76" s="1"/>
  <c r="I76" s="1"/>
  <c r="J76" s="1"/>
  <c r="K76" s="1"/>
  <c r="L106"/>
  <c r="I42"/>
  <c r="I55" s="1"/>
  <c r="J4"/>
  <c r="F59"/>
  <c r="G59" s="1"/>
  <c r="H59" s="1"/>
  <c r="I59" s="1"/>
  <c r="J59" s="1"/>
  <c r="K59" s="1"/>
  <c r="D95"/>
  <c r="E65"/>
  <c r="E95" s="1"/>
  <c r="J95" s="1"/>
  <c r="D49"/>
  <c r="C40"/>
  <c r="C29"/>
  <c r="G23"/>
  <c r="H20"/>
  <c r="I20" s="1"/>
  <c r="J20" s="1"/>
  <c r="K20" s="1"/>
  <c r="D90"/>
  <c r="E60"/>
  <c r="E90" s="1"/>
  <c r="J90" s="1"/>
  <c r="E51"/>
  <c r="E97"/>
  <c r="J97" s="1"/>
  <c r="D103"/>
  <c r="D78"/>
  <c r="D45"/>
  <c r="E73" s="1"/>
  <c r="J86"/>
  <c r="E94"/>
  <c r="J94" s="1"/>
  <c r="H24"/>
  <c r="C96"/>
  <c r="D50"/>
  <c r="G38"/>
  <c r="H38" s="1"/>
  <c r="I38" s="1"/>
  <c r="J38" s="1"/>
  <c r="K38" s="1"/>
  <c r="E57"/>
  <c r="E87" s="1"/>
  <c r="J87" s="1"/>
  <c r="D87"/>
  <c r="C108"/>
  <c r="D40"/>
  <c r="D43" s="1"/>
  <c r="E17"/>
  <c r="D28"/>
  <c r="E28" s="1"/>
  <c r="D47"/>
  <c r="E74"/>
  <c r="D104"/>
  <c r="D46"/>
  <c r="C91"/>
  <c r="F75"/>
  <c r="G75" s="1"/>
  <c r="H75" s="1"/>
  <c r="I75" s="1"/>
  <c r="J75" s="1"/>
  <c r="K75" s="1"/>
  <c r="E77"/>
  <c r="E107" s="1"/>
  <c r="J107" s="1"/>
  <c r="D91"/>
  <c r="E61"/>
  <c r="E58"/>
  <c r="E88" s="1"/>
  <c r="J88" s="1"/>
  <c r="E62"/>
  <c r="E92" s="1"/>
  <c r="J92" s="1"/>
  <c r="E66"/>
  <c r="H53" i="13"/>
  <c r="H51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J6"/>
  <c r="H5"/>
  <c r="J4"/>
  <c r="H3"/>
  <c r="H52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J2"/>
  <c r="J3"/>
  <c r="J5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4"/>
  <c r="H2"/>
  <c r="AA6" i="11"/>
  <c r="Z6"/>
  <c r="H54"/>
  <c r="G54"/>
  <c r="E49" i="14" l="1"/>
  <c r="K68" i="20"/>
  <c r="K69" s="1"/>
  <c r="K79" s="1"/>
  <c r="U88" i="14"/>
  <c r="W88"/>
  <c r="Q98"/>
  <c r="T86"/>
  <c r="Q99" s="1"/>
  <c r="R89"/>
  <c r="R92" s="1"/>
  <c r="K88" s="1"/>
  <c r="T87"/>
  <c r="Q100" s="1"/>
  <c r="E45"/>
  <c r="E103"/>
  <c r="E78"/>
  <c r="L92"/>
  <c r="F62"/>
  <c r="G62" s="1"/>
  <c r="H62" s="1"/>
  <c r="I62" s="1"/>
  <c r="J62" s="1"/>
  <c r="K62" s="1"/>
  <c r="L87"/>
  <c r="F57"/>
  <c r="G57" s="1"/>
  <c r="H57" s="1"/>
  <c r="I57" s="1"/>
  <c r="J57" s="1"/>
  <c r="K57" s="1"/>
  <c r="E47"/>
  <c r="G28"/>
  <c r="H23"/>
  <c r="E91"/>
  <c r="J91" s="1"/>
  <c r="E48"/>
  <c r="D44"/>
  <c r="D53" s="1"/>
  <c r="L86"/>
  <c r="F56"/>
  <c r="D79"/>
  <c r="D109" s="1"/>
  <c r="D108"/>
  <c r="F60"/>
  <c r="G60" s="1"/>
  <c r="H60" s="1"/>
  <c r="I60" s="1"/>
  <c r="J60" s="1"/>
  <c r="K60" s="1"/>
  <c r="L90"/>
  <c r="D29"/>
  <c r="E29" s="1"/>
  <c r="F65"/>
  <c r="G65" s="1"/>
  <c r="H65" s="1"/>
  <c r="I65" s="1"/>
  <c r="J65" s="1"/>
  <c r="K65" s="1"/>
  <c r="L95"/>
  <c r="J42"/>
  <c r="J55" s="1"/>
  <c r="K4"/>
  <c r="L107"/>
  <c r="F77"/>
  <c r="G77" s="1"/>
  <c r="H77" s="1"/>
  <c r="I77" s="1"/>
  <c r="J77" s="1"/>
  <c r="K77" s="1"/>
  <c r="L97"/>
  <c r="F67"/>
  <c r="G67" s="1"/>
  <c r="H67" s="1"/>
  <c r="I67" s="1"/>
  <c r="J67" s="1"/>
  <c r="K67" s="1"/>
  <c r="F58"/>
  <c r="G58" s="1"/>
  <c r="H58" s="1"/>
  <c r="I58" s="1"/>
  <c r="J58" s="1"/>
  <c r="K58" s="1"/>
  <c r="F64"/>
  <c r="G64" s="1"/>
  <c r="H64" s="1"/>
  <c r="I64" s="1"/>
  <c r="J64" s="1"/>
  <c r="K64" s="1"/>
  <c r="L94"/>
  <c r="E50"/>
  <c r="E96"/>
  <c r="J96" s="1"/>
  <c r="E104"/>
  <c r="J104" s="1"/>
  <c r="E46"/>
  <c r="H27"/>
  <c r="I24"/>
  <c r="J50"/>
  <c r="J63" s="1"/>
  <c r="K63" s="1"/>
  <c r="H8"/>
  <c r="I8" s="1"/>
  <c r="J8" s="1"/>
  <c r="K8" s="1"/>
  <c r="G11"/>
  <c r="H11" s="1"/>
  <c r="I11" s="1"/>
  <c r="J11" s="1"/>
  <c r="K11" s="1"/>
  <c r="H54" i="13"/>
  <c r="K80" i="20" l="1"/>
  <c r="K113" i="14"/>
  <c r="K114" s="1"/>
  <c r="K115" s="1"/>
  <c r="K99"/>
  <c r="L88"/>
  <c r="K102" s="1"/>
  <c r="T88"/>
  <c r="D80"/>
  <c r="D110" s="1"/>
  <c r="E52"/>
  <c r="G56"/>
  <c r="G17"/>
  <c r="L104"/>
  <c r="F74"/>
  <c r="G74" s="1"/>
  <c r="H74" s="1"/>
  <c r="I74" s="1"/>
  <c r="J74" s="1"/>
  <c r="K74" s="1"/>
  <c r="F61"/>
  <c r="G61" s="1"/>
  <c r="H61" s="1"/>
  <c r="I61" s="1"/>
  <c r="J61" s="1"/>
  <c r="K61" s="1"/>
  <c r="L91"/>
  <c r="I27"/>
  <c r="J24"/>
  <c r="L96"/>
  <c r="F66"/>
  <c r="G66" s="1"/>
  <c r="H66" s="1"/>
  <c r="I66" s="1"/>
  <c r="J66" s="1"/>
  <c r="K66" s="1"/>
  <c r="K42"/>
  <c r="K55" s="1"/>
  <c r="L42"/>
  <c r="L55" s="1"/>
  <c r="E39"/>
  <c r="E40" s="1"/>
  <c r="I23"/>
  <c r="H28"/>
  <c r="J103"/>
  <c r="E108"/>
  <c r="K101" l="1"/>
  <c r="L101" s="1"/>
  <c r="O98" s="1"/>
  <c r="R98" s="1"/>
  <c r="S98" s="1"/>
  <c r="E43"/>
  <c r="E44"/>
  <c r="K24"/>
  <c r="K27" s="1"/>
  <c r="J27"/>
  <c r="H56"/>
  <c r="L103"/>
  <c r="Q110" s="1"/>
  <c r="F73"/>
  <c r="J108"/>
  <c r="I28"/>
  <c r="J23"/>
  <c r="G40"/>
  <c r="H17"/>
  <c r="G29"/>
  <c r="G39" s="1"/>
  <c r="H39" s="1"/>
  <c r="I39" s="1"/>
  <c r="J39" s="1"/>
  <c r="K39" s="1"/>
  <c r="G43" l="1"/>
  <c r="H40"/>
  <c r="G71"/>
  <c r="J28"/>
  <c r="K23"/>
  <c r="K28" s="1"/>
  <c r="I56"/>
  <c r="H29"/>
  <c r="I17"/>
  <c r="E53"/>
  <c r="G73"/>
  <c r="H73" s="1"/>
  <c r="I73" s="1"/>
  <c r="J73" s="1"/>
  <c r="K73" s="1"/>
  <c r="F78"/>
  <c r="E68" l="1"/>
  <c r="E80" s="1"/>
  <c r="J56"/>
  <c r="H43"/>
  <c r="I40"/>
  <c r="H71"/>
  <c r="G78"/>
  <c r="I29"/>
  <c r="J17"/>
  <c r="I43" l="1"/>
  <c r="J40"/>
  <c r="I71"/>
  <c r="H78"/>
  <c r="J29"/>
  <c r="K17"/>
  <c r="K29" s="1"/>
  <c r="K56"/>
  <c r="E98"/>
  <c r="E69"/>
  <c r="E79" s="1"/>
  <c r="J98" l="1"/>
  <c r="E99"/>
  <c r="E109" s="1"/>
  <c r="K40"/>
  <c r="K43" s="1"/>
  <c r="J43"/>
  <c r="E110"/>
  <c r="I78"/>
  <c r="J71"/>
  <c r="J78" l="1"/>
  <c r="K71"/>
  <c r="K78" s="1"/>
  <c r="F68"/>
  <c r="F53"/>
  <c r="F80" s="1"/>
  <c r="L98"/>
  <c r="Q109" s="1"/>
  <c r="Q111" s="1"/>
  <c r="J99"/>
  <c r="J109" s="1"/>
  <c r="G52" l="1"/>
  <c r="G53" s="1"/>
  <c r="F69"/>
  <c r="F79" s="1"/>
  <c r="G68" l="1"/>
  <c r="G80"/>
  <c r="H52" l="1"/>
  <c r="H53" s="1"/>
  <c r="G69"/>
  <c r="G79" s="1"/>
  <c r="H68" l="1"/>
  <c r="H80" s="1"/>
  <c r="I52" l="1"/>
  <c r="I53" s="1"/>
  <c r="H69"/>
  <c r="H79" s="1"/>
  <c r="I68" l="1"/>
  <c r="J52" l="1"/>
  <c r="J53" s="1"/>
  <c r="I69"/>
  <c r="I79" s="1"/>
  <c r="I80"/>
  <c r="J68" l="1"/>
  <c r="K52" l="1"/>
  <c r="K53" s="1"/>
  <c r="J69"/>
  <c r="J79" s="1"/>
  <c r="J80"/>
  <c r="K68" l="1"/>
  <c r="K69" s="1"/>
  <c r="K79" s="1"/>
  <c r="K80" l="1"/>
  <c r="Q26" i="10" l="1"/>
  <c r="R26"/>
  <c r="P26"/>
  <c r="P11"/>
  <c r="K51"/>
  <c r="C46"/>
  <c r="K30"/>
  <c r="C25"/>
  <c r="K9"/>
  <c r="C9"/>
  <c r="C51" s="1"/>
  <c r="A28" i="8"/>
  <c r="A30"/>
  <c r="A1"/>
  <c r="A3"/>
  <c r="A1" i="7"/>
  <c r="A3"/>
  <c r="E4"/>
  <c r="G4"/>
  <c r="H4" s="1"/>
  <c r="H42" s="1"/>
  <c r="H55" s="1"/>
  <c r="I4"/>
  <c r="E5"/>
  <c r="G5"/>
  <c r="H5" s="1"/>
  <c r="I5" s="1"/>
  <c r="J5" s="1"/>
  <c r="K5" s="1"/>
  <c r="E6"/>
  <c r="G6"/>
  <c r="H6" s="1"/>
  <c r="I6" s="1"/>
  <c r="J6" s="1"/>
  <c r="K6" s="1"/>
  <c r="E7"/>
  <c r="G7"/>
  <c r="H7" s="1"/>
  <c r="I7" s="1"/>
  <c r="J7" s="1"/>
  <c r="K7" s="1"/>
  <c r="C8"/>
  <c r="D8"/>
  <c r="E8" s="1"/>
  <c r="F8"/>
  <c r="E9"/>
  <c r="G9" s="1"/>
  <c r="H9" s="1"/>
  <c r="I9" s="1"/>
  <c r="J9" s="1"/>
  <c r="K9" s="1"/>
  <c r="F9"/>
  <c r="E10"/>
  <c r="G10"/>
  <c r="H10" s="1"/>
  <c r="I10"/>
  <c r="J10" s="1"/>
  <c r="K10" s="1"/>
  <c r="E12"/>
  <c r="G12"/>
  <c r="H12" s="1"/>
  <c r="I12"/>
  <c r="J12" s="1"/>
  <c r="K12" s="1"/>
  <c r="E13"/>
  <c r="G13"/>
  <c r="H13" s="1"/>
  <c r="I13"/>
  <c r="J13" s="1"/>
  <c r="K13" s="1"/>
  <c r="E14"/>
  <c r="G14"/>
  <c r="H14" s="1"/>
  <c r="I14"/>
  <c r="J14" s="1"/>
  <c r="K14" s="1"/>
  <c r="E15"/>
  <c r="G15"/>
  <c r="H15" s="1"/>
  <c r="I15"/>
  <c r="J15" s="1"/>
  <c r="K15" s="1"/>
  <c r="E16"/>
  <c r="G16"/>
  <c r="H16" s="1"/>
  <c r="I16"/>
  <c r="J16" s="1"/>
  <c r="K16" s="1"/>
  <c r="C17"/>
  <c r="E18"/>
  <c r="G18" s="1"/>
  <c r="H18" s="1"/>
  <c r="I18" s="1"/>
  <c r="J18" s="1"/>
  <c r="K18" s="1"/>
  <c r="E19"/>
  <c r="G19" s="1"/>
  <c r="H19"/>
  <c r="I19" s="1"/>
  <c r="J19" s="1"/>
  <c r="K19" s="1"/>
  <c r="E20"/>
  <c r="G20" s="1"/>
  <c r="H20" s="1"/>
  <c r="I20" s="1"/>
  <c r="J20" s="1"/>
  <c r="K20" s="1"/>
  <c r="E21"/>
  <c r="G21" s="1"/>
  <c r="H21"/>
  <c r="I21" s="1"/>
  <c r="J21" s="1"/>
  <c r="K21" s="1"/>
  <c r="E22"/>
  <c r="G22" s="1"/>
  <c r="H22" s="1"/>
  <c r="I22" s="1"/>
  <c r="J22" s="1"/>
  <c r="K22" s="1"/>
  <c r="C23"/>
  <c r="C28" s="1"/>
  <c r="D23"/>
  <c r="E23"/>
  <c r="F23"/>
  <c r="E24"/>
  <c r="G24" s="1"/>
  <c r="G27" s="1"/>
  <c r="H24"/>
  <c r="I24" s="1"/>
  <c r="E25"/>
  <c r="E26"/>
  <c r="G26" s="1"/>
  <c r="H26" s="1"/>
  <c r="C27"/>
  <c r="D27"/>
  <c r="D28" s="1"/>
  <c r="F27"/>
  <c r="F28"/>
  <c r="E30"/>
  <c r="G30" s="1"/>
  <c r="H30"/>
  <c r="I30" s="1"/>
  <c r="J30" s="1"/>
  <c r="K30" s="1"/>
  <c r="E31"/>
  <c r="G31" s="1"/>
  <c r="H31" s="1"/>
  <c r="I31" s="1"/>
  <c r="J31" s="1"/>
  <c r="K31" s="1"/>
  <c r="E32"/>
  <c r="G32" s="1"/>
  <c r="H32"/>
  <c r="I32" s="1"/>
  <c r="J32" s="1"/>
  <c r="K32" s="1"/>
  <c r="C33"/>
  <c r="D33"/>
  <c r="E33"/>
  <c r="G33" s="1"/>
  <c r="H33" s="1"/>
  <c r="I33" s="1"/>
  <c r="J33" s="1"/>
  <c r="K33" s="1"/>
  <c r="F33"/>
  <c r="F38" s="1"/>
  <c r="E34"/>
  <c r="G34" s="1"/>
  <c r="H34" s="1"/>
  <c r="I34" s="1"/>
  <c r="J34" s="1"/>
  <c r="K34" s="1"/>
  <c r="E35"/>
  <c r="G35" s="1"/>
  <c r="H35"/>
  <c r="I35" s="1"/>
  <c r="J35" s="1"/>
  <c r="K35" s="1"/>
  <c r="E36"/>
  <c r="G36" s="1"/>
  <c r="H36" s="1"/>
  <c r="I36" s="1"/>
  <c r="J36" s="1"/>
  <c r="K36" s="1"/>
  <c r="C37"/>
  <c r="D37"/>
  <c r="E37"/>
  <c r="G37" s="1"/>
  <c r="H37"/>
  <c r="I37" s="1"/>
  <c r="J37" s="1"/>
  <c r="K37" s="1"/>
  <c r="C38"/>
  <c r="D38"/>
  <c r="E38"/>
  <c r="C42"/>
  <c r="D42"/>
  <c r="D55" s="1"/>
  <c r="D85" s="1"/>
  <c r="E42"/>
  <c r="G42"/>
  <c r="G55" s="1"/>
  <c r="D71"/>
  <c r="C71"/>
  <c r="D74"/>
  <c r="C56"/>
  <c r="D56"/>
  <c r="C57"/>
  <c r="C87" s="1"/>
  <c r="D57"/>
  <c r="E57" s="1"/>
  <c r="C58"/>
  <c r="D58"/>
  <c r="C59"/>
  <c r="D59"/>
  <c r="E59" s="1"/>
  <c r="E89" s="1"/>
  <c r="J89" s="1"/>
  <c r="C60"/>
  <c r="D60"/>
  <c r="E60" s="1"/>
  <c r="E58"/>
  <c r="E88" s="1"/>
  <c r="C61"/>
  <c r="C91" s="1"/>
  <c r="D61"/>
  <c r="C62"/>
  <c r="C92" s="1"/>
  <c r="D62"/>
  <c r="C63"/>
  <c r="C93" s="1"/>
  <c r="D63"/>
  <c r="E63"/>
  <c r="E93" s="1"/>
  <c r="E62"/>
  <c r="C64"/>
  <c r="C94" s="1"/>
  <c r="D64"/>
  <c r="C65"/>
  <c r="C95" s="1"/>
  <c r="D65"/>
  <c r="E65"/>
  <c r="D76"/>
  <c r="C76"/>
  <c r="C106" s="1"/>
  <c r="C66"/>
  <c r="D66"/>
  <c r="E66" s="1"/>
  <c r="D72"/>
  <c r="C72"/>
  <c r="D77"/>
  <c r="E77"/>
  <c r="E107" s="1"/>
  <c r="J107" s="1"/>
  <c r="C77"/>
  <c r="E72"/>
  <c r="C67"/>
  <c r="C97" s="1"/>
  <c r="D67"/>
  <c r="C68"/>
  <c r="A54"/>
  <c r="C55"/>
  <c r="E55"/>
  <c r="E87"/>
  <c r="J87" s="1"/>
  <c r="F57" s="1"/>
  <c r="G57" s="1"/>
  <c r="H57" s="1"/>
  <c r="I57" s="1"/>
  <c r="J57" s="1"/>
  <c r="K57" s="1"/>
  <c r="E92"/>
  <c r="J92" s="1"/>
  <c r="F62" s="1"/>
  <c r="G62" s="1"/>
  <c r="H62" s="1"/>
  <c r="I62" s="1"/>
  <c r="J62" s="1"/>
  <c r="K62" s="1"/>
  <c r="D68"/>
  <c r="D98" s="1"/>
  <c r="E102"/>
  <c r="J102" s="1"/>
  <c r="A81"/>
  <c r="A83"/>
  <c r="C85"/>
  <c r="J85"/>
  <c r="C86"/>
  <c r="D86"/>
  <c r="D87"/>
  <c r="C88"/>
  <c r="D88"/>
  <c r="C89"/>
  <c r="D89"/>
  <c r="C90"/>
  <c r="D90"/>
  <c r="D92"/>
  <c r="D93"/>
  <c r="D94"/>
  <c r="D95"/>
  <c r="C96"/>
  <c r="D96"/>
  <c r="D97"/>
  <c r="F98"/>
  <c r="F99" s="1"/>
  <c r="G99"/>
  <c r="H99"/>
  <c r="I99"/>
  <c r="I109" s="1"/>
  <c r="C101"/>
  <c r="D101"/>
  <c r="D102"/>
  <c r="D104"/>
  <c r="C107"/>
  <c r="D107"/>
  <c r="F108"/>
  <c r="F109" s="1"/>
  <c r="G108"/>
  <c r="G109"/>
  <c r="H108"/>
  <c r="H109"/>
  <c r="I108"/>
  <c r="C110"/>
  <c r="A111"/>
  <c r="A1" i="4"/>
  <c r="A3" s="1"/>
  <c r="H6"/>
  <c r="L6"/>
  <c r="E7"/>
  <c r="E8" s="1"/>
  <c r="E9" s="1"/>
  <c r="E10" s="1"/>
  <c r="E11" s="1"/>
  <c r="E12" s="1"/>
  <c r="E13" s="1"/>
  <c r="E14" s="1"/>
  <c r="H7"/>
  <c r="H16"/>
  <c r="L7"/>
  <c r="M7"/>
  <c r="M8" s="1"/>
  <c r="M9" s="1"/>
  <c r="M10" s="1"/>
  <c r="M11" s="1"/>
  <c r="M12" s="1"/>
  <c r="H8"/>
  <c r="H9"/>
  <c r="L9"/>
  <c r="H10"/>
  <c r="L10"/>
  <c r="H11"/>
  <c r="L11"/>
  <c r="H12"/>
  <c r="L12"/>
  <c r="H13"/>
  <c r="H14"/>
  <c r="B18"/>
  <c r="C69" i="7" s="1"/>
  <c r="C99" s="1"/>
  <c r="C18" i="4"/>
  <c r="D69" i="7" s="1"/>
  <c r="D99" s="1"/>
  <c r="B22" i="4"/>
  <c r="C22"/>
  <c r="B23"/>
  <c r="C74" i="7"/>
  <c r="B24" i="4"/>
  <c r="C24"/>
  <c r="D75" i="7" s="1"/>
  <c r="E75" s="1"/>
  <c r="E105" s="1"/>
  <c r="B29" i="4"/>
  <c r="C29"/>
  <c r="B33"/>
  <c r="B41" s="1"/>
  <c r="C33"/>
  <c r="C41" s="1"/>
  <c r="C53" s="1"/>
  <c r="B47"/>
  <c r="C47"/>
  <c r="B51"/>
  <c r="B52" s="1"/>
  <c r="C51"/>
  <c r="C52"/>
  <c r="B57"/>
  <c r="C57"/>
  <c r="B61"/>
  <c r="C61"/>
  <c r="C62" s="1"/>
  <c r="B62"/>
  <c r="A66"/>
  <c r="C8" i="1"/>
  <c r="C16"/>
  <c r="C22"/>
  <c r="C26"/>
  <c r="C27" s="1"/>
  <c r="C32"/>
  <c r="C36"/>
  <c r="C37" s="1"/>
  <c r="C39" s="1"/>
  <c r="B8"/>
  <c r="B16" s="1"/>
  <c r="B22"/>
  <c r="B27" s="1"/>
  <c r="B26"/>
  <c r="B32"/>
  <c r="B37" s="1"/>
  <c r="B36"/>
  <c r="C104" i="7"/>
  <c r="B27" i="4"/>
  <c r="C28" i="1"/>
  <c r="C64" i="4"/>
  <c r="L8"/>
  <c r="C73" i="7"/>
  <c r="C75"/>
  <c r="C105" s="1"/>
  <c r="C53"/>
  <c r="D52" s="1"/>
  <c r="C98"/>
  <c r="E61"/>
  <c r="E91"/>
  <c r="J91" s="1"/>
  <c r="D91"/>
  <c r="E76"/>
  <c r="E106" s="1"/>
  <c r="J106" s="1"/>
  <c r="D106"/>
  <c r="E64"/>
  <c r="E94" s="1"/>
  <c r="J94" s="1"/>
  <c r="D48"/>
  <c r="E67"/>
  <c r="E97" s="1"/>
  <c r="J97" s="1"/>
  <c r="E56"/>
  <c r="D50"/>
  <c r="C103"/>
  <c r="D49"/>
  <c r="D105"/>
  <c r="E86"/>
  <c r="J86" s="1"/>
  <c r="F56" s="1"/>
  <c r="G56" s="1"/>
  <c r="H56" s="1"/>
  <c r="C30" i="10"/>
  <c r="E28" i="7"/>
  <c r="G23"/>
  <c r="H23" s="1"/>
  <c r="I23" s="1"/>
  <c r="G8"/>
  <c r="G11" s="1"/>
  <c r="L92"/>
  <c r="L87"/>
  <c r="J93"/>
  <c r="L93" s="1"/>
  <c r="E48"/>
  <c r="E95"/>
  <c r="J95" s="1"/>
  <c r="E51"/>
  <c r="H8"/>
  <c r="I8" s="1"/>
  <c r="J8" s="1"/>
  <c r="K8" s="1"/>
  <c r="H11"/>
  <c r="I11" s="1"/>
  <c r="J11" s="1"/>
  <c r="K11" s="1"/>
  <c r="F63"/>
  <c r="G63" s="1"/>
  <c r="H63" s="1"/>
  <c r="I63" s="1"/>
  <c r="L86" l="1"/>
  <c r="D47"/>
  <c r="I26"/>
  <c r="J26" s="1"/>
  <c r="K26" s="1"/>
  <c r="H27"/>
  <c r="H28" s="1"/>
  <c r="E50"/>
  <c r="E96"/>
  <c r="J96" s="1"/>
  <c r="J23"/>
  <c r="J24"/>
  <c r="B53" i="4"/>
  <c r="G28" i="7"/>
  <c r="J4"/>
  <c r="I42"/>
  <c r="I55" s="1"/>
  <c r="G38"/>
  <c r="H38" s="1"/>
  <c r="I38" s="1"/>
  <c r="J38" s="1"/>
  <c r="K38" s="1"/>
  <c r="L16" i="4"/>
  <c r="B39" i="1"/>
  <c r="C27" i="4"/>
  <c r="D73" i="7"/>
  <c r="D78" s="1"/>
  <c r="D51"/>
  <c r="C102"/>
  <c r="C78"/>
  <c r="E71"/>
  <c r="D17"/>
  <c r="B64" i="4"/>
  <c r="Q11" i="10"/>
  <c r="G17" i="7"/>
  <c r="B28" i="1"/>
  <c r="E49" i="7"/>
  <c r="E74"/>
  <c r="D46"/>
  <c r="E27"/>
  <c r="C40"/>
  <c r="C29"/>
  <c r="F17"/>
  <c r="J50"/>
  <c r="J63" s="1"/>
  <c r="K63" s="1"/>
  <c r="F65"/>
  <c r="G65" s="1"/>
  <c r="H65" s="1"/>
  <c r="I65" s="1"/>
  <c r="J65" s="1"/>
  <c r="K65" s="1"/>
  <c r="L95"/>
  <c r="I56"/>
  <c r="L97"/>
  <c r="F67"/>
  <c r="G67" s="1"/>
  <c r="H67" s="1"/>
  <c r="I67" s="1"/>
  <c r="J67" s="1"/>
  <c r="K67" s="1"/>
  <c r="F61"/>
  <c r="G61" s="1"/>
  <c r="H61" s="1"/>
  <c r="I61" s="1"/>
  <c r="J61" s="1"/>
  <c r="K61" s="1"/>
  <c r="L91"/>
  <c r="F66"/>
  <c r="G66" s="1"/>
  <c r="H66" s="1"/>
  <c r="I66" s="1"/>
  <c r="J66" s="1"/>
  <c r="K66" s="1"/>
  <c r="L96"/>
  <c r="L107"/>
  <c r="F77"/>
  <c r="G77" s="1"/>
  <c r="H77" s="1"/>
  <c r="I77" s="1"/>
  <c r="J77" s="1"/>
  <c r="K77" s="1"/>
  <c r="J88"/>
  <c r="E47"/>
  <c r="E90"/>
  <c r="J90" s="1"/>
  <c r="J105"/>
  <c r="F64"/>
  <c r="G64" s="1"/>
  <c r="H64" s="1"/>
  <c r="I64" s="1"/>
  <c r="J64" s="1"/>
  <c r="K64" s="1"/>
  <c r="L94"/>
  <c r="F76"/>
  <c r="G76" s="1"/>
  <c r="H76" s="1"/>
  <c r="I76" s="1"/>
  <c r="J76" s="1"/>
  <c r="K76" s="1"/>
  <c r="L106"/>
  <c r="F72"/>
  <c r="G72" s="1"/>
  <c r="H72" s="1"/>
  <c r="I72" s="1"/>
  <c r="J72" s="1"/>
  <c r="K72" s="1"/>
  <c r="F59"/>
  <c r="G59" s="1"/>
  <c r="H59" s="1"/>
  <c r="I59" s="1"/>
  <c r="J59" s="1"/>
  <c r="K59" s="1"/>
  <c r="L89"/>
  <c r="D79" l="1"/>
  <c r="D109" s="1"/>
  <c r="D108"/>
  <c r="C108"/>
  <c r="C79"/>
  <c r="C109" s="1"/>
  <c r="J27"/>
  <c r="J28" s="1"/>
  <c r="K24"/>
  <c r="K27" s="1"/>
  <c r="F29"/>
  <c r="F40"/>
  <c r="G29"/>
  <c r="G39" s="1"/>
  <c r="H39" s="1"/>
  <c r="I39" s="1"/>
  <c r="J39" s="1"/>
  <c r="K39" s="1"/>
  <c r="H17"/>
  <c r="E17"/>
  <c r="D29"/>
  <c r="E29" s="1"/>
  <c r="D40"/>
  <c r="J42"/>
  <c r="J55" s="1"/>
  <c r="K4"/>
  <c r="I27"/>
  <c r="I28" s="1"/>
  <c r="E46"/>
  <c r="E104"/>
  <c r="J104" s="1"/>
  <c r="K23"/>
  <c r="K28" s="1"/>
  <c r="R11" i="10"/>
  <c r="E101" i="7"/>
  <c r="J101" s="1"/>
  <c r="D45"/>
  <c r="E73" s="1"/>
  <c r="E78" s="1"/>
  <c r="D103"/>
  <c r="F75"/>
  <c r="G75" s="1"/>
  <c r="H75" s="1"/>
  <c r="I75" s="1"/>
  <c r="J75" s="1"/>
  <c r="K75" s="1"/>
  <c r="L105"/>
  <c r="F60"/>
  <c r="G60" s="1"/>
  <c r="H60" s="1"/>
  <c r="I60" s="1"/>
  <c r="J60" s="1"/>
  <c r="K60" s="1"/>
  <c r="L90"/>
  <c r="K88"/>
  <c r="K99" s="1"/>
  <c r="F58"/>
  <c r="J56"/>
  <c r="E39" l="1"/>
  <c r="E40"/>
  <c r="L88"/>
  <c r="K102" s="1"/>
  <c r="K101" s="1"/>
  <c r="L101" s="1"/>
  <c r="M101" s="1"/>
  <c r="E103"/>
  <c r="J103" s="1"/>
  <c r="E45"/>
  <c r="K42"/>
  <c r="K55" s="1"/>
  <c r="L42"/>
  <c r="L55" s="1"/>
  <c r="L104"/>
  <c r="F74"/>
  <c r="G74" s="1"/>
  <c r="H74" s="1"/>
  <c r="I74" s="1"/>
  <c r="J74" s="1"/>
  <c r="K74" s="1"/>
  <c r="H29"/>
  <c r="I17"/>
  <c r="D43"/>
  <c r="D44"/>
  <c r="D53" s="1"/>
  <c r="G40"/>
  <c r="K56"/>
  <c r="G58"/>
  <c r="J108" l="1"/>
  <c r="F71"/>
  <c r="E43"/>
  <c r="E44"/>
  <c r="G43"/>
  <c r="H40"/>
  <c r="E52"/>
  <c r="D80"/>
  <c r="D110" s="1"/>
  <c r="F73"/>
  <c r="G73" s="1"/>
  <c r="H73" s="1"/>
  <c r="I73" s="1"/>
  <c r="J73" s="1"/>
  <c r="K73" s="1"/>
  <c r="L103"/>
  <c r="E108"/>
  <c r="J17"/>
  <c r="I29"/>
  <c r="E30" i="10"/>
  <c r="L102" i="7"/>
  <c r="H58"/>
  <c r="K108"/>
  <c r="K109" s="1"/>
  <c r="J29" l="1"/>
  <c r="K17"/>
  <c r="K29" s="1"/>
  <c r="E53"/>
  <c r="I40"/>
  <c r="H43"/>
  <c r="G71"/>
  <c r="F78"/>
  <c r="F30" i="10"/>
  <c r="I28" s="1"/>
  <c r="L108" i="7"/>
  <c r="I58"/>
  <c r="E9" i="10"/>
  <c r="J40" i="7" l="1"/>
  <c r="I43"/>
  <c r="E68"/>
  <c r="E80" s="1"/>
  <c r="G78"/>
  <c r="H71"/>
  <c r="M37" i="10"/>
  <c r="F51"/>
  <c r="F9"/>
  <c r="M16" s="1"/>
  <c r="P8" s="1"/>
  <c r="I30"/>
  <c r="M30" s="1"/>
  <c r="Q5" s="1"/>
  <c r="Q20" s="1"/>
  <c r="J58" i="7"/>
  <c r="Q8" i="10" l="1"/>
  <c r="P23"/>
  <c r="J43" i="7"/>
  <c r="K40"/>
  <c r="K43" s="1"/>
  <c r="Q9" i="10"/>
  <c r="Q13" s="1"/>
  <c r="E98" i="7"/>
  <c r="E69"/>
  <c r="E79" s="1"/>
  <c r="E110"/>
  <c r="I71"/>
  <c r="H78"/>
  <c r="I7" i="10"/>
  <c r="M39"/>
  <c r="C33"/>
  <c r="K58" i="7"/>
  <c r="M58" i="10"/>
  <c r="I49"/>
  <c r="I9" l="1"/>
  <c r="M9"/>
  <c r="M18" s="1"/>
  <c r="R8"/>
  <c r="R23" s="1"/>
  <c r="Q23"/>
  <c r="Q24" s="1"/>
  <c r="Q28" s="1"/>
  <c r="J98" i="7"/>
  <c r="E99"/>
  <c r="E109" s="1"/>
  <c r="J71"/>
  <c r="I78"/>
  <c r="C12" i="10"/>
  <c r="C41"/>
  <c r="I51"/>
  <c r="M51" s="1"/>
  <c r="P5" s="1"/>
  <c r="R5" l="1"/>
  <c r="R20" s="1"/>
  <c r="R24" s="1"/>
  <c r="R28" s="1"/>
  <c r="P9"/>
  <c r="P13" s="1"/>
  <c r="P20"/>
  <c r="P24" s="1"/>
  <c r="P28" s="1"/>
  <c r="R9"/>
  <c r="R13" s="1"/>
  <c r="J78" i="7"/>
  <c r="K71"/>
  <c r="K78" s="1"/>
  <c r="J99"/>
  <c r="J109" s="1"/>
  <c r="F53"/>
  <c r="L98"/>
  <c r="L99" s="1"/>
  <c r="L109" s="1"/>
  <c r="F68"/>
  <c r="M60" i="10"/>
  <c r="C54"/>
  <c r="C20"/>
  <c r="F80" i="7" l="1"/>
  <c r="G52"/>
  <c r="G53" s="1"/>
  <c r="F69"/>
  <c r="F79" s="1"/>
  <c r="C62" i="10"/>
  <c r="G68" i="7" l="1"/>
  <c r="G80" s="1"/>
  <c r="H52" l="1"/>
  <c r="H53" s="1"/>
  <c r="G69"/>
  <c r="G79" s="1"/>
  <c r="H68" l="1"/>
  <c r="H80" s="1"/>
  <c r="I52" l="1"/>
  <c r="I53" s="1"/>
  <c r="H69"/>
  <c r="H79" s="1"/>
  <c r="I68" l="1"/>
  <c r="J52" l="1"/>
  <c r="J53" s="1"/>
  <c r="I69"/>
  <c r="I79" s="1"/>
  <c r="I80"/>
  <c r="J68" l="1"/>
  <c r="J80" s="1"/>
  <c r="K52" l="1"/>
  <c r="K53" s="1"/>
  <c r="J69"/>
  <c r="J79" s="1"/>
  <c r="K68" l="1"/>
  <c r="K69" s="1"/>
  <c r="K79" s="1"/>
  <c r="K80" l="1"/>
  <c r="L99" i="14" l="1"/>
  <c r="N108"/>
  <c r="P107" s="1"/>
  <c r="K108" l="1"/>
  <c r="K109" s="1"/>
  <c r="L102"/>
  <c r="AE99" l="1"/>
  <c r="AE100" s="1"/>
  <c r="AF98"/>
  <c r="AG98" s="1"/>
  <c r="R99"/>
  <c r="S99" s="1"/>
  <c r="X99" s="1"/>
  <c r="R100"/>
  <c r="S100" s="1"/>
  <c r="X100" s="1"/>
  <c r="O101"/>
  <c r="L108"/>
  <c r="L109" s="1"/>
  <c r="R107" l="1"/>
  <c r="S107" s="1"/>
  <c r="R101"/>
  <c r="X98"/>
  <c r="V105" l="1"/>
  <c r="V106" s="1"/>
  <c r="S101"/>
  <c r="T99"/>
  <c r="AA94" s="1"/>
  <c r="T100"/>
  <c r="AA95" s="1"/>
  <c r="AA100" l="1"/>
  <c r="AC100" s="1"/>
  <c r="AH100" s="1"/>
  <c r="AA99"/>
  <c r="AB99" s="1"/>
  <c r="AC99" l="1"/>
  <c r="AH99" s="1"/>
  <c r="AB100"/>
  <c r="AB101" s="1"/>
  <c r="Z110" s="1"/>
  <c r="AF100"/>
  <c r="AG100" s="1"/>
  <c r="AD100"/>
  <c r="AF99" l="1"/>
  <c r="AG99" s="1"/>
  <c r="AD99"/>
  <c r="AB105"/>
  <c r="AB110"/>
  <c r="AB112" s="1"/>
  <c r="Z112"/>
  <c r="AA101"/>
  <c r="AA102" s="1"/>
  <c r="AA103" s="1"/>
  <c r="AB102"/>
  <c r="AC110" l="1"/>
  <c r="AD110" s="1"/>
</calcChain>
</file>

<file path=xl/comments1.xml><?xml version="1.0" encoding="utf-8"?>
<comments xmlns="http://schemas.openxmlformats.org/spreadsheetml/2006/main">
  <authors>
    <author>Jean SAINT-CRICQ</author>
  </authors>
  <commentList>
    <comment ref="F9" authorId="0">
      <text>
        <r>
          <rPr>
            <sz val="8"/>
            <color indexed="81"/>
            <rFont val="Tahoma"/>
            <family val="2"/>
          </rPr>
          <t>-366 de Domimur +14 de Domimur-100 d'Assertec+5%Prd(Mngmt fees capstone)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8"/>
            <color indexed="81"/>
            <rFont val="Tahoma"/>
            <family val="2"/>
          </rPr>
          <t xml:space="preserve">Dénantissement des Sicav liées à la dette
</t>
        </r>
      </text>
    </comment>
    <comment ref="I95" authorId="0">
      <text>
        <r>
          <rPr>
            <b/>
            <sz val="8"/>
            <color indexed="81"/>
            <rFont val="Tahoma"/>
            <family val="2"/>
          </rPr>
          <t>Vérifier avec Mme Sambin</t>
        </r>
      </text>
    </comment>
    <comment ref="H98" authorId="0">
      <text>
        <r>
          <rPr>
            <b/>
            <sz val="8"/>
            <color indexed="81"/>
            <rFont val="Tahoma"/>
            <family val="2"/>
          </rPr>
          <t>partie  liée aux filiales à vérifier</t>
        </r>
      </text>
    </comment>
    <comment ref="K102" authorId="0">
      <text>
        <r>
          <rPr>
            <b/>
            <sz val="8"/>
            <color indexed="81"/>
            <rFont val="Tahoma"/>
            <family val="2"/>
          </rPr>
          <t>IS latent+I/+Vimmob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F9" authorId="0">
      <text>
        <r>
          <rPr>
            <sz val="8"/>
            <color indexed="81"/>
            <rFont val="Tahoma"/>
            <family val="2"/>
          </rPr>
          <t>-366 de Domimur +14 de Domimur-100 d'Assertec+5%Prd(Mngmt fees capstone)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8"/>
            <color indexed="81"/>
            <rFont val="Tahoma"/>
            <family val="2"/>
          </rPr>
          <t xml:space="preserve">Dénantissement des Sicav liées à la dette
</t>
        </r>
      </text>
    </comment>
    <comment ref="I95" authorId="0">
      <text>
        <r>
          <rPr>
            <b/>
            <sz val="8"/>
            <color indexed="81"/>
            <rFont val="Tahoma"/>
            <family val="2"/>
          </rPr>
          <t>Vérifier avec Mme Sambin</t>
        </r>
      </text>
    </comment>
    <comment ref="H98" authorId="0">
      <text>
        <r>
          <rPr>
            <b/>
            <sz val="8"/>
            <color indexed="81"/>
            <rFont val="Tahoma"/>
            <family val="2"/>
          </rPr>
          <t>partie  liée aux filiales à vérifier</t>
        </r>
      </text>
    </comment>
    <comment ref="K102" authorId="0">
      <text>
        <r>
          <rPr>
            <b/>
            <sz val="8"/>
            <color indexed="81"/>
            <rFont val="Tahoma"/>
            <family val="2"/>
          </rPr>
          <t>IS latent+I/+Vimmob</t>
        </r>
      </text>
    </comment>
  </commentList>
</comments>
</file>

<file path=xl/comments3.xml><?xml version="1.0" encoding="utf-8"?>
<comments xmlns="http://schemas.openxmlformats.org/spreadsheetml/2006/main">
  <authors>
    <author>Jean SAINT-CRICQ</author>
  </authors>
  <commentList>
    <comment ref="F9" authorId="0">
      <text>
        <r>
          <rPr>
            <sz val="8"/>
            <color indexed="81"/>
            <rFont val="Tahoma"/>
            <family val="2"/>
          </rPr>
          <t>-366 de Domimur +14 de Domimur-100 d'Assertec+5%Prd(Mngmt fees capstone)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8"/>
            <color indexed="81"/>
            <rFont val="Tahoma"/>
            <family val="2"/>
          </rPr>
          <t xml:space="preserve">Dénantissement des Sicav liées à la dette
</t>
        </r>
      </text>
    </comment>
    <comment ref="I95" authorId="0">
      <text>
        <r>
          <rPr>
            <b/>
            <sz val="8"/>
            <color indexed="81"/>
            <rFont val="Tahoma"/>
            <family val="2"/>
          </rPr>
          <t>Vérifier avec Mme Sambin</t>
        </r>
      </text>
    </comment>
    <comment ref="H98" authorId="0">
      <text>
        <r>
          <rPr>
            <b/>
            <sz val="8"/>
            <color indexed="81"/>
            <rFont val="Tahoma"/>
            <family val="2"/>
          </rPr>
          <t>partie  liée aux filiales à vérifier</t>
        </r>
      </text>
    </comment>
    <comment ref="K102" authorId="0">
      <text>
        <r>
          <rPr>
            <b/>
            <sz val="8"/>
            <color indexed="81"/>
            <rFont val="Tahoma"/>
            <family val="2"/>
          </rPr>
          <t>IS latent+I/+Vimmob</t>
        </r>
      </text>
    </comment>
  </commentList>
</comments>
</file>

<file path=xl/comments4.xml><?xml version="1.0" encoding="utf-8"?>
<comments xmlns="http://schemas.openxmlformats.org/spreadsheetml/2006/main">
  <authors>
    <author>stephane lipp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stephane lipp:</t>
        </r>
        <r>
          <rPr>
            <sz val="9"/>
            <color indexed="81"/>
            <rFont val="Tahoma"/>
            <family val="2"/>
          </rPr>
          <t xml:space="preserve">
dettes sur immo</t>
        </r>
      </text>
    </comment>
  </commentList>
</comments>
</file>

<file path=xl/comments5.xml><?xml version="1.0" encoding="utf-8"?>
<comments xmlns="http://schemas.openxmlformats.org/spreadsheetml/2006/main">
  <authors>
    <author>Martin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Cash - dette</t>
        </r>
      </text>
    </comment>
  </commentList>
</comments>
</file>

<file path=xl/sharedStrings.xml><?xml version="1.0" encoding="utf-8"?>
<sst xmlns="http://schemas.openxmlformats.org/spreadsheetml/2006/main" count="1410" uniqueCount="463">
  <si>
    <t>terrains</t>
  </si>
  <si>
    <t>Concessions</t>
  </si>
  <si>
    <t>Constructions</t>
  </si>
  <si>
    <t>Autres corpo</t>
  </si>
  <si>
    <t>En cours</t>
  </si>
  <si>
    <t>Participations</t>
  </si>
  <si>
    <t>Autres titres</t>
  </si>
  <si>
    <t>Autres fi</t>
  </si>
  <si>
    <t>Clients</t>
  </si>
  <si>
    <t>Autres créances</t>
  </si>
  <si>
    <t>VMP</t>
  </si>
  <si>
    <t>Dispo</t>
  </si>
  <si>
    <t>CCA</t>
  </si>
  <si>
    <t>Cap. Propres</t>
  </si>
  <si>
    <t>Provisions</t>
  </si>
  <si>
    <t>Defi</t>
  </si>
  <si>
    <t>Cpte crt</t>
  </si>
  <si>
    <t>Defour</t>
  </si>
  <si>
    <t>Socfisc</t>
  </si>
  <si>
    <t>Autres dettes</t>
  </si>
  <si>
    <t>Immobilier</t>
  </si>
  <si>
    <t>Autres imm.fi</t>
  </si>
  <si>
    <t>Total actif</t>
  </si>
  <si>
    <t>Total passif</t>
  </si>
  <si>
    <t>Actif</t>
  </si>
  <si>
    <t>Passif</t>
  </si>
  <si>
    <t>Etablissements A.Mure SA 2009</t>
  </si>
  <si>
    <t>Chiffre d'affaires</t>
  </si>
  <si>
    <t>Autres produits</t>
  </si>
  <si>
    <t>Reprises</t>
  </si>
  <si>
    <t>Total produits</t>
  </si>
  <si>
    <t>AACE</t>
  </si>
  <si>
    <t>IT</t>
  </si>
  <si>
    <t>Charges sociales</t>
  </si>
  <si>
    <t>Salaires</t>
  </si>
  <si>
    <t>Amort</t>
  </si>
  <si>
    <t>Autres charges</t>
  </si>
  <si>
    <t>EBIT</t>
  </si>
  <si>
    <t>Prd fi</t>
  </si>
  <si>
    <t>Prd autres VM</t>
  </si>
  <si>
    <t>reprises prov</t>
  </si>
  <si>
    <t>Prd net VM</t>
  </si>
  <si>
    <t>Autres intérêts</t>
  </si>
  <si>
    <t>Dot prov amort</t>
  </si>
  <si>
    <t>intérêts et charges</t>
  </si>
  <si>
    <t>Charges n cessions</t>
  </si>
  <si>
    <t>Résultat financier</t>
  </si>
  <si>
    <t>total produits fi</t>
  </si>
  <si>
    <t>total charges fi</t>
  </si>
  <si>
    <t>RCAI</t>
  </si>
  <si>
    <t>Xcp /gestion</t>
  </si>
  <si>
    <t>Reprise/prov</t>
  </si>
  <si>
    <t>Xcp / cap</t>
  </si>
  <si>
    <t>Xcp prd</t>
  </si>
  <si>
    <t>Xcp / gestion</t>
  </si>
  <si>
    <t>Xcp / dot</t>
  </si>
  <si>
    <t>Xcp / charges</t>
  </si>
  <si>
    <t>IS</t>
  </si>
  <si>
    <t>Total exceptionnels</t>
  </si>
  <si>
    <t>Bénéfice</t>
  </si>
  <si>
    <t>Prd de location</t>
  </si>
  <si>
    <t>Questions et commentaires</t>
  </si>
  <si>
    <t>Dividende de 4 Euros par action versé aux 318.338 actions.</t>
  </si>
  <si>
    <t>RAS</t>
  </si>
  <si>
    <t>il s'agit des dividendes des filiales.</t>
  </si>
  <si>
    <t>prix de revient des ventes de VM.</t>
  </si>
  <si>
    <t>produit des ventes de VM.</t>
  </si>
  <si>
    <t>Le rapport 176/3873 = 4.5% est-il pertinent?</t>
  </si>
  <si>
    <t>MBA</t>
  </si>
  <si>
    <t>Dettes Financières</t>
  </si>
  <si>
    <t>Comptes courants</t>
  </si>
  <si>
    <t>Capitaux propres</t>
  </si>
  <si>
    <t>Dispo DP</t>
  </si>
  <si>
    <t>Dispo FP</t>
  </si>
  <si>
    <t>Investissements corpo</t>
  </si>
  <si>
    <t>Part+Autres T+Autres FI</t>
  </si>
  <si>
    <t>BFR</t>
  </si>
  <si>
    <t>Total</t>
  </si>
  <si>
    <t>total</t>
  </si>
  <si>
    <t>x</t>
  </si>
  <si>
    <t>check 1</t>
  </si>
  <si>
    <t>check 2</t>
  </si>
  <si>
    <t>Ajstmt</t>
  </si>
  <si>
    <t>(1)</t>
  </si>
  <si>
    <t>(2)</t>
  </si>
  <si>
    <t>(3)</t>
  </si>
  <si>
    <t>Cession</t>
  </si>
  <si>
    <t>Post C</t>
  </si>
  <si>
    <t>voir tableau détaillé opérations de cession</t>
  </si>
  <si>
    <t>Comptes financement</t>
  </si>
  <si>
    <t>bilans</t>
  </si>
  <si>
    <t xml:space="preserve">COMMENTAIRES ET QUESTIONS </t>
  </si>
  <si>
    <t>COMPTES EXPLOITATION DE MURE :</t>
  </si>
  <si>
    <t>voir tableau spécifique</t>
  </si>
  <si>
    <t>pourquoi?</t>
  </si>
  <si>
    <t>Chiffres en K€</t>
  </si>
  <si>
    <t>COMMENTAIRES ET QUESTIONS</t>
  </si>
  <si>
    <t>Descriptif détaillé des immo et tableaux d'amortissement.</t>
  </si>
  <si>
    <t>à déprécier : -50% + clause de retour à meilleure fortune - leur métier</t>
  </si>
  <si>
    <t>que sont-elles?</t>
  </si>
  <si>
    <t>Chges const.avce</t>
  </si>
  <si>
    <t>voir commentaires et tableau des effectifs et rémunérations. Attention au gardien. Lccmt ?</t>
  </si>
  <si>
    <t>Dettes financières</t>
  </si>
  <si>
    <t>liste, échéances, contrats</t>
  </si>
  <si>
    <t>Dettes fournisseurs</t>
  </si>
  <si>
    <t>Rémunéré 4%?</t>
  </si>
  <si>
    <t>(4)</t>
  </si>
  <si>
    <r>
      <t xml:space="preserve">de quoi s'agit-il? </t>
    </r>
    <r>
      <rPr>
        <sz val="10"/>
        <color indexed="10"/>
        <rFont val="Arial"/>
        <family val="2"/>
      </rPr>
      <t>Mangement fees facturés à Bartec et Babich</t>
    </r>
  </si>
  <si>
    <r>
      <t xml:space="preserve">dont loyer. </t>
    </r>
    <r>
      <rPr>
        <sz val="10"/>
        <color indexed="10"/>
        <rFont val="Arial"/>
        <family val="2"/>
      </rPr>
      <t>Redevances facturées à Bartec pourquoi? Loyer 2010=4285K hors Marmont.</t>
    </r>
  </si>
  <si>
    <t>Impôts locaux liés à l'immobilier sont-ils sur cette ligne? Si oui, semblent faibles. TP, TVTS, apprentissage.</t>
  </si>
  <si>
    <t>impayés sur loyers.</t>
  </si>
  <si>
    <r>
      <t>par rapport aux rémunérations brutes, ces charges semblent un peu élevées.</t>
    </r>
    <r>
      <rPr>
        <sz val="10"/>
        <color indexed="10"/>
        <rFont val="Arial"/>
        <family val="2"/>
      </rPr>
      <t xml:space="preserve"> Oui car Mutuelle spéciale + art 82 + art 83 + PEE HSBC.</t>
    </r>
  </si>
  <si>
    <t>Jetons Prsdt CS 72K+ idem Vice Prsdt + frais entretien brevets Bartec.</t>
  </si>
  <si>
    <t>prêt à une filiale</t>
  </si>
  <si>
    <t>reprise sur portefeuille - A APPROFONDIR</t>
  </si>
  <si>
    <t>sur placements, annulation  et reprise …. À  approfondir</t>
  </si>
  <si>
    <t>Le rapport 425/7342 = 5.8% est-il pertinent? (emprunts et cptes courants)</t>
  </si>
  <si>
    <t>Provision prud'hommes Mme Sambin (50K - transaction probable à 400). Litige avec ancien propriétaire de locaux que Mure louait à Lyon.</t>
  </si>
  <si>
    <t>détail du calcul de l'IS à obtenir. IS sera à nouveau dû  à partir de 2010.</t>
  </si>
  <si>
    <t>Détail demandé. Dont 40.000m2@25€ à Plaine de l'Ain.</t>
  </si>
  <si>
    <t>nantissement auprès de la SG/Oseo?</t>
  </si>
  <si>
    <t>Loyers à échoir. Retards de paiement probalbes.</t>
  </si>
  <si>
    <r>
      <t>assurances DO pour 130.</t>
    </r>
    <r>
      <rPr>
        <b/>
        <sz val="10"/>
        <color indexed="10"/>
        <rFont val="Arial"/>
        <family val="2"/>
      </rPr>
      <t xml:space="preserve"> Logique?</t>
    </r>
  </si>
  <si>
    <t>Certificats de dépôt.</t>
  </si>
  <si>
    <t>158K Prud'hommes - 148 Provisions retraites.</t>
  </si>
  <si>
    <r>
      <t>Chges soc./an = 156, IS = 0+, TVA = 1M/an…Détail du cpte SVP.</t>
    </r>
    <r>
      <rPr>
        <b/>
        <sz val="10"/>
        <color indexed="10"/>
        <rFont val="Arial"/>
        <family val="2"/>
      </rPr>
      <t xml:space="preserve"> TVA collectée + organique.</t>
    </r>
  </si>
  <si>
    <r>
      <t xml:space="preserve">Cpte crt Babich = 1.5M </t>
    </r>
    <r>
      <rPr>
        <sz val="10"/>
        <color indexed="10"/>
        <rFont val="Arial"/>
        <family val="2"/>
      </rPr>
      <t>(</t>
    </r>
    <r>
      <rPr>
        <sz val="10"/>
        <color indexed="10"/>
        <rFont val="Arial"/>
        <family val="2"/>
      </rPr>
      <t xml:space="preserve">Valo des titres = 1.5M) - 2.0M dus à Fimur. </t>
    </r>
  </si>
  <si>
    <t>BILANS DE MURE : novembre 2010</t>
  </si>
  <si>
    <t>Management fees</t>
  </si>
  <si>
    <t>Autres Fi</t>
  </si>
  <si>
    <t>Dépots gar locataires</t>
  </si>
  <si>
    <r>
      <t>dont redevance Domimur 366, 5</t>
    </r>
    <r>
      <rPr>
        <sz val="10"/>
        <color indexed="10"/>
        <rFont val="Arial"/>
        <family val="2"/>
      </rPr>
      <t xml:space="preserve"> en 2010 pendant 5 ans</t>
    </r>
    <r>
      <rPr>
        <sz val="10"/>
        <rFont val="Arial"/>
        <family val="2"/>
      </rPr>
      <t xml:space="preserve"> - demander détail du solde. Charges refacturées? Dont taxe foncière, charges loyer de Limonest,1voiture et Assertec (100K) , charges du parc refacturées</t>
    </r>
  </si>
  <si>
    <t>amortissement apparent sur 23 ans. Pouvons-nous avoir le détail du calcul? Pas encore.</t>
  </si>
  <si>
    <t>Février</t>
  </si>
  <si>
    <t>Mars</t>
  </si>
  <si>
    <t>LOI projet n°1 avec CHS</t>
  </si>
  <si>
    <t>LOI projet n°2</t>
  </si>
  <si>
    <t>LOI projet n°3</t>
  </si>
  <si>
    <t>LOI projet n°4</t>
  </si>
  <si>
    <t>LOI finale</t>
  </si>
  <si>
    <t>Offre approche n°1 Marc</t>
  </si>
  <si>
    <t>Offre approche n°1 JPP &amp; Co (44%)</t>
  </si>
  <si>
    <t>fourniture officielle data room CHS</t>
  </si>
  <si>
    <t>Offre officielle  N°1</t>
  </si>
  <si>
    <t>Négociation with Marc</t>
  </si>
  <si>
    <t>Avril</t>
  </si>
  <si>
    <t>Mai</t>
  </si>
  <si>
    <t>Juin</t>
  </si>
  <si>
    <t>Accord &gt;50%</t>
  </si>
  <si>
    <t>Accord avec Marc</t>
  </si>
  <si>
    <t>Accord CS</t>
  </si>
  <si>
    <t>démarrage audits</t>
  </si>
  <si>
    <t>rédaction protocoles</t>
  </si>
  <si>
    <t>Closing n°1 (docs définitifs - 2 conditions susp.)</t>
  </si>
  <si>
    <t>Levée des conditions</t>
  </si>
  <si>
    <t>Prix définitif</t>
  </si>
  <si>
    <t>Closing n°2 et prise de contrôle</t>
  </si>
  <si>
    <t>Juillet</t>
  </si>
  <si>
    <t>Clôture des comptes de Mure au jour de la réalisation</t>
  </si>
  <si>
    <t>COMPTE A REBOURS PROJET RIVES DE PARIS - fait le 14/12/2010 - version douce -</t>
  </si>
  <si>
    <t>COMPTE A REBOURS PROJET RIVES DE PARIS - fait le 14/12/2010 - version dure -</t>
  </si>
  <si>
    <t>Obtention formelle de + de 50% des voix</t>
  </si>
  <si>
    <t>Action en référé convocation AG</t>
  </si>
  <si>
    <t>Décision de référé AG</t>
  </si>
  <si>
    <t>Publicaton référé</t>
  </si>
  <si>
    <t>convocation AG</t>
  </si>
  <si>
    <t>AG révocation/nomination CS+Dir</t>
  </si>
  <si>
    <t>Août</t>
  </si>
  <si>
    <t>Septembre</t>
  </si>
  <si>
    <t>Octobre</t>
  </si>
  <si>
    <t/>
  </si>
  <si>
    <t>HORS GAP</t>
  </si>
  <si>
    <t>Loyer intial</t>
  </si>
  <si>
    <t>Hono</t>
  </si>
  <si>
    <t>VE</t>
  </si>
  <si>
    <t>Deloitte</t>
  </si>
  <si>
    <t>GFP</t>
  </si>
  <si>
    <t>Prix revient</t>
  </si>
  <si>
    <t>Rentabilite NETTE</t>
  </si>
  <si>
    <t>RETRAITEMENT</t>
  </si>
  <si>
    <t>GAP INCLUS</t>
  </si>
  <si>
    <t>GAP</t>
  </si>
  <si>
    <t>HORS GAP ET HORS IS LATENT</t>
  </si>
  <si>
    <t>Valeur immo</t>
  </si>
  <si>
    <t>IS latent</t>
  </si>
  <si>
    <t>Autres actifs</t>
  </si>
  <si>
    <t>Taxes acq.</t>
  </si>
  <si>
    <t>Autres actifs (cash)</t>
  </si>
  <si>
    <t>Rentabilité NETTE retraitée</t>
  </si>
  <si>
    <t>Prix revient retraité</t>
  </si>
  <si>
    <t>RIVES DE PARIS - MANAGEMENT ACCOUNTS/PROJECTIONS</t>
  </si>
  <si>
    <t>P&amp;L ACCOUNT</t>
  </si>
  <si>
    <t>Total revenues</t>
  </si>
  <si>
    <t>Net finance income/(cost)</t>
  </si>
  <si>
    <t>Net exceptional income/(cost)</t>
  </si>
  <si>
    <t>Corporation tax</t>
  </si>
  <si>
    <t>Net income</t>
  </si>
  <si>
    <t>Eliminated in Capstone tax consolidation</t>
  </si>
  <si>
    <t>BALANCE SHEET &amp; TRANSACTION ADJUSTMENTS</t>
  </si>
  <si>
    <t>Assets</t>
  </si>
  <si>
    <t>Liabilities</t>
  </si>
  <si>
    <t>Land</t>
  </si>
  <si>
    <t>Buildings</t>
  </si>
  <si>
    <t>Other tangible assets</t>
  </si>
  <si>
    <t>WIP</t>
  </si>
  <si>
    <t>Investment in subs</t>
  </si>
  <si>
    <t>Other investments</t>
  </si>
  <si>
    <t>Other financial assets</t>
  </si>
  <si>
    <t>Trade debtors</t>
  </si>
  <si>
    <t>Other debtors</t>
  </si>
  <si>
    <t>Current accounts</t>
  </si>
  <si>
    <t>Cash</t>
  </si>
  <si>
    <t>Shareholders equity</t>
  </si>
  <si>
    <t>Loans</t>
  </si>
  <si>
    <t>Trade creditors</t>
  </si>
  <si>
    <t>Tax &amp; social security</t>
  </si>
  <si>
    <t>Other creditors</t>
  </si>
  <si>
    <t>Sale adjustments</t>
  </si>
  <si>
    <t>Revaln</t>
  </si>
  <si>
    <t>BS</t>
  </si>
  <si>
    <t>nego</t>
  </si>
  <si>
    <t>ST investments</t>
  </si>
  <si>
    <t>Tenants deposits</t>
  </si>
  <si>
    <t xml:space="preserve">BALANCE SHEET </t>
  </si>
  <si>
    <t>Base</t>
  </si>
  <si>
    <t>Upside 1</t>
  </si>
  <si>
    <t>Upside 2</t>
  </si>
  <si>
    <t>€m</t>
  </si>
  <si>
    <t xml:space="preserve">Initial annual rent </t>
  </si>
  <si>
    <t>(share deal)</t>
  </si>
  <si>
    <t>Total acquisition cost</t>
  </si>
  <si>
    <t>Gross rental yield</t>
  </si>
  <si>
    <t>Net cash acquired</t>
  </si>
  <si>
    <t>Net acqusition cost</t>
  </si>
  <si>
    <t>Coût d'acquisition global</t>
  </si>
  <si>
    <t>(100% des titres)</t>
  </si>
  <si>
    <t>Trésorerie Net dans société</t>
  </si>
  <si>
    <t>Coût d'acquisition Net</t>
  </si>
  <si>
    <t>Loyer annuel Net initial</t>
  </si>
  <si>
    <t>Rendement locatif Net</t>
  </si>
  <si>
    <t>Pessimiste</t>
  </si>
  <si>
    <t>Optimisé</t>
  </si>
  <si>
    <t>Normal</t>
  </si>
  <si>
    <t>N°</t>
  </si>
  <si>
    <t>prénom</t>
  </si>
  <si>
    <t>nom</t>
  </si>
  <si>
    <t>pleine propriété</t>
  </si>
  <si>
    <t>Usufruit</t>
  </si>
  <si>
    <t>AGO</t>
  </si>
  <si>
    <t>AGE</t>
  </si>
  <si>
    <t>Bertrand</t>
  </si>
  <si>
    <t>Boyer</t>
  </si>
  <si>
    <t>nue propriété</t>
  </si>
  <si>
    <t>colette</t>
  </si>
  <si>
    <t>Brin-Pitance</t>
  </si>
  <si>
    <t>Raymond</t>
  </si>
  <si>
    <t>Cattieuw</t>
  </si>
  <si>
    <t>Françoise</t>
  </si>
  <si>
    <t>Chanel</t>
  </si>
  <si>
    <t>Sandrine</t>
  </si>
  <si>
    <t>Chapuis</t>
  </si>
  <si>
    <t>Yves-andré</t>
  </si>
  <si>
    <t>Pierre-yves</t>
  </si>
  <si>
    <t>Clapot</t>
  </si>
  <si>
    <t>Nicole</t>
  </si>
  <si>
    <t>Desfossez</t>
  </si>
  <si>
    <t>Bernard</t>
  </si>
  <si>
    <t>Desbat</t>
  </si>
  <si>
    <t>Guy</t>
  </si>
  <si>
    <t>Edouardo</t>
  </si>
  <si>
    <t>Faro-Sole</t>
  </si>
  <si>
    <t>Gerard</t>
  </si>
  <si>
    <t>Fayssat</t>
  </si>
  <si>
    <t>Geneniève</t>
  </si>
  <si>
    <t>Guyon</t>
  </si>
  <si>
    <t>Société La Sassière</t>
  </si>
  <si>
    <t>(nicola P)</t>
  </si>
  <si>
    <t>Catherine</t>
  </si>
  <si>
    <t>Huet-Sambin</t>
  </si>
  <si>
    <t>Jean-Pierre</t>
  </si>
  <si>
    <t>Jars</t>
  </si>
  <si>
    <t>Annie</t>
  </si>
  <si>
    <t>Leluc</t>
  </si>
  <si>
    <t>Jacques</t>
  </si>
  <si>
    <t>Madelon</t>
  </si>
  <si>
    <t>Maureau</t>
  </si>
  <si>
    <t>Clara</t>
  </si>
  <si>
    <t>Mure</t>
  </si>
  <si>
    <t>Paul-Edouard</t>
  </si>
  <si>
    <t>Margueritte</t>
  </si>
  <si>
    <t>Neyret</t>
  </si>
  <si>
    <t>Neyret (indivision)</t>
  </si>
  <si>
    <t>Astrid</t>
  </si>
  <si>
    <t>Pitance Lebertier</t>
  </si>
  <si>
    <t>Marie-Adeline</t>
  </si>
  <si>
    <t>Lafaye</t>
  </si>
  <si>
    <t>Bruno</t>
  </si>
  <si>
    <t>Pitance</t>
  </si>
  <si>
    <t>Faustine</t>
  </si>
  <si>
    <t>François-Xavier</t>
  </si>
  <si>
    <t>Xavier</t>
  </si>
  <si>
    <t>Jean-Louis</t>
  </si>
  <si>
    <t>Marc</t>
  </si>
  <si>
    <t>Marcelle</t>
  </si>
  <si>
    <t>Marie-Claude</t>
  </si>
  <si>
    <t>Sylvie</t>
  </si>
  <si>
    <t>Mélanie</t>
  </si>
  <si>
    <t>André-Pitance</t>
  </si>
  <si>
    <t>Nicolas</t>
  </si>
  <si>
    <t>Olivier</t>
  </si>
  <si>
    <t>Simone</t>
  </si>
  <si>
    <t>Pitance-Guillard</t>
  </si>
  <si>
    <t>Anna</t>
  </si>
  <si>
    <t>Ricard</t>
  </si>
  <si>
    <t>Mado</t>
  </si>
  <si>
    <t>Sophie</t>
  </si>
  <si>
    <t>Michel</t>
  </si>
  <si>
    <t>Stankievitch</t>
  </si>
  <si>
    <t>Marie-Véronique</t>
  </si>
  <si>
    <t>Stephani</t>
  </si>
  <si>
    <t>George</t>
  </si>
  <si>
    <t>Striga</t>
  </si>
  <si>
    <t>Gilberte</t>
  </si>
  <si>
    <t>Tardy</t>
  </si>
  <si>
    <t>Pierre</t>
  </si>
  <si>
    <t>Véronique</t>
  </si>
  <si>
    <t>Paul</t>
  </si>
  <si>
    <t>Viguet-Carrin</t>
  </si>
  <si>
    <t>Anne</t>
  </si>
  <si>
    <t>Winnicki</t>
  </si>
  <si>
    <t>Code</t>
  </si>
  <si>
    <t>action 1</t>
  </si>
  <si>
    <t>action 3</t>
  </si>
  <si>
    <t>pondéré</t>
  </si>
  <si>
    <t>renta</t>
  </si>
  <si>
    <t>nx prix</t>
  </si>
  <si>
    <t>cash</t>
  </si>
  <si>
    <t>hono</t>
  </si>
  <si>
    <t>Prix éco</t>
  </si>
  <si>
    <t>diminution</t>
  </si>
  <si>
    <t>Prix/act.</t>
  </si>
  <si>
    <t>action</t>
  </si>
  <si>
    <t>loyer</t>
  </si>
  <si>
    <t>foncier</t>
  </si>
  <si>
    <t>construction</t>
  </si>
  <si>
    <t>m²</t>
  </si>
  <si>
    <t>Prix/m²</t>
  </si>
  <si>
    <t>cout</t>
  </si>
  <si>
    <t>cout global</t>
  </si>
  <si>
    <t>m²/an/HT HC</t>
  </si>
  <si>
    <t>loyer annuel</t>
  </si>
  <si>
    <t>BP Extension RDP</t>
  </si>
  <si>
    <t>SHON</t>
  </si>
  <si>
    <t>Version Basse</t>
  </si>
  <si>
    <t>renta brute en A1 pleine</t>
  </si>
  <si>
    <t>sur immo</t>
  </si>
  <si>
    <t>pr titres</t>
  </si>
  <si>
    <t>% du prix</t>
  </si>
  <si>
    <t>réduct</t>
  </si>
  <si>
    <t>sur act1</t>
  </si>
  <si>
    <t>immo</t>
  </si>
  <si>
    <t>nbr</t>
  </si>
  <si>
    <t>catégorie</t>
  </si>
  <si>
    <t>tranches</t>
  </si>
  <si>
    <t>Calcul du prix des actions par catégories d'actionnaires</t>
  </si>
  <si>
    <t>Calcul prix économique pour Capstone</t>
  </si>
  <si>
    <t>acquired</t>
  </si>
  <si>
    <t>prix</t>
  </si>
  <si>
    <t>revient</t>
  </si>
  <si>
    <t>del+GFP</t>
  </si>
  <si>
    <t>Droits</t>
  </si>
  <si>
    <t>prép immo</t>
  </si>
  <si>
    <t>nette A1</t>
  </si>
  <si>
    <t>Prix de</t>
  </si>
  <si>
    <t>marché</t>
  </si>
  <si>
    <t>Marge</t>
  </si>
  <si>
    <t>ANR</t>
  </si>
  <si>
    <t>PV TTC</t>
  </si>
  <si>
    <t>Tx cap.</t>
  </si>
  <si>
    <t>Marge/Prix éco.</t>
  </si>
  <si>
    <t>Soit en équivalent</t>
  </si>
  <si>
    <t>de 100%</t>
  </si>
  <si>
    <t>PP</t>
  </si>
  <si>
    <t>NP</t>
  </si>
  <si>
    <t>actions</t>
  </si>
  <si>
    <t>action 2+4</t>
  </si>
  <si>
    <t>ref PV</t>
  </si>
  <si>
    <t>NEGO</t>
  </si>
  <si>
    <t>Nbr act</t>
  </si>
  <si>
    <t>PV</t>
  </si>
  <si>
    <t>pour 100%</t>
  </si>
  <si>
    <t>Dr+frais+hono</t>
  </si>
  <si>
    <t>loyer net</t>
  </si>
  <si>
    <t>Multiple</t>
  </si>
  <si>
    <t>Prix</t>
  </si>
  <si>
    <t>Multiple brut</t>
  </si>
  <si>
    <t>Multiple net</t>
  </si>
  <si>
    <t>Tx acte en main</t>
  </si>
  <si>
    <t>PV/act</t>
  </si>
  <si>
    <t>Notaire</t>
  </si>
  <si>
    <t>Tx Cap</t>
  </si>
  <si>
    <t>Tx de Cap brut</t>
  </si>
  <si>
    <t>Tx de Cap net</t>
  </si>
  <si>
    <t>revient TTC</t>
  </si>
  <si>
    <t>tranches brutes</t>
  </si>
  <si>
    <t>revl</t>
  </si>
  <si>
    <t>is latent</t>
  </si>
  <si>
    <t>Filiales</t>
  </si>
  <si>
    <t>MECANIQUE DE PRIX DE CESSION</t>
  </si>
  <si>
    <t>PARTIE FIXE</t>
  </si>
  <si>
    <t>PARTIE VARIABLE</t>
  </si>
  <si>
    <t>TOTAL</t>
  </si>
  <si>
    <t>Impact Marc Pitance sur PV de référence</t>
  </si>
  <si>
    <t>Multiple de loyer ajusté</t>
  </si>
  <si>
    <t>BASE</t>
  </si>
  <si>
    <t>PAR ACTION</t>
  </si>
  <si>
    <t>Nombre d'actions</t>
  </si>
  <si>
    <t>PV equiv. 100% des actions</t>
  </si>
  <si>
    <t>REGLES</t>
  </si>
  <si>
    <t>50%</t>
  </si>
  <si>
    <t>100%</t>
  </si>
  <si>
    <t>MONTANTS</t>
  </si>
  <si>
    <t>PV OFFRE</t>
  </si>
  <si>
    <t>7/01/11</t>
  </si>
  <si>
    <t>14/01/11</t>
  </si>
  <si>
    <t>Filiales + MRM + DH</t>
  </si>
  <si>
    <t>Remarques</t>
  </si>
  <si>
    <t>100% cession nette</t>
  </si>
  <si>
    <t>IS latent sur CB</t>
  </si>
  <si>
    <t>IS latent/CB à réintégrer</t>
  </si>
  <si>
    <t>gap</t>
  </si>
  <si>
    <t>act</t>
  </si>
  <si>
    <t>plus de litige</t>
  </si>
  <si>
    <t>PV POTENTIEL</t>
  </si>
  <si>
    <t>Cash/dettes net</t>
  </si>
  <si>
    <t>Dépot en nantissement emprunt</t>
  </si>
  <si>
    <t>Emprunts</t>
  </si>
  <si>
    <t>Compte courant</t>
  </si>
  <si>
    <t>à 100% val. bilan</t>
  </si>
  <si>
    <t>à quoi correspondent ces prestations?</t>
  </si>
  <si>
    <t>bartec ne fait pas partie du périmètre</t>
  </si>
  <si>
    <t>Loyer Ivry</t>
  </si>
  <si>
    <t>Ch refact</t>
  </si>
  <si>
    <t>Autres loyers</t>
  </si>
  <si>
    <t>Si Marc ahète Bartec avec le produit de la vente de ses parts (10%=4M environ), la comptable</t>
  </si>
  <si>
    <t>et la secrétaire standardiste démissionneront.</t>
  </si>
  <si>
    <t>Marc Pitance sera-t-il à licencier?</t>
  </si>
  <si>
    <t>Bloc d'actions JPP</t>
  </si>
  <si>
    <t>PV du bloc JPP</t>
  </si>
  <si>
    <t>NU</t>
  </si>
  <si>
    <t>US</t>
  </si>
  <si>
    <t>PP + NU</t>
  </si>
  <si>
    <t>PRIME</t>
  </si>
  <si>
    <t>cote</t>
  </si>
  <si>
    <t>€</t>
  </si>
  <si>
    <t>prime</t>
  </si>
  <si>
    <t>prime €</t>
  </si>
  <si>
    <t>nb</t>
  </si>
  <si>
    <t>Prix/action</t>
  </si>
  <si>
    <t>Prime</t>
  </si>
  <si>
    <t>ref</t>
  </si>
  <si>
    <t>FIXE</t>
  </si>
  <si>
    <t>VARIABLE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</si>
</sst>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#,##0_ ;[Red]\-#,##0\ "/>
    <numFmt numFmtId="165" formatCode="#,##0.0"/>
    <numFmt numFmtId="166" formatCode="#,##0.0_ ;[Red]\-#,##0.0\ "/>
    <numFmt numFmtId="167" formatCode="_-* #,##0\ _€_-;\-* #,##0\ _€_-;_-* &quot;-&quot;??\ _€_-;_-@_-"/>
    <numFmt numFmtId="168" formatCode="0.0%"/>
    <numFmt numFmtId="169" formatCode="0.000"/>
    <numFmt numFmtId="170" formatCode="#,##0.00_ ;[Red]\-#,##0.00\ "/>
    <numFmt numFmtId="171" formatCode="_-* #,##0.000\ _€_-;\-* #,##0.000\ _€_-;_-* &quot;-&quot;???\ _€_-;_-@_-"/>
    <numFmt numFmtId="172" formatCode="0_ ;[Red]\-0\ "/>
  </numFmts>
  <fonts count="1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3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9" fontId="0" fillId="0" borderId="1" xfId="0" applyNumberFormat="1" applyBorder="1"/>
    <xf numFmtId="0" fontId="0" fillId="2" borderId="1" xfId="0" applyFill="1" applyBorder="1"/>
    <xf numFmtId="0" fontId="2" fillId="0" borderId="0" xfId="0" applyFont="1" applyAlignment="1">
      <alignment horizontal="right"/>
    </xf>
    <xf numFmtId="1" fontId="0" fillId="0" borderId="0" xfId="0" applyNumberFormat="1"/>
    <xf numFmtId="0" fontId="0" fillId="3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1" fontId="2" fillId="0" borderId="1" xfId="0" applyNumberFormat="1" applyFont="1" applyBorder="1"/>
    <xf numFmtId="1" fontId="0" fillId="2" borderId="1" xfId="0" applyNumberFormat="1" applyFill="1" applyBorder="1" applyAlignment="1">
      <alignment vertical="center" wrapText="1"/>
    </xf>
    <xf numFmtId="1" fontId="0" fillId="0" borderId="1" xfId="0" applyNumberForma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" fontId="4" fillId="0" borderId="1" xfId="0" applyNumberFormat="1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9" fontId="0" fillId="0" borderId="0" xfId="0" applyNumberFormat="1"/>
    <xf numFmtId="0" fontId="0" fillId="0" borderId="1" xfId="0" applyFill="1" applyBorder="1"/>
    <xf numFmtId="0" fontId="1" fillId="0" borderId="0" xfId="0" applyFont="1"/>
    <xf numFmtId="0" fontId="1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1" xfId="0" quotePrefix="1" applyBorder="1" applyAlignment="1">
      <alignment wrapText="1"/>
    </xf>
    <xf numFmtId="0" fontId="4" fillId="0" borderId="0" xfId="0" applyFont="1"/>
    <xf numFmtId="3" fontId="0" fillId="0" borderId="0" xfId="0" applyNumberFormat="1"/>
    <xf numFmtId="10" fontId="0" fillId="0" borderId="0" xfId="0" applyNumberFormat="1"/>
    <xf numFmtId="0" fontId="0" fillId="0" borderId="0" xfId="0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3" fontId="12" fillId="6" borderId="0" xfId="0" applyNumberFormat="1" applyFont="1" applyFill="1"/>
    <xf numFmtId="0" fontId="4" fillId="0" borderId="5" xfId="0" applyFont="1" applyBorder="1" applyAlignment="1">
      <alignment horizontal="center"/>
    </xf>
    <xf numFmtId="3" fontId="2" fillId="0" borderId="0" xfId="0" applyNumberFormat="1" applyFont="1"/>
    <xf numFmtId="10" fontId="13" fillId="0" borderId="6" xfId="0" applyNumberFormat="1" applyFont="1" applyBorder="1"/>
    <xf numFmtId="0" fontId="13" fillId="0" borderId="0" xfId="0" applyFont="1" applyFill="1" applyAlignment="1">
      <alignment horizontal="center"/>
    </xf>
    <xf numFmtId="0" fontId="4" fillId="0" borderId="0" xfId="0" applyFont="1" applyFill="1" applyBorder="1"/>
    <xf numFmtId="10" fontId="13" fillId="0" borderId="0" xfId="0" applyNumberFormat="1" applyFont="1" applyBorder="1"/>
    <xf numFmtId="10" fontId="2" fillId="0" borderId="0" xfId="0" applyNumberFormat="1" applyFont="1"/>
    <xf numFmtId="10" fontId="13" fillId="6" borderId="6" xfId="0" applyNumberFormat="1" applyFont="1" applyFill="1" applyBorder="1"/>
    <xf numFmtId="0" fontId="0" fillId="0" borderId="0" xfId="0" applyBorder="1" applyAlignment="1">
      <alignment horizontal="center"/>
    </xf>
    <xf numFmtId="164" fontId="2" fillId="0" borderId="0" xfId="0" applyNumberFormat="1" applyFont="1"/>
    <xf numFmtId="3" fontId="2" fillId="0" borderId="1" xfId="0" applyNumberFormat="1" applyFont="1" applyBorder="1"/>
    <xf numFmtId="0" fontId="0" fillId="0" borderId="5" xfId="0" applyBorder="1"/>
    <xf numFmtId="164" fontId="4" fillId="0" borderId="0" xfId="0" applyNumberFormat="1" applyFont="1"/>
    <xf numFmtId="0" fontId="2" fillId="0" borderId="0" xfId="0" applyFont="1" applyFill="1" applyBorder="1"/>
    <xf numFmtId="0" fontId="4" fillId="0" borderId="7" xfId="0" quotePrefix="1" applyFont="1" applyBorder="1"/>
    <xf numFmtId="0" fontId="0" fillId="0" borderId="7" xfId="0" applyBorder="1"/>
    <xf numFmtId="0" fontId="4" fillId="0" borderId="1" xfId="0" applyFont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right"/>
    </xf>
    <xf numFmtId="1" fontId="2" fillId="8" borderId="1" xfId="0" applyNumberFormat="1" applyFont="1" applyFill="1" applyBorder="1"/>
    <xf numFmtId="1" fontId="2" fillId="8" borderId="1" xfId="0" applyNumberFormat="1" applyFont="1" applyFill="1" applyBorder="1" applyAlignment="1">
      <alignment horizontal="center"/>
    </xf>
    <xf numFmtId="1" fontId="2" fillId="8" borderId="1" xfId="0" quotePrefix="1" applyNumberFormat="1" applyFont="1" applyFill="1" applyBorder="1"/>
    <xf numFmtId="1" fontId="2" fillId="8" borderId="1" xfId="0" quotePrefix="1" applyNumberFormat="1" applyFont="1" applyFill="1" applyBorder="1" applyAlignment="1">
      <alignment horizontal="center"/>
    </xf>
    <xf numFmtId="1" fontId="0" fillId="8" borderId="1" xfId="0" applyNumberFormat="1" applyFill="1" applyBorder="1"/>
    <xf numFmtId="1" fontId="0" fillId="6" borderId="1" xfId="0" applyNumberFormat="1" applyFill="1" applyBorder="1"/>
    <xf numFmtId="0" fontId="4" fillId="0" borderId="0" xfId="0" applyFont="1" applyBorder="1"/>
    <xf numFmtId="0" fontId="4" fillId="0" borderId="8" xfId="0" applyFont="1" applyBorder="1"/>
    <xf numFmtId="165" fontId="4" fillId="0" borderId="0" xfId="0" applyNumberFormat="1" applyFont="1" applyBorder="1"/>
    <xf numFmtId="3" fontId="4" fillId="0" borderId="8" xfId="0" applyNumberFormat="1" applyFont="1" applyBorder="1"/>
    <xf numFmtId="0" fontId="2" fillId="0" borderId="9" xfId="0" applyFont="1" applyBorder="1"/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0" borderId="10" xfId="0" applyFont="1" applyBorder="1"/>
    <xf numFmtId="165" fontId="4" fillId="0" borderId="11" xfId="0" applyNumberFormat="1" applyFont="1" applyBorder="1"/>
    <xf numFmtId="0" fontId="4" fillId="0" borderId="11" xfId="0" applyFont="1" applyBorder="1"/>
    <xf numFmtId="10" fontId="2" fillId="0" borderId="12" xfId="0" applyNumberFormat="1" applyFont="1" applyBorder="1"/>
    <xf numFmtId="0" fontId="4" fillId="0" borderId="10" xfId="0" applyFont="1" applyBorder="1"/>
    <xf numFmtId="0" fontId="2" fillId="7" borderId="1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0" fillId="0" borderId="0" xfId="0" applyBorder="1"/>
    <xf numFmtId="166" fontId="4" fillId="0" borderId="11" xfId="0" applyNumberFormat="1" applyFont="1" applyBorder="1"/>
    <xf numFmtId="166" fontId="2" fillId="0" borderId="10" xfId="0" applyNumberFormat="1" applyFont="1" applyBorder="1"/>
    <xf numFmtId="0" fontId="0" fillId="0" borderId="0" xfId="0" applyAlignment="1">
      <alignment horizontal="center" wrapText="1"/>
    </xf>
    <xf numFmtId="10" fontId="0" fillId="0" borderId="0" xfId="2" applyNumberFormat="1" applyFont="1"/>
    <xf numFmtId="167" fontId="2" fillId="0" borderId="0" xfId="1" applyNumberFormat="1" applyFont="1"/>
    <xf numFmtId="10" fontId="2" fillId="0" borderId="0" xfId="2" applyNumberFormat="1" applyFont="1"/>
    <xf numFmtId="167" fontId="2" fillId="0" borderId="0" xfId="0" applyNumberFormat="1" applyFont="1"/>
    <xf numFmtId="167" fontId="0" fillId="0" borderId="6" xfId="0" applyNumberFormat="1" applyBorder="1"/>
    <xf numFmtId="0" fontId="0" fillId="9" borderId="1" xfId="0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67" fontId="0" fillId="0" borderId="1" xfId="1" applyNumberFormat="1" applyFont="1" applyBorder="1"/>
    <xf numFmtId="167" fontId="0" fillId="0" borderId="1" xfId="0" applyNumberFormat="1" applyBorder="1"/>
    <xf numFmtId="10" fontId="0" fillId="0" borderId="1" xfId="2" applyNumberFormat="1" applyFont="1" applyBorder="1"/>
    <xf numFmtId="0" fontId="0" fillId="6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9" borderId="10" xfId="0" applyFill="1" applyBorder="1" applyAlignment="1">
      <alignment horizontal="center" wrapText="1"/>
    </xf>
    <xf numFmtId="167" fontId="0" fillId="0" borderId="1" xfId="1" applyNumberFormat="1" applyFont="1" applyFill="1" applyBorder="1"/>
    <xf numFmtId="2" fontId="0" fillId="0" borderId="0" xfId="0" applyNumberFormat="1"/>
    <xf numFmtId="2" fontId="2" fillId="0" borderId="0" xfId="0" applyNumberFormat="1" applyFont="1"/>
    <xf numFmtId="2" fontId="0" fillId="6" borderId="0" xfId="0" applyNumberFormat="1" applyFill="1"/>
    <xf numFmtId="10" fontId="12" fillId="0" borderId="1" xfId="2" applyNumberFormat="1" applyFont="1" applyBorder="1"/>
    <xf numFmtId="9" fontId="0" fillId="0" borderId="0" xfId="0" applyNumberFormat="1" applyAlignment="1">
      <alignment horizontal="center"/>
    </xf>
    <xf numFmtId="0" fontId="0" fillId="0" borderId="4" xfId="0" applyBorder="1"/>
    <xf numFmtId="9" fontId="0" fillId="0" borderId="0" xfId="0" applyNumberFormat="1" applyFill="1"/>
    <xf numFmtId="0" fontId="4" fillId="0" borderId="0" xfId="0" applyFont="1" applyFill="1"/>
    <xf numFmtId="2" fontId="0" fillId="0" borderId="0" xfId="0" applyNumberFormat="1" applyFill="1"/>
    <xf numFmtId="168" fontId="2" fillId="0" borderId="0" xfId="2" applyNumberFormat="1" applyFont="1" applyFill="1"/>
    <xf numFmtId="1" fontId="0" fillId="0" borderId="0" xfId="0" applyNumberFormat="1" applyFill="1"/>
    <xf numFmtId="2" fontId="2" fillId="0" borderId="0" xfId="0" applyNumberFormat="1" applyFont="1" applyFill="1"/>
    <xf numFmtId="10" fontId="0" fillId="0" borderId="0" xfId="2" applyNumberFormat="1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1" applyNumberFormat="1" applyFont="1"/>
    <xf numFmtId="0" fontId="0" fillId="9" borderId="1" xfId="0" applyFill="1" applyBorder="1"/>
    <xf numFmtId="0" fontId="4" fillId="9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9" borderId="1" xfId="0" applyFill="1" applyBorder="1" applyAlignment="1"/>
    <xf numFmtId="167" fontId="4" fillId="0" borderId="1" xfId="1" applyNumberFormat="1" applyFont="1" applyBorder="1"/>
    <xf numFmtId="167" fontId="0" fillId="9" borderId="1" xfId="1" applyNumberFormat="1" applyFont="1" applyFill="1" applyBorder="1" applyAlignment="1"/>
    <xf numFmtId="0" fontId="4" fillId="9" borderId="1" xfId="0" applyFont="1" applyFill="1" applyBorder="1" applyAlignment="1">
      <alignment horizontal="right"/>
    </xf>
    <xf numFmtId="167" fontId="4" fillId="9" borderId="1" xfId="1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167" fontId="2" fillId="0" borderId="1" xfId="1" applyNumberFormat="1" applyFont="1" applyBorder="1"/>
    <xf numFmtId="10" fontId="2" fillId="0" borderId="1" xfId="2" applyNumberFormat="1" applyFont="1" applyBorder="1"/>
    <xf numFmtId="0" fontId="4" fillId="6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8" fontId="2" fillId="0" borderId="4" xfId="2" applyNumberFormat="1" applyFont="1" applyBorder="1"/>
    <xf numFmtId="0" fontId="13" fillId="0" borderId="1" xfId="0" applyFont="1" applyBorder="1"/>
    <xf numFmtId="0" fontId="2" fillId="0" borderId="0" xfId="0" applyFont="1" applyFill="1" applyAlignment="1">
      <alignment horizontal="left"/>
    </xf>
    <xf numFmtId="0" fontId="4" fillId="9" borderId="10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10" fontId="12" fillId="0" borderId="13" xfId="2" applyNumberFormat="1" applyFont="1" applyBorder="1"/>
    <xf numFmtId="0" fontId="4" fillId="9" borderId="4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4" fillId="10" borderId="1" xfId="0" applyFont="1" applyFill="1" applyBorder="1"/>
    <xf numFmtId="167" fontId="0" fillId="10" borderId="1" xfId="1" applyNumberFormat="1" applyFont="1" applyFill="1" applyBorder="1"/>
    <xf numFmtId="167" fontId="0" fillId="10" borderId="1" xfId="0" applyNumberFormat="1" applyFill="1" applyBorder="1"/>
    <xf numFmtId="10" fontId="0" fillId="10" borderId="1" xfId="2" applyNumberFormat="1" applyFont="1" applyFill="1" applyBorder="1"/>
    <xf numFmtId="0" fontId="0" fillId="10" borderId="0" xfId="0" applyFill="1"/>
    <xf numFmtId="0" fontId="4" fillId="11" borderId="1" xfId="0" applyFont="1" applyFill="1" applyBorder="1"/>
    <xf numFmtId="167" fontId="0" fillId="11" borderId="1" xfId="1" applyNumberFormat="1" applyFont="1" applyFill="1" applyBorder="1"/>
    <xf numFmtId="167" fontId="0" fillId="11" borderId="1" xfId="0" applyNumberFormat="1" applyFill="1" applyBorder="1"/>
    <xf numFmtId="10" fontId="0" fillId="11" borderId="1" xfId="2" applyNumberFormat="1" applyFont="1" applyFill="1" applyBorder="1"/>
    <xf numFmtId="0" fontId="0" fillId="11" borderId="0" xfId="0" applyFill="1"/>
    <xf numFmtId="0" fontId="4" fillId="0" borderId="1" xfId="0" applyFont="1" applyFill="1" applyBorder="1"/>
    <xf numFmtId="167" fontId="0" fillId="0" borderId="1" xfId="0" applyNumberFormat="1" applyFill="1" applyBorder="1"/>
    <xf numFmtId="10" fontId="0" fillId="0" borderId="1" xfId="2" applyNumberFormat="1" applyFont="1" applyFill="1" applyBorder="1"/>
    <xf numFmtId="10" fontId="0" fillId="6" borderId="1" xfId="2" applyNumberFormat="1" applyFont="1" applyFill="1" applyBorder="1"/>
    <xf numFmtId="169" fontId="0" fillId="0" borderId="1" xfId="0" applyNumberFormat="1" applyBorder="1"/>
    <xf numFmtId="10" fontId="0" fillId="0" borderId="1" xfId="0" applyNumberFormat="1" applyBorder="1"/>
    <xf numFmtId="169" fontId="12" fillId="0" borderId="1" xfId="0" applyNumberFormat="1" applyFont="1" applyBorder="1"/>
    <xf numFmtId="0" fontId="13" fillId="9" borderId="12" xfId="0" applyFont="1" applyFill="1" applyBorder="1" applyAlignment="1">
      <alignment horizontal="center"/>
    </xf>
    <xf numFmtId="9" fontId="13" fillId="9" borderId="12" xfId="0" applyNumberFormat="1" applyFont="1" applyFill="1" applyBorder="1" applyAlignment="1">
      <alignment horizontal="center"/>
    </xf>
    <xf numFmtId="167" fontId="0" fillId="0" borderId="0" xfId="0" applyNumberFormat="1"/>
    <xf numFmtId="0" fontId="0" fillId="10" borderId="4" xfId="0" applyFill="1" applyBorder="1"/>
    <xf numFmtId="0" fontId="0" fillId="6" borderId="4" xfId="0" applyFill="1" applyBorder="1"/>
    <xf numFmtId="0" fontId="0" fillId="11" borderId="4" xfId="0" applyFill="1" applyBorder="1"/>
    <xf numFmtId="167" fontId="0" fillId="0" borderId="12" xfId="0" applyNumberFormat="1" applyBorder="1"/>
    <xf numFmtId="0" fontId="0" fillId="0" borderId="1" xfId="0" applyBorder="1" applyAlignment="1">
      <alignment horizontal="center"/>
    </xf>
    <xf numFmtId="9" fontId="0" fillId="0" borderId="0" xfId="0" applyNumberFormat="1" applyBorder="1"/>
    <xf numFmtId="167" fontId="0" fillId="0" borderId="0" xfId="0" applyNumberFormat="1" applyBorder="1"/>
    <xf numFmtId="167" fontId="2" fillId="0" borderId="1" xfId="0" applyNumberFormat="1" applyFont="1" applyBorder="1"/>
    <xf numFmtId="168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4" xfId="0" applyNumberFormat="1" applyBorder="1"/>
    <xf numFmtId="4" fontId="0" fillId="0" borderId="1" xfId="0" applyNumberFormat="1" applyBorder="1"/>
    <xf numFmtId="3" fontId="0" fillId="6" borderId="0" xfId="0" applyNumberFormat="1" applyFill="1"/>
    <xf numFmtId="10" fontId="4" fillId="0" borderId="1" xfId="0" applyNumberFormat="1" applyFont="1" applyBorder="1"/>
    <xf numFmtId="4" fontId="0" fillId="0" borderId="1" xfId="0" applyNumberFormat="1" applyFill="1" applyBorder="1"/>
    <xf numFmtId="167" fontId="2" fillId="12" borderId="6" xfId="0" applyNumberFormat="1" applyFont="1" applyFill="1" applyBorder="1"/>
    <xf numFmtId="10" fontId="2" fillId="12" borderId="6" xfId="2" applyNumberFormat="1" applyFont="1" applyFill="1" applyBorder="1"/>
    <xf numFmtId="2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7" fontId="0" fillId="0" borderId="0" xfId="1" applyNumberFormat="1" applyFont="1" applyBorder="1"/>
    <xf numFmtId="2" fontId="0" fillId="6" borderId="0" xfId="0" applyNumberFormat="1" applyFill="1" applyBorder="1"/>
    <xf numFmtId="10" fontId="0" fillId="0" borderId="0" xfId="0" applyNumberFormat="1" applyBorder="1"/>
    <xf numFmtId="2" fontId="0" fillId="0" borderId="0" xfId="0" applyNumberFormat="1" applyBorder="1"/>
    <xf numFmtId="167" fontId="0" fillId="6" borderId="0" xfId="0" applyNumberFormat="1" applyFill="1" applyBorder="1"/>
    <xf numFmtId="0" fontId="2" fillId="0" borderId="0" xfId="0" applyFont="1" applyBorder="1"/>
    <xf numFmtId="0" fontId="4" fillId="9" borderId="1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3" fontId="0" fillId="0" borderId="19" xfId="0" applyNumberFormat="1" applyBorder="1"/>
    <xf numFmtId="164" fontId="0" fillId="0" borderId="0" xfId="0" applyNumberFormat="1" applyBorder="1"/>
    <xf numFmtId="171" fontId="0" fillId="0" borderId="0" xfId="0" applyNumberFormat="1" applyBorder="1"/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0" xfId="0" applyFont="1" applyAlignment="1">
      <alignment horizontal="right"/>
    </xf>
    <xf numFmtId="43" fontId="0" fillId="0" borderId="0" xfId="0" applyNumberFormat="1" applyBorder="1"/>
    <xf numFmtId="3" fontId="0" fillId="0" borderId="0" xfId="0" applyNumberFormat="1" applyBorder="1"/>
    <xf numFmtId="10" fontId="0" fillId="0" borderId="0" xfId="0" applyNumberFormat="1" applyBorder="1" applyAlignment="1">
      <alignment horizontal="left"/>
    </xf>
    <xf numFmtId="1" fontId="4" fillId="0" borderId="0" xfId="0" applyNumberFormat="1" applyFont="1"/>
    <xf numFmtId="1" fontId="0" fillId="0" borderId="6" xfId="0" applyNumberFormat="1" applyBorder="1"/>
    <xf numFmtId="10" fontId="0" fillId="0" borderId="0" xfId="2" applyNumberFormat="1" applyFont="1" applyBorder="1"/>
    <xf numFmtId="0" fontId="2" fillId="0" borderId="0" xfId="0" applyFont="1" applyBorder="1" applyAlignment="1">
      <alignment horizontal="right"/>
    </xf>
    <xf numFmtId="10" fontId="0" fillId="0" borderId="20" xfId="2" applyNumberFormat="1" applyFont="1" applyBorder="1"/>
    <xf numFmtId="167" fontId="13" fillId="0" borderId="17" xfId="0" applyNumberFormat="1" applyFont="1" applyBorder="1"/>
    <xf numFmtId="0" fontId="2" fillId="0" borderId="4" xfId="0" applyFont="1" applyBorder="1" applyAlignment="1">
      <alignment horizontal="center"/>
    </xf>
    <xf numFmtId="10" fontId="0" fillId="12" borderId="6" xfId="2" applyNumberFormat="1" applyFont="1" applyFill="1" applyBorder="1"/>
    <xf numFmtId="0" fontId="0" fillId="0" borderId="0" xfId="0" applyFill="1" applyBorder="1"/>
    <xf numFmtId="10" fontId="0" fillId="0" borderId="19" xfId="2" applyNumberFormat="1" applyFont="1" applyBorder="1"/>
    <xf numFmtId="3" fontId="2" fillId="0" borderId="26" xfId="0" applyNumberFormat="1" applyFont="1" applyBorder="1"/>
    <xf numFmtId="4" fontId="0" fillId="0" borderId="10" xfId="0" applyNumberFormat="1" applyFill="1" applyBorder="1"/>
    <xf numFmtId="170" fontId="4" fillId="0" borderId="12" xfId="0" applyNumberFormat="1" applyFont="1" applyBorder="1"/>
    <xf numFmtId="4" fontId="2" fillId="0" borderId="6" xfId="0" applyNumberFormat="1" applyFont="1" applyBorder="1"/>
    <xf numFmtId="43" fontId="2" fillId="0" borderId="6" xfId="1" applyNumberFormat="1" applyFont="1" applyBorder="1"/>
    <xf numFmtId="167" fontId="0" fillId="0" borderId="0" xfId="1" applyNumberFormat="1" applyFont="1" applyFill="1"/>
    <xf numFmtId="167" fontId="0" fillId="6" borderId="1" xfId="1" applyNumberFormat="1" applyFont="1" applyFill="1" applyBorder="1"/>
    <xf numFmtId="167" fontId="0" fillId="0" borderId="0" xfId="0" applyNumberForma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1" applyNumberFormat="1" applyFont="1" applyFill="1" applyBorder="1"/>
    <xf numFmtId="43" fontId="2" fillId="0" borderId="0" xfId="1" applyNumberFormat="1" applyFont="1" applyFill="1" applyBorder="1"/>
    <xf numFmtId="2" fontId="15" fillId="0" borderId="0" xfId="0" applyNumberFormat="1" applyFont="1"/>
    <xf numFmtId="0" fontId="4" fillId="0" borderId="0" xfId="0" applyFont="1" applyAlignment="1">
      <alignment horizontal="center"/>
    </xf>
    <xf numFmtId="2" fontId="2" fillId="10" borderId="6" xfId="0" applyNumberFormat="1" applyFont="1" applyFill="1" applyBorder="1"/>
    <xf numFmtId="2" fontId="2" fillId="0" borderId="0" xfId="0" applyNumberFormat="1" applyFont="1" applyFill="1" applyBorder="1"/>
    <xf numFmtId="43" fontId="2" fillId="6" borderId="6" xfId="1" applyNumberFormat="1" applyFont="1" applyFill="1" applyBorder="1"/>
    <xf numFmtId="2" fontId="0" fillId="13" borderId="1" xfId="0" applyNumberFormat="1" applyFill="1" applyBorder="1"/>
    <xf numFmtId="2" fontId="0" fillId="0" borderId="5" xfId="0" applyNumberFormat="1" applyBorder="1"/>
    <xf numFmtId="2" fontId="0" fillId="6" borderId="9" xfId="0" applyNumberFormat="1" applyFill="1" applyBorder="1"/>
    <xf numFmtId="167" fontId="2" fillId="0" borderId="0" xfId="1" applyNumberFormat="1" applyFont="1" applyFill="1"/>
    <xf numFmtId="167" fontId="2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>
      <alignment horizontal="center"/>
    </xf>
    <xf numFmtId="49" fontId="0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3" fontId="13" fillId="0" borderId="6" xfId="1" applyNumberFormat="1" applyFont="1" applyBorder="1"/>
    <xf numFmtId="0" fontId="4" fillId="0" borderId="0" xfId="0" applyFont="1" applyAlignment="1">
      <alignment wrapText="1"/>
    </xf>
    <xf numFmtId="0" fontId="0" fillId="6" borderId="1" xfId="0" applyFill="1" applyBorder="1" applyAlignment="1">
      <alignment wrapText="1"/>
    </xf>
    <xf numFmtId="0" fontId="0" fillId="6" borderId="0" xfId="0" applyFill="1" applyAlignment="1">
      <alignment wrapText="1"/>
    </xf>
    <xf numFmtId="43" fontId="0" fillId="0" borderId="0" xfId="0" applyNumberFormat="1"/>
    <xf numFmtId="0" fontId="4" fillId="0" borderId="0" xfId="0" applyFont="1" applyAlignment="1">
      <alignment horizontal="left"/>
    </xf>
    <xf numFmtId="167" fontId="4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43" fontId="13" fillId="0" borderId="0" xfId="1" applyNumberFormat="1" applyFont="1" applyFill="1" applyBorder="1"/>
    <xf numFmtId="2" fontId="15" fillId="0" borderId="0" xfId="0" applyNumberFormat="1" applyFont="1" applyFill="1"/>
    <xf numFmtId="0" fontId="2" fillId="0" borderId="0" xfId="0" applyFont="1" applyFill="1"/>
    <xf numFmtId="167" fontId="2" fillId="0" borderId="0" xfId="0" applyNumberFormat="1" applyFont="1" applyFill="1"/>
    <xf numFmtId="2" fontId="2" fillId="10" borderId="29" xfId="0" applyNumberFormat="1" applyFont="1" applyFill="1" applyBorder="1"/>
    <xf numFmtId="2" fontId="2" fillId="10" borderId="30" xfId="0" applyNumberFormat="1" applyFont="1" applyFill="1" applyBorder="1"/>
    <xf numFmtId="172" fontId="0" fillId="0" borderId="0" xfId="0" applyNumberFormat="1" applyAlignment="1"/>
    <xf numFmtId="172" fontId="0" fillId="0" borderId="0" xfId="0" applyNumberFormat="1"/>
    <xf numFmtId="164" fontId="0" fillId="0" borderId="0" xfId="0" applyNumberFormat="1" applyAlignment="1"/>
    <xf numFmtId="164" fontId="4" fillId="0" borderId="1" xfId="0" applyNumberFormat="1" applyFont="1" applyBorder="1" applyAlignment="1"/>
    <xf numFmtId="3" fontId="2" fillId="6" borderId="3" xfId="0" applyNumberFormat="1" applyFont="1" applyFill="1" applyBorder="1"/>
    <xf numFmtId="3" fontId="4" fillId="0" borderId="0" xfId="0" applyNumberFormat="1" applyFont="1"/>
    <xf numFmtId="3" fontId="2" fillId="6" borderId="0" xfId="0" applyNumberFormat="1" applyFont="1" applyFill="1"/>
    <xf numFmtId="0" fontId="4" fillId="0" borderId="1" xfId="0" applyFont="1" applyBorder="1" applyAlignment="1">
      <alignment horizontal="center"/>
    </xf>
    <xf numFmtId="9" fontId="0" fillId="6" borderId="0" xfId="0" applyNumberFormat="1" applyFill="1"/>
    <xf numFmtId="167" fontId="0" fillId="13" borderId="1" xfId="0" applyNumberFormat="1" applyFill="1" applyBorder="1"/>
    <xf numFmtId="9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43" fontId="0" fillId="0" borderId="0" xfId="0" applyNumberFormat="1" applyFill="1" applyBorder="1"/>
    <xf numFmtId="0" fontId="4" fillId="10" borderId="1" xfId="0" applyFont="1" applyFill="1" applyBorder="1" applyAlignment="1">
      <alignment horizontal="center"/>
    </xf>
    <xf numFmtId="167" fontId="0" fillId="13" borderId="10" xfId="1" applyNumberFormat="1" applyFont="1" applyFill="1" applyBorder="1"/>
    <xf numFmtId="4" fontId="0" fillId="6" borderId="4" xfId="0" applyNumberFormat="1" applyFill="1" applyBorder="1"/>
    <xf numFmtId="167" fontId="0" fillId="0" borderId="2" xfId="1" applyNumberFormat="1" applyFont="1" applyBorder="1"/>
    <xf numFmtId="167" fontId="0" fillId="13" borderId="12" xfId="1" applyNumberFormat="1" applyFont="1" applyFill="1" applyBorder="1"/>
    <xf numFmtId="167" fontId="2" fillId="13" borderId="6" xfId="1" applyNumberFormat="1" applyFont="1" applyFill="1" applyBorder="1"/>
    <xf numFmtId="9" fontId="0" fillId="0" borderId="1" xfId="0" applyNumberFormat="1" applyFill="1" applyBorder="1"/>
    <xf numFmtId="167" fontId="0" fillId="6" borderId="0" xfId="0" applyNumberFormat="1" applyFill="1"/>
    <xf numFmtId="43" fontId="0" fillId="16" borderId="0" xfId="0" applyNumberFormat="1" applyFill="1" applyBorder="1"/>
    <xf numFmtId="2" fontId="0" fillId="0" borderId="1" xfId="0" applyNumberFormat="1" applyFill="1" applyBorder="1"/>
    <xf numFmtId="167" fontId="0" fillId="0" borderId="2" xfId="0" applyNumberFormat="1" applyBorder="1"/>
    <xf numFmtId="43" fontId="0" fillId="0" borderId="1" xfId="0" applyNumberFormat="1" applyBorder="1"/>
    <xf numFmtId="4" fontId="0" fillId="0" borderId="0" xfId="0" applyNumberFormat="1"/>
    <xf numFmtId="2" fontId="0" fillId="6" borderId="1" xfId="0" applyNumberFormat="1" applyFill="1" applyBorder="1"/>
    <xf numFmtId="0" fontId="2" fillId="0" borderId="0" xfId="0" applyFont="1" applyAlignment="1">
      <alignment horizontal="center" wrapText="1"/>
    </xf>
    <xf numFmtId="9" fontId="4" fillId="0" borderId="0" xfId="0" applyNumberFormat="1" applyFont="1" applyAlignment="1">
      <alignment wrapText="1"/>
    </xf>
    <xf numFmtId="0" fontId="0" fillId="17" borderId="1" xfId="0" applyFill="1" applyBorder="1" applyAlignment="1">
      <alignment wrapText="1"/>
    </xf>
    <xf numFmtId="0" fontId="0" fillId="17" borderId="3" xfId="0" applyFill="1" applyBorder="1" applyAlignment="1">
      <alignment wrapText="1"/>
    </xf>
    <xf numFmtId="4" fontId="4" fillId="6" borderId="4" xfId="0" applyNumberFormat="1" applyFont="1" applyFill="1" applyBorder="1"/>
    <xf numFmtId="1" fontId="0" fillId="2" borderId="1" xfId="0" applyNumberFormat="1" applyFill="1" applyBorder="1" applyAlignment="1">
      <alignment horizontal="center" vertical="center" textRotation="90" wrapText="1"/>
    </xf>
    <xf numFmtId="1" fontId="2" fillId="8" borderId="4" xfId="0" applyNumberFormat="1" applyFont="1" applyFill="1" applyBorder="1" applyAlignment="1">
      <alignment horizontal="center"/>
    </xf>
    <xf numFmtId="1" fontId="2" fillId="8" borderId="3" xfId="0" applyNumberFormat="1" applyFont="1" applyFill="1" applyBorder="1" applyAlignment="1">
      <alignment horizontal="center"/>
    </xf>
    <xf numFmtId="1" fontId="2" fillId="8" borderId="2" xfId="0" applyNumberFormat="1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2" xfId="0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</xdr:colOff>
      <xdr:row>48</xdr:row>
      <xdr:rowOff>66675</xdr:rowOff>
    </xdr:from>
    <xdr:to>
      <xdr:col>29</xdr:col>
      <xdr:colOff>209550</xdr:colOff>
      <xdr:row>51</xdr:row>
      <xdr:rowOff>38100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5724525" y="7839075"/>
          <a:ext cx="7429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AG cloture cptes 2010. Référé inutile !</a:t>
          </a:r>
        </a:p>
      </xdr:txBody>
    </xdr:sp>
    <xdr:clientData/>
  </xdr:twoCellAnchor>
  <xdr:twoCellAnchor>
    <xdr:from>
      <xdr:col>26</xdr:col>
      <xdr:colOff>0</xdr:colOff>
      <xdr:row>47</xdr:row>
      <xdr:rowOff>76200</xdr:rowOff>
    </xdr:from>
    <xdr:to>
      <xdr:col>29</xdr:col>
      <xdr:colOff>142875</xdr:colOff>
      <xdr:row>52</xdr:row>
      <xdr:rowOff>0</xdr:rowOff>
    </xdr:to>
    <xdr:sp macro="" textlink="">
      <xdr:nvSpPr>
        <xdr:cNvPr id="4164" name="Oval 1"/>
        <xdr:cNvSpPr>
          <a:spLocks noChangeArrowheads="1"/>
        </xdr:cNvSpPr>
      </xdr:nvSpPr>
      <xdr:spPr bwMode="auto">
        <a:xfrm>
          <a:off x="5686425" y="7686675"/>
          <a:ext cx="714375" cy="733425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285750</xdr:colOff>
      <xdr:row>17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485775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</xdr:row>
      <xdr:rowOff>76200</xdr:rowOff>
    </xdr:from>
    <xdr:to>
      <xdr:col>6</xdr:col>
      <xdr:colOff>295275</xdr:colOff>
      <xdr:row>33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486727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36</xdr:row>
      <xdr:rowOff>28575</xdr:rowOff>
    </xdr:from>
    <xdr:to>
      <xdr:col>6</xdr:col>
      <xdr:colOff>409575</xdr:colOff>
      <xdr:row>43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5857875"/>
          <a:ext cx="4829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5"/>
  <sheetViews>
    <sheetView zoomScaleNormal="100" workbookViewId="0">
      <selection activeCell="L41" sqref="L41"/>
    </sheetView>
  </sheetViews>
  <sheetFormatPr baseColWidth="10" defaultColWidth="7.28515625" defaultRowHeight="12.75"/>
  <cols>
    <col min="1" max="1" width="25.28515625" customWidth="1"/>
    <col min="2" max="2" width="5.42578125" customWidth="1"/>
    <col min="3" max="7" width="7.28515625" customWidth="1"/>
    <col min="8" max="8" width="7.4257812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3" t="s">
        <v>190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1">
      <c r="A4" s="70" t="s">
        <v>191</v>
      </c>
      <c r="B4" s="70"/>
      <c r="C4" s="70">
        <v>2008</v>
      </c>
      <c r="D4" s="70">
        <v>2009</v>
      </c>
      <c r="E4" s="70">
        <f>D4+1</f>
        <v>2010</v>
      </c>
      <c r="F4" s="71" t="s">
        <v>82</v>
      </c>
      <c r="G4" s="70">
        <f>E4+1</f>
        <v>2011</v>
      </c>
      <c r="H4" s="70">
        <f>G4+1</f>
        <v>2012</v>
      </c>
      <c r="I4" s="70">
        <f>H4+1</f>
        <v>2013</v>
      </c>
      <c r="J4" s="70">
        <f>I4+1</f>
        <v>2014</v>
      </c>
      <c r="K4" s="70">
        <f>J4+1</f>
        <v>2015</v>
      </c>
    </row>
    <row r="5" spans="1:11" hidden="1">
      <c r="A5" s="2" t="s">
        <v>27</v>
      </c>
      <c r="B5" s="2"/>
      <c r="C5" s="2">
        <v>234</v>
      </c>
      <c r="D5" s="2">
        <v>191</v>
      </c>
      <c r="E5" s="2">
        <f t="shared" ref="E5:E10" si="0">D5</f>
        <v>191</v>
      </c>
      <c r="F5" s="8">
        <v>-191</v>
      </c>
      <c r="G5" s="2">
        <f>E5+F5</f>
        <v>0</v>
      </c>
      <c r="H5" s="10">
        <f t="shared" ref="H5:K24" si="1">G5</f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</row>
    <row r="6" spans="1:11" hidden="1">
      <c r="A6" s="2" t="s">
        <v>29</v>
      </c>
      <c r="B6" s="2"/>
      <c r="C6" s="2">
        <v>3</v>
      </c>
      <c r="D6" s="2">
        <v>91</v>
      </c>
      <c r="E6" s="2">
        <f t="shared" si="0"/>
        <v>91</v>
      </c>
      <c r="F6" s="8">
        <v>-91</v>
      </c>
      <c r="G6" s="2">
        <f>E6+F6</f>
        <v>0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</row>
    <row r="7" spans="1:11" hidden="1">
      <c r="A7" s="2" t="s">
        <v>28</v>
      </c>
      <c r="B7" s="2"/>
      <c r="C7" s="2">
        <v>5263</v>
      </c>
      <c r="D7" s="2">
        <v>5291</v>
      </c>
      <c r="E7" s="2">
        <f t="shared" si="0"/>
        <v>5291</v>
      </c>
      <c r="F7" s="8">
        <v>-168</v>
      </c>
      <c r="G7" s="2">
        <f>E7+F7</f>
        <v>5123</v>
      </c>
      <c r="H7" s="10">
        <f t="shared" si="1"/>
        <v>5123</v>
      </c>
      <c r="I7" s="10">
        <f t="shared" si="1"/>
        <v>5123</v>
      </c>
      <c r="J7" s="10">
        <f t="shared" si="1"/>
        <v>5123</v>
      </c>
      <c r="K7" s="10">
        <f t="shared" si="1"/>
        <v>5123</v>
      </c>
    </row>
    <row r="8" spans="1:11">
      <c r="A8" s="1" t="s">
        <v>192</v>
      </c>
      <c r="B8" s="1"/>
      <c r="C8" s="1">
        <f>SUM(C5:C7)</f>
        <v>5500</v>
      </c>
      <c r="D8" s="1">
        <f>SUM(D5:D7)</f>
        <v>5573</v>
      </c>
      <c r="E8" s="1">
        <f t="shared" si="0"/>
        <v>5573</v>
      </c>
      <c r="F8" s="14">
        <f>SUM(F5:F7)</f>
        <v>-450</v>
      </c>
      <c r="G8" s="1">
        <f>SUM(G5:G7)</f>
        <v>5123</v>
      </c>
      <c r="H8" s="11">
        <f t="shared" si="1"/>
        <v>5123</v>
      </c>
      <c r="I8" s="11">
        <f t="shared" si="1"/>
        <v>5123</v>
      </c>
      <c r="J8" s="11">
        <f t="shared" si="1"/>
        <v>5123</v>
      </c>
      <c r="K8" s="11">
        <f t="shared" si="1"/>
        <v>5123</v>
      </c>
    </row>
    <row r="9" spans="1:11" hidden="1">
      <c r="A9" s="2" t="s">
        <v>31</v>
      </c>
      <c r="B9" s="2"/>
      <c r="C9" s="2">
        <v>2198</v>
      </c>
      <c r="D9" s="2">
        <v>1975</v>
      </c>
      <c r="E9" s="2">
        <f t="shared" si="0"/>
        <v>1975</v>
      </c>
      <c r="F9" s="8">
        <f>-366+14-100</f>
        <v>-452</v>
      </c>
      <c r="G9" s="2">
        <f>E9+F9</f>
        <v>1523</v>
      </c>
      <c r="H9" s="10">
        <f t="shared" si="1"/>
        <v>1523</v>
      </c>
      <c r="I9" s="10">
        <f t="shared" si="1"/>
        <v>1523</v>
      </c>
      <c r="J9" s="10">
        <f t="shared" si="1"/>
        <v>1523</v>
      </c>
      <c r="K9" s="10">
        <f t="shared" si="1"/>
        <v>1523</v>
      </c>
    </row>
    <row r="10" spans="1:11" hidden="1">
      <c r="A10" s="2" t="s">
        <v>32</v>
      </c>
      <c r="B10" s="2"/>
      <c r="C10" s="2">
        <v>28</v>
      </c>
      <c r="D10" s="2">
        <v>30</v>
      </c>
      <c r="E10" s="2">
        <f t="shared" si="0"/>
        <v>30</v>
      </c>
      <c r="F10" s="8"/>
      <c r="G10" s="2">
        <f>E10+F10</f>
        <v>30</v>
      </c>
      <c r="H10" s="10">
        <f t="shared" si="1"/>
        <v>30</v>
      </c>
      <c r="I10" s="10">
        <f t="shared" si="1"/>
        <v>30</v>
      </c>
      <c r="J10" s="10">
        <f t="shared" si="1"/>
        <v>30</v>
      </c>
      <c r="K10" s="10">
        <f t="shared" si="1"/>
        <v>30</v>
      </c>
    </row>
    <row r="11" spans="1:11" hidden="1">
      <c r="A11" s="2" t="s">
        <v>128</v>
      </c>
      <c r="B11" s="4">
        <v>0.05</v>
      </c>
      <c r="C11" s="5"/>
      <c r="D11" s="5"/>
      <c r="E11" s="5"/>
      <c r="F11" s="8"/>
      <c r="G11" s="10">
        <f>$B$11*G8</f>
        <v>256.15000000000003</v>
      </c>
      <c r="H11" s="10">
        <f t="shared" si="1"/>
        <v>256.15000000000003</v>
      </c>
      <c r="I11" s="10">
        <f t="shared" si="1"/>
        <v>256.15000000000003</v>
      </c>
      <c r="J11" s="10">
        <f t="shared" si="1"/>
        <v>256.15000000000003</v>
      </c>
      <c r="K11" s="10">
        <f t="shared" si="1"/>
        <v>256.15000000000003</v>
      </c>
    </row>
    <row r="12" spans="1:11" hidden="1">
      <c r="A12" s="2" t="s">
        <v>34</v>
      </c>
      <c r="B12" s="2"/>
      <c r="C12" s="2">
        <v>311</v>
      </c>
      <c r="D12" s="2">
        <v>217</v>
      </c>
      <c r="E12" s="2">
        <f t="shared" ref="E12:E38" si="2">D12</f>
        <v>217</v>
      </c>
      <c r="F12" s="8">
        <v>-217</v>
      </c>
      <c r="G12" s="2">
        <f>E12+F12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</row>
    <row r="13" spans="1:11" hidden="1">
      <c r="A13" s="2" t="s">
        <v>33</v>
      </c>
      <c r="B13" s="2"/>
      <c r="C13" s="2">
        <v>208</v>
      </c>
      <c r="D13" s="2">
        <v>156</v>
      </c>
      <c r="E13" s="2">
        <f t="shared" si="2"/>
        <v>156</v>
      </c>
      <c r="F13" s="8">
        <v>-156</v>
      </c>
      <c r="G13" s="2">
        <f>E13+F13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</row>
    <row r="14" spans="1:11" hidden="1">
      <c r="A14" s="2" t="s">
        <v>35</v>
      </c>
      <c r="B14" s="2"/>
      <c r="C14" s="2">
        <v>1018</v>
      </c>
      <c r="D14" s="2">
        <v>1067</v>
      </c>
      <c r="E14" s="2">
        <f t="shared" si="2"/>
        <v>1067</v>
      </c>
      <c r="F14" s="8">
        <v>133</v>
      </c>
      <c r="G14" s="2">
        <f>E14+F14</f>
        <v>1200</v>
      </c>
      <c r="H14" s="10">
        <f t="shared" si="1"/>
        <v>1200</v>
      </c>
      <c r="I14" s="10">
        <f t="shared" si="1"/>
        <v>1200</v>
      </c>
      <c r="J14" s="10">
        <f t="shared" si="1"/>
        <v>1200</v>
      </c>
      <c r="K14" s="10">
        <f t="shared" si="1"/>
        <v>1200</v>
      </c>
    </row>
    <row r="15" spans="1:11" hidden="1">
      <c r="A15" s="2" t="s">
        <v>14</v>
      </c>
      <c r="B15" s="2"/>
      <c r="C15" s="2">
        <v>21</v>
      </c>
      <c r="D15" s="2">
        <v>25</v>
      </c>
      <c r="E15" s="2">
        <f t="shared" si="2"/>
        <v>25</v>
      </c>
      <c r="F15" s="8"/>
      <c r="G15" s="2">
        <f>E15+F15</f>
        <v>25</v>
      </c>
      <c r="H15" s="10">
        <f t="shared" si="1"/>
        <v>25</v>
      </c>
      <c r="I15" s="10">
        <f t="shared" si="1"/>
        <v>25</v>
      </c>
      <c r="J15" s="10">
        <f t="shared" si="1"/>
        <v>25</v>
      </c>
      <c r="K15" s="10">
        <f t="shared" si="1"/>
        <v>25</v>
      </c>
    </row>
    <row r="16" spans="1:11" hidden="1">
      <c r="A16" s="2" t="s">
        <v>36</v>
      </c>
      <c r="B16" s="2"/>
      <c r="C16" s="2">
        <v>174</v>
      </c>
      <c r="D16" s="2">
        <v>186</v>
      </c>
      <c r="E16" s="2">
        <f t="shared" si="2"/>
        <v>186</v>
      </c>
      <c r="F16" s="8">
        <v>-166</v>
      </c>
      <c r="G16" s="2">
        <f>E16+F16</f>
        <v>20</v>
      </c>
      <c r="H16" s="10">
        <f t="shared" si="1"/>
        <v>20</v>
      </c>
      <c r="I16" s="10">
        <f t="shared" si="1"/>
        <v>20</v>
      </c>
      <c r="J16" s="10">
        <f t="shared" si="1"/>
        <v>20</v>
      </c>
      <c r="K16" s="10">
        <f t="shared" si="1"/>
        <v>20</v>
      </c>
    </row>
    <row r="17" spans="1:11">
      <c r="A17" s="1" t="s">
        <v>37</v>
      </c>
      <c r="B17" s="1"/>
      <c r="C17" s="1">
        <f>+C8-SUM(C9:C16)</f>
        <v>1542</v>
      </c>
      <c r="D17" s="1">
        <f>+D8-SUM(D9:D16)</f>
        <v>1917</v>
      </c>
      <c r="E17" s="1">
        <f t="shared" si="2"/>
        <v>1917</v>
      </c>
      <c r="F17" s="14">
        <f>+F8-SUM(F9:F16)</f>
        <v>408</v>
      </c>
      <c r="G17" s="11">
        <f>+G8-SUM(G9:G16)</f>
        <v>2068.85</v>
      </c>
      <c r="H17" s="11">
        <f t="shared" si="1"/>
        <v>2068.85</v>
      </c>
      <c r="I17" s="11">
        <f t="shared" si="1"/>
        <v>2068.85</v>
      </c>
      <c r="J17" s="11">
        <f t="shared" si="1"/>
        <v>2068.85</v>
      </c>
      <c r="K17" s="11">
        <f t="shared" si="1"/>
        <v>2068.85</v>
      </c>
    </row>
    <row r="18" spans="1:11" hidden="1">
      <c r="A18" s="2" t="s">
        <v>38</v>
      </c>
      <c r="B18" s="2"/>
      <c r="C18" s="2">
        <v>826</v>
      </c>
      <c r="D18" s="2">
        <v>501</v>
      </c>
      <c r="E18" s="2">
        <f t="shared" si="2"/>
        <v>501</v>
      </c>
      <c r="F18" s="8">
        <v>-501</v>
      </c>
      <c r="G18" s="2">
        <f>E18+F18</f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</row>
    <row r="19" spans="1:11" hidden="1">
      <c r="A19" s="2" t="s">
        <v>39</v>
      </c>
      <c r="B19" s="2"/>
      <c r="C19" s="2">
        <v>263</v>
      </c>
      <c r="D19" s="2">
        <v>176</v>
      </c>
      <c r="E19" s="2">
        <f t="shared" si="2"/>
        <v>176</v>
      </c>
      <c r="F19" s="8"/>
      <c r="G19" s="2">
        <f>E19+F19</f>
        <v>176</v>
      </c>
      <c r="H19" s="10">
        <f t="shared" si="1"/>
        <v>176</v>
      </c>
      <c r="I19" s="10">
        <f t="shared" si="1"/>
        <v>176</v>
      </c>
      <c r="J19" s="10">
        <f t="shared" si="1"/>
        <v>176</v>
      </c>
      <c r="K19" s="10">
        <f t="shared" si="1"/>
        <v>176</v>
      </c>
    </row>
    <row r="20" spans="1:11" hidden="1">
      <c r="A20" s="2" t="s">
        <v>42</v>
      </c>
      <c r="B20" s="2"/>
      <c r="C20" s="2">
        <v>7</v>
      </c>
      <c r="D20" s="2">
        <v>3</v>
      </c>
      <c r="E20" s="2">
        <f t="shared" si="2"/>
        <v>3</v>
      </c>
      <c r="F20" s="8">
        <v>-3</v>
      </c>
      <c r="G20" s="2">
        <f>E20+F20</f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</row>
    <row r="21" spans="1:11" hidden="1">
      <c r="A21" s="2" t="s">
        <v>40</v>
      </c>
      <c r="B21" s="2"/>
      <c r="C21" s="2"/>
      <c r="D21" s="2">
        <v>1013</v>
      </c>
      <c r="E21" s="2">
        <f t="shared" si="2"/>
        <v>1013</v>
      </c>
      <c r="F21" s="8">
        <v>-1013</v>
      </c>
      <c r="G21" s="2">
        <f>E21+F21</f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  <c r="K21" s="10">
        <f t="shared" si="1"/>
        <v>0</v>
      </c>
    </row>
    <row r="22" spans="1:11" hidden="1">
      <c r="A22" s="2" t="s">
        <v>41</v>
      </c>
      <c r="B22" s="2"/>
      <c r="C22" s="2">
        <v>388</v>
      </c>
      <c r="D22" s="2">
        <v>148</v>
      </c>
      <c r="E22" s="2">
        <f t="shared" si="2"/>
        <v>148</v>
      </c>
      <c r="F22" s="8">
        <v>-148</v>
      </c>
      <c r="G22" s="2">
        <f>E22+F22</f>
        <v>0</v>
      </c>
      <c r="H22" s="10">
        <f t="shared" si="1"/>
        <v>0</v>
      </c>
      <c r="I22" s="10">
        <f t="shared" si="1"/>
        <v>0</v>
      </c>
      <c r="J22" s="10">
        <f t="shared" si="1"/>
        <v>0</v>
      </c>
      <c r="K22" s="10">
        <f t="shared" si="1"/>
        <v>0</v>
      </c>
    </row>
    <row r="23" spans="1:11" hidden="1">
      <c r="A23" s="1" t="s">
        <v>47</v>
      </c>
      <c r="B23" s="1"/>
      <c r="C23" s="1">
        <f>SUM(C18:C22)</f>
        <v>1484</v>
      </c>
      <c r="D23" s="1">
        <f>SUM(D18:D22)</f>
        <v>1841</v>
      </c>
      <c r="E23" s="1">
        <f t="shared" si="2"/>
        <v>1841</v>
      </c>
      <c r="F23" s="14">
        <f>SUM(F18:F22)</f>
        <v>-1665</v>
      </c>
      <c r="G23" s="1">
        <f>SUM(G18:G22)</f>
        <v>176</v>
      </c>
      <c r="H23" s="11">
        <f t="shared" si="1"/>
        <v>176</v>
      </c>
      <c r="I23" s="11">
        <f t="shared" si="1"/>
        <v>176</v>
      </c>
      <c r="J23" s="11">
        <f t="shared" si="1"/>
        <v>176</v>
      </c>
      <c r="K23" s="11">
        <f t="shared" si="1"/>
        <v>176</v>
      </c>
    </row>
    <row r="24" spans="1:11" hidden="1">
      <c r="A24" s="2" t="s">
        <v>43</v>
      </c>
      <c r="B24" s="2"/>
      <c r="C24" s="2">
        <v>1620</v>
      </c>
      <c r="D24" s="2">
        <v>1130</v>
      </c>
      <c r="E24" s="2">
        <f t="shared" si="2"/>
        <v>1130</v>
      </c>
      <c r="F24" s="8">
        <v>-1130</v>
      </c>
      <c r="G24" s="2">
        <f>E24+F24</f>
        <v>0</v>
      </c>
      <c r="H24" s="10">
        <f t="shared" si="1"/>
        <v>0</v>
      </c>
      <c r="I24" s="10">
        <f t="shared" si="1"/>
        <v>0</v>
      </c>
      <c r="J24" s="10">
        <f t="shared" si="1"/>
        <v>0</v>
      </c>
      <c r="K24" s="10">
        <f t="shared" si="1"/>
        <v>0</v>
      </c>
    </row>
    <row r="25" spans="1:11" hidden="1">
      <c r="A25" s="2" t="s">
        <v>44</v>
      </c>
      <c r="B25" s="2"/>
      <c r="C25" s="2">
        <v>498</v>
      </c>
      <c r="D25" s="2">
        <v>425</v>
      </c>
      <c r="E25" s="2">
        <f t="shared" si="2"/>
        <v>425</v>
      </c>
      <c r="F25" s="8"/>
      <c r="G25" s="8">
        <v>350</v>
      </c>
      <c r="H25" s="9">
        <v>300</v>
      </c>
      <c r="I25" s="9"/>
      <c r="J25" s="9"/>
      <c r="K25" s="13"/>
    </row>
    <row r="26" spans="1:11" hidden="1">
      <c r="A26" s="2" t="s">
        <v>45</v>
      </c>
      <c r="B26" s="2"/>
      <c r="C26" s="2">
        <v>347</v>
      </c>
      <c r="D26" s="2">
        <v>232</v>
      </c>
      <c r="E26" s="2">
        <f t="shared" si="2"/>
        <v>232</v>
      </c>
      <c r="F26" s="8">
        <v>-232</v>
      </c>
      <c r="G26" s="2">
        <f>E26+F26</f>
        <v>0</v>
      </c>
      <c r="H26" s="10">
        <f>G26</f>
        <v>0</v>
      </c>
      <c r="I26" s="10">
        <f>H26</f>
        <v>0</v>
      </c>
      <c r="J26" s="10">
        <f>I26</f>
        <v>0</v>
      </c>
      <c r="K26" s="10">
        <f>J26</f>
        <v>0</v>
      </c>
    </row>
    <row r="27" spans="1:11" hidden="1">
      <c r="A27" s="1" t="s">
        <v>48</v>
      </c>
      <c r="B27" s="1"/>
      <c r="C27" s="1">
        <f>SUM(C24:C26)</f>
        <v>2465</v>
      </c>
      <c r="D27" s="1">
        <f>SUM(D24:D26)</f>
        <v>1787</v>
      </c>
      <c r="E27" s="1">
        <f t="shared" si="2"/>
        <v>1787</v>
      </c>
      <c r="F27" s="14">
        <f t="shared" ref="F27:K27" si="3">SUM(F24:F26)</f>
        <v>-1362</v>
      </c>
      <c r="G27" s="1">
        <f t="shared" si="3"/>
        <v>350</v>
      </c>
      <c r="H27" s="1">
        <f t="shared" si="3"/>
        <v>300</v>
      </c>
      <c r="I27" s="1">
        <f t="shared" si="3"/>
        <v>0</v>
      </c>
      <c r="J27" s="1">
        <f t="shared" si="3"/>
        <v>0</v>
      </c>
      <c r="K27" s="1">
        <f t="shared" si="3"/>
        <v>0</v>
      </c>
    </row>
    <row r="28" spans="1:11">
      <c r="A28" s="69" t="s">
        <v>193</v>
      </c>
      <c r="B28" s="1"/>
      <c r="C28" s="1">
        <f>C23-C27</f>
        <v>-981</v>
      </c>
      <c r="D28" s="1">
        <f>D23-D27</f>
        <v>54</v>
      </c>
      <c r="E28" s="1">
        <f t="shared" si="2"/>
        <v>54</v>
      </c>
      <c r="F28" s="14">
        <f t="shared" ref="F28:K28" si="4">F23-F27</f>
        <v>-303</v>
      </c>
      <c r="G28" s="1">
        <f t="shared" si="4"/>
        <v>-174</v>
      </c>
      <c r="H28" s="1">
        <f t="shared" si="4"/>
        <v>-124</v>
      </c>
      <c r="I28" s="1">
        <f t="shared" si="4"/>
        <v>176</v>
      </c>
      <c r="J28" s="1">
        <f t="shared" si="4"/>
        <v>176</v>
      </c>
      <c r="K28" s="1">
        <f t="shared" si="4"/>
        <v>176</v>
      </c>
    </row>
    <row r="29" spans="1:11" hidden="1">
      <c r="A29" s="1" t="s">
        <v>49</v>
      </c>
      <c r="B29" s="1"/>
      <c r="C29" s="1">
        <f>C17+C28</f>
        <v>561</v>
      </c>
      <c r="D29" s="1">
        <f>D17+D28</f>
        <v>1971</v>
      </c>
      <c r="E29" s="1">
        <f t="shared" si="2"/>
        <v>1971</v>
      </c>
      <c r="F29" s="14">
        <f t="shared" ref="F29:K29" si="5">F17+F28</f>
        <v>105</v>
      </c>
      <c r="G29" s="11">
        <f t="shared" si="5"/>
        <v>1894.85</v>
      </c>
      <c r="H29" s="11">
        <f t="shared" si="5"/>
        <v>1944.85</v>
      </c>
      <c r="I29" s="11">
        <f t="shared" si="5"/>
        <v>2244.85</v>
      </c>
      <c r="J29" s="11">
        <f t="shared" si="5"/>
        <v>2244.85</v>
      </c>
      <c r="K29" s="11">
        <f t="shared" si="5"/>
        <v>2244.85</v>
      </c>
    </row>
    <row r="30" spans="1:11" hidden="1">
      <c r="A30" s="2" t="s">
        <v>50</v>
      </c>
      <c r="B30" s="2"/>
      <c r="C30" s="2">
        <v>8</v>
      </c>
      <c r="D30" s="2">
        <v>4</v>
      </c>
      <c r="E30" s="2">
        <f t="shared" si="2"/>
        <v>4</v>
      </c>
      <c r="F30" s="8">
        <v>-4</v>
      </c>
      <c r="G30" s="2">
        <f t="shared" ref="G30:G37" si="6">E30+F30</f>
        <v>0</v>
      </c>
      <c r="H30" s="10">
        <f t="shared" ref="H30:K40" si="7">G30</f>
        <v>0</v>
      </c>
      <c r="I30" s="10">
        <f t="shared" si="7"/>
        <v>0</v>
      </c>
      <c r="J30" s="10">
        <f t="shared" si="7"/>
        <v>0</v>
      </c>
      <c r="K30" s="10">
        <f t="shared" si="7"/>
        <v>0</v>
      </c>
    </row>
    <row r="31" spans="1:11" hidden="1">
      <c r="A31" s="2" t="s">
        <v>52</v>
      </c>
      <c r="B31" s="2"/>
      <c r="C31" s="2">
        <v>375</v>
      </c>
      <c r="D31" s="2">
        <v>0</v>
      </c>
      <c r="E31" s="2">
        <f t="shared" si="2"/>
        <v>0</v>
      </c>
      <c r="F31" s="8"/>
      <c r="G31" s="2">
        <f t="shared" si="6"/>
        <v>0</v>
      </c>
      <c r="H31" s="10">
        <f t="shared" si="7"/>
        <v>0</v>
      </c>
      <c r="I31" s="10">
        <f t="shared" si="7"/>
        <v>0</v>
      </c>
      <c r="J31" s="10">
        <f t="shared" si="7"/>
        <v>0</v>
      </c>
      <c r="K31" s="10">
        <f t="shared" si="7"/>
        <v>0</v>
      </c>
    </row>
    <row r="32" spans="1:11" hidden="1">
      <c r="A32" s="2" t="s">
        <v>51</v>
      </c>
      <c r="B32" s="2"/>
      <c r="C32" s="2">
        <v>431</v>
      </c>
      <c r="D32" s="2">
        <v>0</v>
      </c>
      <c r="E32" s="2">
        <f t="shared" si="2"/>
        <v>0</v>
      </c>
      <c r="F32" s="8"/>
      <c r="G32" s="2">
        <f t="shared" si="6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</row>
    <row r="33" spans="1:12" hidden="1">
      <c r="A33" s="2" t="s">
        <v>53</v>
      </c>
      <c r="B33" s="2"/>
      <c r="C33" s="2">
        <f>SUM(C30:C32)</f>
        <v>814</v>
      </c>
      <c r="D33" s="2">
        <f>SUM(D30:D32)</f>
        <v>4</v>
      </c>
      <c r="E33" s="2">
        <f t="shared" si="2"/>
        <v>4</v>
      </c>
      <c r="F33" s="8">
        <f>SUM(F30:F32)</f>
        <v>-4</v>
      </c>
      <c r="G33" s="2">
        <f t="shared" si="6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</row>
    <row r="34" spans="1:12" hidden="1">
      <c r="A34" s="2" t="s">
        <v>54</v>
      </c>
      <c r="B34" s="2"/>
      <c r="C34" s="2">
        <v>35</v>
      </c>
      <c r="D34" s="2">
        <v>21</v>
      </c>
      <c r="E34" s="2">
        <f t="shared" si="2"/>
        <v>21</v>
      </c>
      <c r="F34" s="8">
        <v>-21</v>
      </c>
      <c r="G34" s="2">
        <f t="shared" si="6"/>
        <v>0</v>
      </c>
      <c r="H34" s="10">
        <f t="shared" si="7"/>
        <v>0</v>
      </c>
      <c r="I34" s="10">
        <f t="shared" si="7"/>
        <v>0</v>
      </c>
      <c r="J34" s="10">
        <f t="shared" si="7"/>
        <v>0</v>
      </c>
      <c r="K34" s="10">
        <f t="shared" si="7"/>
        <v>0</v>
      </c>
    </row>
    <row r="35" spans="1:12" hidden="1">
      <c r="A35" s="2" t="s">
        <v>52</v>
      </c>
      <c r="B35" s="2"/>
      <c r="C35" s="2">
        <v>5</v>
      </c>
      <c r="D35" s="2">
        <v>0</v>
      </c>
      <c r="E35" s="2">
        <f t="shared" si="2"/>
        <v>0</v>
      </c>
      <c r="F35" s="8"/>
      <c r="G35" s="2">
        <f t="shared" si="6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</row>
    <row r="36" spans="1:12" hidden="1">
      <c r="A36" s="2" t="s">
        <v>55</v>
      </c>
      <c r="B36" s="2"/>
      <c r="C36" s="2">
        <v>0</v>
      </c>
      <c r="D36" s="2">
        <v>158</v>
      </c>
      <c r="E36" s="2">
        <f t="shared" si="2"/>
        <v>158</v>
      </c>
      <c r="F36" s="8">
        <v>-158</v>
      </c>
      <c r="G36" s="2">
        <f t="shared" si="6"/>
        <v>0</v>
      </c>
      <c r="H36" s="10">
        <f t="shared" si="7"/>
        <v>0</v>
      </c>
      <c r="I36" s="10">
        <f t="shared" si="7"/>
        <v>0</v>
      </c>
      <c r="J36" s="10">
        <f t="shared" si="7"/>
        <v>0</v>
      </c>
      <c r="K36" s="10">
        <f t="shared" si="7"/>
        <v>0</v>
      </c>
    </row>
    <row r="37" spans="1:12" hidden="1">
      <c r="A37" s="2" t="s">
        <v>56</v>
      </c>
      <c r="B37" s="2"/>
      <c r="C37" s="2">
        <f>SUM(C34:C36)</f>
        <v>40</v>
      </c>
      <c r="D37" s="2">
        <f>SUM(D34:D36)</f>
        <v>179</v>
      </c>
      <c r="E37" s="2">
        <f t="shared" si="2"/>
        <v>179</v>
      </c>
      <c r="F37" s="8">
        <v>-179</v>
      </c>
      <c r="G37" s="2">
        <f t="shared" si="6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</row>
    <row r="38" spans="1:12">
      <c r="A38" s="69" t="s">
        <v>194</v>
      </c>
      <c r="B38" s="1"/>
      <c r="C38" s="1">
        <f>C33-C37</f>
        <v>774</v>
      </c>
      <c r="D38" s="1">
        <f>D33-D37</f>
        <v>-175</v>
      </c>
      <c r="E38" s="1">
        <f t="shared" si="2"/>
        <v>-175</v>
      </c>
      <c r="F38" s="14">
        <f>F33-F37</f>
        <v>175</v>
      </c>
      <c r="G38" s="1">
        <f>G33-G37</f>
        <v>0</v>
      </c>
      <c r="H38" s="10">
        <f t="shared" si="7"/>
        <v>0</v>
      </c>
      <c r="I38" s="10">
        <f t="shared" si="7"/>
        <v>0</v>
      </c>
      <c r="J38" s="10">
        <f t="shared" si="7"/>
        <v>0</v>
      </c>
      <c r="K38" s="10">
        <f t="shared" si="7"/>
        <v>0</v>
      </c>
    </row>
    <row r="39" spans="1:12">
      <c r="A39" s="2" t="s">
        <v>195</v>
      </c>
      <c r="B39" s="4">
        <v>0.33</v>
      </c>
      <c r="C39" s="2">
        <v>179</v>
      </c>
      <c r="D39" s="2">
        <v>111</v>
      </c>
      <c r="E39" s="9">
        <f>-$B$39*(E29+E38)</f>
        <v>-592.68000000000006</v>
      </c>
      <c r="F39" s="9"/>
      <c r="G39" s="10">
        <f>-$B$39*(G29+G38)</f>
        <v>-625.30049999999994</v>
      </c>
      <c r="H39" s="10">
        <f t="shared" si="7"/>
        <v>-625.30049999999994</v>
      </c>
      <c r="I39" s="10">
        <f t="shared" si="7"/>
        <v>-625.30049999999994</v>
      </c>
      <c r="J39" s="10">
        <f t="shared" si="7"/>
        <v>-625.30049999999994</v>
      </c>
      <c r="K39" s="10">
        <f t="shared" si="7"/>
        <v>-625.30049999999994</v>
      </c>
      <c r="L39" t="s">
        <v>197</v>
      </c>
    </row>
    <row r="40" spans="1:12">
      <c r="A40" s="1" t="s">
        <v>196</v>
      </c>
      <c r="B40" s="1"/>
      <c r="C40" s="1">
        <f>C17+C28+C38+C39</f>
        <v>1514</v>
      </c>
      <c r="D40" s="1">
        <f>D17+D28+D38+D39</f>
        <v>1907</v>
      </c>
      <c r="E40" s="11">
        <f>E29+E38+E39</f>
        <v>1203.32</v>
      </c>
      <c r="F40" s="15">
        <f>F17+F28+F38+F39</f>
        <v>280</v>
      </c>
      <c r="G40" s="11">
        <f>G17+G28+G38+G39</f>
        <v>1269.5495000000001</v>
      </c>
      <c r="H40" s="11">
        <f t="shared" si="7"/>
        <v>1269.5495000000001</v>
      </c>
      <c r="I40" s="11">
        <f t="shared" si="7"/>
        <v>1269.5495000000001</v>
      </c>
      <c r="J40" s="11">
        <f t="shared" si="7"/>
        <v>1269.5495000000001</v>
      </c>
      <c r="K40" s="11">
        <f t="shared" si="7"/>
        <v>1269.5495000000001</v>
      </c>
    </row>
    <row r="41" spans="1:12" s="49" customForma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idden="1">
      <c r="A42" s="1" t="s">
        <v>89</v>
      </c>
      <c r="B42" s="2"/>
      <c r="C42" s="17">
        <f>C4</f>
        <v>2008</v>
      </c>
      <c r="D42" s="17">
        <f>D4</f>
        <v>2009</v>
      </c>
      <c r="E42" s="17">
        <f>E4</f>
        <v>2010</v>
      </c>
      <c r="F42" s="18" t="s">
        <v>86</v>
      </c>
      <c r="G42" s="17">
        <f>G4</f>
        <v>2011</v>
      </c>
      <c r="H42" s="17">
        <f>H4</f>
        <v>2012</v>
      </c>
      <c r="I42" s="17">
        <f>I4</f>
        <v>2013</v>
      </c>
      <c r="J42" s="17">
        <f>J4</f>
        <v>2014</v>
      </c>
      <c r="K42" s="17">
        <f>K4</f>
        <v>2015</v>
      </c>
      <c r="L42" s="6">
        <f>K4</f>
        <v>2015</v>
      </c>
    </row>
    <row r="43" spans="1:12" ht="12.75" hidden="1" customHeight="1">
      <c r="A43" s="2" t="s">
        <v>68</v>
      </c>
      <c r="B43" s="2"/>
      <c r="C43" s="10"/>
      <c r="D43" s="10">
        <f>D40+D14</f>
        <v>2974</v>
      </c>
      <c r="E43" s="10">
        <f>E40+E14</f>
        <v>2270.3199999999997</v>
      </c>
      <c r="F43" s="301" t="s">
        <v>88</v>
      </c>
      <c r="G43" s="10">
        <f>G40+G14</f>
        <v>2469.5495000000001</v>
      </c>
      <c r="H43" s="10">
        <f>H40+H14</f>
        <v>2469.5495000000001</v>
      </c>
      <c r="I43" s="10">
        <f>I40+I14</f>
        <v>2469.5495000000001</v>
      </c>
      <c r="J43" s="10">
        <f>J40+J14</f>
        <v>2469.5495000000001</v>
      </c>
      <c r="K43" s="10">
        <f>K40+K14</f>
        <v>2469.5495000000001</v>
      </c>
    </row>
    <row r="44" spans="1:12" hidden="1">
      <c r="A44" s="2" t="s">
        <v>71</v>
      </c>
      <c r="B44" s="2"/>
      <c r="C44" s="10"/>
      <c r="D44" s="10">
        <f>D71-C71-D40</f>
        <v>-1192</v>
      </c>
      <c r="E44" s="9">
        <f>E71-D71-E40</f>
        <v>-1203.32</v>
      </c>
      <c r="F44" s="301"/>
      <c r="G44" s="10"/>
      <c r="H44" s="10"/>
      <c r="I44" s="10"/>
      <c r="J44" s="10"/>
      <c r="K44" s="10"/>
    </row>
    <row r="45" spans="1:12" hidden="1">
      <c r="A45" s="2" t="s">
        <v>69</v>
      </c>
      <c r="B45" s="2"/>
      <c r="C45" s="10"/>
      <c r="D45" s="10">
        <f>D73-C73</f>
        <v>-1656</v>
      </c>
      <c r="E45" s="9">
        <f>E73-D73</f>
        <v>-1656</v>
      </c>
      <c r="F45" s="301"/>
      <c r="G45" s="10">
        <v>-1656</v>
      </c>
      <c r="H45" s="10">
        <v>-1656</v>
      </c>
      <c r="I45" s="9">
        <v>-1400</v>
      </c>
      <c r="J45" s="9">
        <v>0</v>
      </c>
      <c r="K45" s="9">
        <v>0</v>
      </c>
    </row>
    <row r="46" spans="1:12" hidden="1">
      <c r="A46" s="2" t="s">
        <v>70</v>
      </c>
      <c r="B46" s="2"/>
      <c r="C46" s="10"/>
      <c r="D46" s="10">
        <f>D74-C74</f>
        <v>195</v>
      </c>
      <c r="E46" s="10">
        <f>E74-D74</f>
        <v>0</v>
      </c>
      <c r="F46" s="301"/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2" hidden="1">
      <c r="A47" s="2" t="s">
        <v>74</v>
      </c>
      <c r="B47" s="2"/>
      <c r="C47" s="10"/>
      <c r="D47" s="10">
        <f>C56-D56+C57-D57+C58-D58+C59-D59+C60-D60-D14</f>
        <v>-1916</v>
      </c>
      <c r="E47" s="9">
        <f>D56-E56+D57-E57+D58-E58+D59-E59+D60-E60-E14</f>
        <v>-300</v>
      </c>
      <c r="F47" s="301"/>
      <c r="G47" s="9">
        <v>-500</v>
      </c>
      <c r="H47" s="9">
        <v>-500</v>
      </c>
      <c r="I47" s="9">
        <v>-500</v>
      </c>
      <c r="J47" s="9">
        <v>-500</v>
      </c>
      <c r="K47" s="9">
        <v>-500</v>
      </c>
    </row>
    <row r="48" spans="1:12" hidden="1">
      <c r="A48" s="2" t="s">
        <v>75</v>
      </c>
      <c r="B48" s="2"/>
      <c r="C48" s="10"/>
      <c r="D48" s="10">
        <f>C61-D61+C62-D62+C63-D63</f>
        <v>781</v>
      </c>
      <c r="E48" s="10">
        <f>D61-E61+D62-E62+D63-E63</f>
        <v>0</v>
      </c>
      <c r="F48" s="301"/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2" hidden="1">
      <c r="A49" s="2" t="s">
        <v>76</v>
      </c>
      <c r="B49" s="2"/>
      <c r="C49" s="10"/>
      <c r="D49" s="10">
        <f>C64-D64+C65-D65+D75-C75+D76-C76</f>
        <v>387</v>
      </c>
      <c r="E49" s="10">
        <f>D64-E64+D65-E65+E75-D75+E76-D76</f>
        <v>0</v>
      </c>
      <c r="F49" s="301"/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2" hidden="1">
      <c r="A50" s="2" t="s">
        <v>129</v>
      </c>
      <c r="B50" s="2"/>
      <c r="C50" s="10"/>
      <c r="D50" s="10">
        <f>C66-D66+D72-C72+D77-C77</f>
        <v>1956</v>
      </c>
      <c r="E50" s="10">
        <f>D66-E66+E72-D72+E77-D77</f>
        <v>0</v>
      </c>
      <c r="F50" s="301"/>
      <c r="G50" s="10">
        <v>0</v>
      </c>
      <c r="H50" s="10">
        <v>0</v>
      </c>
      <c r="I50" s="10">
        <v>0</v>
      </c>
      <c r="J50" s="10">
        <f>I63</f>
        <v>2040</v>
      </c>
      <c r="K50" s="10">
        <v>0</v>
      </c>
    </row>
    <row r="51" spans="1:12" hidden="1">
      <c r="A51" s="2" t="s">
        <v>10</v>
      </c>
      <c r="B51" s="2"/>
      <c r="C51" s="10"/>
      <c r="D51" s="10">
        <f>C67-D67</f>
        <v>-834</v>
      </c>
      <c r="E51" s="10">
        <f>D67-E67</f>
        <v>0</v>
      </c>
      <c r="F51" s="301"/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2" hidden="1">
      <c r="A52" s="2" t="s">
        <v>72</v>
      </c>
      <c r="B52" s="2"/>
      <c r="C52" s="10"/>
      <c r="D52" s="10">
        <f>C53</f>
        <v>4436</v>
      </c>
      <c r="E52" s="10">
        <f>D53</f>
        <v>5131</v>
      </c>
      <c r="F52" s="301"/>
      <c r="G52" s="10">
        <f>F68</f>
        <v>6752</v>
      </c>
      <c r="H52" s="10">
        <f>G68</f>
        <v>7065.5495000000001</v>
      </c>
      <c r="I52" s="10">
        <f>H68</f>
        <v>7379.0990000000002</v>
      </c>
      <c r="J52" s="10">
        <f>I68</f>
        <v>7948.6485000000002</v>
      </c>
      <c r="K52" s="10">
        <f>J68</f>
        <v>11958.198</v>
      </c>
    </row>
    <row r="53" spans="1:12" hidden="1">
      <c r="A53" s="2" t="s">
        <v>73</v>
      </c>
      <c r="B53" s="2"/>
      <c r="C53" s="10">
        <f>C68</f>
        <v>4436</v>
      </c>
      <c r="D53" s="10">
        <f>SUM(D43:D52)</f>
        <v>5131</v>
      </c>
      <c r="E53" s="10">
        <f>SUM(E43:E52)</f>
        <v>4242</v>
      </c>
      <c r="F53" s="12">
        <f>J98</f>
        <v>6752</v>
      </c>
      <c r="G53" s="10">
        <f>SUM(G43:G52)</f>
        <v>7065.5495000000001</v>
      </c>
      <c r="H53" s="10">
        <f>SUM(H43:H52)</f>
        <v>7379.0990000000002</v>
      </c>
      <c r="I53" s="10">
        <f>SUM(I43:I52)</f>
        <v>7948.6485000000002</v>
      </c>
      <c r="J53" s="10">
        <f>SUM(J43:J52)</f>
        <v>11958.198</v>
      </c>
      <c r="K53" s="10">
        <f>SUM(K43:K52)</f>
        <v>13927.747500000001</v>
      </c>
    </row>
    <row r="54" spans="1:12" hidden="1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7"/>
      <c r="D54" s="7"/>
      <c r="E54" s="7"/>
      <c r="F54" s="7"/>
      <c r="G54" s="7"/>
      <c r="H54" s="7"/>
      <c r="I54" s="7"/>
      <c r="J54" s="7"/>
      <c r="K54" s="7"/>
    </row>
    <row r="55" spans="1:12" hidden="1">
      <c r="A55" s="1" t="s">
        <v>90</v>
      </c>
      <c r="B55" s="2"/>
      <c r="C55" s="11">
        <f>C42</f>
        <v>2008</v>
      </c>
      <c r="D55" s="11">
        <f>D42</f>
        <v>2009</v>
      </c>
      <c r="E55" s="11">
        <f>E42</f>
        <v>2010</v>
      </c>
      <c r="F55" s="11" t="s">
        <v>87</v>
      </c>
      <c r="G55" s="11">
        <f t="shared" ref="G55:L55" si="8">G42</f>
        <v>2011</v>
      </c>
      <c r="H55" s="11">
        <f t="shared" si="8"/>
        <v>2012</v>
      </c>
      <c r="I55" s="11">
        <f t="shared" si="8"/>
        <v>2013</v>
      </c>
      <c r="J55" s="11">
        <f t="shared" si="8"/>
        <v>2014</v>
      </c>
      <c r="K55" s="11">
        <f t="shared" si="8"/>
        <v>2015</v>
      </c>
      <c r="L55" s="3">
        <f t="shared" si="8"/>
        <v>2015</v>
      </c>
    </row>
    <row r="56" spans="1:12" hidden="1">
      <c r="A56" s="2" t="s">
        <v>1</v>
      </c>
      <c r="B56" s="10"/>
      <c r="C56" s="10">
        <f>'Bil Mure (2)'!B5</f>
        <v>2</v>
      </c>
      <c r="D56" s="10">
        <f>'Bil Mure (2)'!C5</f>
        <v>0</v>
      </c>
      <c r="E56" s="10">
        <f>D56</f>
        <v>0</v>
      </c>
      <c r="F56" s="10">
        <f t="shared" ref="F56:F68" si="9">J86</f>
        <v>0</v>
      </c>
      <c r="G56" s="10">
        <f t="shared" ref="G56:K57" si="10">F56</f>
        <v>0</v>
      </c>
      <c r="H56" s="10">
        <f t="shared" si="10"/>
        <v>0</v>
      </c>
      <c r="I56" s="10">
        <f t="shared" si="10"/>
        <v>0</v>
      </c>
      <c r="J56" s="10">
        <f t="shared" si="10"/>
        <v>0</v>
      </c>
      <c r="K56" s="10">
        <f t="shared" si="10"/>
        <v>0</v>
      </c>
      <c r="L56" s="7"/>
    </row>
    <row r="57" spans="1:12" hidden="1">
      <c r="A57" s="2" t="s">
        <v>0</v>
      </c>
      <c r="B57" s="10" t="s">
        <v>79</v>
      </c>
      <c r="C57" s="10">
        <f>'Bil Mure (2)'!B6</f>
        <v>5243</v>
      </c>
      <c r="D57" s="10">
        <f>'Bil Mure (2)'!C6</f>
        <v>5476</v>
      </c>
      <c r="E57" s="10">
        <f>D57</f>
        <v>5476</v>
      </c>
      <c r="F57" s="10">
        <f t="shared" si="9"/>
        <v>5476</v>
      </c>
      <c r="G57" s="10">
        <f t="shared" si="10"/>
        <v>5476</v>
      </c>
      <c r="H57" s="10">
        <f t="shared" si="10"/>
        <v>5476</v>
      </c>
      <c r="I57" s="10">
        <f t="shared" si="10"/>
        <v>5476</v>
      </c>
      <c r="J57" s="10">
        <f t="shared" si="10"/>
        <v>5476</v>
      </c>
      <c r="K57" s="10">
        <f t="shared" si="10"/>
        <v>5476</v>
      </c>
      <c r="L57" s="7"/>
    </row>
    <row r="58" spans="1:12" hidden="1">
      <c r="A58" s="2" t="s">
        <v>2</v>
      </c>
      <c r="B58" s="10" t="s">
        <v>79</v>
      </c>
      <c r="C58" s="10">
        <f>'Bil Mure (2)'!B7</f>
        <v>15188</v>
      </c>
      <c r="D58" s="10">
        <f>'Bil Mure (2)'!C7</f>
        <v>17813</v>
      </c>
      <c r="E58" s="9">
        <f>D58-E14+300</f>
        <v>17046</v>
      </c>
      <c r="F58" s="10">
        <f t="shared" si="9"/>
        <v>17046</v>
      </c>
      <c r="G58" s="10">
        <f>F58-G14-G47</f>
        <v>16346</v>
      </c>
      <c r="H58" s="10">
        <f>G58-H14-H47</f>
        <v>15646</v>
      </c>
      <c r="I58" s="10">
        <f>H58-I14-I47</f>
        <v>14946</v>
      </c>
      <c r="J58" s="10">
        <f>I58-J14-J47</f>
        <v>14246</v>
      </c>
      <c r="K58" s="10">
        <f>J58-K14-K47</f>
        <v>13546</v>
      </c>
      <c r="L58" s="7"/>
    </row>
    <row r="59" spans="1:12" hidden="1">
      <c r="A59" s="2" t="s">
        <v>3</v>
      </c>
      <c r="B59" s="10" t="s">
        <v>79</v>
      </c>
      <c r="C59" s="10">
        <f>'Bil Mure (2)'!B8</f>
        <v>70</v>
      </c>
      <c r="D59" s="10">
        <f>'Bil Mure (2)'!C8</f>
        <v>64</v>
      </c>
      <c r="E59" s="10">
        <f t="shared" ref="E59:E67" si="11">D59</f>
        <v>64</v>
      </c>
      <c r="F59" s="10">
        <f t="shared" si="9"/>
        <v>64</v>
      </c>
      <c r="G59" s="10">
        <f t="shared" ref="G59:K62" si="12">F59</f>
        <v>64</v>
      </c>
      <c r="H59" s="10">
        <f t="shared" si="12"/>
        <v>64</v>
      </c>
      <c r="I59" s="10">
        <f t="shared" si="12"/>
        <v>64</v>
      </c>
      <c r="J59" s="10">
        <f t="shared" si="12"/>
        <v>64</v>
      </c>
      <c r="K59" s="10">
        <f t="shared" si="12"/>
        <v>64</v>
      </c>
      <c r="L59" s="7"/>
    </row>
    <row r="60" spans="1:12" hidden="1">
      <c r="A60" s="2" t="s">
        <v>4</v>
      </c>
      <c r="B60" s="10" t="s">
        <v>79</v>
      </c>
      <c r="C60" s="10">
        <f>'Bil Mure (2)'!B9</f>
        <v>2001</v>
      </c>
      <c r="D60" s="10">
        <f>'Bil Mure (2)'!C9</f>
        <v>0</v>
      </c>
      <c r="E60" s="10">
        <f t="shared" si="11"/>
        <v>0</v>
      </c>
      <c r="F60" s="10">
        <f t="shared" si="9"/>
        <v>0</v>
      </c>
      <c r="G60" s="10">
        <f t="shared" si="12"/>
        <v>0</v>
      </c>
      <c r="H60" s="10">
        <f t="shared" si="12"/>
        <v>0</v>
      </c>
      <c r="I60" s="10">
        <f t="shared" si="12"/>
        <v>0</v>
      </c>
      <c r="J60" s="10">
        <f t="shared" si="12"/>
        <v>0</v>
      </c>
      <c r="K60" s="10">
        <f t="shared" si="12"/>
        <v>0</v>
      </c>
      <c r="L60" s="7"/>
    </row>
    <row r="61" spans="1:12" hidden="1">
      <c r="A61" s="2" t="s">
        <v>5</v>
      </c>
      <c r="B61" s="10" t="s">
        <v>79</v>
      </c>
      <c r="C61" s="10">
        <f>'Bil Mure (2)'!B10</f>
        <v>4139</v>
      </c>
      <c r="D61" s="10">
        <f>'Bil Mure (2)'!C10</f>
        <v>3934</v>
      </c>
      <c r="E61" s="10">
        <f t="shared" si="11"/>
        <v>3934</v>
      </c>
      <c r="F61" s="10">
        <f t="shared" si="9"/>
        <v>0</v>
      </c>
      <c r="G61" s="10">
        <f t="shared" si="12"/>
        <v>0</v>
      </c>
      <c r="H61" s="10">
        <f t="shared" si="12"/>
        <v>0</v>
      </c>
      <c r="I61" s="10">
        <f t="shared" si="12"/>
        <v>0</v>
      </c>
      <c r="J61" s="10">
        <f t="shared" si="12"/>
        <v>0</v>
      </c>
      <c r="K61" s="10">
        <f t="shared" si="12"/>
        <v>0</v>
      </c>
      <c r="L61" s="7"/>
    </row>
    <row r="62" spans="1:12" hidden="1">
      <c r="A62" s="2" t="s">
        <v>6</v>
      </c>
      <c r="B62" s="10" t="s">
        <v>79</v>
      </c>
      <c r="C62" s="10">
        <f>'Bil Mure (2)'!B11</f>
        <v>2376</v>
      </c>
      <c r="D62" s="10">
        <f>'Bil Mure (2)'!C11</f>
        <v>2307</v>
      </c>
      <c r="E62" s="10">
        <f t="shared" si="11"/>
        <v>2307</v>
      </c>
      <c r="F62" s="10">
        <f t="shared" si="9"/>
        <v>0</v>
      </c>
      <c r="G62" s="10">
        <f t="shared" si="12"/>
        <v>0</v>
      </c>
      <c r="H62" s="10">
        <f t="shared" si="12"/>
        <v>0</v>
      </c>
      <c r="I62" s="10">
        <f t="shared" si="12"/>
        <v>0</v>
      </c>
      <c r="J62" s="10">
        <f t="shared" si="12"/>
        <v>0</v>
      </c>
      <c r="K62" s="10">
        <f t="shared" si="12"/>
        <v>0</v>
      </c>
      <c r="L62" s="7"/>
    </row>
    <row r="63" spans="1:12" hidden="1">
      <c r="A63" s="2" t="s">
        <v>7</v>
      </c>
      <c r="B63" s="10" t="s">
        <v>79</v>
      </c>
      <c r="C63" s="10">
        <f>'Bil Mure (2)'!B12</f>
        <v>2547</v>
      </c>
      <c r="D63" s="10">
        <f>'Bil Mure (2)'!C12</f>
        <v>2040</v>
      </c>
      <c r="E63" s="10">
        <f t="shared" si="11"/>
        <v>2040</v>
      </c>
      <c r="F63" s="10">
        <f t="shared" si="9"/>
        <v>2040</v>
      </c>
      <c r="G63" s="10">
        <f>F63-G50</f>
        <v>2040</v>
      </c>
      <c r="H63" s="10">
        <f>G63-H50</f>
        <v>2040</v>
      </c>
      <c r="I63" s="10">
        <f>H63-I50</f>
        <v>2040</v>
      </c>
      <c r="J63" s="10">
        <f>I63-J50</f>
        <v>0</v>
      </c>
      <c r="K63" s="10">
        <f>J63-K50</f>
        <v>0</v>
      </c>
      <c r="L63" s="7"/>
    </row>
    <row r="64" spans="1:12" hidden="1">
      <c r="A64" s="2" t="s">
        <v>8</v>
      </c>
      <c r="B64" s="10" t="s">
        <v>79</v>
      </c>
      <c r="C64" s="10">
        <f>'Bil Mure (2)'!B13</f>
        <v>234</v>
      </c>
      <c r="D64" s="10">
        <f>'Bil Mure (2)'!C13</f>
        <v>221</v>
      </c>
      <c r="E64" s="10">
        <f t="shared" si="11"/>
        <v>221</v>
      </c>
      <c r="F64" s="10">
        <f t="shared" si="9"/>
        <v>221</v>
      </c>
      <c r="G64" s="10">
        <f t="shared" ref="G64:K66" si="13">F64</f>
        <v>221</v>
      </c>
      <c r="H64" s="10">
        <f t="shared" si="13"/>
        <v>221</v>
      </c>
      <c r="I64" s="10">
        <f t="shared" si="13"/>
        <v>221</v>
      </c>
      <c r="J64" s="10">
        <f t="shared" si="13"/>
        <v>221</v>
      </c>
      <c r="K64" s="10">
        <f t="shared" si="13"/>
        <v>221</v>
      </c>
      <c r="L64" s="7"/>
    </row>
    <row r="65" spans="1:12" hidden="1">
      <c r="A65" s="2" t="s">
        <v>9</v>
      </c>
      <c r="B65" s="10" t="s">
        <v>79</v>
      </c>
      <c r="C65" s="10">
        <f>'Bil Mure (2)'!B14</f>
        <v>821</v>
      </c>
      <c r="D65" s="10">
        <f>'Bil Mure (2)'!C14</f>
        <v>290</v>
      </c>
      <c r="E65" s="10">
        <f t="shared" si="11"/>
        <v>290</v>
      </c>
      <c r="F65" s="10">
        <f t="shared" si="9"/>
        <v>140</v>
      </c>
      <c r="G65" s="10">
        <f t="shared" si="13"/>
        <v>140</v>
      </c>
      <c r="H65" s="10">
        <f t="shared" si="13"/>
        <v>140</v>
      </c>
      <c r="I65" s="10">
        <f t="shared" si="13"/>
        <v>140</v>
      </c>
      <c r="J65" s="10">
        <f t="shared" si="13"/>
        <v>140</v>
      </c>
      <c r="K65" s="10">
        <f t="shared" si="13"/>
        <v>140</v>
      </c>
      <c r="L65" s="7"/>
    </row>
    <row r="66" spans="1:12" hidden="1">
      <c r="A66" s="2" t="s">
        <v>12</v>
      </c>
      <c r="B66" s="10" t="s">
        <v>79</v>
      </c>
      <c r="C66" s="10">
        <f>'Bil Mure (2)'!B15</f>
        <v>282</v>
      </c>
      <c r="D66" s="10">
        <f>'Bil Mure (2)'!C15</f>
        <v>236</v>
      </c>
      <c r="E66" s="10">
        <f t="shared" si="11"/>
        <v>236</v>
      </c>
      <c r="F66" s="10">
        <f t="shared" si="9"/>
        <v>236</v>
      </c>
      <c r="G66" s="10">
        <f t="shared" si="13"/>
        <v>236</v>
      </c>
      <c r="H66" s="10">
        <f t="shared" si="13"/>
        <v>236</v>
      </c>
      <c r="I66" s="10">
        <f t="shared" si="13"/>
        <v>236</v>
      </c>
      <c r="J66" s="10">
        <f t="shared" si="13"/>
        <v>236</v>
      </c>
      <c r="K66" s="10">
        <f t="shared" si="13"/>
        <v>236</v>
      </c>
      <c r="L66" s="7"/>
    </row>
    <row r="67" spans="1:12" hidden="1">
      <c r="A67" s="2" t="s">
        <v>10</v>
      </c>
      <c r="B67" s="10"/>
      <c r="C67" s="10">
        <f>'Bil Mure (2)'!B16</f>
        <v>3033</v>
      </c>
      <c r="D67" s="10">
        <f>'Bil Mure (2)'!C16</f>
        <v>3867</v>
      </c>
      <c r="E67" s="10">
        <f t="shared" si="11"/>
        <v>3867</v>
      </c>
      <c r="F67" s="10">
        <f t="shared" si="9"/>
        <v>3867</v>
      </c>
      <c r="G67" s="10">
        <f>F67-G51</f>
        <v>3867</v>
      </c>
      <c r="H67" s="10">
        <f>G67-H51</f>
        <v>3867</v>
      </c>
      <c r="I67" s="10">
        <f>H67-I51</f>
        <v>3867</v>
      </c>
      <c r="J67" s="10">
        <f>I67-J51</f>
        <v>3867</v>
      </c>
      <c r="K67" s="10">
        <f>J67-K51</f>
        <v>3867</v>
      </c>
      <c r="L67" s="7"/>
    </row>
    <row r="68" spans="1:12" hidden="1">
      <c r="A68" s="2" t="s">
        <v>11</v>
      </c>
      <c r="B68" s="10"/>
      <c r="C68" s="10">
        <f>'Bil Mure (2)'!B17</f>
        <v>4436</v>
      </c>
      <c r="D68" s="10">
        <f>'Bil Mure (2)'!C17</f>
        <v>5132</v>
      </c>
      <c r="E68" s="13">
        <f>E53</f>
        <v>4242</v>
      </c>
      <c r="F68" s="10">
        <f t="shared" si="9"/>
        <v>6752</v>
      </c>
      <c r="G68" s="10">
        <f>G53</f>
        <v>7065.5495000000001</v>
      </c>
      <c r="H68" s="10">
        <f>H53</f>
        <v>7379.0990000000002</v>
      </c>
      <c r="I68" s="10">
        <f>I53</f>
        <v>7948.6485000000002</v>
      </c>
      <c r="J68" s="10">
        <f>J53</f>
        <v>11958.198</v>
      </c>
      <c r="K68" s="10">
        <f>K53</f>
        <v>13927.747500000001</v>
      </c>
      <c r="L68" s="7"/>
    </row>
    <row r="69" spans="1:12" hidden="1">
      <c r="A69" s="1" t="s">
        <v>78</v>
      </c>
      <c r="B69" s="11"/>
      <c r="C69" s="11">
        <f>'Bil Mure (2)'!B18</f>
        <v>40372</v>
      </c>
      <c r="D69" s="11">
        <f>'Bil Mure (2)'!C18</f>
        <v>41380</v>
      </c>
      <c r="E69" s="11">
        <f t="shared" ref="E69:K69" si="14">SUM(E56:E68)</f>
        <v>39723</v>
      </c>
      <c r="F69" s="11">
        <f t="shared" si="14"/>
        <v>35842</v>
      </c>
      <c r="G69" s="11">
        <f t="shared" si="14"/>
        <v>35455.549500000001</v>
      </c>
      <c r="H69" s="11">
        <f t="shared" si="14"/>
        <v>35069.099000000002</v>
      </c>
      <c r="I69" s="11">
        <f t="shared" si="14"/>
        <v>34938.648500000003</v>
      </c>
      <c r="J69" s="11">
        <f t="shared" si="14"/>
        <v>36208.198000000004</v>
      </c>
      <c r="K69" s="11">
        <f t="shared" si="14"/>
        <v>37477.747499999998</v>
      </c>
      <c r="L69" s="7"/>
    </row>
    <row r="70" spans="1:12" hidden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hidden="1">
      <c r="A71" s="1" t="s">
        <v>13</v>
      </c>
      <c r="B71" s="1" t="s">
        <v>79</v>
      </c>
      <c r="C71" s="11">
        <f>'Bil Mure (2)'!B20</f>
        <v>28715</v>
      </c>
      <c r="D71" s="11">
        <f>'Bil Mure (2)'!C20</f>
        <v>29430</v>
      </c>
      <c r="E71" s="11">
        <f>D71</f>
        <v>29430</v>
      </c>
      <c r="F71" s="11">
        <f t="shared" ref="F71:F77" si="15">J101</f>
        <v>29430</v>
      </c>
      <c r="G71" s="11">
        <f>F71+G40+G44</f>
        <v>30699.549500000001</v>
      </c>
      <c r="H71" s="11">
        <f>G71+H40+H44</f>
        <v>31969.099000000002</v>
      </c>
      <c r="I71" s="11">
        <f>H71+I40+I44</f>
        <v>33238.648500000003</v>
      </c>
      <c r="J71" s="11">
        <f>I71+J40+J44</f>
        <v>34508.198000000004</v>
      </c>
      <c r="K71" s="11">
        <f>J71+K40+K44</f>
        <v>35777.747500000005</v>
      </c>
    </row>
    <row r="72" spans="1:12" hidden="1">
      <c r="A72" s="2" t="s">
        <v>14</v>
      </c>
      <c r="B72" s="2" t="s">
        <v>79</v>
      </c>
      <c r="C72" s="10">
        <f>'Bil Mure (2)'!B21</f>
        <v>203</v>
      </c>
      <c r="D72" s="10">
        <f>'Bil Mure (2)'!C21</f>
        <v>307</v>
      </c>
      <c r="E72" s="10">
        <f>D72</f>
        <v>307</v>
      </c>
      <c r="F72" s="10">
        <f t="shared" si="15"/>
        <v>307</v>
      </c>
      <c r="G72" s="10">
        <f>F72</f>
        <v>307</v>
      </c>
      <c r="H72" s="10">
        <f>G72</f>
        <v>307</v>
      </c>
      <c r="I72" s="10">
        <f>H72</f>
        <v>307</v>
      </c>
      <c r="J72" s="10">
        <f>I72</f>
        <v>307</v>
      </c>
      <c r="K72" s="10">
        <f>J72</f>
        <v>307</v>
      </c>
    </row>
    <row r="73" spans="1:12" hidden="1">
      <c r="A73" s="2" t="s">
        <v>15</v>
      </c>
      <c r="B73" s="2" t="s">
        <v>79</v>
      </c>
      <c r="C73" s="10">
        <f>'Bil Mure (2)'!B22</f>
        <v>8088</v>
      </c>
      <c r="D73" s="10">
        <f>'Bil Mure (2)'!C22</f>
        <v>6432</v>
      </c>
      <c r="E73" s="9">
        <f>D73+D45</f>
        <v>4776</v>
      </c>
      <c r="F73" s="10">
        <f t="shared" si="15"/>
        <v>4776</v>
      </c>
      <c r="G73" s="10">
        <f t="shared" ref="G73:K74" si="16">F73+G45</f>
        <v>3120</v>
      </c>
      <c r="H73" s="10">
        <f t="shared" si="16"/>
        <v>1464</v>
      </c>
      <c r="I73" s="10">
        <f t="shared" si="16"/>
        <v>64</v>
      </c>
      <c r="J73" s="10">
        <f t="shared" si="16"/>
        <v>64</v>
      </c>
      <c r="K73" s="10">
        <f t="shared" si="16"/>
        <v>64</v>
      </c>
    </row>
    <row r="74" spans="1:12" hidden="1">
      <c r="A74" s="2" t="s">
        <v>130</v>
      </c>
      <c r="B74" s="2" t="s">
        <v>79</v>
      </c>
      <c r="C74" s="10">
        <f>'Bil Mure (2)'!B23</f>
        <v>715</v>
      </c>
      <c r="D74" s="10">
        <f>'Bil Mure (2)'!C23</f>
        <v>910</v>
      </c>
      <c r="E74" s="13">
        <f>D74</f>
        <v>910</v>
      </c>
      <c r="F74" s="10">
        <f t="shared" si="15"/>
        <v>910</v>
      </c>
      <c r="G74" s="10">
        <f t="shared" si="16"/>
        <v>910</v>
      </c>
      <c r="H74" s="10">
        <f t="shared" si="16"/>
        <v>910</v>
      </c>
      <c r="I74" s="10">
        <f t="shared" si="16"/>
        <v>910</v>
      </c>
      <c r="J74" s="10">
        <f t="shared" si="16"/>
        <v>910</v>
      </c>
      <c r="K74" s="10">
        <f t="shared" si="16"/>
        <v>910</v>
      </c>
    </row>
    <row r="75" spans="1:12" hidden="1">
      <c r="A75" s="2" t="s">
        <v>17</v>
      </c>
      <c r="B75" s="2" t="s">
        <v>79</v>
      </c>
      <c r="C75" s="10">
        <f>'Bil Mure (2)'!B24</f>
        <v>405</v>
      </c>
      <c r="D75" s="10">
        <f>'Bil Mure (2)'!C24</f>
        <v>228</v>
      </c>
      <c r="E75" s="10">
        <f>D75</f>
        <v>228</v>
      </c>
      <c r="F75" s="10">
        <f t="shared" si="15"/>
        <v>228</v>
      </c>
      <c r="G75" s="10">
        <f t="shared" ref="G75:K77" si="17">F75</f>
        <v>228</v>
      </c>
      <c r="H75" s="10">
        <f t="shared" si="17"/>
        <v>228</v>
      </c>
      <c r="I75" s="10">
        <f t="shared" si="17"/>
        <v>228</v>
      </c>
      <c r="J75" s="10">
        <f t="shared" si="17"/>
        <v>228</v>
      </c>
      <c r="K75" s="10">
        <f t="shared" si="17"/>
        <v>228</v>
      </c>
    </row>
    <row r="76" spans="1:12" hidden="1">
      <c r="A76" s="2" t="s">
        <v>18</v>
      </c>
      <c r="B76" s="2" t="s">
        <v>79</v>
      </c>
      <c r="C76" s="10">
        <f>'Bil Mure (2)'!B25</f>
        <v>172</v>
      </c>
      <c r="D76" s="10">
        <f>'Bil Mure (2)'!C25</f>
        <v>192</v>
      </c>
      <c r="E76" s="10">
        <f>D76</f>
        <v>192</v>
      </c>
      <c r="F76" s="10">
        <f t="shared" si="15"/>
        <v>192</v>
      </c>
      <c r="G76" s="10">
        <f t="shared" si="17"/>
        <v>192</v>
      </c>
      <c r="H76" s="10">
        <f t="shared" si="17"/>
        <v>192</v>
      </c>
      <c r="I76" s="10">
        <f t="shared" si="17"/>
        <v>192</v>
      </c>
      <c r="J76" s="10">
        <f t="shared" si="17"/>
        <v>192</v>
      </c>
      <c r="K76" s="10">
        <f t="shared" si="17"/>
        <v>192</v>
      </c>
    </row>
    <row r="77" spans="1:12" hidden="1">
      <c r="A77" s="2" t="s">
        <v>19</v>
      </c>
      <c r="B77" s="2" t="s">
        <v>79</v>
      </c>
      <c r="C77" s="10">
        <f>'Bil Mure (2)'!B26</f>
        <v>2075</v>
      </c>
      <c r="D77" s="10">
        <f>'Bil Mure (2)'!C26</f>
        <v>3881</v>
      </c>
      <c r="E77" s="10">
        <f>D77</f>
        <v>3881</v>
      </c>
      <c r="F77" s="10">
        <f t="shared" si="15"/>
        <v>0</v>
      </c>
      <c r="G77" s="10">
        <f t="shared" si="17"/>
        <v>0</v>
      </c>
      <c r="H77" s="10">
        <f t="shared" si="17"/>
        <v>0</v>
      </c>
      <c r="I77" s="10">
        <f t="shared" si="17"/>
        <v>0</v>
      </c>
      <c r="J77" s="10">
        <f t="shared" si="17"/>
        <v>0</v>
      </c>
      <c r="K77" s="10">
        <f t="shared" si="17"/>
        <v>0</v>
      </c>
    </row>
    <row r="78" spans="1:12" hidden="1">
      <c r="A78" s="1" t="s">
        <v>77</v>
      </c>
      <c r="B78" s="1"/>
      <c r="C78" s="11">
        <f t="shared" ref="C78:K78" si="18">SUM(C71:C77)</f>
        <v>40373</v>
      </c>
      <c r="D78" s="11">
        <f t="shared" si="18"/>
        <v>41380</v>
      </c>
      <c r="E78" s="11">
        <f t="shared" si="18"/>
        <v>39724</v>
      </c>
      <c r="F78" s="11">
        <f t="shared" si="18"/>
        <v>35843</v>
      </c>
      <c r="G78" s="11">
        <f t="shared" si="18"/>
        <v>35456.549500000001</v>
      </c>
      <c r="H78" s="11">
        <f t="shared" si="18"/>
        <v>35070.099000000002</v>
      </c>
      <c r="I78" s="11">
        <f t="shared" si="18"/>
        <v>34939.648500000003</v>
      </c>
      <c r="J78" s="11">
        <f t="shared" si="18"/>
        <v>36209.198000000004</v>
      </c>
      <c r="K78" s="11">
        <f t="shared" si="18"/>
        <v>37478.747500000005</v>
      </c>
    </row>
    <row r="79" spans="1:12" hidden="1">
      <c r="A79" s="2" t="s">
        <v>80</v>
      </c>
      <c r="B79" s="2"/>
      <c r="C79" s="10">
        <f t="shared" ref="C79:K79" si="19">C78-C69</f>
        <v>1</v>
      </c>
      <c r="D79" s="10">
        <f t="shared" si="19"/>
        <v>0</v>
      </c>
      <c r="E79" s="10">
        <f t="shared" si="19"/>
        <v>1</v>
      </c>
      <c r="F79" s="10">
        <f t="shared" si="19"/>
        <v>1</v>
      </c>
      <c r="G79" s="10">
        <f t="shared" si="19"/>
        <v>1</v>
      </c>
      <c r="H79" s="10">
        <f t="shared" si="19"/>
        <v>1</v>
      </c>
      <c r="I79" s="10">
        <f t="shared" si="19"/>
        <v>1</v>
      </c>
      <c r="J79" s="10">
        <f t="shared" si="19"/>
        <v>1</v>
      </c>
      <c r="K79" s="10">
        <f t="shared" si="19"/>
        <v>1.000000000007276</v>
      </c>
    </row>
    <row r="80" spans="1:12" hidden="1">
      <c r="A80" s="2" t="s">
        <v>81</v>
      </c>
      <c r="B80" s="2"/>
      <c r="C80" s="10"/>
      <c r="D80" s="10">
        <f t="shared" ref="D80:K80" si="20">D53-D68</f>
        <v>-1</v>
      </c>
      <c r="E80" s="10">
        <f t="shared" si="20"/>
        <v>0</v>
      </c>
      <c r="F80" s="10">
        <f t="shared" si="20"/>
        <v>0</v>
      </c>
      <c r="G80" s="10">
        <f t="shared" si="20"/>
        <v>0</v>
      </c>
      <c r="H80" s="10">
        <f t="shared" si="20"/>
        <v>0</v>
      </c>
      <c r="I80" s="10">
        <f t="shared" si="20"/>
        <v>0</v>
      </c>
      <c r="J80" s="10">
        <f t="shared" si="20"/>
        <v>0</v>
      </c>
      <c r="K80" s="10">
        <f t="shared" si="20"/>
        <v>0</v>
      </c>
    </row>
    <row r="81" spans="1:21">
      <c r="A8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1" s="7"/>
      <c r="D81" s="7"/>
      <c r="E81" s="7"/>
      <c r="F81" s="7"/>
      <c r="G81" s="7"/>
      <c r="H81" s="7"/>
      <c r="I81" s="7"/>
      <c r="J81" s="7"/>
      <c r="K81" s="7"/>
    </row>
    <row r="82" spans="1:21">
      <c r="A82" s="3" t="s">
        <v>198</v>
      </c>
      <c r="C82" s="7"/>
      <c r="D82" s="7"/>
      <c r="E82" s="7"/>
      <c r="F82" s="7"/>
      <c r="G82" s="7"/>
      <c r="H82" s="7"/>
      <c r="I82" s="7"/>
      <c r="J82" s="7"/>
      <c r="K82" s="7"/>
    </row>
    <row r="83" spans="1:21">
      <c r="A83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3" s="7"/>
      <c r="D83" s="7"/>
      <c r="E83" s="7"/>
      <c r="F83" s="7"/>
      <c r="G83" s="7"/>
      <c r="H83" s="7"/>
      <c r="I83" s="7"/>
      <c r="J83" s="7"/>
      <c r="K83" s="7"/>
    </row>
    <row r="84" spans="1:21">
      <c r="A84" s="70" t="s">
        <v>223</v>
      </c>
      <c r="B84" s="70"/>
      <c r="C84" s="72"/>
      <c r="D84" s="72"/>
      <c r="E84" s="72"/>
      <c r="F84" s="302" t="s">
        <v>217</v>
      </c>
      <c r="G84" s="303"/>
      <c r="H84" s="303"/>
      <c r="I84" s="304"/>
      <c r="J84" s="72"/>
      <c r="K84" s="73" t="s">
        <v>218</v>
      </c>
      <c r="L84" s="73" t="s">
        <v>219</v>
      </c>
      <c r="N84" s="49"/>
      <c r="O84" s="49"/>
      <c r="P84" s="117"/>
      <c r="Q84" s="49"/>
      <c r="R84" s="49"/>
      <c r="S84" s="118"/>
      <c r="T84" s="118"/>
      <c r="U84" s="49"/>
    </row>
    <row r="85" spans="1:21">
      <c r="A85" s="70" t="s">
        <v>199</v>
      </c>
      <c r="B85" s="70"/>
      <c r="C85" s="72">
        <f t="shared" ref="C85:D99" si="21">C55</f>
        <v>2008</v>
      </c>
      <c r="D85" s="72">
        <f t="shared" si="21"/>
        <v>2009</v>
      </c>
      <c r="E85" s="74">
        <v>2010</v>
      </c>
      <c r="F85" s="75" t="s">
        <v>83</v>
      </c>
      <c r="G85" s="75" t="s">
        <v>84</v>
      </c>
      <c r="H85" s="75" t="s">
        <v>85</v>
      </c>
      <c r="I85" s="75" t="s">
        <v>106</v>
      </c>
      <c r="J85" s="72">
        <f>E85</f>
        <v>2010</v>
      </c>
      <c r="K85" s="76"/>
      <c r="L85" s="73" t="s">
        <v>220</v>
      </c>
      <c r="N85" s="49"/>
      <c r="O85" s="49"/>
      <c r="P85" s="117"/>
      <c r="Q85" s="119"/>
      <c r="R85" s="49"/>
      <c r="S85" s="49"/>
      <c r="T85" s="49"/>
      <c r="U85" s="49"/>
    </row>
    <row r="86" spans="1:21">
      <c r="A86" s="2" t="s">
        <v>1</v>
      </c>
      <c r="B86" s="2"/>
      <c r="C86" s="10">
        <f t="shared" si="21"/>
        <v>2</v>
      </c>
      <c r="D86" s="10">
        <f t="shared" si="21"/>
        <v>0</v>
      </c>
      <c r="E86" s="10">
        <f t="shared" ref="E86:E98" si="22">E56</f>
        <v>0</v>
      </c>
      <c r="F86" s="10"/>
      <c r="G86" s="10"/>
      <c r="H86" s="10"/>
      <c r="I86" s="10"/>
      <c r="J86" s="10">
        <f t="shared" ref="J86:J98" si="23">E86+F86+G86+H86+I86</f>
        <v>0</v>
      </c>
      <c r="K86" s="10"/>
      <c r="L86" s="10">
        <f t="shared" ref="L86:L98" si="24">J86+K86</f>
        <v>0</v>
      </c>
      <c r="N86" s="49"/>
      <c r="O86" s="49"/>
      <c r="P86" s="117"/>
      <c r="Q86" s="119"/>
      <c r="R86" s="49"/>
      <c r="S86" s="120"/>
      <c r="T86" s="49"/>
      <c r="U86" s="49"/>
    </row>
    <row r="87" spans="1:21">
      <c r="A87" s="2" t="s">
        <v>201</v>
      </c>
      <c r="B87" s="2"/>
      <c r="C87" s="10">
        <f t="shared" si="21"/>
        <v>5243</v>
      </c>
      <c r="D87" s="10">
        <f t="shared" si="21"/>
        <v>5476</v>
      </c>
      <c r="E87" s="10">
        <f t="shared" si="22"/>
        <v>5476</v>
      </c>
      <c r="F87" s="10"/>
      <c r="G87" s="10"/>
      <c r="H87" s="10"/>
      <c r="I87" s="10"/>
      <c r="J87" s="10">
        <f t="shared" si="23"/>
        <v>5476</v>
      </c>
      <c r="K87" s="10">
        <v>-5476</v>
      </c>
      <c r="L87" s="10">
        <f t="shared" si="24"/>
        <v>0</v>
      </c>
      <c r="N87" s="121"/>
      <c r="O87" s="49"/>
      <c r="P87" s="117"/>
      <c r="Q87" s="119"/>
      <c r="R87" s="49"/>
      <c r="S87" s="120"/>
      <c r="T87" s="49"/>
      <c r="U87" s="49"/>
    </row>
    <row r="88" spans="1:21">
      <c r="A88" s="2" t="s">
        <v>202</v>
      </c>
      <c r="B88" s="2"/>
      <c r="C88" s="10">
        <f t="shared" si="21"/>
        <v>15188</v>
      </c>
      <c r="D88" s="10">
        <f t="shared" si="21"/>
        <v>17813</v>
      </c>
      <c r="E88" s="10">
        <f t="shared" si="22"/>
        <v>17046</v>
      </c>
      <c r="F88" s="10"/>
      <c r="G88" s="10"/>
      <c r="H88" s="10"/>
      <c r="I88" s="10"/>
      <c r="J88" s="10">
        <f t="shared" si="23"/>
        <v>17046</v>
      </c>
      <c r="K88" s="10">
        <f>4500*10-J88</f>
        <v>27954</v>
      </c>
      <c r="L88" s="77">
        <f t="shared" si="24"/>
        <v>45000</v>
      </c>
      <c r="N88" s="49"/>
      <c r="O88" s="49"/>
      <c r="P88" s="121"/>
      <c r="Q88" s="49"/>
      <c r="R88" s="122"/>
      <c r="S88" s="49"/>
      <c r="T88" s="123"/>
      <c r="U88" s="49"/>
    </row>
    <row r="89" spans="1:21">
      <c r="A89" s="2" t="s">
        <v>203</v>
      </c>
      <c r="B89" s="2"/>
      <c r="C89" s="10">
        <f t="shared" si="21"/>
        <v>70</v>
      </c>
      <c r="D89" s="10">
        <f t="shared" si="21"/>
        <v>64</v>
      </c>
      <c r="E89" s="10">
        <f t="shared" si="22"/>
        <v>64</v>
      </c>
      <c r="F89" s="10"/>
      <c r="G89" s="10"/>
      <c r="H89" s="10"/>
      <c r="I89" s="10"/>
      <c r="J89" s="10">
        <f t="shared" si="23"/>
        <v>64</v>
      </c>
      <c r="K89" s="10"/>
      <c r="L89" s="10">
        <f t="shared" si="24"/>
        <v>64</v>
      </c>
      <c r="N89" s="49"/>
      <c r="O89" s="49"/>
      <c r="P89" s="49"/>
      <c r="Q89" s="49"/>
      <c r="R89" s="49"/>
      <c r="S89" s="49"/>
      <c r="T89" s="49"/>
      <c r="U89" s="49"/>
    </row>
    <row r="90" spans="1:21">
      <c r="A90" s="2" t="s">
        <v>204</v>
      </c>
      <c r="B90" s="2"/>
      <c r="C90" s="10">
        <f t="shared" si="21"/>
        <v>2001</v>
      </c>
      <c r="D90" s="10">
        <f t="shared" si="21"/>
        <v>0</v>
      </c>
      <c r="E90" s="10">
        <f t="shared" si="22"/>
        <v>0</v>
      </c>
      <c r="F90" s="10"/>
      <c r="G90" s="10"/>
      <c r="H90" s="10"/>
      <c r="I90" s="10"/>
      <c r="J90" s="10">
        <f t="shared" si="23"/>
        <v>0</v>
      </c>
      <c r="K90" s="10"/>
      <c r="L90" s="10">
        <f t="shared" si="24"/>
        <v>0</v>
      </c>
      <c r="N90" s="49"/>
      <c r="O90" s="49"/>
      <c r="P90" s="49"/>
      <c r="Q90" s="49"/>
      <c r="R90" s="49"/>
      <c r="S90" s="49"/>
      <c r="T90" s="49"/>
      <c r="U90" s="49"/>
    </row>
    <row r="91" spans="1:21">
      <c r="A91" s="2" t="s">
        <v>205</v>
      </c>
      <c r="B91" s="2"/>
      <c r="C91" s="10">
        <f t="shared" si="21"/>
        <v>4139</v>
      </c>
      <c r="D91" s="10">
        <f t="shared" si="21"/>
        <v>3934</v>
      </c>
      <c r="E91" s="10">
        <f t="shared" si="22"/>
        <v>3934</v>
      </c>
      <c r="F91" s="10">
        <v>-3934</v>
      </c>
      <c r="G91" s="10"/>
      <c r="H91" s="10"/>
      <c r="I91" s="10"/>
      <c r="J91" s="10">
        <f t="shared" si="23"/>
        <v>0</v>
      </c>
      <c r="K91" s="10"/>
      <c r="L91" s="10">
        <f t="shared" si="24"/>
        <v>0</v>
      </c>
      <c r="N91" s="49"/>
      <c r="O91" s="49"/>
      <c r="P91" s="49"/>
      <c r="Q91" s="49"/>
      <c r="R91" s="49"/>
      <c r="S91" s="49"/>
      <c r="T91" s="49"/>
      <c r="U91" s="49"/>
    </row>
    <row r="92" spans="1:21">
      <c r="A92" s="2" t="s">
        <v>206</v>
      </c>
      <c r="B92" s="2"/>
      <c r="C92" s="10">
        <f t="shared" si="21"/>
        <v>2376</v>
      </c>
      <c r="D92" s="10">
        <f t="shared" si="21"/>
        <v>2307</v>
      </c>
      <c r="E92" s="10">
        <f t="shared" si="22"/>
        <v>2307</v>
      </c>
      <c r="F92" s="10">
        <v>-2307</v>
      </c>
      <c r="G92" s="10"/>
      <c r="H92" s="10"/>
      <c r="I92" s="10"/>
      <c r="J92" s="10">
        <f t="shared" si="23"/>
        <v>0</v>
      </c>
      <c r="K92" s="10"/>
      <c r="L92" s="10">
        <f t="shared" si="24"/>
        <v>0</v>
      </c>
      <c r="N92" s="49"/>
      <c r="O92" s="49"/>
      <c r="P92" s="49"/>
      <c r="Q92" s="49"/>
      <c r="R92" s="49"/>
      <c r="S92" s="49"/>
      <c r="T92" s="49"/>
      <c r="U92" s="49"/>
    </row>
    <row r="93" spans="1:21">
      <c r="A93" s="2" t="s">
        <v>207</v>
      </c>
      <c r="B93" s="2"/>
      <c r="C93" s="10">
        <f t="shared" si="21"/>
        <v>2547</v>
      </c>
      <c r="D93" s="10">
        <f t="shared" si="21"/>
        <v>2040</v>
      </c>
      <c r="E93" s="10">
        <f t="shared" si="22"/>
        <v>2040</v>
      </c>
      <c r="F93" s="10"/>
      <c r="G93" s="10"/>
      <c r="H93" s="10"/>
      <c r="I93" s="10"/>
      <c r="J93" s="10">
        <f t="shared" si="23"/>
        <v>2040</v>
      </c>
      <c r="K93" s="10"/>
      <c r="L93" s="10">
        <f t="shared" si="24"/>
        <v>2040</v>
      </c>
      <c r="N93" s="49"/>
      <c r="O93" s="49"/>
      <c r="P93" s="49"/>
      <c r="Q93" s="49"/>
      <c r="R93" s="121"/>
      <c r="S93" s="49"/>
      <c r="T93" s="49"/>
      <c r="U93" s="49"/>
    </row>
    <row r="94" spans="1:21">
      <c r="A94" s="2" t="s">
        <v>208</v>
      </c>
      <c r="B94" s="2"/>
      <c r="C94" s="10">
        <f t="shared" si="21"/>
        <v>234</v>
      </c>
      <c r="D94" s="10">
        <f t="shared" si="21"/>
        <v>221</v>
      </c>
      <c r="E94" s="10">
        <f t="shared" si="22"/>
        <v>221</v>
      </c>
      <c r="F94" s="10"/>
      <c r="G94" s="10"/>
      <c r="H94" s="10"/>
      <c r="I94" s="10"/>
      <c r="J94" s="10">
        <f t="shared" si="23"/>
        <v>221</v>
      </c>
      <c r="K94" s="10"/>
      <c r="L94" s="10">
        <f t="shared" si="24"/>
        <v>221</v>
      </c>
      <c r="N94" s="49"/>
      <c r="O94" s="49"/>
      <c r="P94" s="49"/>
      <c r="Q94" s="49"/>
      <c r="R94" s="49"/>
      <c r="S94" s="49"/>
      <c r="T94" s="49"/>
      <c r="U94" s="49"/>
    </row>
    <row r="95" spans="1:21">
      <c r="A95" s="2" t="s">
        <v>209</v>
      </c>
      <c r="B95" s="2"/>
      <c r="C95" s="10">
        <f t="shared" si="21"/>
        <v>821</v>
      </c>
      <c r="D95" s="10">
        <f t="shared" si="21"/>
        <v>290</v>
      </c>
      <c r="E95" s="10">
        <f t="shared" si="22"/>
        <v>290</v>
      </c>
      <c r="F95" s="10"/>
      <c r="G95" s="10"/>
      <c r="H95" s="10"/>
      <c r="I95" s="10">
        <v>-150</v>
      </c>
      <c r="J95" s="10">
        <f t="shared" si="23"/>
        <v>140</v>
      </c>
      <c r="K95" s="10"/>
      <c r="L95" s="10">
        <f t="shared" si="24"/>
        <v>140</v>
      </c>
      <c r="N95" s="49"/>
      <c r="O95" s="49"/>
      <c r="P95" s="49"/>
      <c r="Q95" s="49"/>
      <c r="R95" s="49"/>
      <c r="S95" s="49"/>
      <c r="T95" s="49"/>
      <c r="U95" s="49"/>
    </row>
    <row r="96" spans="1:21">
      <c r="A96" s="2" t="s">
        <v>210</v>
      </c>
      <c r="B96" s="2"/>
      <c r="C96" s="10">
        <f t="shared" si="21"/>
        <v>282</v>
      </c>
      <c r="D96" s="10">
        <f t="shared" si="21"/>
        <v>236</v>
      </c>
      <c r="E96" s="10">
        <f t="shared" si="22"/>
        <v>236</v>
      </c>
      <c r="F96" s="10"/>
      <c r="G96" s="10"/>
      <c r="H96" s="10"/>
      <c r="I96" s="10"/>
      <c r="J96" s="10">
        <f t="shared" si="23"/>
        <v>236</v>
      </c>
      <c r="K96" s="10"/>
      <c r="L96" s="10">
        <f t="shared" si="24"/>
        <v>236</v>
      </c>
      <c r="N96" s="49"/>
      <c r="O96" s="49"/>
      <c r="P96" s="49"/>
      <c r="Q96" s="49"/>
      <c r="R96" s="49"/>
      <c r="S96" s="49"/>
      <c r="T96" s="49"/>
      <c r="U96" s="49"/>
    </row>
    <row r="97" spans="1:21">
      <c r="A97" s="2" t="s">
        <v>221</v>
      </c>
      <c r="B97" s="2"/>
      <c r="C97" s="10">
        <f t="shared" si="21"/>
        <v>3033</v>
      </c>
      <c r="D97" s="10">
        <f t="shared" si="21"/>
        <v>3867</v>
      </c>
      <c r="E97" s="10">
        <f t="shared" si="22"/>
        <v>3867</v>
      </c>
      <c r="F97" s="10"/>
      <c r="G97" s="10"/>
      <c r="H97" s="10"/>
      <c r="I97" s="10"/>
      <c r="J97" s="10">
        <f t="shared" si="23"/>
        <v>3867</v>
      </c>
      <c r="K97" s="10"/>
      <c r="L97" s="10">
        <f t="shared" si="24"/>
        <v>3867</v>
      </c>
      <c r="N97" s="49"/>
      <c r="O97" s="49"/>
      <c r="P97" s="49"/>
      <c r="Q97" s="49"/>
      <c r="R97" s="49"/>
      <c r="S97" s="49"/>
      <c r="T97" s="49"/>
      <c r="U97" s="49"/>
    </row>
    <row r="98" spans="1:21">
      <c r="A98" s="2" t="s">
        <v>211</v>
      </c>
      <c r="B98" s="2"/>
      <c r="C98" s="10">
        <f t="shared" si="21"/>
        <v>4436</v>
      </c>
      <c r="D98" s="10">
        <f t="shared" si="21"/>
        <v>5132</v>
      </c>
      <c r="E98" s="10">
        <f t="shared" si="22"/>
        <v>4242</v>
      </c>
      <c r="F98" s="10">
        <f>-F92-F91</f>
        <v>6241</v>
      </c>
      <c r="G98" s="10"/>
      <c r="H98" s="13">
        <v>-3881</v>
      </c>
      <c r="I98" s="10">
        <v>150</v>
      </c>
      <c r="J98" s="10">
        <f t="shared" si="23"/>
        <v>6752</v>
      </c>
      <c r="K98" s="10"/>
      <c r="L98" s="10">
        <f t="shared" si="24"/>
        <v>6752</v>
      </c>
      <c r="N98" s="49"/>
      <c r="O98" s="49"/>
      <c r="P98" s="49"/>
      <c r="Q98" s="49"/>
      <c r="R98" s="49"/>
      <c r="S98" s="49"/>
      <c r="T98" s="49"/>
      <c r="U98" s="49"/>
    </row>
    <row r="99" spans="1:21">
      <c r="A99" s="1" t="s">
        <v>77</v>
      </c>
      <c r="B99" s="1"/>
      <c r="C99" s="11">
        <f t="shared" si="21"/>
        <v>40372</v>
      </c>
      <c r="D99" s="11">
        <f t="shared" si="21"/>
        <v>41380</v>
      </c>
      <c r="E99" s="11">
        <f t="shared" ref="E99:L99" si="25">SUM(E86:E98)</f>
        <v>39723</v>
      </c>
      <c r="F99" s="11">
        <f t="shared" si="25"/>
        <v>0</v>
      </c>
      <c r="G99" s="11">
        <f t="shared" si="25"/>
        <v>0</v>
      </c>
      <c r="H99" s="11">
        <f t="shared" si="25"/>
        <v>-3881</v>
      </c>
      <c r="I99" s="11">
        <f t="shared" si="25"/>
        <v>0</v>
      </c>
      <c r="J99" s="11">
        <f t="shared" si="25"/>
        <v>35842</v>
      </c>
      <c r="K99" s="11">
        <f>SUM(K86:K98)</f>
        <v>22478</v>
      </c>
      <c r="L99" s="11">
        <f t="shared" si="25"/>
        <v>58320</v>
      </c>
      <c r="N99" s="49"/>
      <c r="O99" s="49"/>
      <c r="P99" s="49"/>
      <c r="Q99" s="49"/>
      <c r="R99" s="49"/>
      <c r="S99" s="49"/>
      <c r="T99" s="49"/>
      <c r="U99" s="49"/>
    </row>
    <row r="100" spans="1:21">
      <c r="A100" s="1" t="s">
        <v>200</v>
      </c>
      <c r="B100" s="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>
        <v>318338</v>
      </c>
      <c r="N100" s="118"/>
      <c r="O100" s="118"/>
      <c r="P100" s="118"/>
      <c r="Q100" s="49"/>
      <c r="R100" s="118"/>
      <c r="S100" s="49"/>
      <c r="T100" s="49"/>
      <c r="U100" s="49"/>
    </row>
    <row r="101" spans="1:21">
      <c r="A101" s="1" t="s">
        <v>212</v>
      </c>
      <c r="B101" s="1"/>
      <c r="C101" s="11">
        <f t="shared" ref="C101:E107" si="26">C71</f>
        <v>28715</v>
      </c>
      <c r="D101" s="11">
        <f t="shared" si="26"/>
        <v>29430</v>
      </c>
      <c r="E101" s="11">
        <f t="shared" si="26"/>
        <v>29430</v>
      </c>
      <c r="F101" s="11">
        <v>0</v>
      </c>
      <c r="G101" s="11"/>
      <c r="H101" s="11"/>
      <c r="I101" s="11"/>
      <c r="J101" s="11">
        <f>E101+F101+G101+H101+I101</f>
        <v>29430</v>
      </c>
      <c r="K101" s="11">
        <f>K99-K102</f>
        <v>18769.13</v>
      </c>
      <c r="L101" s="9">
        <f>J101+K101</f>
        <v>48199.130000000005</v>
      </c>
      <c r="M101">
        <f>L101/M100*1000</f>
        <v>151.40865997775953</v>
      </c>
      <c r="N101" s="121"/>
      <c r="O101" s="121"/>
      <c r="P101" s="49"/>
      <c r="Q101" s="121"/>
      <c r="R101" s="49"/>
      <c r="S101" s="49"/>
      <c r="T101" s="49"/>
      <c r="U101" s="49"/>
    </row>
    <row r="102" spans="1:21">
      <c r="A102" s="2" t="s">
        <v>14</v>
      </c>
      <c r="B102" s="2"/>
      <c r="C102" s="10">
        <f t="shared" si="26"/>
        <v>203</v>
      </c>
      <c r="D102" s="10">
        <f t="shared" si="26"/>
        <v>307</v>
      </c>
      <c r="E102" s="10">
        <f t="shared" si="26"/>
        <v>307</v>
      </c>
      <c r="F102" s="10"/>
      <c r="G102" s="10"/>
      <c r="H102" s="10"/>
      <c r="I102" s="10"/>
      <c r="J102" s="19">
        <f t="shared" ref="J102:J107" si="27">E102+F102+G102+H102+I102</f>
        <v>307</v>
      </c>
      <c r="K102" s="10">
        <f>33%*(L88-J88-J87)/2</f>
        <v>3708.8700000000003</v>
      </c>
      <c r="L102" s="10">
        <f t="shared" ref="L102:L107" si="28">J102+K102</f>
        <v>4015.8700000000003</v>
      </c>
      <c r="N102" s="49"/>
      <c r="O102" s="49"/>
      <c r="P102" s="49"/>
      <c r="Q102" s="49"/>
      <c r="R102" s="49"/>
      <c r="S102" s="49"/>
      <c r="T102" s="49"/>
      <c r="U102" s="49"/>
    </row>
    <row r="103" spans="1:21">
      <c r="A103" s="2" t="s">
        <v>213</v>
      </c>
      <c r="B103" s="2"/>
      <c r="C103" s="10">
        <f t="shared" si="26"/>
        <v>8088</v>
      </c>
      <c r="D103" s="10">
        <f t="shared" si="26"/>
        <v>6432</v>
      </c>
      <c r="E103" s="10">
        <f t="shared" si="26"/>
        <v>4776</v>
      </c>
      <c r="F103" s="10"/>
      <c r="G103" s="10"/>
      <c r="H103" s="10"/>
      <c r="I103" s="10"/>
      <c r="J103" s="19">
        <f t="shared" si="27"/>
        <v>4776</v>
      </c>
      <c r="K103" s="10"/>
      <c r="L103" s="10">
        <f t="shared" si="28"/>
        <v>4776</v>
      </c>
      <c r="N103" s="49"/>
      <c r="O103" s="49"/>
      <c r="P103" s="49"/>
      <c r="Q103" s="49"/>
      <c r="R103" s="49"/>
      <c r="S103" s="49"/>
      <c r="T103" s="49"/>
      <c r="U103" s="49"/>
    </row>
    <row r="104" spans="1:21">
      <c r="A104" s="2" t="s">
        <v>222</v>
      </c>
      <c r="B104" s="2"/>
      <c r="C104" s="10">
        <f t="shared" si="26"/>
        <v>715</v>
      </c>
      <c r="D104" s="10">
        <f t="shared" si="26"/>
        <v>910</v>
      </c>
      <c r="E104" s="10">
        <f t="shared" si="26"/>
        <v>910</v>
      </c>
      <c r="F104" s="10"/>
      <c r="G104" s="10"/>
      <c r="H104" s="10"/>
      <c r="I104" s="10"/>
      <c r="J104" s="19">
        <f t="shared" si="27"/>
        <v>910</v>
      </c>
      <c r="K104" s="10"/>
      <c r="L104" s="10">
        <f t="shared" si="28"/>
        <v>910</v>
      </c>
      <c r="N104" s="49"/>
      <c r="O104" s="49"/>
      <c r="P104" s="49"/>
      <c r="Q104" s="49"/>
      <c r="R104" s="49"/>
      <c r="S104" s="49"/>
      <c r="T104" s="49"/>
      <c r="U104" s="49"/>
    </row>
    <row r="105" spans="1:21">
      <c r="A105" s="2" t="s">
        <v>214</v>
      </c>
      <c r="B105" s="2"/>
      <c r="C105" s="10">
        <f t="shared" si="26"/>
        <v>405</v>
      </c>
      <c r="D105" s="10">
        <f t="shared" si="26"/>
        <v>228</v>
      </c>
      <c r="E105" s="10">
        <f t="shared" si="26"/>
        <v>228</v>
      </c>
      <c r="F105" s="10"/>
      <c r="G105" s="10"/>
      <c r="H105" s="10"/>
      <c r="I105" s="10"/>
      <c r="J105" s="19">
        <f t="shared" si="27"/>
        <v>228</v>
      </c>
      <c r="K105" s="10"/>
      <c r="L105" s="10">
        <f t="shared" si="28"/>
        <v>228</v>
      </c>
    </row>
    <row r="106" spans="1:21">
      <c r="A106" s="2" t="s">
        <v>215</v>
      </c>
      <c r="B106" s="2"/>
      <c r="C106" s="10">
        <f t="shared" si="26"/>
        <v>172</v>
      </c>
      <c r="D106" s="10">
        <f t="shared" si="26"/>
        <v>192</v>
      </c>
      <c r="E106" s="10">
        <f t="shared" si="26"/>
        <v>192</v>
      </c>
      <c r="F106" s="10"/>
      <c r="G106" s="10"/>
      <c r="H106" s="10"/>
      <c r="I106" s="10"/>
      <c r="J106" s="19">
        <f t="shared" si="27"/>
        <v>192</v>
      </c>
      <c r="K106" s="10"/>
      <c r="L106" s="10">
        <f t="shared" si="28"/>
        <v>192</v>
      </c>
    </row>
    <row r="107" spans="1:21">
      <c r="A107" s="2" t="s">
        <v>216</v>
      </c>
      <c r="B107" s="2"/>
      <c r="C107" s="10">
        <f t="shared" si="26"/>
        <v>2075</v>
      </c>
      <c r="D107" s="10">
        <f t="shared" si="26"/>
        <v>3881</v>
      </c>
      <c r="E107" s="10">
        <f t="shared" si="26"/>
        <v>3881</v>
      </c>
      <c r="F107" s="10"/>
      <c r="G107" s="10"/>
      <c r="H107" s="10">
        <v>-3881</v>
      </c>
      <c r="I107" s="10"/>
      <c r="J107" s="19">
        <f t="shared" si="27"/>
        <v>0</v>
      </c>
      <c r="K107" s="10"/>
      <c r="L107" s="10">
        <f t="shared" si="28"/>
        <v>0</v>
      </c>
    </row>
    <row r="108" spans="1:21">
      <c r="A108" s="1" t="s">
        <v>77</v>
      </c>
      <c r="B108" s="1"/>
      <c r="C108" s="11">
        <f t="shared" ref="C108:D110" si="29">C78</f>
        <v>40373</v>
      </c>
      <c r="D108" s="11">
        <f t="shared" si="29"/>
        <v>41380</v>
      </c>
      <c r="E108" s="11">
        <f t="shared" ref="E108:L108" si="30">SUM(E101:E107)</f>
        <v>39724</v>
      </c>
      <c r="F108" s="11">
        <f t="shared" si="30"/>
        <v>0</v>
      </c>
      <c r="G108" s="11">
        <f t="shared" si="30"/>
        <v>0</v>
      </c>
      <c r="H108" s="11">
        <f t="shared" si="30"/>
        <v>-3881</v>
      </c>
      <c r="I108" s="11">
        <f t="shared" si="30"/>
        <v>0</v>
      </c>
      <c r="J108" s="11">
        <f t="shared" si="30"/>
        <v>35843</v>
      </c>
      <c r="K108" s="11">
        <f t="shared" si="30"/>
        <v>22478</v>
      </c>
      <c r="L108" s="11">
        <f t="shared" si="30"/>
        <v>58321.000000000007</v>
      </c>
      <c r="R108" s="7"/>
    </row>
    <row r="109" spans="1:21">
      <c r="A109" s="2" t="s">
        <v>80</v>
      </c>
      <c r="B109" s="2"/>
      <c r="C109" s="10">
        <f t="shared" si="29"/>
        <v>1</v>
      </c>
      <c r="D109" s="10">
        <f t="shared" si="29"/>
        <v>0</v>
      </c>
      <c r="E109" s="10">
        <f t="shared" ref="E109:L109" si="31">E108-E99</f>
        <v>1</v>
      </c>
      <c r="F109" s="10">
        <f t="shared" si="31"/>
        <v>0</v>
      </c>
      <c r="G109" s="10">
        <f t="shared" si="31"/>
        <v>0</v>
      </c>
      <c r="H109" s="10">
        <f t="shared" si="31"/>
        <v>0</v>
      </c>
      <c r="I109" s="10">
        <f t="shared" si="31"/>
        <v>0</v>
      </c>
      <c r="J109" s="10">
        <f t="shared" si="31"/>
        <v>1</v>
      </c>
      <c r="K109" s="10">
        <f t="shared" si="31"/>
        <v>0</v>
      </c>
      <c r="L109" s="10">
        <f t="shared" si="31"/>
        <v>1.000000000007276</v>
      </c>
    </row>
    <row r="110" spans="1:21">
      <c r="A110" s="2" t="s">
        <v>81</v>
      </c>
      <c r="B110" s="2"/>
      <c r="C110" s="10">
        <f t="shared" si="29"/>
        <v>0</v>
      </c>
      <c r="D110" s="10">
        <f t="shared" si="29"/>
        <v>-1</v>
      </c>
      <c r="E110" s="10">
        <f>E68-E98</f>
        <v>0</v>
      </c>
      <c r="F110" s="16"/>
      <c r="G110" s="16"/>
      <c r="H110" s="16"/>
      <c r="I110" s="16"/>
      <c r="J110" s="16"/>
      <c r="K110" s="16"/>
      <c r="L110" s="16"/>
      <c r="R110" s="7"/>
    </row>
    <row r="111" spans="1:21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7"/>
      <c r="D111" s="7"/>
      <c r="E111" s="7"/>
      <c r="F111" s="7"/>
      <c r="G111" s="7"/>
      <c r="H111" s="7"/>
      <c r="I111" s="7"/>
      <c r="J111" s="7"/>
      <c r="K111" s="7"/>
    </row>
    <row r="112" spans="1:21">
      <c r="C112" s="7"/>
      <c r="D112" s="7"/>
      <c r="E112" s="7"/>
      <c r="F112" s="7"/>
      <c r="G112" s="7"/>
      <c r="H112" s="7"/>
      <c r="I112" s="7"/>
      <c r="J112" s="7"/>
      <c r="K112" s="7"/>
    </row>
    <row r="113" spans="3:11">
      <c r="C113" s="7"/>
      <c r="D113" s="7"/>
      <c r="E113" s="7"/>
      <c r="F113" s="7"/>
      <c r="G113" s="7"/>
      <c r="H113" s="7"/>
      <c r="I113" s="7"/>
      <c r="J113" s="7"/>
      <c r="K113" s="7"/>
    </row>
    <row r="115" spans="3:11">
      <c r="F115" s="37"/>
    </row>
  </sheetData>
  <mergeCells count="2">
    <mergeCell ref="F43:F52"/>
    <mergeCell ref="F84:I84"/>
  </mergeCells>
  <phoneticPr fontId="1" type="noConversion"/>
  <printOptions horizontalCentered="1" verticalCentered="1"/>
  <pageMargins left="0.78740157480314965" right="0.78740157480314965" top="0.39370078740157483" bottom="0.47244094488188981" header="0.35433070866141736" footer="0.47244094488188981"/>
  <pageSetup paperSize="9" orientation="landscape" horizontalDpi="300" verticalDpi="300" r:id="rId1"/>
  <headerFooter alignWithMargins="0"/>
  <ignoredErrors>
    <ignoredError sqref="E58 E73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55"/>
  <sheetViews>
    <sheetView showGridLines="0" topLeftCell="T1" zoomScale="90" zoomScaleNormal="90" workbookViewId="0">
      <pane ySplit="1" topLeftCell="A2" activePane="bottomLeft" state="frozen"/>
      <selection pane="bottomLeft" activeCell="E1" sqref="E1"/>
    </sheetView>
  </sheetViews>
  <sheetFormatPr baseColWidth="10" defaultRowHeight="12.75"/>
  <cols>
    <col min="1" max="1" width="3" bestFit="1" customWidth="1"/>
    <col min="2" max="2" width="17.85546875" bestFit="1" customWidth="1"/>
    <col min="3" max="3" width="15.5703125" bestFit="1" customWidth="1"/>
    <col min="4" max="6" width="11.85546875" bestFit="1" customWidth="1"/>
    <col min="11" max="11" width="5.28515625" bestFit="1" customWidth="1"/>
    <col min="12" max="12" width="7.28515625" customWidth="1"/>
    <col min="13" max="13" width="3" bestFit="1" customWidth="1"/>
    <col min="23" max="23" width="5.28515625" bestFit="1" customWidth="1"/>
    <col min="24" max="24" width="6.140625" customWidth="1"/>
    <col min="26" max="26" width="13.85546875" bestFit="1" customWidth="1"/>
    <col min="27" max="27" width="12.7109375" bestFit="1" customWidth="1"/>
    <col min="28" max="28" width="13.140625" customWidth="1"/>
    <col min="29" max="31" width="13.85546875" bestFit="1" customWidth="1"/>
    <col min="32" max="32" width="12.85546875" bestFit="1" customWidth="1"/>
    <col min="33" max="33" width="13.85546875" bestFit="1" customWidth="1"/>
    <col min="34" max="34" width="11.85546875" bestFit="1" customWidth="1"/>
    <col min="35" max="35" width="14.42578125" bestFit="1" customWidth="1"/>
    <col min="37" max="37" width="12.7109375" customWidth="1"/>
    <col min="38" max="39" width="13.85546875" bestFit="1" customWidth="1"/>
  </cols>
  <sheetData>
    <row r="1" spans="1:32" s="95" customFormat="1" ht="25.5">
      <c r="A1" s="101" t="s">
        <v>243</v>
      </c>
      <c r="B1" s="101" t="s">
        <v>244</v>
      </c>
      <c r="C1" s="101" t="s">
        <v>245</v>
      </c>
      <c r="D1" s="101" t="s">
        <v>246</v>
      </c>
      <c r="E1" s="102" t="s">
        <v>252</v>
      </c>
      <c r="F1" s="101" t="s">
        <v>247</v>
      </c>
      <c r="G1" s="328" t="s">
        <v>248</v>
      </c>
      <c r="H1" s="328"/>
      <c r="I1" s="328" t="s">
        <v>249</v>
      </c>
      <c r="J1" s="328"/>
      <c r="K1" s="101" t="s">
        <v>330</v>
      </c>
      <c r="M1" s="101" t="s">
        <v>243</v>
      </c>
      <c r="N1" s="101" t="s">
        <v>244</v>
      </c>
      <c r="O1" s="101" t="s">
        <v>245</v>
      </c>
      <c r="P1" s="101" t="s">
        <v>246</v>
      </c>
      <c r="Q1" s="102" t="s">
        <v>252</v>
      </c>
      <c r="R1" s="101" t="s">
        <v>247</v>
      </c>
      <c r="S1" s="328" t="s">
        <v>248</v>
      </c>
      <c r="T1" s="328"/>
      <c r="U1" s="328" t="s">
        <v>249</v>
      </c>
      <c r="V1" s="328"/>
      <c r="W1" s="101" t="s">
        <v>330</v>
      </c>
      <c r="Z1" s="109" t="s">
        <v>248</v>
      </c>
      <c r="AA1" s="109" t="s">
        <v>249</v>
      </c>
    </row>
    <row r="2" spans="1:32">
      <c r="A2" s="106">
        <v>1</v>
      </c>
      <c r="B2" s="69" t="s">
        <v>250</v>
      </c>
      <c r="C2" s="69" t="s">
        <v>251</v>
      </c>
      <c r="D2" s="103">
        <v>543</v>
      </c>
      <c r="E2" s="103"/>
      <c r="F2" s="103"/>
      <c r="G2" s="104">
        <f>(D2+F2)</f>
        <v>543</v>
      </c>
      <c r="H2" s="105">
        <f>G2/$F$55</f>
        <v>1.7057341567767593E-3</v>
      </c>
      <c r="I2" s="104">
        <f>D2+E2</f>
        <v>543</v>
      </c>
      <c r="J2" s="105">
        <f>I2/$F$55</f>
        <v>1.7057341567767593E-3</v>
      </c>
      <c r="K2">
        <v>2</v>
      </c>
      <c r="M2" s="107">
        <v>15</v>
      </c>
      <c r="N2" s="69" t="s">
        <v>277</v>
      </c>
      <c r="O2" s="69" t="s">
        <v>278</v>
      </c>
      <c r="P2" s="103">
        <v>10000</v>
      </c>
      <c r="Q2" s="103"/>
      <c r="R2" s="103"/>
      <c r="S2" s="104">
        <v>10000</v>
      </c>
      <c r="T2" s="105">
        <v>3.1413152058503903E-2</v>
      </c>
      <c r="U2" s="104">
        <v>10000</v>
      </c>
      <c r="V2" s="105">
        <v>3.1413152058503854E-2</v>
      </c>
      <c r="W2">
        <v>1</v>
      </c>
      <c r="Y2" s="107">
        <v>1</v>
      </c>
      <c r="Z2" s="105">
        <f ca="1">SUMIF($W$2:$W$54,Y2,$T2:$T53)</f>
        <v>0.4769427463890582</v>
      </c>
      <c r="AA2" s="105">
        <f ca="1">SUMIF($W$2:$W$54,Y2,$V2:$V53)</f>
        <v>0.33432703604345065</v>
      </c>
    </row>
    <row r="3" spans="1:32">
      <c r="A3" s="2">
        <v>2</v>
      </c>
      <c r="B3" s="69" t="s">
        <v>253</v>
      </c>
      <c r="C3" s="69" t="s">
        <v>254</v>
      </c>
      <c r="D3" s="103"/>
      <c r="E3" s="103"/>
      <c r="F3" s="110">
        <v>20000</v>
      </c>
      <c r="G3" s="104">
        <f t="shared" ref="G3:G53" si="0">(D3+F3)</f>
        <v>20000</v>
      </c>
      <c r="H3" s="105">
        <f t="shared" ref="H3:H53" si="1">G3/$F$55</f>
        <v>6.2826304117007709E-2</v>
      </c>
      <c r="I3" s="104">
        <f t="shared" ref="I3:I53" si="2">D3+E3</f>
        <v>0</v>
      </c>
      <c r="J3" s="105">
        <f t="shared" ref="J3:J54" si="3">I3/$F$55</f>
        <v>0</v>
      </c>
      <c r="K3">
        <v>4</v>
      </c>
      <c r="M3" s="107">
        <v>16</v>
      </c>
      <c r="N3" s="69" t="s">
        <v>279</v>
      </c>
      <c r="O3" s="69" t="s">
        <v>280</v>
      </c>
      <c r="P3" s="103">
        <v>50</v>
      </c>
      <c r="Q3" s="103"/>
      <c r="R3" s="103"/>
      <c r="S3" s="104">
        <v>50</v>
      </c>
      <c r="T3" s="105">
        <v>1.5706576029251928E-4</v>
      </c>
      <c r="U3" s="104">
        <v>50</v>
      </c>
      <c r="V3" s="105">
        <v>1.5706576029251928E-4</v>
      </c>
      <c r="W3">
        <v>1</v>
      </c>
      <c r="Y3" s="106">
        <v>2</v>
      </c>
      <c r="Z3" s="105">
        <f ca="1">SUMIF($W$2:$W$54,Y3,$T2:$T53)</f>
        <v>0.25799307654128634</v>
      </c>
      <c r="AA3" s="105">
        <f ca="1">SUMIF($W$2:$W$54,Y3,$V2:$V53)</f>
        <v>0.3093535801569402</v>
      </c>
    </row>
    <row r="4" spans="1:32">
      <c r="A4" s="108">
        <v>3</v>
      </c>
      <c r="B4" s="69" t="s">
        <v>255</v>
      </c>
      <c r="C4" s="69" t="s">
        <v>256</v>
      </c>
      <c r="D4" s="103">
        <v>4000</v>
      </c>
      <c r="E4" s="103"/>
      <c r="F4" s="103"/>
      <c r="G4" s="104">
        <f t="shared" si="0"/>
        <v>4000</v>
      </c>
      <c r="H4" s="105">
        <f t="shared" si="1"/>
        <v>1.2565260823401541E-2</v>
      </c>
      <c r="I4" s="104">
        <f t="shared" si="2"/>
        <v>4000</v>
      </c>
      <c r="J4" s="105">
        <f t="shared" si="3"/>
        <v>1.2565260823401541E-2</v>
      </c>
      <c r="K4">
        <v>3</v>
      </c>
      <c r="M4" s="107">
        <v>17</v>
      </c>
      <c r="N4" s="69" t="s">
        <v>281</v>
      </c>
      <c r="O4" s="69" t="s">
        <v>282</v>
      </c>
      <c r="P4" s="103">
        <v>200</v>
      </c>
      <c r="Q4" s="103"/>
      <c r="R4" s="103"/>
      <c r="S4" s="104">
        <v>200</v>
      </c>
      <c r="T4" s="105">
        <v>6.2826304117007711E-4</v>
      </c>
      <c r="U4" s="104">
        <v>200</v>
      </c>
      <c r="V4" s="105">
        <v>6.2826304117007711E-4</v>
      </c>
      <c r="W4">
        <v>1</v>
      </c>
      <c r="Y4" s="108">
        <v>3</v>
      </c>
      <c r="Z4" s="105">
        <f ca="1">SUMIF($W$2:$W$54,Y4,$T2:$T53)</f>
        <v>0.1939762139612613</v>
      </c>
      <c r="AA4" s="105">
        <f ca="1">SUMIF($W$2:$W$54,Y4,$V2:$V53)</f>
        <v>0.34805772480822267</v>
      </c>
    </row>
    <row r="5" spans="1:32">
      <c r="A5" s="106">
        <v>4</v>
      </c>
      <c r="B5" s="69" t="s">
        <v>257</v>
      </c>
      <c r="C5" s="69" t="s">
        <v>258</v>
      </c>
      <c r="D5" s="103">
        <v>2700</v>
      </c>
      <c r="E5" s="103"/>
      <c r="F5" s="103"/>
      <c r="G5" s="104">
        <f t="shared" si="0"/>
        <v>2700</v>
      </c>
      <c r="H5" s="105">
        <f t="shared" si="1"/>
        <v>8.48155105579604E-3</v>
      </c>
      <c r="I5" s="104">
        <f t="shared" si="2"/>
        <v>2700</v>
      </c>
      <c r="J5" s="105">
        <f t="shared" si="3"/>
        <v>8.48155105579604E-3</v>
      </c>
      <c r="K5">
        <v>2</v>
      </c>
      <c r="M5" s="107">
        <v>24</v>
      </c>
      <c r="N5" s="69" t="s">
        <v>292</v>
      </c>
      <c r="O5" s="69" t="s">
        <v>293</v>
      </c>
      <c r="P5" s="103">
        <v>2000</v>
      </c>
      <c r="Q5" s="103"/>
      <c r="R5" s="103"/>
      <c r="S5" s="104">
        <v>2000</v>
      </c>
      <c r="T5" s="105">
        <v>6.2826304117007707E-3</v>
      </c>
      <c r="U5" s="104">
        <v>2000</v>
      </c>
      <c r="V5" s="105">
        <v>6.2826304117007707E-3</v>
      </c>
      <c r="W5">
        <v>1</v>
      </c>
      <c r="Y5" s="2">
        <v>4</v>
      </c>
      <c r="Z5" s="105">
        <f ca="1">SUMIF($W$2:$W$54,Y5,$T2:$T53)</f>
        <v>7.1087963108394228E-2</v>
      </c>
      <c r="AA5" s="105">
        <f ca="1">SUMIF($W$2:$W$54,Y5,$V2:$V53)</f>
        <v>8.2616589913865144E-3</v>
      </c>
    </row>
    <row r="6" spans="1:32">
      <c r="A6" s="106">
        <v>5</v>
      </c>
      <c r="B6" s="69" t="s">
        <v>259</v>
      </c>
      <c r="C6" s="69" t="s">
        <v>260</v>
      </c>
      <c r="D6" s="103">
        <v>150</v>
      </c>
      <c r="E6" s="103"/>
      <c r="F6" s="103"/>
      <c r="G6" s="104">
        <f t="shared" si="0"/>
        <v>150</v>
      </c>
      <c r="H6" s="105">
        <f t="shared" si="1"/>
        <v>4.7119728087755783E-4</v>
      </c>
      <c r="I6" s="104">
        <f t="shared" si="2"/>
        <v>150</v>
      </c>
      <c r="J6" s="105">
        <f t="shared" si="3"/>
        <v>4.7119728087755783E-4</v>
      </c>
      <c r="K6">
        <v>2</v>
      </c>
      <c r="M6" s="107">
        <v>26</v>
      </c>
      <c r="N6" s="69" t="s">
        <v>296</v>
      </c>
      <c r="O6" s="69" t="s">
        <v>297</v>
      </c>
      <c r="P6" s="103">
        <v>7905</v>
      </c>
      <c r="Q6" s="103">
        <v>14350</v>
      </c>
      <c r="R6" s="103"/>
      <c r="S6" s="104">
        <v>7905</v>
      </c>
      <c r="T6" s="105">
        <v>2.4832096702247296E-2</v>
      </c>
      <c r="U6" s="104">
        <v>22255</v>
      </c>
      <c r="V6" s="105">
        <v>6.9909969906200325E-2</v>
      </c>
      <c r="W6">
        <v>1</v>
      </c>
      <c r="Z6" s="48">
        <f ca="1">SUM(Z2:Z5)</f>
        <v>1</v>
      </c>
      <c r="AA6" s="48">
        <f ca="1">SUM(AA2:AA5)</f>
        <v>1</v>
      </c>
    </row>
    <row r="7" spans="1:32">
      <c r="A7" s="106">
        <v>6</v>
      </c>
      <c r="B7" s="69" t="s">
        <v>261</v>
      </c>
      <c r="C7" s="69" t="s">
        <v>260</v>
      </c>
      <c r="D7" s="103">
        <v>2620</v>
      </c>
      <c r="E7" s="103"/>
      <c r="F7" s="103"/>
      <c r="G7" s="104">
        <f t="shared" si="0"/>
        <v>2620</v>
      </c>
      <c r="H7" s="105">
        <f t="shared" si="1"/>
        <v>8.2302458393280105E-3</v>
      </c>
      <c r="I7" s="104">
        <f t="shared" si="2"/>
        <v>2620</v>
      </c>
      <c r="J7" s="105">
        <f t="shared" si="3"/>
        <v>8.2302458393280105E-3</v>
      </c>
      <c r="K7">
        <v>2</v>
      </c>
      <c r="M7" s="107">
        <v>32</v>
      </c>
      <c r="N7" s="69" t="s">
        <v>279</v>
      </c>
      <c r="O7" s="69" t="s">
        <v>297</v>
      </c>
      <c r="P7" s="103">
        <v>43424</v>
      </c>
      <c r="Q7" s="103">
        <v>20000</v>
      </c>
      <c r="R7" s="103">
        <v>59750</v>
      </c>
      <c r="S7" s="104">
        <v>103174</v>
      </c>
      <c r="T7" s="105">
        <v>0.32410205504840767</v>
      </c>
      <c r="U7" s="104">
        <v>63424</v>
      </c>
      <c r="V7" s="105">
        <v>0.19923477561585484</v>
      </c>
      <c r="W7">
        <v>1</v>
      </c>
    </row>
    <row r="8" spans="1:32">
      <c r="A8" s="106">
        <v>7</v>
      </c>
      <c r="B8" s="69" t="s">
        <v>262</v>
      </c>
      <c r="C8" s="69" t="s">
        <v>263</v>
      </c>
      <c r="D8" s="103">
        <v>601</v>
      </c>
      <c r="E8" s="103"/>
      <c r="F8" s="103"/>
      <c r="G8" s="104">
        <f t="shared" si="0"/>
        <v>601</v>
      </c>
      <c r="H8" s="105">
        <f t="shared" si="1"/>
        <v>1.8879304387160816E-3</v>
      </c>
      <c r="I8" s="104">
        <f t="shared" si="2"/>
        <v>601</v>
      </c>
      <c r="J8" s="105">
        <f t="shared" si="3"/>
        <v>1.8879304387160816E-3</v>
      </c>
      <c r="K8">
        <v>2</v>
      </c>
      <c r="M8" s="107">
        <v>34</v>
      </c>
      <c r="N8" s="69" t="s">
        <v>303</v>
      </c>
      <c r="O8" s="69" t="s">
        <v>297</v>
      </c>
      <c r="P8" s="103">
        <v>8000</v>
      </c>
      <c r="Q8" s="103"/>
      <c r="R8" s="103">
        <v>20000</v>
      </c>
      <c r="S8" s="104">
        <v>28000</v>
      </c>
      <c r="T8" s="105">
        <v>8.7956825763810795E-2</v>
      </c>
      <c r="U8" s="104">
        <v>8000</v>
      </c>
      <c r="V8" s="105">
        <v>2.5130521646803083E-2</v>
      </c>
      <c r="W8">
        <v>1</v>
      </c>
      <c r="Z8" s="61"/>
      <c r="AA8" s="61"/>
      <c r="AC8" s="92"/>
    </row>
    <row r="9" spans="1:32">
      <c r="A9" s="106">
        <v>8</v>
      </c>
      <c r="B9" s="69" t="s">
        <v>264</v>
      </c>
      <c r="C9" s="69" t="s">
        <v>265</v>
      </c>
      <c r="D9" s="103">
        <v>460</v>
      </c>
      <c r="E9" s="103"/>
      <c r="F9" s="103"/>
      <c r="G9" s="104">
        <f t="shared" si="0"/>
        <v>460</v>
      </c>
      <c r="H9" s="105">
        <f t="shared" si="1"/>
        <v>1.4450049946911772E-3</v>
      </c>
      <c r="I9" s="104">
        <f t="shared" si="2"/>
        <v>460</v>
      </c>
      <c r="J9" s="105">
        <f t="shared" si="3"/>
        <v>1.4450049946911772E-3</v>
      </c>
      <c r="K9">
        <v>2</v>
      </c>
      <c r="M9" s="107">
        <v>47</v>
      </c>
      <c r="N9" s="69" t="s">
        <v>320</v>
      </c>
      <c r="O9" s="69" t="s">
        <v>321</v>
      </c>
      <c r="P9" s="103">
        <v>500</v>
      </c>
      <c r="Q9" s="103"/>
      <c r="R9" s="103"/>
      <c r="S9" s="104">
        <v>500</v>
      </c>
      <c r="T9" s="105">
        <v>1.5706576029251927E-3</v>
      </c>
      <c r="U9" s="104">
        <v>500</v>
      </c>
      <c r="V9" s="105">
        <v>1.5706576029251927E-3</v>
      </c>
      <c r="W9">
        <v>1</v>
      </c>
      <c r="Z9" s="174" t="s">
        <v>382</v>
      </c>
      <c r="AA9" s="174" t="s">
        <v>383</v>
      </c>
      <c r="AB9" s="274" t="s">
        <v>384</v>
      </c>
      <c r="AC9" s="92"/>
      <c r="AD9" s="174" t="s">
        <v>247</v>
      </c>
      <c r="AE9" s="274" t="s">
        <v>384</v>
      </c>
    </row>
    <row r="10" spans="1:32">
      <c r="A10" s="106">
        <v>9</v>
      </c>
      <c r="B10" s="69" t="s">
        <v>266</v>
      </c>
      <c r="C10" s="69" t="s">
        <v>267</v>
      </c>
      <c r="D10" s="103">
        <v>460</v>
      </c>
      <c r="E10" s="103"/>
      <c r="F10" s="103"/>
      <c r="G10" s="104">
        <f t="shared" si="0"/>
        <v>460</v>
      </c>
      <c r="H10" s="105">
        <f t="shared" si="1"/>
        <v>1.4450049946911772E-3</v>
      </c>
      <c r="I10" s="104">
        <f t="shared" si="2"/>
        <v>460</v>
      </c>
      <c r="J10" s="105">
        <f t="shared" si="3"/>
        <v>1.4450049946911772E-3</v>
      </c>
      <c r="K10">
        <v>2</v>
      </c>
      <c r="M10" s="106">
        <v>37</v>
      </c>
      <c r="N10" s="69" t="s">
        <v>306</v>
      </c>
      <c r="O10" s="69" t="s">
        <v>307</v>
      </c>
      <c r="P10" s="103">
        <v>18216</v>
      </c>
      <c r="Q10" s="103">
        <v>6072</v>
      </c>
      <c r="R10" s="103"/>
      <c r="S10" s="104">
        <v>18216</v>
      </c>
      <c r="T10" s="105">
        <v>5.7222197789770619E-2</v>
      </c>
      <c r="U10" s="104">
        <v>24288</v>
      </c>
      <c r="V10" s="105">
        <v>7.6296263719694168E-2</v>
      </c>
      <c r="W10">
        <v>2</v>
      </c>
      <c r="Y10" s="170">
        <f>Y2</f>
        <v>1</v>
      </c>
      <c r="Z10" s="104">
        <f>SUM(P2:P9)</f>
        <v>72079</v>
      </c>
      <c r="AA10" s="104">
        <f>SUM(Q2:Q9)</f>
        <v>34350</v>
      </c>
      <c r="AB10" s="177">
        <f>Z10+AA10</f>
        <v>106429</v>
      </c>
      <c r="AC10" s="178">
        <f>AB10/$AB$14</f>
        <v>0.33432703604345065</v>
      </c>
      <c r="AD10" s="176">
        <f>SUM(R2:R9)</f>
        <v>79750</v>
      </c>
      <c r="AE10" s="177">
        <f>Z10+AD10</f>
        <v>151829</v>
      </c>
      <c r="AF10" s="178">
        <f>AE10/$AB$14</f>
        <v>0.47694274638905815</v>
      </c>
    </row>
    <row r="11" spans="1:32">
      <c r="A11" s="106">
        <v>10</v>
      </c>
      <c r="B11" s="69" t="s">
        <v>268</v>
      </c>
      <c r="C11" s="69" t="s">
        <v>267</v>
      </c>
      <c r="D11" s="103">
        <v>460</v>
      </c>
      <c r="E11" s="103"/>
      <c r="F11" s="103"/>
      <c r="G11" s="104">
        <f t="shared" si="0"/>
        <v>460</v>
      </c>
      <c r="H11" s="105">
        <f t="shared" si="1"/>
        <v>1.4450049946911772E-3</v>
      </c>
      <c r="I11" s="104">
        <f t="shared" si="2"/>
        <v>460</v>
      </c>
      <c r="J11" s="105">
        <f t="shared" si="3"/>
        <v>1.4450049946911772E-3</v>
      </c>
      <c r="K11">
        <v>2</v>
      </c>
      <c r="M11" s="106">
        <v>43</v>
      </c>
      <c r="N11" s="69" t="s">
        <v>315</v>
      </c>
      <c r="O11" s="69" t="s">
        <v>313</v>
      </c>
      <c r="P11" s="103">
        <v>5200</v>
      </c>
      <c r="Q11" s="103">
        <v>16350</v>
      </c>
      <c r="R11" s="103"/>
      <c r="S11" s="104">
        <v>5200</v>
      </c>
      <c r="T11" s="105">
        <v>1.6334839070422005E-2</v>
      </c>
      <c r="U11" s="104">
        <v>21550</v>
      </c>
      <c r="V11" s="105">
        <v>6.7695342686075813E-2</v>
      </c>
      <c r="W11">
        <v>2</v>
      </c>
      <c r="Y11" s="171">
        <f>Y3</f>
        <v>2</v>
      </c>
      <c r="Z11" s="104">
        <f>SUM(P10:P35)</f>
        <v>75696</v>
      </c>
      <c r="AA11" s="104">
        <f>SUM(Q10:Q35)</f>
        <v>22783</v>
      </c>
      <c r="AB11" s="177">
        <f t="shared" ref="AB11:AB13" si="4">Z11+AA11</f>
        <v>98479</v>
      </c>
      <c r="AC11" s="178">
        <f t="shared" ref="AC11:AC13" si="5">AB11/$AB$14</f>
        <v>0.30935358015694009</v>
      </c>
      <c r="AD11" s="176">
        <f>SUM(R10:R35)</f>
        <v>6433</v>
      </c>
      <c r="AE11" s="177">
        <f t="shared" ref="AE11:AE13" si="6">Z11+AD11</f>
        <v>82129</v>
      </c>
      <c r="AF11" s="178">
        <f t="shared" ref="AF11:AF13" si="7">AE11/$AB$14</f>
        <v>0.25799307654128628</v>
      </c>
    </row>
    <row r="12" spans="1:32">
      <c r="A12" s="106">
        <v>11</v>
      </c>
      <c r="B12" s="69" t="s">
        <v>269</v>
      </c>
      <c r="C12" s="69" t="s">
        <v>270</v>
      </c>
      <c r="D12" s="103">
        <v>4000</v>
      </c>
      <c r="E12" s="103"/>
      <c r="F12" s="103"/>
      <c r="G12" s="104">
        <f t="shared" si="0"/>
        <v>4000</v>
      </c>
      <c r="H12" s="105">
        <f t="shared" si="1"/>
        <v>1.2565260823401541E-2</v>
      </c>
      <c r="I12" s="104">
        <f t="shared" si="2"/>
        <v>4000</v>
      </c>
      <c r="J12" s="105">
        <f t="shared" si="3"/>
        <v>1.2565260823401541E-2</v>
      </c>
      <c r="K12">
        <v>2</v>
      </c>
      <c r="M12" s="106">
        <v>28</v>
      </c>
      <c r="N12" s="69" t="s">
        <v>257</v>
      </c>
      <c r="O12" s="69" t="s">
        <v>297</v>
      </c>
      <c r="P12" s="103">
        <v>17370</v>
      </c>
      <c r="Q12" s="103"/>
      <c r="R12" s="103"/>
      <c r="S12" s="104">
        <v>17370</v>
      </c>
      <c r="T12" s="105">
        <v>5.4564645125621196E-2</v>
      </c>
      <c r="U12" s="104">
        <v>17370</v>
      </c>
      <c r="V12" s="105">
        <v>5.4564645125621196E-2</v>
      </c>
      <c r="W12">
        <v>2</v>
      </c>
      <c r="Y12" s="172">
        <f>Y4</f>
        <v>3</v>
      </c>
      <c r="Z12" s="104">
        <f>SUM(P36:P48)</f>
        <v>61750</v>
      </c>
      <c r="AA12" s="104">
        <f>SUM(Q36:Q48)</f>
        <v>49050</v>
      </c>
      <c r="AB12" s="177">
        <f t="shared" si="4"/>
        <v>110800</v>
      </c>
      <c r="AC12" s="178">
        <f t="shared" si="5"/>
        <v>0.34805772480822272</v>
      </c>
      <c r="AD12" s="176">
        <f>SUM(R36:R48)</f>
        <v>0</v>
      </c>
      <c r="AE12" s="177">
        <f t="shared" si="6"/>
        <v>61750</v>
      </c>
      <c r="AF12" s="178">
        <f t="shared" si="7"/>
        <v>0.1939762139612613</v>
      </c>
    </row>
    <row r="13" spans="1:32">
      <c r="A13" s="106">
        <v>12</v>
      </c>
      <c r="B13" s="69" t="s">
        <v>271</v>
      </c>
      <c r="C13" s="69" t="s">
        <v>272</v>
      </c>
      <c r="D13" s="103">
        <v>5482</v>
      </c>
      <c r="E13" s="103"/>
      <c r="F13" s="103"/>
      <c r="G13" s="104">
        <f t="shared" si="0"/>
        <v>5482</v>
      </c>
      <c r="H13" s="105">
        <f t="shared" si="1"/>
        <v>1.7220689958471813E-2</v>
      </c>
      <c r="I13" s="104">
        <f t="shared" si="2"/>
        <v>5482</v>
      </c>
      <c r="J13" s="105">
        <f t="shared" si="3"/>
        <v>1.7220689958471813E-2</v>
      </c>
      <c r="K13">
        <v>2</v>
      </c>
      <c r="M13" s="106">
        <v>31</v>
      </c>
      <c r="N13" s="69" t="s">
        <v>301</v>
      </c>
      <c r="O13" s="69" t="s">
        <v>297</v>
      </c>
      <c r="P13" s="103">
        <v>7016</v>
      </c>
      <c r="Q13" s="103"/>
      <c r="R13" s="103"/>
      <c r="S13" s="104">
        <v>7016</v>
      </c>
      <c r="T13" s="105">
        <v>2.2039467484246303E-2</v>
      </c>
      <c r="U13" s="104">
        <v>7016</v>
      </c>
      <c r="V13" s="105">
        <v>2.2039467484246303E-2</v>
      </c>
      <c r="W13">
        <v>2</v>
      </c>
      <c r="Y13" s="116">
        <f>Y5</f>
        <v>4</v>
      </c>
      <c r="Z13" s="104">
        <f>SUM(P49:P53)</f>
        <v>2630</v>
      </c>
      <c r="AA13" s="104">
        <f>SUM(Q49:Q53)</f>
        <v>0</v>
      </c>
      <c r="AB13" s="177">
        <f t="shared" si="4"/>
        <v>2630</v>
      </c>
      <c r="AC13" s="178">
        <f t="shared" si="5"/>
        <v>8.2616589913865144E-3</v>
      </c>
      <c r="AD13" s="176">
        <f>SUM(R49:R53)</f>
        <v>20000</v>
      </c>
      <c r="AE13" s="177">
        <f t="shared" si="6"/>
        <v>22630</v>
      </c>
      <c r="AF13" s="178">
        <f t="shared" si="7"/>
        <v>7.1087963108394228E-2</v>
      </c>
    </row>
    <row r="14" spans="1:32">
      <c r="A14" s="106">
        <v>13</v>
      </c>
      <c r="B14" s="69" t="s">
        <v>273</v>
      </c>
      <c r="C14" s="69" t="s">
        <v>274</v>
      </c>
      <c r="D14" s="103">
        <v>2600</v>
      </c>
      <c r="E14" s="103"/>
      <c r="F14" s="103"/>
      <c r="G14" s="104">
        <f t="shared" si="0"/>
        <v>2600</v>
      </c>
      <c r="H14" s="105">
        <f t="shared" si="1"/>
        <v>8.1674195352110027E-3</v>
      </c>
      <c r="I14" s="104">
        <f t="shared" si="2"/>
        <v>2600</v>
      </c>
      <c r="J14" s="105">
        <f t="shared" si="3"/>
        <v>8.1674195352110027E-3</v>
      </c>
      <c r="K14">
        <v>2</v>
      </c>
      <c r="M14" s="106">
        <v>12</v>
      </c>
      <c r="N14" s="69" t="s">
        <v>271</v>
      </c>
      <c r="O14" s="69" t="s">
        <v>272</v>
      </c>
      <c r="P14" s="103">
        <v>5482</v>
      </c>
      <c r="Q14" s="103"/>
      <c r="R14" s="103"/>
      <c r="S14" s="104">
        <v>5482</v>
      </c>
      <c r="T14" s="105">
        <v>1.7220689958471813E-2</v>
      </c>
      <c r="U14" s="104">
        <v>5482</v>
      </c>
      <c r="V14" s="105">
        <v>1.7220689958471813E-2</v>
      </c>
      <c r="W14">
        <v>2</v>
      </c>
      <c r="Z14" s="2"/>
      <c r="AA14" s="104">
        <f>SUM(AA10:AA13)</f>
        <v>106183</v>
      </c>
      <c r="AB14" s="104">
        <f>SUM(AB10:AB13)</f>
        <v>318338</v>
      </c>
      <c r="AD14" s="104">
        <f>SUM(AD10:AD13)</f>
        <v>106183</v>
      </c>
      <c r="AE14" s="104">
        <f>SUM(AE10:AE13)</f>
        <v>318338</v>
      </c>
    </row>
    <row r="15" spans="1:32">
      <c r="A15" s="108">
        <v>14</v>
      </c>
      <c r="B15" s="69" t="s">
        <v>275</v>
      </c>
      <c r="C15" s="69" t="s">
        <v>276</v>
      </c>
      <c r="D15" s="103">
        <v>16000</v>
      </c>
      <c r="E15" s="103"/>
      <c r="F15" s="103"/>
      <c r="G15" s="104">
        <f t="shared" si="0"/>
        <v>16000</v>
      </c>
      <c r="H15" s="105">
        <f t="shared" si="1"/>
        <v>5.0261043293606165E-2</v>
      </c>
      <c r="I15" s="104">
        <f t="shared" si="2"/>
        <v>16000</v>
      </c>
      <c r="J15" s="105">
        <f t="shared" si="3"/>
        <v>5.0261043293606165E-2</v>
      </c>
      <c r="K15">
        <v>3</v>
      </c>
      <c r="M15" s="106">
        <v>51</v>
      </c>
      <c r="N15" s="69" t="s">
        <v>326</v>
      </c>
      <c r="O15" s="69" t="s">
        <v>327</v>
      </c>
      <c r="P15" s="103">
        <v>4255</v>
      </c>
      <c r="Q15" s="103"/>
      <c r="R15" s="103"/>
      <c r="S15" s="104">
        <v>4255</v>
      </c>
      <c r="T15" s="105">
        <v>1.336629620089339E-2</v>
      </c>
      <c r="U15" s="104">
        <v>4255</v>
      </c>
      <c r="V15" s="105">
        <v>1.336629620089339E-2</v>
      </c>
      <c r="W15">
        <v>2</v>
      </c>
    </row>
    <row r="16" spans="1:32">
      <c r="A16" s="107">
        <v>15</v>
      </c>
      <c r="B16" s="69" t="s">
        <v>277</v>
      </c>
      <c r="C16" s="69" t="s">
        <v>278</v>
      </c>
      <c r="D16" s="103">
        <v>10000</v>
      </c>
      <c r="E16" s="103"/>
      <c r="F16" s="103"/>
      <c r="G16" s="104">
        <f t="shared" si="0"/>
        <v>10000</v>
      </c>
      <c r="H16" s="105">
        <f t="shared" si="1"/>
        <v>3.1413152058503854E-2</v>
      </c>
      <c r="I16" s="104">
        <f t="shared" si="2"/>
        <v>10000</v>
      </c>
      <c r="J16" s="105">
        <f t="shared" si="3"/>
        <v>3.1413152058503854E-2</v>
      </c>
      <c r="K16">
        <v>1</v>
      </c>
      <c r="M16" s="106">
        <v>11</v>
      </c>
      <c r="N16" s="69" t="s">
        <v>269</v>
      </c>
      <c r="O16" s="69" t="s">
        <v>270</v>
      </c>
      <c r="P16" s="103">
        <v>4000</v>
      </c>
      <c r="Q16" s="103"/>
      <c r="R16" s="103"/>
      <c r="S16" s="104">
        <v>4000</v>
      </c>
      <c r="T16" s="105">
        <v>1.2565260823401541E-2</v>
      </c>
      <c r="U16" s="104">
        <v>4000</v>
      </c>
      <c r="V16" s="105">
        <v>1.2565260823401541E-2</v>
      </c>
      <c r="W16">
        <v>2</v>
      </c>
      <c r="Z16" s="169"/>
      <c r="AA16" s="169"/>
      <c r="AD16" s="169"/>
    </row>
    <row r="17" spans="1:33">
      <c r="A17" s="107">
        <v>16</v>
      </c>
      <c r="B17" s="69" t="s">
        <v>279</v>
      </c>
      <c r="C17" s="69" t="s">
        <v>280</v>
      </c>
      <c r="D17" s="103">
        <v>50</v>
      </c>
      <c r="E17" s="103"/>
      <c r="F17" s="103"/>
      <c r="G17" s="104">
        <f t="shared" si="0"/>
        <v>50</v>
      </c>
      <c r="H17" s="105">
        <f t="shared" si="1"/>
        <v>1.5706576029251928E-4</v>
      </c>
      <c r="I17" s="104">
        <f t="shared" si="2"/>
        <v>50</v>
      </c>
      <c r="J17" s="105">
        <f t="shared" si="3"/>
        <v>1.5706576029251928E-4</v>
      </c>
      <c r="K17">
        <v>1</v>
      </c>
      <c r="M17" s="106">
        <v>4</v>
      </c>
      <c r="N17" s="69" t="s">
        <v>257</v>
      </c>
      <c r="O17" s="69" t="s">
        <v>258</v>
      </c>
      <c r="P17" s="103">
        <v>2700</v>
      </c>
      <c r="Q17" s="103"/>
      <c r="R17" s="103"/>
      <c r="S17" s="104">
        <v>2700</v>
      </c>
      <c r="T17" s="105">
        <v>8.48155105579604E-3</v>
      </c>
      <c r="U17" s="104">
        <v>2700</v>
      </c>
      <c r="V17" s="105">
        <v>8.48155105579604E-3</v>
      </c>
      <c r="W17">
        <v>2</v>
      </c>
      <c r="Y17" s="173">
        <f>SUM(P2:Q9)</f>
        <v>106429</v>
      </c>
      <c r="Z17" s="169"/>
      <c r="AA17" s="169"/>
      <c r="AD17" s="169"/>
    </row>
    <row r="18" spans="1:33">
      <c r="A18" s="107">
        <v>17</v>
      </c>
      <c r="B18" s="69" t="s">
        <v>281</v>
      </c>
      <c r="C18" s="69" t="s">
        <v>282</v>
      </c>
      <c r="D18" s="103">
        <v>200</v>
      </c>
      <c r="E18" s="103"/>
      <c r="F18" s="103"/>
      <c r="G18" s="104">
        <f t="shared" si="0"/>
        <v>200</v>
      </c>
      <c r="H18" s="105">
        <f t="shared" si="1"/>
        <v>6.2826304117007711E-4</v>
      </c>
      <c r="I18" s="104">
        <f t="shared" si="2"/>
        <v>200</v>
      </c>
      <c r="J18" s="105">
        <f t="shared" si="3"/>
        <v>6.2826304117007711E-4</v>
      </c>
      <c r="K18">
        <v>1</v>
      </c>
      <c r="M18" s="106">
        <v>6</v>
      </c>
      <c r="N18" s="69" t="s">
        <v>261</v>
      </c>
      <c r="O18" s="69" t="s">
        <v>260</v>
      </c>
      <c r="P18" s="103">
        <v>2620</v>
      </c>
      <c r="Q18" s="103"/>
      <c r="R18" s="103"/>
      <c r="S18" s="104">
        <v>2620</v>
      </c>
      <c r="T18" s="105">
        <v>8.2302458393280105E-3</v>
      </c>
      <c r="U18" s="104">
        <v>2620</v>
      </c>
      <c r="V18" s="105">
        <v>8.2302458393280105E-3</v>
      </c>
      <c r="W18">
        <v>2</v>
      </c>
      <c r="Y18" s="104">
        <f>SUM(P10:Q35)</f>
        <v>98479</v>
      </c>
      <c r="Z18" s="169"/>
      <c r="AA18" s="169"/>
      <c r="AD18" s="169"/>
    </row>
    <row r="19" spans="1:33">
      <c r="A19" s="106">
        <v>18</v>
      </c>
      <c r="B19" s="69" t="s">
        <v>283</v>
      </c>
      <c r="C19" s="69" t="s">
        <v>284</v>
      </c>
      <c r="D19" s="103">
        <v>500</v>
      </c>
      <c r="E19" s="103"/>
      <c r="F19" s="103"/>
      <c r="G19" s="104">
        <f t="shared" si="0"/>
        <v>500</v>
      </c>
      <c r="H19" s="105">
        <f t="shared" si="1"/>
        <v>1.5706576029251927E-3</v>
      </c>
      <c r="I19" s="104">
        <f t="shared" si="2"/>
        <v>500</v>
      </c>
      <c r="J19" s="105">
        <f t="shared" si="3"/>
        <v>1.5706576029251927E-3</v>
      </c>
      <c r="K19">
        <v>2</v>
      </c>
      <c r="M19" s="106">
        <v>13</v>
      </c>
      <c r="N19" s="69" t="s">
        <v>273</v>
      </c>
      <c r="O19" s="69" t="s">
        <v>274</v>
      </c>
      <c r="P19" s="103">
        <v>2600</v>
      </c>
      <c r="Q19" s="103"/>
      <c r="R19" s="103"/>
      <c r="S19" s="104">
        <v>2600</v>
      </c>
      <c r="T19" s="105">
        <v>8.1674195352110027E-3</v>
      </c>
      <c r="U19" s="104">
        <v>2600</v>
      </c>
      <c r="V19" s="105">
        <v>8.1674195352110027E-3</v>
      </c>
      <c r="W19">
        <v>2</v>
      </c>
      <c r="Y19" s="104">
        <f>SUM(P36:Q48)</f>
        <v>110800</v>
      </c>
      <c r="Z19" s="169"/>
      <c r="AA19" s="169"/>
      <c r="AD19" s="169"/>
    </row>
    <row r="20" spans="1:33">
      <c r="A20" s="108">
        <v>19</v>
      </c>
      <c r="B20" s="69" t="s">
        <v>277</v>
      </c>
      <c r="C20" s="69" t="s">
        <v>285</v>
      </c>
      <c r="D20" s="103">
        <v>2500</v>
      </c>
      <c r="E20" s="103"/>
      <c r="F20" s="103"/>
      <c r="G20" s="104">
        <f t="shared" si="0"/>
        <v>2500</v>
      </c>
      <c r="H20" s="105">
        <f t="shared" si="1"/>
        <v>7.8532880146259636E-3</v>
      </c>
      <c r="I20" s="104">
        <f t="shared" si="2"/>
        <v>2500</v>
      </c>
      <c r="J20" s="105">
        <f t="shared" si="3"/>
        <v>7.8532880146259636E-3</v>
      </c>
      <c r="K20">
        <v>3</v>
      </c>
      <c r="M20" s="106">
        <v>41</v>
      </c>
      <c r="N20" s="69" t="s">
        <v>312</v>
      </c>
      <c r="O20" s="69" t="s">
        <v>313</v>
      </c>
      <c r="P20" s="103">
        <v>2000</v>
      </c>
      <c r="Q20" s="103"/>
      <c r="R20" s="103"/>
      <c r="S20" s="104">
        <v>2000</v>
      </c>
      <c r="T20" s="105">
        <v>6.2826304117007707E-3</v>
      </c>
      <c r="U20" s="104">
        <v>2000</v>
      </c>
      <c r="V20" s="105">
        <v>6.2826304117007707E-3</v>
      </c>
      <c r="W20">
        <v>2</v>
      </c>
      <c r="Y20" s="104">
        <f>SUM(P49:Q53)</f>
        <v>2630</v>
      </c>
    </row>
    <row r="21" spans="1:33">
      <c r="A21" s="108">
        <v>20</v>
      </c>
      <c r="B21" s="69" t="s">
        <v>286</v>
      </c>
      <c r="C21" s="69" t="s">
        <v>287</v>
      </c>
      <c r="D21" s="103">
        <v>1376</v>
      </c>
      <c r="E21" s="103"/>
      <c r="F21" s="103"/>
      <c r="G21" s="104">
        <f t="shared" si="0"/>
        <v>1376</v>
      </c>
      <c r="H21" s="105">
        <f t="shared" si="1"/>
        <v>4.3224497232501307E-3</v>
      </c>
      <c r="I21" s="104">
        <f t="shared" si="2"/>
        <v>1376</v>
      </c>
      <c r="J21" s="105">
        <f t="shared" si="3"/>
        <v>4.3224497232501307E-3</v>
      </c>
      <c r="K21">
        <v>3</v>
      </c>
      <c r="M21" s="106">
        <v>42</v>
      </c>
      <c r="N21" s="69" t="s">
        <v>314</v>
      </c>
      <c r="O21" s="69" t="s">
        <v>313</v>
      </c>
      <c r="P21" s="103">
        <v>1000</v>
      </c>
      <c r="Q21" s="103"/>
      <c r="R21" s="103"/>
      <c r="S21" s="104">
        <v>1000</v>
      </c>
      <c r="T21" s="105">
        <v>3.1413152058503853E-3</v>
      </c>
      <c r="U21" s="104">
        <v>1000</v>
      </c>
      <c r="V21" s="105">
        <v>3.1413152058503853E-3</v>
      </c>
      <c r="W21">
        <v>2</v>
      </c>
      <c r="Y21" s="104">
        <f>SUM(Y17:Y20)</f>
        <v>318338</v>
      </c>
    </row>
    <row r="22" spans="1:33">
      <c r="A22" s="108">
        <v>21</v>
      </c>
      <c r="B22" s="69" t="s">
        <v>288</v>
      </c>
      <c r="C22" s="69" t="s">
        <v>287</v>
      </c>
      <c r="D22" s="103">
        <v>966</v>
      </c>
      <c r="E22" s="103"/>
      <c r="F22" s="103"/>
      <c r="G22" s="104">
        <f t="shared" si="0"/>
        <v>966</v>
      </c>
      <c r="H22" s="105">
        <f t="shared" si="1"/>
        <v>3.0345104888514721E-3</v>
      </c>
      <c r="I22" s="104">
        <f t="shared" si="2"/>
        <v>966</v>
      </c>
      <c r="J22" s="105">
        <f t="shared" si="3"/>
        <v>3.0345104888514721E-3</v>
      </c>
      <c r="K22">
        <v>3</v>
      </c>
      <c r="M22" s="106">
        <v>7</v>
      </c>
      <c r="N22" s="69" t="s">
        <v>262</v>
      </c>
      <c r="O22" s="69" t="s">
        <v>263</v>
      </c>
      <c r="P22" s="103">
        <v>601</v>
      </c>
      <c r="Q22" s="103"/>
      <c r="R22" s="103"/>
      <c r="S22" s="104">
        <v>601</v>
      </c>
      <c r="T22" s="105">
        <v>1.8879304387160816E-3</v>
      </c>
      <c r="U22" s="104">
        <v>601</v>
      </c>
      <c r="V22" s="105">
        <v>1.8879304387160816E-3</v>
      </c>
      <c r="W22">
        <v>2</v>
      </c>
    </row>
    <row r="23" spans="1:33">
      <c r="A23" s="106">
        <v>22</v>
      </c>
      <c r="B23" s="69" t="s">
        <v>289</v>
      </c>
      <c r="C23" s="69" t="s">
        <v>290</v>
      </c>
      <c r="D23" s="103"/>
      <c r="E23" s="110"/>
      <c r="F23" s="110">
        <v>361</v>
      </c>
      <c r="G23" s="104">
        <f t="shared" si="0"/>
        <v>361</v>
      </c>
      <c r="H23" s="105">
        <f t="shared" si="1"/>
        <v>1.1340147893119891E-3</v>
      </c>
      <c r="I23" s="104">
        <f t="shared" si="2"/>
        <v>0</v>
      </c>
      <c r="J23" s="105">
        <f t="shared" si="3"/>
        <v>0</v>
      </c>
      <c r="K23">
        <v>2</v>
      </c>
      <c r="M23" s="106">
        <v>1</v>
      </c>
      <c r="N23" s="69" t="s">
        <v>250</v>
      </c>
      <c r="O23" s="69" t="s">
        <v>251</v>
      </c>
      <c r="P23" s="103">
        <v>543</v>
      </c>
      <c r="Q23" s="103"/>
      <c r="R23" s="103"/>
      <c r="S23" s="104">
        <v>543</v>
      </c>
      <c r="T23" s="105">
        <v>1.7057341567767593E-3</v>
      </c>
      <c r="U23" s="104">
        <v>543</v>
      </c>
      <c r="V23" s="105">
        <v>1.7057341567767593E-3</v>
      </c>
      <c r="W23">
        <v>2</v>
      </c>
      <c r="Z23" s="282" t="s">
        <v>382</v>
      </c>
      <c r="AA23" s="282" t="s">
        <v>449</v>
      </c>
      <c r="AB23" s="282" t="s">
        <v>450</v>
      </c>
      <c r="AE23" s="222"/>
      <c r="AF23" s="222"/>
    </row>
    <row r="24" spans="1:33">
      <c r="A24" s="106">
        <v>23</v>
      </c>
      <c r="B24" s="2"/>
      <c r="C24" s="69" t="s">
        <v>291</v>
      </c>
      <c r="D24" s="103"/>
      <c r="E24" s="110">
        <v>361</v>
      </c>
      <c r="F24" s="110"/>
      <c r="G24" s="104">
        <f t="shared" si="0"/>
        <v>0</v>
      </c>
      <c r="H24" s="105">
        <f t="shared" si="1"/>
        <v>0</v>
      </c>
      <c r="I24" s="104">
        <f t="shared" si="2"/>
        <v>361</v>
      </c>
      <c r="J24" s="105">
        <f t="shared" si="3"/>
        <v>1.1340147893119891E-3</v>
      </c>
      <c r="K24">
        <v>2</v>
      </c>
      <c r="M24" s="106">
        <v>18</v>
      </c>
      <c r="N24" s="69" t="s">
        <v>283</v>
      </c>
      <c r="O24" s="69" t="s">
        <v>284</v>
      </c>
      <c r="P24" s="103">
        <v>500</v>
      </c>
      <c r="Q24" s="103"/>
      <c r="R24" s="103"/>
      <c r="S24" s="104">
        <v>500</v>
      </c>
      <c r="T24" s="105">
        <v>1.5706576029251927E-3</v>
      </c>
      <c r="U24" s="104">
        <v>500</v>
      </c>
      <c r="V24" s="105">
        <v>1.5706576029251927E-3</v>
      </c>
      <c r="W24">
        <v>2</v>
      </c>
      <c r="Z24" s="37">
        <v>1</v>
      </c>
      <c r="AA24" s="275">
        <v>0.7</v>
      </c>
      <c r="AB24" s="275">
        <v>0.3</v>
      </c>
      <c r="AE24" s="222"/>
      <c r="AF24" s="222"/>
    </row>
    <row r="25" spans="1:33">
      <c r="A25" s="107">
        <v>24</v>
      </c>
      <c r="B25" s="69" t="s">
        <v>292</v>
      </c>
      <c r="C25" s="69" t="s">
        <v>293</v>
      </c>
      <c r="D25" s="103">
        <v>2000</v>
      </c>
      <c r="E25" s="110"/>
      <c r="F25" s="110"/>
      <c r="G25" s="104">
        <f t="shared" si="0"/>
        <v>2000</v>
      </c>
      <c r="H25" s="105">
        <f t="shared" si="1"/>
        <v>6.2826304117007707E-3</v>
      </c>
      <c r="I25" s="104">
        <f t="shared" si="2"/>
        <v>2000</v>
      </c>
      <c r="J25" s="105">
        <f t="shared" si="3"/>
        <v>6.2826304117007707E-3</v>
      </c>
      <c r="K25">
        <v>1</v>
      </c>
      <c r="M25" s="106">
        <v>8</v>
      </c>
      <c r="N25" s="69" t="s">
        <v>264</v>
      </c>
      <c r="O25" s="69" t="s">
        <v>265</v>
      </c>
      <c r="P25" s="103">
        <v>460</v>
      </c>
      <c r="Q25" s="103"/>
      <c r="R25" s="103"/>
      <c r="S25" s="104">
        <v>460</v>
      </c>
      <c r="T25" s="105">
        <v>1.4450049946911772E-3</v>
      </c>
      <c r="U25" s="104">
        <v>460</v>
      </c>
      <c r="V25" s="105">
        <v>1.4450049946911772E-3</v>
      </c>
      <c r="W25">
        <v>2</v>
      </c>
      <c r="Z25" s="2">
        <v>147.5</v>
      </c>
      <c r="AA25" s="2">
        <f>Z25*AA24</f>
        <v>103.25</v>
      </c>
      <c r="AB25" s="2">
        <f>Z25*AB24</f>
        <v>44.25</v>
      </c>
      <c r="AE25" s="279"/>
      <c r="AF25" s="278"/>
    </row>
    <row r="26" spans="1:33">
      <c r="A26" s="2">
        <v>25</v>
      </c>
      <c r="B26" s="69" t="s">
        <v>294</v>
      </c>
      <c r="C26" s="69" t="s">
        <v>295</v>
      </c>
      <c r="D26" s="103">
        <v>30</v>
      </c>
      <c r="E26" s="110"/>
      <c r="F26" s="110"/>
      <c r="G26" s="104">
        <f t="shared" si="0"/>
        <v>30</v>
      </c>
      <c r="H26" s="105">
        <f t="shared" si="1"/>
        <v>9.4239456175511567E-5</v>
      </c>
      <c r="I26" s="104">
        <f t="shared" si="2"/>
        <v>30</v>
      </c>
      <c r="J26" s="105">
        <f t="shared" si="3"/>
        <v>9.4239456175511567E-5</v>
      </c>
      <c r="K26">
        <v>4</v>
      </c>
      <c r="M26" s="106">
        <v>9</v>
      </c>
      <c r="N26" s="69" t="s">
        <v>266</v>
      </c>
      <c r="O26" s="69" t="s">
        <v>267</v>
      </c>
      <c r="P26" s="103">
        <v>460</v>
      </c>
      <c r="Q26" s="103"/>
      <c r="R26" s="103"/>
      <c r="S26" s="104">
        <v>460</v>
      </c>
      <c r="T26" s="105">
        <v>1.4450049946911772E-3</v>
      </c>
      <c r="U26" s="104">
        <v>460</v>
      </c>
      <c r="V26" s="105">
        <v>1.4450049946911772E-3</v>
      </c>
      <c r="W26">
        <v>2</v>
      </c>
      <c r="Y26">
        <f>Y10</f>
        <v>1</v>
      </c>
      <c r="Z26" s="169">
        <f>Z10*$Z$25</f>
        <v>10631652.5</v>
      </c>
      <c r="AA26" s="169">
        <f>AA10*$AA$25</f>
        <v>3546637.5</v>
      </c>
      <c r="AB26" s="169">
        <f>AD10*$AB$25</f>
        <v>3528937.5</v>
      </c>
      <c r="AC26" s="276">
        <f>Z26+AA26+AB26</f>
        <v>17707227.5</v>
      </c>
      <c r="AE26" s="279"/>
      <c r="AF26" s="278"/>
    </row>
    <row r="27" spans="1:33">
      <c r="A27" s="107">
        <v>26</v>
      </c>
      <c r="B27" s="69" t="s">
        <v>296</v>
      </c>
      <c r="C27" s="69" t="s">
        <v>297</v>
      </c>
      <c r="D27" s="103">
        <v>7905</v>
      </c>
      <c r="E27" s="110">
        <v>14350</v>
      </c>
      <c r="F27" s="110"/>
      <c r="G27" s="104">
        <f t="shared" si="0"/>
        <v>7905</v>
      </c>
      <c r="H27" s="105">
        <f t="shared" si="1"/>
        <v>2.4832096702247296E-2</v>
      </c>
      <c r="I27" s="104">
        <f t="shared" si="2"/>
        <v>22255</v>
      </c>
      <c r="J27" s="105">
        <f t="shared" si="3"/>
        <v>6.9909969906200325E-2</v>
      </c>
      <c r="K27">
        <v>1</v>
      </c>
      <c r="M27" s="106">
        <v>10</v>
      </c>
      <c r="N27" s="69" t="s">
        <v>268</v>
      </c>
      <c r="O27" s="69" t="s">
        <v>267</v>
      </c>
      <c r="P27" s="103">
        <v>460</v>
      </c>
      <c r="Q27" s="103"/>
      <c r="R27" s="103"/>
      <c r="S27" s="104">
        <v>460</v>
      </c>
      <c r="T27" s="105">
        <v>1.4450049946911772E-3</v>
      </c>
      <c r="U27" s="104">
        <v>460</v>
      </c>
      <c r="V27" s="105">
        <v>1.4450049946911772E-3</v>
      </c>
      <c r="W27">
        <v>2</v>
      </c>
      <c r="Y27">
        <f>Y11</f>
        <v>2</v>
      </c>
      <c r="Z27" s="169">
        <f>Z11*$Z$25</f>
        <v>11165160</v>
      </c>
      <c r="AA27" s="169">
        <f>AA11*$AA$25</f>
        <v>2352344.75</v>
      </c>
      <c r="AB27" s="169">
        <f>AD11*$AB$25</f>
        <v>284660.25</v>
      </c>
      <c r="AC27" s="169">
        <f t="shared" ref="AC27:AC29" si="8">Z27+AA27+AB27</f>
        <v>13802165</v>
      </c>
      <c r="AD27" s="276">
        <f>AC27+AC29</f>
        <v>15075090</v>
      </c>
      <c r="AE27" s="279"/>
      <c r="AF27" s="278"/>
    </row>
    <row r="28" spans="1:33">
      <c r="A28" s="108">
        <v>27</v>
      </c>
      <c r="B28" s="69" t="s">
        <v>298</v>
      </c>
      <c r="C28" s="69" t="s">
        <v>297</v>
      </c>
      <c r="D28" s="103">
        <v>2200</v>
      </c>
      <c r="E28" s="110"/>
      <c r="F28" s="110"/>
      <c r="G28" s="104">
        <f t="shared" si="0"/>
        <v>2200</v>
      </c>
      <c r="H28" s="105">
        <f t="shared" si="1"/>
        <v>6.910893452870848E-3</v>
      </c>
      <c r="I28" s="104">
        <f t="shared" si="2"/>
        <v>2200</v>
      </c>
      <c r="J28" s="105">
        <f t="shared" si="3"/>
        <v>6.910893452870848E-3</v>
      </c>
      <c r="K28">
        <v>3</v>
      </c>
      <c r="M28" s="106">
        <v>23</v>
      </c>
      <c r="N28" s="2"/>
      <c r="O28" s="69" t="s">
        <v>291</v>
      </c>
      <c r="P28" s="103"/>
      <c r="Q28" s="103">
        <v>361</v>
      </c>
      <c r="R28" s="103"/>
      <c r="S28" s="104">
        <v>0</v>
      </c>
      <c r="T28" s="105">
        <v>0</v>
      </c>
      <c r="U28" s="104">
        <v>361</v>
      </c>
      <c r="V28" s="105">
        <v>1.1340147893119891E-3</v>
      </c>
      <c r="W28">
        <v>2</v>
      </c>
      <c r="Y28">
        <f>Y12</f>
        <v>3</v>
      </c>
      <c r="Z28" s="169">
        <f>Z12*$Z$25</f>
        <v>9108125</v>
      </c>
      <c r="AA28" s="169">
        <f>AA12*$AA$25</f>
        <v>5064412.5</v>
      </c>
      <c r="AB28" s="169">
        <f>AD12*$AB$25</f>
        <v>0</v>
      </c>
      <c r="AC28" s="276">
        <f t="shared" si="8"/>
        <v>14172537.5</v>
      </c>
      <c r="AE28" s="222"/>
      <c r="AF28" s="222"/>
    </row>
    <row r="29" spans="1:33">
      <c r="A29" s="106">
        <v>28</v>
      </c>
      <c r="B29" s="69" t="s">
        <v>257</v>
      </c>
      <c r="C29" s="69" t="s">
        <v>297</v>
      </c>
      <c r="D29" s="103">
        <v>17370</v>
      </c>
      <c r="E29" s="110"/>
      <c r="F29" s="110"/>
      <c r="G29" s="104">
        <f t="shared" si="0"/>
        <v>17370</v>
      </c>
      <c r="H29" s="105">
        <f t="shared" si="1"/>
        <v>5.4564645125621196E-2</v>
      </c>
      <c r="I29" s="104">
        <f t="shared" si="2"/>
        <v>17370</v>
      </c>
      <c r="J29" s="105">
        <f t="shared" si="3"/>
        <v>5.4564645125621196E-2</v>
      </c>
      <c r="K29">
        <v>2</v>
      </c>
      <c r="M29" s="106">
        <v>5</v>
      </c>
      <c r="N29" s="69" t="s">
        <v>259</v>
      </c>
      <c r="O29" s="69" t="s">
        <v>260</v>
      </c>
      <c r="P29" s="103">
        <v>150</v>
      </c>
      <c r="Q29" s="103"/>
      <c r="R29" s="103"/>
      <c r="S29" s="104">
        <v>150</v>
      </c>
      <c r="T29" s="105">
        <v>4.7119728087755783E-4</v>
      </c>
      <c r="U29" s="104">
        <v>150</v>
      </c>
      <c r="V29" s="105">
        <v>4.7119728087755783E-4</v>
      </c>
      <c r="W29">
        <v>2</v>
      </c>
      <c r="Y29">
        <f>Y13</f>
        <v>4</v>
      </c>
      <c r="Z29" s="169">
        <f>Z13*$Z$25</f>
        <v>387925</v>
      </c>
      <c r="AA29" s="169">
        <f>AA13*$AA$25</f>
        <v>0</v>
      </c>
      <c r="AB29" s="169">
        <f>AD13*$AB$25</f>
        <v>885000</v>
      </c>
      <c r="AC29" s="169">
        <f t="shared" si="8"/>
        <v>1272925</v>
      </c>
      <c r="AE29" s="222"/>
      <c r="AF29" s="222"/>
    </row>
    <row r="30" spans="1:33">
      <c r="A30" s="106">
        <v>29</v>
      </c>
      <c r="B30" s="69" t="s">
        <v>299</v>
      </c>
      <c r="C30" s="69" t="s">
        <v>297</v>
      </c>
      <c r="D30" s="103">
        <v>2</v>
      </c>
      <c r="E30" s="110"/>
      <c r="F30" s="110"/>
      <c r="G30" s="104">
        <f t="shared" si="0"/>
        <v>2</v>
      </c>
      <c r="H30" s="105">
        <f t="shared" si="1"/>
        <v>6.2826304117007708E-6</v>
      </c>
      <c r="I30" s="104">
        <f t="shared" si="2"/>
        <v>2</v>
      </c>
      <c r="J30" s="105">
        <f t="shared" si="3"/>
        <v>6.2826304117007708E-6</v>
      </c>
      <c r="K30">
        <v>2</v>
      </c>
      <c r="M30" s="106">
        <v>30</v>
      </c>
      <c r="N30" s="69" t="s">
        <v>300</v>
      </c>
      <c r="O30" s="69" t="s">
        <v>297</v>
      </c>
      <c r="P30" s="103">
        <v>30</v>
      </c>
      <c r="Q30" s="103"/>
      <c r="R30" s="103"/>
      <c r="S30" s="104">
        <v>30</v>
      </c>
      <c r="T30" s="105">
        <v>9.4239456175511567E-5</v>
      </c>
      <c r="U30" s="104">
        <v>30</v>
      </c>
      <c r="V30" s="105">
        <v>9.4239456175511567E-5</v>
      </c>
      <c r="W30">
        <v>2</v>
      </c>
      <c r="AA30" s="169"/>
      <c r="AE30" s="222"/>
      <c r="AF30" s="222"/>
    </row>
    <row r="31" spans="1:33">
      <c r="A31" s="106">
        <v>30</v>
      </c>
      <c r="B31" s="69" t="s">
        <v>300</v>
      </c>
      <c r="C31" s="69" t="s">
        <v>297</v>
      </c>
      <c r="D31" s="103">
        <v>30</v>
      </c>
      <c r="E31" s="110"/>
      <c r="F31" s="110"/>
      <c r="G31" s="104">
        <f t="shared" si="0"/>
        <v>30</v>
      </c>
      <c r="H31" s="105">
        <f t="shared" si="1"/>
        <v>9.4239456175511567E-5</v>
      </c>
      <c r="I31" s="104">
        <f t="shared" si="2"/>
        <v>30</v>
      </c>
      <c r="J31" s="105">
        <f t="shared" si="3"/>
        <v>9.4239456175511567E-5</v>
      </c>
      <c r="K31">
        <v>2</v>
      </c>
      <c r="M31" s="106">
        <v>36</v>
      </c>
      <c r="N31" s="69" t="s">
        <v>305</v>
      </c>
      <c r="O31" s="69" t="s">
        <v>297</v>
      </c>
      <c r="P31" s="103">
        <v>29</v>
      </c>
      <c r="Q31" s="103"/>
      <c r="R31" s="103"/>
      <c r="S31" s="104">
        <v>29</v>
      </c>
      <c r="T31" s="105">
        <v>9.1098140969661184E-5</v>
      </c>
      <c r="U31" s="104">
        <v>29</v>
      </c>
      <c r="V31" s="105">
        <v>9.1098140969661184E-5</v>
      </c>
      <c r="W31">
        <v>2</v>
      </c>
      <c r="Y31" s="222"/>
      <c r="Z31" s="222"/>
      <c r="AA31" s="222"/>
      <c r="AB31" s="277">
        <v>0.6</v>
      </c>
      <c r="AC31" s="222"/>
      <c r="AD31" s="222"/>
      <c r="AE31" s="222"/>
      <c r="AF31" s="222"/>
    </row>
    <row r="32" spans="1:33">
      <c r="A32" s="106">
        <v>31</v>
      </c>
      <c r="B32" s="69" t="s">
        <v>301</v>
      </c>
      <c r="C32" s="69" t="s">
        <v>297</v>
      </c>
      <c r="D32" s="103">
        <v>7016</v>
      </c>
      <c r="E32" s="110"/>
      <c r="F32" s="110"/>
      <c r="G32" s="104">
        <f t="shared" si="0"/>
        <v>7016</v>
      </c>
      <c r="H32" s="105">
        <f t="shared" si="1"/>
        <v>2.2039467484246303E-2</v>
      </c>
      <c r="I32" s="104">
        <f t="shared" si="2"/>
        <v>7016</v>
      </c>
      <c r="J32" s="105">
        <f t="shared" si="3"/>
        <v>2.2039467484246303E-2</v>
      </c>
      <c r="K32">
        <v>2</v>
      </c>
      <c r="M32" s="106">
        <v>29</v>
      </c>
      <c r="N32" s="69" t="s">
        <v>299</v>
      </c>
      <c r="O32" s="69" t="s">
        <v>297</v>
      </c>
      <c r="P32" s="103">
        <v>2</v>
      </c>
      <c r="Q32" s="103"/>
      <c r="R32" s="103"/>
      <c r="S32" s="104">
        <v>2</v>
      </c>
      <c r="T32" s="105">
        <v>6.2826304117007708E-6</v>
      </c>
      <c r="U32" s="104">
        <v>2</v>
      </c>
      <c r="V32" s="105">
        <v>6.2826304117007708E-6</v>
      </c>
      <c r="W32">
        <v>2</v>
      </c>
      <c r="Y32" s="222"/>
      <c r="Z32" s="277"/>
      <c r="AA32" s="280"/>
      <c r="AB32" s="281"/>
      <c r="AE32" s="222"/>
      <c r="AF32" s="222"/>
      <c r="AG32" s="222"/>
    </row>
    <row r="33" spans="1:40">
      <c r="A33" s="107">
        <v>32</v>
      </c>
      <c r="B33" s="69" t="s">
        <v>279</v>
      </c>
      <c r="C33" s="69" t="s">
        <v>297</v>
      </c>
      <c r="D33" s="103">
        <v>43424</v>
      </c>
      <c r="E33" s="110">
        <v>20000</v>
      </c>
      <c r="F33" s="110">
        <v>59750</v>
      </c>
      <c r="G33" s="104">
        <f>(D33+F33)</f>
        <v>103174</v>
      </c>
      <c r="H33" s="105">
        <f t="shared" si="1"/>
        <v>0.32410205504840767</v>
      </c>
      <c r="I33" s="104">
        <f t="shared" si="2"/>
        <v>63424</v>
      </c>
      <c r="J33" s="105">
        <f t="shared" si="3"/>
        <v>0.19923477561585484</v>
      </c>
      <c r="K33">
        <v>1</v>
      </c>
      <c r="M33" s="106">
        <v>40</v>
      </c>
      <c r="N33" s="69" t="s">
        <v>310</v>
      </c>
      <c r="O33" s="69" t="s">
        <v>311</v>
      </c>
      <c r="P33" s="103">
        <v>2</v>
      </c>
      <c r="Q33" s="103"/>
      <c r="R33" s="103"/>
      <c r="S33" s="104">
        <v>2</v>
      </c>
      <c r="T33" s="105">
        <v>6.2826304117007708E-6</v>
      </c>
      <c r="U33" s="104">
        <v>2</v>
      </c>
      <c r="V33" s="105">
        <v>6.2826304117007708E-6</v>
      </c>
      <c r="W33">
        <v>2</v>
      </c>
      <c r="Y33" s="38"/>
      <c r="Z33" s="329" t="s">
        <v>382</v>
      </c>
      <c r="AA33" s="330"/>
      <c r="AB33" s="330"/>
      <c r="AC33" s="330"/>
      <c r="AD33" s="331"/>
      <c r="AE33" s="322" t="s">
        <v>449</v>
      </c>
      <c r="AF33" s="323"/>
      <c r="AG33" s="323"/>
      <c r="AH33" s="324"/>
      <c r="AI33" s="325" t="s">
        <v>450</v>
      </c>
      <c r="AJ33" s="326"/>
      <c r="AK33" s="326"/>
      <c r="AL33" s="327"/>
      <c r="AM33" s="230" t="s">
        <v>411</v>
      </c>
    </row>
    <row r="34" spans="1:40">
      <c r="A34" s="108">
        <v>33</v>
      </c>
      <c r="B34" s="69" t="s">
        <v>302</v>
      </c>
      <c r="C34" s="69" t="s">
        <v>297</v>
      </c>
      <c r="D34" s="103">
        <v>16566</v>
      </c>
      <c r="E34" s="110">
        <v>16350</v>
      </c>
      <c r="F34" s="110"/>
      <c r="G34" s="104">
        <f t="shared" si="0"/>
        <v>16566</v>
      </c>
      <c r="H34" s="105">
        <f t="shared" si="1"/>
        <v>5.2039027700117486E-2</v>
      </c>
      <c r="I34" s="104">
        <f t="shared" si="2"/>
        <v>32916</v>
      </c>
      <c r="J34" s="105">
        <f t="shared" si="3"/>
        <v>0.10339953131577129</v>
      </c>
      <c r="K34">
        <v>3</v>
      </c>
      <c r="M34" s="106">
        <v>22</v>
      </c>
      <c r="N34" s="69" t="s">
        <v>289</v>
      </c>
      <c r="O34" s="69" t="s">
        <v>290</v>
      </c>
      <c r="P34" s="103"/>
      <c r="Q34" s="103"/>
      <c r="R34" s="103">
        <v>361</v>
      </c>
      <c r="S34" s="104">
        <v>361</v>
      </c>
      <c r="T34" s="105">
        <v>1.1340147893119891E-3</v>
      </c>
      <c r="U34" s="104">
        <v>0</v>
      </c>
      <c r="V34" s="105">
        <v>0</v>
      </c>
      <c r="W34">
        <v>2</v>
      </c>
      <c r="Y34" s="295">
        <v>147.5</v>
      </c>
      <c r="Z34" s="174" t="s">
        <v>361</v>
      </c>
      <c r="AA34" s="174" t="s">
        <v>453</v>
      </c>
      <c r="AB34" s="174" t="s">
        <v>454</v>
      </c>
      <c r="AC34" s="174" t="s">
        <v>455</v>
      </c>
      <c r="AD34" s="174" t="s">
        <v>456</v>
      </c>
      <c r="AE34" s="174" t="s">
        <v>361</v>
      </c>
      <c r="AF34" s="174" t="s">
        <v>453</v>
      </c>
      <c r="AG34" s="174" t="s">
        <v>454</v>
      </c>
      <c r="AH34" s="174" t="s">
        <v>456</v>
      </c>
      <c r="AI34" s="174" t="s">
        <v>457</v>
      </c>
      <c r="AJ34" s="174" t="s">
        <v>453</v>
      </c>
      <c r="AK34" s="174" t="s">
        <v>454</v>
      </c>
      <c r="AL34" s="2" t="s">
        <v>456</v>
      </c>
    </row>
    <row r="35" spans="1:40">
      <c r="A35" s="107">
        <v>34</v>
      </c>
      <c r="B35" s="69" t="s">
        <v>303</v>
      </c>
      <c r="C35" s="69" t="s">
        <v>297</v>
      </c>
      <c r="D35" s="103">
        <v>8000</v>
      </c>
      <c r="E35" s="110"/>
      <c r="F35" s="110">
        <v>20000</v>
      </c>
      <c r="G35" s="104">
        <f t="shared" si="0"/>
        <v>28000</v>
      </c>
      <c r="H35" s="105">
        <f t="shared" si="1"/>
        <v>8.7956825763810795E-2</v>
      </c>
      <c r="I35" s="104">
        <f t="shared" si="2"/>
        <v>8000</v>
      </c>
      <c r="J35" s="105">
        <f t="shared" si="3"/>
        <v>2.5130521646803083E-2</v>
      </c>
      <c r="K35">
        <v>1</v>
      </c>
      <c r="M35" s="106">
        <v>35</v>
      </c>
      <c r="N35" s="69" t="s">
        <v>304</v>
      </c>
      <c r="O35" s="69" t="s">
        <v>297</v>
      </c>
      <c r="P35" s="103"/>
      <c r="Q35" s="103"/>
      <c r="R35" s="103">
        <v>6072</v>
      </c>
      <c r="S35" s="104">
        <v>6072</v>
      </c>
      <c r="T35" s="105">
        <v>1.9074065929923542E-2</v>
      </c>
      <c r="U35" s="104">
        <v>0</v>
      </c>
      <c r="V35" s="105">
        <v>0</v>
      </c>
      <c r="W35">
        <v>2</v>
      </c>
      <c r="Y35" s="291">
        <f>Y34-AC35</f>
        <v>117.5</v>
      </c>
      <c r="Z35" s="161">
        <f t="shared" ref="Z35:Z42" si="9">P2</f>
        <v>10000</v>
      </c>
      <c r="AA35" s="4">
        <v>1</v>
      </c>
      <c r="AB35" s="104">
        <f>$Y$35*Z35</f>
        <v>1175000</v>
      </c>
      <c r="AC35" s="106">
        <v>30</v>
      </c>
      <c r="AD35" s="104">
        <f>$AC$35*Z35</f>
        <v>300000</v>
      </c>
      <c r="AE35" s="161">
        <f t="shared" ref="AE35:AE42" si="10">Q2</f>
        <v>0</v>
      </c>
      <c r="AF35" s="4">
        <v>0.7</v>
      </c>
      <c r="AG35" s="104">
        <f>IF(AE35=0,0,$Y$35*AF35*AE35)</f>
        <v>0</v>
      </c>
      <c r="AH35" s="104">
        <f>$AC$35*AE35*AF35</f>
        <v>0</v>
      </c>
      <c r="AI35" s="161">
        <f t="shared" ref="AI35:AI42" si="11">R2</f>
        <v>0</v>
      </c>
      <c r="AJ35" s="288">
        <v>0.3</v>
      </c>
      <c r="AK35" s="104">
        <f>IF(AI35=0,0,$Y$35*AJ35*AI35)</f>
        <v>0</v>
      </c>
      <c r="AL35" s="104">
        <f>$AC$35*AJ35*AI35</f>
        <v>0</v>
      </c>
      <c r="AM35" s="292">
        <f>AB35+AD35+AG35+AH35+AK35+AL35</f>
        <v>1475000</v>
      </c>
      <c r="AN35" t="str">
        <f t="shared" ref="AN35:AN42" si="12">N2</f>
        <v>Catherine</v>
      </c>
    </row>
    <row r="36" spans="1:40">
      <c r="A36" s="106">
        <v>35</v>
      </c>
      <c r="B36" s="69" t="s">
        <v>304</v>
      </c>
      <c r="C36" s="69" t="s">
        <v>297</v>
      </c>
      <c r="D36" s="103"/>
      <c r="E36" s="110"/>
      <c r="F36" s="110">
        <v>6072</v>
      </c>
      <c r="G36" s="104">
        <f t="shared" si="0"/>
        <v>6072</v>
      </c>
      <c r="H36" s="105">
        <f t="shared" si="1"/>
        <v>1.9074065929923542E-2</v>
      </c>
      <c r="I36" s="104">
        <f t="shared" si="2"/>
        <v>0</v>
      </c>
      <c r="J36" s="105">
        <f t="shared" si="3"/>
        <v>0</v>
      </c>
      <c r="K36">
        <v>2</v>
      </c>
      <c r="M36" s="108">
        <v>33</v>
      </c>
      <c r="N36" s="69" t="s">
        <v>302</v>
      </c>
      <c r="O36" s="69" t="s">
        <v>297</v>
      </c>
      <c r="P36" s="103">
        <v>16566</v>
      </c>
      <c r="Q36" s="103">
        <v>16350</v>
      </c>
      <c r="R36" s="103"/>
      <c r="S36" s="104">
        <v>16566</v>
      </c>
      <c r="T36" s="105">
        <v>5.2039027700117486E-2</v>
      </c>
      <c r="U36" s="104">
        <v>32916</v>
      </c>
      <c r="V36" s="105">
        <v>0.10339953131577129</v>
      </c>
      <c r="W36">
        <v>3</v>
      </c>
      <c r="Y36" s="38"/>
      <c r="Z36" s="161">
        <f t="shared" si="9"/>
        <v>50</v>
      </c>
      <c r="AA36" s="4">
        <v>1</v>
      </c>
      <c r="AB36" s="104">
        <f t="shared" ref="AB36:AB42" si="13">$Y$35*Z36</f>
        <v>5875</v>
      </c>
      <c r="AC36" s="2"/>
      <c r="AD36" s="104">
        <f t="shared" ref="AD36:AD42" si="14">$AC$35*Z36</f>
        <v>1500</v>
      </c>
      <c r="AE36" s="161">
        <f t="shared" si="10"/>
        <v>0</v>
      </c>
      <c r="AF36" s="4">
        <v>0.7</v>
      </c>
      <c r="AG36" s="104">
        <f t="shared" ref="AG36:AG42" si="15">IF(AE36=0,0,$Y$35*AF36*AE36)</f>
        <v>0</v>
      </c>
      <c r="AH36" s="104">
        <f t="shared" ref="AH36:AH42" si="16">$AC$35*AE36*AF36</f>
        <v>0</v>
      </c>
      <c r="AI36" s="161">
        <f t="shared" si="11"/>
        <v>0</v>
      </c>
      <c r="AJ36" s="288">
        <v>0.3</v>
      </c>
      <c r="AK36" s="104">
        <f t="shared" ref="AK36:AK42" si="17">IF(AI36=0,0,$Y$35*AJ36*AI36)</f>
        <v>0</v>
      </c>
      <c r="AL36" s="104">
        <f t="shared" ref="AL36:AL42" si="18">$AC$35*AJ36*AI36</f>
        <v>0</v>
      </c>
      <c r="AM36" s="292">
        <f t="shared" ref="AM36:AM42" si="19">AB36+AD36+AG36+AH36+AK36+AL36</f>
        <v>7375</v>
      </c>
      <c r="AN36" t="str">
        <f t="shared" si="12"/>
        <v>Jean-Pierre</v>
      </c>
    </row>
    <row r="37" spans="1:40">
      <c r="A37" s="106">
        <v>36</v>
      </c>
      <c r="B37" s="69" t="s">
        <v>305</v>
      </c>
      <c r="C37" s="69" t="s">
        <v>297</v>
      </c>
      <c r="D37" s="103">
        <v>29</v>
      </c>
      <c r="E37" s="110"/>
      <c r="F37" s="110"/>
      <c r="G37" s="104">
        <f t="shared" si="0"/>
        <v>29</v>
      </c>
      <c r="H37" s="105">
        <f t="shared" si="1"/>
        <v>9.1098140969661184E-5</v>
      </c>
      <c r="I37" s="104">
        <f t="shared" si="2"/>
        <v>29</v>
      </c>
      <c r="J37" s="105">
        <f t="shared" si="3"/>
        <v>9.1098140969661184E-5</v>
      </c>
      <c r="K37">
        <v>2</v>
      </c>
      <c r="M37" s="108">
        <v>39</v>
      </c>
      <c r="N37" s="69" t="s">
        <v>309</v>
      </c>
      <c r="O37" s="69" t="s">
        <v>297</v>
      </c>
      <c r="P37" s="103">
        <v>5300</v>
      </c>
      <c r="Q37" s="103">
        <v>16350</v>
      </c>
      <c r="R37" s="103"/>
      <c r="S37" s="104">
        <v>5300</v>
      </c>
      <c r="T37" s="105">
        <v>1.6648970591007044E-2</v>
      </c>
      <c r="U37" s="104">
        <v>21650</v>
      </c>
      <c r="V37" s="105">
        <v>6.8009474206660842E-2</v>
      </c>
      <c r="W37">
        <v>3</v>
      </c>
      <c r="Y37" s="2"/>
      <c r="Z37" s="161">
        <f t="shared" si="9"/>
        <v>200</v>
      </c>
      <c r="AA37" s="4">
        <v>1</v>
      </c>
      <c r="AB37" s="104">
        <f t="shared" si="13"/>
        <v>23500</v>
      </c>
      <c r="AC37" s="2"/>
      <c r="AD37" s="104">
        <f t="shared" si="14"/>
        <v>6000</v>
      </c>
      <c r="AE37" s="161">
        <f t="shared" si="10"/>
        <v>0</v>
      </c>
      <c r="AF37" s="4">
        <v>0.7</v>
      </c>
      <c r="AG37" s="104">
        <f t="shared" si="15"/>
        <v>0</v>
      </c>
      <c r="AH37" s="104">
        <f t="shared" si="16"/>
        <v>0</v>
      </c>
      <c r="AI37" s="161">
        <f t="shared" si="11"/>
        <v>0</v>
      </c>
      <c r="AJ37" s="288">
        <v>0.3</v>
      </c>
      <c r="AK37" s="104">
        <f t="shared" si="17"/>
        <v>0</v>
      </c>
      <c r="AL37" s="104">
        <f t="shared" si="18"/>
        <v>0</v>
      </c>
      <c r="AM37" s="292">
        <f t="shared" si="19"/>
        <v>29500</v>
      </c>
      <c r="AN37" t="str">
        <f t="shared" si="12"/>
        <v>Annie</v>
      </c>
    </row>
    <row r="38" spans="1:40">
      <c r="A38" s="106">
        <v>37</v>
      </c>
      <c r="B38" s="69" t="s">
        <v>306</v>
      </c>
      <c r="C38" s="69" t="s">
        <v>307</v>
      </c>
      <c r="D38" s="103">
        <v>18216</v>
      </c>
      <c r="E38" s="110">
        <v>6072</v>
      </c>
      <c r="F38" s="110"/>
      <c r="G38" s="104">
        <f t="shared" si="0"/>
        <v>18216</v>
      </c>
      <c r="H38" s="105">
        <f t="shared" si="1"/>
        <v>5.7222197789770619E-2</v>
      </c>
      <c r="I38" s="104">
        <f t="shared" si="2"/>
        <v>24288</v>
      </c>
      <c r="J38" s="105">
        <f t="shared" si="3"/>
        <v>7.6296263719694168E-2</v>
      </c>
      <c r="K38">
        <v>2</v>
      </c>
      <c r="M38" s="108">
        <v>38</v>
      </c>
      <c r="N38" s="69" t="s">
        <v>308</v>
      </c>
      <c r="O38" s="69" t="s">
        <v>297</v>
      </c>
      <c r="P38" s="103">
        <v>136</v>
      </c>
      <c r="Q38" s="103">
        <v>16350</v>
      </c>
      <c r="R38" s="103"/>
      <c r="S38" s="104">
        <v>136</v>
      </c>
      <c r="T38" s="105">
        <v>4.2721886799565245E-4</v>
      </c>
      <c r="U38" s="104">
        <v>16486</v>
      </c>
      <c r="V38" s="105">
        <v>5.1787722483649455E-2</v>
      </c>
      <c r="W38">
        <v>3</v>
      </c>
      <c r="Y38" s="2"/>
      <c r="Z38" s="161">
        <f t="shared" si="9"/>
        <v>2000</v>
      </c>
      <c r="AA38" s="4">
        <v>1</v>
      </c>
      <c r="AB38" s="104">
        <f t="shared" si="13"/>
        <v>235000</v>
      </c>
      <c r="AC38" s="2"/>
      <c r="AD38" s="104">
        <f t="shared" si="14"/>
        <v>60000</v>
      </c>
      <c r="AE38" s="161">
        <f t="shared" si="10"/>
        <v>0</v>
      </c>
      <c r="AF38" s="4">
        <v>0.7</v>
      </c>
      <c r="AG38" s="104">
        <f t="shared" si="15"/>
        <v>0</v>
      </c>
      <c r="AH38" s="104">
        <f t="shared" si="16"/>
        <v>0</v>
      </c>
      <c r="AI38" s="161">
        <f t="shared" si="11"/>
        <v>0</v>
      </c>
      <c r="AJ38" s="288">
        <v>0.3</v>
      </c>
      <c r="AK38" s="104">
        <f t="shared" si="17"/>
        <v>0</v>
      </c>
      <c r="AL38" s="104">
        <f t="shared" si="18"/>
        <v>0</v>
      </c>
      <c r="AM38" s="292">
        <f t="shared" si="19"/>
        <v>295000</v>
      </c>
      <c r="AN38" t="str">
        <f t="shared" si="12"/>
        <v>Astrid</v>
      </c>
    </row>
    <row r="39" spans="1:40">
      <c r="A39" s="108">
        <v>38</v>
      </c>
      <c r="B39" s="69" t="s">
        <v>308</v>
      </c>
      <c r="C39" s="69" t="s">
        <v>297</v>
      </c>
      <c r="D39" s="103">
        <v>136</v>
      </c>
      <c r="E39" s="110">
        <v>16350</v>
      </c>
      <c r="F39" s="110"/>
      <c r="G39" s="104">
        <f t="shared" si="0"/>
        <v>136</v>
      </c>
      <c r="H39" s="105">
        <f t="shared" si="1"/>
        <v>4.2721886799565245E-4</v>
      </c>
      <c r="I39" s="104">
        <f t="shared" si="2"/>
        <v>16486</v>
      </c>
      <c r="J39" s="105">
        <f t="shared" si="3"/>
        <v>5.1787722483649455E-2</v>
      </c>
      <c r="K39">
        <v>3</v>
      </c>
      <c r="M39" s="108">
        <v>14</v>
      </c>
      <c r="N39" s="69" t="s">
        <v>275</v>
      </c>
      <c r="O39" s="69" t="s">
        <v>276</v>
      </c>
      <c r="P39" s="103">
        <v>16000</v>
      </c>
      <c r="Q39" s="103"/>
      <c r="R39" s="103"/>
      <c r="S39" s="104">
        <v>16000</v>
      </c>
      <c r="T39" s="105">
        <v>5.0261043293606165E-2</v>
      </c>
      <c r="U39" s="104">
        <v>16000</v>
      </c>
      <c r="V39" s="105">
        <v>5.0261043293606165E-2</v>
      </c>
      <c r="W39">
        <v>3</v>
      </c>
      <c r="Y39" s="2"/>
      <c r="Z39" s="161">
        <f t="shared" si="9"/>
        <v>7905</v>
      </c>
      <c r="AA39" s="4">
        <v>1</v>
      </c>
      <c r="AB39" s="104">
        <f t="shared" si="13"/>
        <v>928837.5</v>
      </c>
      <c r="AC39" s="2"/>
      <c r="AD39" s="104">
        <f t="shared" si="14"/>
        <v>237150</v>
      </c>
      <c r="AE39" s="161">
        <f t="shared" si="10"/>
        <v>14350</v>
      </c>
      <c r="AF39" s="4">
        <v>0.7</v>
      </c>
      <c r="AG39" s="104">
        <f t="shared" si="15"/>
        <v>1180287.5</v>
      </c>
      <c r="AH39" s="104">
        <f t="shared" si="16"/>
        <v>301350</v>
      </c>
      <c r="AI39" s="161">
        <f t="shared" si="11"/>
        <v>0</v>
      </c>
      <c r="AJ39" s="288">
        <v>0.3</v>
      </c>
      <c r="AK39" s="104">
        <f t="shared" si="17"/>
        <v>0</v>
      </c>
      <c r="AL39" s="104">
        <f t="shared" si="18"/>
        <v>0</v>
      </c>
      <c r="AM39" s="292">
        <f t="shared" si="19"/>
        <v>2647625</v>
      </c>
      <c r="AN39" t="str">
        <f t="shared" si="12"/>
        <v>Bruno</v>
      </c>
    </row>
    <row r="40" spans="1:40">
      <c r="A40" s="108">
        <v>39</v>
      </c>
      <c r="B40" s="69" t="s">
        <v>309</v>
      </c>
      <c r="C40" s="69" t="s">
        <v>297</v>
      </c>
      <c r="D40" s="103">
        <v>5300</v>
      </c>
      <c r="E40" s="110">
        <v>16350</v>
      </c>
      <c r="F40" s="110"/>
      <c r="G40" s="104">
        <f t="shared" si="0"/>
        <v>5300</v>
      </c>
      <c r="H40" s="105">
        <f t="shared" si="1"/>
        <v>1.6648970591007044E-2</v>
      </c>
      <c r="I40" s="104">
        <f t="shared" si="2"/>
        <v>21650</v>
      </c>
      <c r="J40" s="105">
        <f t="shared" si="3"/>
        <v>6.8009474206660842E-2</v>
      </c>
      <c r="K40">
        <v>3</v>
      </c>
      <c r="M40" s="108">
        <v>49</v>
      </c>
      <c r="N40" s="69" t="s">
        <v>324</v>
      </c>
      <c r="O40" s="69" t="s">
        <v>323</v>
      </c>
      <c r="P40" s="103">
        <v>8250</v>
      </c>
      <c r="Q40" s="103"/>
      <c r="R40" s="103"/>
      <c r="S40" s="104">
        <v>8250</v>
      </c>
      <c r="T40" s="105">
        <v>2.5915850448265679E-2</v>
      </c>
      <c r="U40" s="104">
        <v>8250</v>
      </c>
      <c r="V40" s="105">
        <v>2.5915850448265679E-2</v>
      </c>
      <c r="W40">
        <v>3</v>
      </c>
      <c r="Y40" s="2"/>
      <c r="Z40" s="161">
        <f t="shared" si="9"/>
        <v>43424</v>
      </c>
      <c r="AA40" s="4">
        <v>1</v>
      </c>
      <c r="AB40" s="104">
        <f t="shared" si="13"/>
        <v>5102320</v>
      </c>
      <c r="AC40" s="2"/>
      <c r="AD40" s="104">
        <f t="shared" si="14"/>
        <v>1302720</v>
      </c>
      <c r="AE40" s="161">
        <f t="shared" si="10"/>
        <v>20000</v>
      </c>
      <c r="AF40" s="4">
        <v>0.7</v>
      </c>
      <c r="AG40" s="104">
        <f t="shared" si="15"/>
        <v>1645000</v>
      </c>
      <c r="AH40" s="104">
        <f t="shared" si="16"/>
        <v>420000</v>
      </c>
      <c r="AI40" s="161">
        <f t="shared" si="11"/>
        <v>59750</v>
      </c>
      <c r="AJ40" s="288">
        <v>0.3</v>
      </c>
      <c r="AK40" s="104">
        <f t="shared" si="17"/>
        <v>2106187.5</v>
      </c>
      <c r="AL40" s="104">
        <f t="shared" si="18"/>
        <v>537750</v>
      </c>
      <c r="AM40" s="292">
        <f t="shared" si="19"/>
        <v>11113977.5</v>
      </c>
      <c r="AN40" t="str">
        <f t="shared" si="12"/>
        <v>Jean-Pierre</v>
      </c>
    </row>
    <row r="41" spans="1:40">
      <c r="A41" s="106">
        <v>40</v>
      </c>
      <c r="B41" s="69" t="s">
        <v>310</v>
      </c>
      <c r="C41" s="69" t="s">
        <v>311</v>
      </c>
      <c r="D41" s="103">
        <v>2</v>
      </c>
      <c r="E41" s="103"/>
      <c r="F41" s="103"/>
      <c r="G41" s="104">
        <f t="shared" si="0"/>
        <v>2</v>
      </c>
      <c r="H41" s="105">
        <f t="shared" si="1"/>
        <v>6.2826304117007708E-6</v>
      </c>
      <c r="I41" s="104">
        <f t="shared" si="2"/>
        <v>2</v>
      </c>
      <c r="J41" s="105">
        <f t="shared" si="3"/>
        <v>6.2826304117007708E-6</v>
      </c>
      <c r="K41">
        <v>2</v>
      </c>
      <c r="M41" s="108">
        <v>3</v>
      </c>
      <c r="N41" s="69" t="s">
        <v>255</v>
      </c>
      <c r="O41" s="69" t="s">
        <v>256</v>
      </c>
      <c r="P41" s="103">
        <v>4000</v>
      </c>
      <c r="Q41" s="103"/>
      <c r="R41" s="103"/>
      <c r="S41" s="104">
        <v>4000</v>
      </c>
      <c r="T41" s="105">
        <v>1.2565260823401541E-2</v>
      </c>
      <c r="U41" s="104">
        <v>4000</v>
      </c>
      <c r="V41" s="105">
        <v>1.2565260823401541E-2</v>
      </c>
      <c r="W41">
        <v>3</v>
      </c>
      <c r="Y41" s="2"/>
      <c r="Z41" s="161">
        <f t="shared" si="9"/>
        <v>8000</v>
      </c>
      <c r="AA41" s="4">
        <v>1</v>
      </c>
      <c r="AB41" s="104">
        <f t="shared" si="13"/>
        <v>940000</v>
      </c>
      <c r="AC41" s="2"/>
      <c r="AD41" s="104">
        <f t="shared" si="14"/>
        <v>240000</v>
      </c>
      <c r="AE41" s="161">
        <f t="shared" si="10"/>
        <v>0</v>
      </c>
      <c r="AF41" s="4">
        <v>0.7</v>
      </c>
      <c r="AG41" s="104">
        <f t="shared" si="15"/>
        <v>0</v>
      </c>
      <c r="AH41" s="104">
        <f t="shared" si="16"/>
        <v>0</v>
      </c>
      <c r="AI41" s="161">
        <f t="shared" si="11"/>
        <v>20000</v>
      </c>
      <c r="AJ41" s="288">
        <v>0.3</v>
      </c>
      <c r="AK41" s="104">
        <f t="shared" si="17"/>
        <v>705000</v>
      </c>
      <c r="AL41" s="104">
        <f t="shared" si="18"/>
        <v>180000</v>
      </c>
      <c r="AM41" s="292">
        <f t="shared" si="19"/>
        <v>2065000</v>
      </c>
      <c r="AN41" t="str">
        <f t="shared" si="12"/>
        <v>Marcelle</v>
      </c>
    </row>
    <row r="42" spans="1:40">
      <c r="A42" s="106">
        <v>41</v>
      </c>
      <c r="B42" s="69" t="s">
        <v>312</v>
      </c>
      <c r="C42" s="69" t="s">
        <v>313</v>
      </c>
      <c r="D42" s="103">
        <v>2000</v>
      </c>
      <c r="E42" s="103"/>
      <c r="F42" s="103"/>
      <c r="G42" s="104">
        <f t="shared" si="0"/>
        <v>2000</v>
      </c>
      <c r="H42" s="105">
        <f t="shared" si="1"/>
        <v>6.2826304117007707E-3</v>
      </c>
      <c r="I42" s="104">
        <f t="shared" si="2"/>
        <v>2000</v>
      </c>
      <c r="J42" s="105">
        <f t="shared" si="3"/>
        <v>6.2826304117007707E-3</v>
      </c>
      <c r="K42">
        <v>2</v>
      </c>
      <c r="M42" s="108">
        <v>19</v>
      </c>
      <c r="N42" s="69" t="s">
        <v>277</v>
      </c>
      <c r="O42" s="69" t="s">
        <v>285</v>
      </c>
      <c r="P42" s="103">
        <v>2500</v>
      </c>
      <c r="Q42" s="103"/>
      <c r="R42" s="103"/>
      <c r="S42" s="104">
        <v>2500</v>
      </c>
      <c r="T42" s="105">
        <v>7.8532880146259636E-3</v>
      </c>
      <c r="U42" s="104">
        <v>2500</v>
      </c>
      <c r="V42" s="105">
        <v>7.8532880146259636E-3</v>
      </c>
      <c r="W42">
        <v>3</v>
      </c>
      <c r="Y42" s="2"/>
      <c r="Z42" s="161">
        <f t="shared" si="9"/>
        <v>500</v>
      </c>
      <c r="AA42" s="4">
        <v>1</v>
      </c>
      <c r="AB42" s="104">
        <f t="shared" si="13"/>
        <v>58750</v>
      </c>
      <c r="AC42" s="2"/>
      <c r="AD42" s="104">
        <f t="shared" si="14"/>
        <v>15000</v>
      </c>
      <c r="AE42" s="161">
        <f t="shared" si="10"/>
        <v>0</v>
      </c>
      <c r="AF42" s="4">
        <v>0.7</v>
      </c>
      <c r="AG42" s="104">
        <f t="shared" si="15"/>
        <v>0</v>
      </c>
      <c r="AH42" s="104">
        <f t="shared" si="16"/>
        <v>0</v>
      </c>
      <c r="AI42" s="161">
        <f t="shared" si="11"/>
        <v>0</v>
      </c>
      <c r="AJ42" s="288">
        <v>0.3</v>
      </c>
      <c r="AK42" s="104">
        <f t="shared" si="17"/>
        <v>0</v>
      </c>
      <c r="AL42" s="104">
        <f t="shared" si="18"/>
        <v>0</v>
      </c>
      <c r="AM42" s="292">
        <f t="shared" si="19"/>
        <v>73750</v>
      </c>
      <c r="AN42" t="str">
        <f t="shared" si="12"/>
        <v>George</v>
      </c>
    </row>
    <row r="43" spans="1:40">
      <c r="A43" s="106">
        <v>42</v>
      </c>
      <c r="B43" s="69" t="s">
        <v>314</v>
      </c>
      <c r="C43" s="69" t="s">
        <v>313</v>
      </c>
      <c r="D43" s="103">
        <v>1000</v>
      </c>
      <c r="E43" s="103"/>
      <c r="F43" s="103"/>
      <c r="G43" s="104">
        <f t="shared" si="0"/>
        <v>1000</v>
      </c>
      <c r="H43" s="105">
        <f t="shared" si="1"/>
        <v>3.1413152058503853E-3</v>
      </c>
      <c r="I43" s="104">
        <f t="shared" si="2"/>
        <v>1000</v>
      </c>
      <c r="J43" s="105">
        <f t="shared" si="3"/>
        <v>3.1413152058503853E-3</v>
      </c>
      <c r="K43">
        <v>2</v>
      </c>
      <c r="M43" s="108">
        <v>50</v>
      </c>
      <c r="N43" s="69" t="s">
        <v>325</v>
      </c>
      <c r="O43" s="69" t="s">
        <v>323</v>
      </c>
      <c r="P43" s="103">
        <v>2500</v>
      </c>
      <c r="Q43" s="103"/>
      <c r="R43" s="103"/>
      <c r="S43" s="104">
        <v>2500</v>
      </c>
      <c r="T43" s="105">
        <v>7.8532880146259636E-3</v>
      </c>
      <c r="U43" s="104">
        <v>2500</v>
      </c>
      <c r="V43" s="105">
        <v>7.8532880146259636E-3</v>
      </c>
      <c r="W43">
        <v>3</v>
      </c>
      <c r="Z43" s="169">
        <f>SUM(Z35:Z42)</f>
        <v>72079</v>
      </c>
      <c r="AB43" s="169">
        <f>SUM(AB35:AB42)</f>
        <v>8469282.5</v>
      </c>
      <c r="AD43" s="169">
        <f>SUM(AD35:AD42)</f>
        <v>2162370</v>
      </c>
      <c r="AE43" s="169">
        <f>SUM(AE35:AE42)</f>
        <v>34350</v>
      </c>
      <c r="AG43" s="169">
        <f>SUM(AG35:AG42)</f>
        <v>2825287.5</v>
      </c>
      <c r="AH43" s="169">
        <f>SUM(AH35:AH42)</f>
        <v>721350</v>
      </c>
      <c r="AI43" s="169">
        <f>SUM(AI35:AI42)</f>
        <v>79750</v>
      </c>
      <c r="AK43" s="169">
        <f>SUM(AK35:AK42)</f>
        <v>2811187.5</v>
      </c>
      <c r="AL43" s="169">
        <f>SUM(AL35:AL42)</f>
        <v>717750</v>
      </c>
      <c r="AM43" s="289">
        <f>SUM(AM35:AM42)</f>
        <v>17707227.5</v>
      </c>
    </row>
    <row r="44" spans="1:40">
      <c r="A44" s="106">
        <v>43</v>
      </c>
      <c r="B44" s="69" t="s">
        <v>315</v>
      </c>
      <c r="C44" s="69" t="s">
        <v>313</v>
      </c>
      <c r="D44" s="103">
        <v>5200</v>
      </c>
      <c r="E44" s="103">
        <v>16350</v>
      </c>
      <c r="F44" s="103"/>
      <c r="G44" s="104">
        <f t="shared" si="0"/>
        <v>5200</v>
      </c>
      <c r="H44" s="105">
        <f t="shared" si="1"/>
        <v>1.6334839070422005E-2</v>
      </c>
      <c r="I44" s="104">
        <f t="shared" si="2"/>
        <v>21550</v>
      </c>
      <c r="J44" s="105">
        <f t="shared" si="3"/>
        <v>6.7695342686075813E-2</v>
      </c>
      <c r="K44">
        <v>2</v>
      </c>
      <c r="M44" s="108">
        <v>27</v>
      </c>
      <c r="N44" s="69" t="s">
        <v>298</v>
      </c>
      <c r="O44" s="69" t="s">
        <v>297</v>
      </c>
      <c r="P44" s="103">
        <v>2200</v>
      </c>
      <c r="Q44" s="103"/>
      <c r="R44" s="103"/>
      <c r="S44" s="104">
        <v>2200</v>
      </c>
      <c r="T44" s="105">
        <v>6.910893452870848E-3</v>
      </c>
      <c r="U44" s="104">
        <v>2200</v>
      </c>
      <c r="V44" s="105">
        <v>6.910893452870848E-3</v>
      </c>
      <c r="W44">
        <v>3</v>
      </c>
      <c r="Y44" t="s">
        <v>458</v>
      </c>
      <c r="Z44" s="290">
        <f>Y35</f>
        <v>117.5</v>
      </c>
      <c r="AE44" s="290">
        <f>Y35*AF35</f>
        <v>82.25</v>
      </c>
      <c r="AI44" s="290">
        <f>Y35*AJ35</f>
        <v>35.25</v>
      </c>
    </row>
    <row r="45" spans="1:40">
      <c r="A45" s="2">
        <v>44</v>
      </c>
      <c r="B45" s="69" t="s">
        <v>316</v>
      </c>
      <c r="C45" s="69" t="s">
        <v>317</v>
      </c>
      <c r="D45" s="103">
        <v>867</v>
      </c>
      <c r="E45" s="103"/>
      <c r="F45" s="103"/>
      <c r="G45" s="104">
        <f t="shared" si="0"/>
        <v>867</v>
      </c>
      <c r="H45" s="105">
        <f t="shared" si="1"/>
        <v>2.7235202834722844E-3</v>
      </c>
      <c r="I45" s="104">
        <f t="shared" si="2"/>
        <v>867</v>
      </c>
      <c r="J45" s="105">
        <f t="shared" si="3"/>
        <v>2.7235202834722844E-3</v>
      </c>
      <c r="K45">
        <v>4</v>
      </c>
      <c r="M45" s="108">
        <v>20</v>
      </c>
      <c r="N45" s="69" t="s">
        <v>286</v>
      </c>
      <c r="O45" s="69" t="s">
        <v>287</v>
      </c>
      <c r="P45" s="103">
        <v>1376</v>
      </c>
      <c r="Q45" s="103"/>
      <c r="R45" s="103"/>
      <c r="S45" s="104">
        <v>1376</v>
      </c>
      <c r="T45" s="105">
        <v>4.3224497232501307E-3</v>
      </c>
      <c r="U45" s="104">
        <v>1376</v>
      </c>
      <c r="V45" s="105">
        <v>4.3224497232501307E-3</v>
      </c>
      <c r="W45">
        <v>3</v>
      </c>
      <c r="Y45" t="s">
        <v>459</v>
      </c>
      <c r="Z45" s="290">
        <f>AC35</f>
        <v>30</v>
      </c>
      <c r="AE45" s="290">
        <f>AC35*AF35</f>
        <v>21</v>
      </c>
      <c r="AI45" s="290">
        <f>AC35*AJ35</f>
        <v>9</v>
      </c>
      <c r="AL45" s="2" t="s">
        <v>460</v>
      </c>
      <c r="AM45" s="292">
        <v>106429</v>
      </c>
    </row>
    <row r="46" spans="1:40">
      <c r="A46" s="2">
        <v>45</v>
      </c>
      <c r="B46" s="69" t="s">
        <v>305</v>
      </c>
      <c r="C46" s="69" t="s">
        <v>317</v>
      </c>
      <c r="D46" s="103">
        <v>866</v>
      </c>
      <c r="E46" s="103"/>
      <c r="F46" s="103"/>
      <c r="G46" s="104">
        <f t="shared" si="0"/>
        <v>866</v>
      </c>
      <c r="H46" s="105">
        <f t="shared" si="1"/>
        <v>2.7203789682664339E-3</v>
      </c>
      <c r="I46" s="104">
        <f t="shared" si="2"/>
        <v>866</v>
      </c>
      <c r="J46" s="105">
        <f t="shared" si="3"/>
        <v>2.7203789682664339E-3</v>
      </c>
      <c r="K46">
        <v>4</v>
      </c>
      <c r="M46" s="108">
        <v>48</v>
      </c>
      <c r="N46" s="69" t="s">
        <v>322</v>
      </c>
      <c r="O46" s="69" t="s">
        <v>323</v>
      </c>
      <c r="P46" s="103">
        <v>1000</v>
      </c>
      <c r="Q46" s="103"/>
      <c r="R46" s="103"/>
      <c r="S46" s="104">
        <v>1000</v>
      </c>
      <c r="T46" s="105">
        <v>3.1413152058503853E-3</v>
      </c>
      <c r="U46" s="104">
        <v>1000</v>
      </c>
      <c r="V46" s="105">
        <v>3.1413152058503853E-3</v>
      </c>
      <c r="W46">
        <v>3</v>
      </c>
      <c r="Z46" s="255">
        <f>Z44+Z45</f>
        <v>147.5</v>
      </c>
      <c r="AE46" s="255">
        <f>AE44+AE45</f>
        <v>103.25</v>
      </c>
      <c r="AI46" s="255">
        <f>AI44+AI45</f>
        <v>44.25</v>
      </c>
      <c r="AL46" s="2"/>
      <c r="AM46" s="293">
        <f>AM43/AM45</f>
        <v>166.37596425786205</v>
      </c>
    </row>
    <row r="47" spans="1:40">
      <c r="A47" s="108">
        <v>46</v>
      </c>
      <c r="B47" s="69" t="s">
        <v>318</v>
      </c>
      <c r="C47" s="69" t="s">
        <v>319</v>
      </c>
      <c r="D47" s="103">
        <v>956</v>
      </c>
      <c r="E47" s="103"/>
      <c r="F47" s="103"/>
      <c r="G47" s="104">
        <f t="shared" si="0"/>
        <v>956</v>
      </c>
      <c r="H47" s="105">
        <f t="shared" si="1"/>
        <v>3.0030973367929687E-3</v>
      </c>
      <c r="I47" s="104">
        <f t="shared" si="2"/>
        <v>956</v>
      </c>
      <c r="J47" s="105">
        <f t="shared" si="3"/>
        <v>3.0030973367929687E-3</v>
      </c>
      <c r="K47">
        <v>3</v>
      </c>
      <c r="M47" s="108">
        <v>21</v>
      </c>
      <c r="N47" s="69" t="s">
        <v>288</v>
      </c>
      <c r="O47" s="69" t="s">
        <v>287</v>
      </c>
      <c r="P47" s="103">
        <v>966</v>
      </c>
      <c r="Q47" s="103"/>
      <c r="R47" s="103"/>
      <c r="S47" s="104">
        <v>966</v>
      </c>
      <c r="T47" s="105">
        <v>3.0345104888514721E-3</v>
      </c>
      <c r="U47" s="104">
        <v>966</v>
      </c>
      <c r="V47" s="105">
        <v>3.0345104888514721E-3</v>
      </c>
      <c r="W47">
        <v>3</v>
      </c>
    </row>
    <row r="48" spans="1:40">
      <c r="A48" s="107">
        <v>47</v>
      </c>
      <c r="B48" s="69" t="s">
        <v>320</v>
      </c>
      <c r="C48" s="69" t="s">
        <v>321</v>
      </c>
      <c r="D48" s="103">
        <v>500</v>
      </c>
      <c r="E48" s="103"/>
      <c r="F48" s="103"/>
      <c r="G48" s="104">
        <f t="shared" si="0"/>
        <v>500</v>
      </c>
      <c r="H48" s="105">
        <f t="shared" si="1"/>
        <v>1.5706576029251927E-3</v>
      </c>
      <c r="I48" s="104">
        <f t="shared" si="2"/>
        <v>500</v>
      </c>
      <c r="J48" s="105">
        <f t="shared" si="3"/>
        <v>1.5706576029251927E-3</v>
      </c>
      <c r="K48">
        <v>1</v>
      </c>
      <c r="M48" s="108">
        <v>46</v>
      </c>
      <c r="N48" s="69" t="s">
        <v>318</v>
      </c>
      <c r="O48" s="69" t="s">
        <v>319</v>
      </c>
      <c r="P48" s="103">
        <v>956</v>
      </c>
      <c r="Q48" s="103"/>
      <c r="R48" s="103"/>
      <c r="S48" s="104">
        <v>956</v>
      </c>
      <c r="T48" s="105">
        <v>3.0030973367929687E-3</v>
      </c>
      <c r="U48" s="104">
        <v>956</v>
      </c>
      <c r="V48" s="105">
        <v>3.0030973367929687E-3</v>
      </c>
      <c r="W48">
        <v>3</v>
      </c>
      <c r="Y48" t="s">
        <v>461</v>
      </c>
      <c r="Z48" s="294">
        <f>Y35</f>
        <v>117.5</v>
      </c>
    </row>
    <row r="49" spans="1:26">
      <c r="A49" s="108">
        <v>48</v>
      </c>
      <c r="B49" s="69" t="s">
        <v>322</v>
      </c>
      <c r="C49" s="69" t="s">
        <v>323</v>
      </c>
      <c r="D49" s="103">
        <v>1000</v>
      </c>
      <c r="E49" s="103"/>
      <c r="F49" s="103"/>
      <c r="G49" s="104">
        <f t="shared" si="0"/>
        <v>1000</v>
      </c>
      <c r="H49" s="105">
        <f t="shared" si="1"/>
        <v>3.1413152058503853E-3</v>
      </c>
      <c r="I49" s="104">
        <f t="shared" si="2"/>
        <v>1000</v>
      </c>
      <c r="J49" s="105">
        <f t="shared" si="3"/>
        <v>3.1413152058503853E-3</v>
      </c>
      <c r="K49">
        <v>3</v>
      </c>
      <c r="M49" s="2">
        <v>44</v>
      </c>
      <c r="N49" s="69" t="s">
        <v>316</v>
      </c>
      <c r="O49" s="69" t="s">
        <v>317</v>
      </c>
      <c r="P49" s="103">
        <v>867</v>
      </c>
      <c r="Q49" s="103"/>
      <c r="R49" s="103"/>
      <c r="S49" s="104">
        <v>867</v>
      </c>
      <c r="T49" s="105">
        <v>2.7235202834722844E-3</v>
      </c>
      <c r="U49" s="104">
        <v>867</v>
      </c>
      <c r="V49" s="105">
        <v>2.7235202834722844E-3</v>
      </c>
      <c r="W49">
        <v>4</v>
      </c>
      <c r="Y49" t="s">
        <v>462</v>
      </c>
      <c r="Z49">
        <v>21.78</v>
      </c>
    </row>
    <row r="50" spans="1:26">
      <c r="A50" s="108">
        <v>49</v>
      </c>
      <c r="B50" s="69" t="s">
        <v>324</v>
      </c>
      <c r="C50" s="69" t="s">
        <v>323</v>
      </c>
      <c r="D50" s="103">
        <v>8250</v>
      </c>
      <c r="E50" s="103"/>
      <c r="F50" s="103"/>
      <c r="G50" s="104">
        <f t="shared" si="0"/>
        <v>8250</v>
      </c>
      <c r="H50" s="105">
        <f t="shared" si="1"/>
        <v>2.5915850448265679E-2</v>
      </c>
      <c r="I50" s="104">
        <f t="shared" si="2"/>
        <v>8250</v>
      </c>
      <c r="J50" s="105">
        <f t="shared" si="3"/>
        <v>2.5915850448265679E-2</v>
      </c>
      <c r="K50">
        <v>3</v>
      </c>
      <c r="M50" s="2">
        <v>52</v>
      </c>
      <c r="N50" s="69" t="s">
        <v>328</v>
      </c>
      <c r="O50" s="69" t="s">
        <v>329</v>
      </c>
      <c r="P50" s="103">
        <v>867</v>
      </c>
      <c r="Q50" s="103"/>
      <c r="R50" s="103"/>
      <c r="S50" s="104">
        <v>867</v>
      </c>
      <c r="T50" s="105">
        <v>2.7235202834722844E-3</v>
      </c>
      <c r="U50" s="104">
        <v>867</v>
      </c>
      <c r="V50" s="105">
        <v>2.7235202834722844E-3</v>
      </c>
      <c r="W50">
        <v>4</v>
      </c>
      <c r="Y50" t="s">
        <v>452</v>
      </c>
      <c r="Z50" s="294">
        <v>30</v>
      </c>
    </row>
    <row r="51" spans="1:26">
      <c r="A51" s="108">
        <v>50</v>
      </c>
      <c r="B51" s="69" t="s">
        <v>325</v>
      </c>
      <c r="C51" s="69" t="s">
        <v>323</v>
      </c>
      <c r="D51" s="103">
        <v>2500</v>
      </c>
      <c r="E51" s="103"/>
      <c r="F51" s="103"/>
      <c r="G51" s="104">
        <f t="shared" si="0"/>
        <v>2500</v>
      </c>
      <c r="H51" s="105">
        <f t="shared" si="1"/>
        <v>7.8532880146259636E-3</v>
      </c>
      <c r="I51" s="104">
        <f t="shared" si="2"/>
        <v>2500</v>
      </c>
      <c r="J51" s="105">
        <f t="shared" si="3"/>
        <v>7.8532880146259636E-3</v>
      </c>
      <c r="K51">
        <v>3</v>
      </c>
      <c r="M51" s="2">
        <v>45</v>
      </c>
      <c r="N51" s="69" t="s">
        <v>305</v>
      </c>
      <c r="O51" s="69" t="s">
        <v>317</v>
      </c>
      <c r="P51" s="103">
        <v>866</v>
      </c>
      <c r="Q51" s="103"/>
      <c r="R51" s="103"/>
      <c r="S51" s="104">
        <v>866</v>
      </c>
      <c r="T51" s="105">
        <v>2.7203789682664339E-3</v>
      </c>
      <c r="U51" s="104">
        <v>866</v>
      </c>
      <c r="V51" s="105">
        <v>2.7203789682664339E-3</v>
      </c>
      <c r="W51">
        <v>4</v>
      </c>
      <c r="Z51">
        <f>SUM(Z48:Z50)</f>
        <v>169.28</v>
      </c>
    </row>
    <row r="52" spans="1:26">
      <c r="A52" s="106">
        <v>51</v>
      </c>
      <c r="B52" s="69" t="s">
        <v>326</v>
      </c>
      <c r="C52" s="69" t="s">
        <v>327</v>
      </c>
      <c r="D52" s="103">
        <v>4255</v>
      </c>
      <c r="E52" s="103"/>
      <c r="F52" s="103"/>
      <c r="G52" s="104">
        <f t="shared" si="0"/>
        <v>4255</v>
      </c>
      <c r="H52" s="105">
        <f t="shared" si="1"/>
        <v>1.336629620089339E-2</v>
      </c>
      <c r="I52" s="104">
        <f t="shared" si="2"/>
        <v>4255</v>
      </c>
      <c r="J52" s="105">
        <f t="shared" si="3"/>
        <v>1.336629620089339E-2</v>
      </c>
      <c r="K52">
        <v>2</v>
      </c>
      <c r="M52" s="2">
        <v>25</v>
      </c>
      <c r="N52" s="69" t="s">
        <v>294</v>
      </c>
      <c r="O52" s="69" t="s">
        <v>295</v>
      </c>
      <c r="P52" s="103">
        <v>30</v>
      </c>
      <c r="Q52" s="103"/>
      <c r="R52" s="103"/>
      <c r="S52" s="104">
        <v>30</v>
      </c>
      <c r="T52" s="105">
        <v>9.4239456175511567E-5</v>
      </c>
      <c r="U52" s="104">
        <v>30</v>
      </c>
      <c r="V52" s="105">
        <v>9.4239456175511567E-5</v>
      </c>
      <c r="W52">
        <v>4</v>
      </c>
    </row>
    <row r="53" spans="1:26">
      <c r="A53" s="2">
        <v>52</v>
      </c>
      <c r="B53" s="69" t="s">
        <v>328</v>
      </c>
      <c r="C53" s="69" t="s">
        <v>329</v>
      </c>
      <c r="D53" s="103">
        <v>867</v>
      </c>
      <c r="E53" s="103"/>
      <c r="F53" s="103"/>
      <c r="G53" s="104">
        <f t="shared" si="0"/>
        <v>867</v>
      </c>
      <c r="H53" s="105">
        <f t="shared" si="1"/>
        <v>2.7235202834722844E-3</v>
      </c>
      <c r="I53" s="104">
        <f t="shared" si="2"/>
        <v>867</v>
      </c>
      <c r="J53" s="105">
        <f t="shared" si="3"/>
        <v>2.7235202834722844E-3</v>
      </c>
      <c r="K53">
        <v>4</v>
      </c>
      <c r="M53" s="2">
        <v>2</v>
      </c>
      <c r="N53" s="69" t="s">
        <v>253</v>
      </c>
      <c r="O53" s="69" t="s">
        <v>254</v>
      </c>
      <c r="P53" s="103"/>
      <c r="Q53" s="103"/>
      <c r="R53" s="103">
        <v>20000</v>
      </c>
      <c r="S53" s="104">
        <v>20000</v>
      </c>
      <c r="T53" s="105">
        <v>6.2826304117007709E-2</v>
      </c>
      <c r="U53" s="104">
        <v>0</v>
      </c>
      <c r="V53" s="105">
        <v>0</v>
      </c>
      <c r="W53">
        <v>4</v>
      </c>
    </row>
    <row r="54" spans="1:26" ht="13.5" thickBot="1">
      <c r="D54" s="97">
        <f>SUM(D2:D53)</f>
        <v>212155</v>
      </c>
      <c r="E54" s="97">
        <f t="shared" ref="E54:F54" si="20">SUM(E2:E53)</f>
        <v>106183</v>
      </c>
      <c r="F54" s="97">
        <f t="shared" si="20"/>
        <v>106183</v>
      </c>
      <c r="G54" s="97">
        <f>SUM(G2:G53)</f>
        <v>318338</v>
      </c>
      <c r="H54" s="98">
        <f t="shared" ref="H54" si="21">SUM(H2:H53)</f>
        <v>0.99999999999999989</v>
      </c>
      <c r="I54" s="99">
        <f>SUM(I2:I53)</f>
        <v>318338</v>
      </c>
      <c r="J54" s="98">
        <f t="shared" si="3"/>
        <v>1</v>
      </c>
      <c r="P54" s="97">
        <v>212155</v>
      </c>
      <c r="Q54" s="97">
        <v>106183</v>
      </c>
      <c r="R54" s="97">
        <v>106183</v>
      </c>
      <c r="S54" s="97">
        <v>318338</v>
      </c>
      <c r="T54" s="98">
        <v>0.99999999999999989</v>
      </c>
      <c r="U54" s="99">
        <v>318338</v>
      </c>
      <c r="V54" s="98">
        <v>1</v>
      </c>
    </row>
    <row r="55" spans="1:26" ht="13.5" thickBot="1">
      <c r="F55" s="100">
        <f>D54+F54</f>
        <v>318338</v>
      </c>
      <c r="R55" s="100">
        <v>318338</v>
      </c>
    </row>
  </sheetData>
  <sortState ref="M36:W48">
    <sortCondition descending="1" ref="V36:V48"/>
  </sortState>
  <mergeCells count="7">
    <mergeCell ref="AE33:AH33"/>
    <mergeCell ref="AI33:AL33"/>
    <mergeCell ref="G1:H1"/>
    <mergeCell ref="I1:J1"/>
    <mergeCell ref="S1:T1"/>
    <mergeCell ref="U1:V1"/>
    <mergeCell ref="Z33:AD3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55"/>
  <sheetViews>
    <sheetView showGridLines="0" topLeftCell="F1" zoomScale="75" zoomScaleNormal="75" workbookViewId="0">
      <pane ySplit="1" topLeftCell="A2" activePane="bottomLeft" state="frozen"/>
      <selection pane="bottomLeft" activeCell="Y8" sqref="Y8"/>
    </sheetView>
  </sheetViews>
  <sheetFormatPr baseColWidth="10" defaultRowHeight="12.75"/>
  <cols>
    <col min="1" max="1" width="3" bestFit="1" customWidth="1"/>
    <col min="2" max="2" width="17.85546875" bestFit="1" customWidth="1"/>
    <col min="3" max="3" width="15.5703125" bestFit="1" customWidth="1"/>
    <col min="4" max="6" width="11.85546875" bestFit="1" customWidth="1"/>
    <col min="11" max="11" width="5.28515625" bestFit="1" customWidth="1"/>
    <col min="12" max="12" width="7.28515625" customWidth="1"/>
    <col min="13" max="13" width="5.140625" customWidth="1"/>
    <col min="14" max="14" width="14.42578125" customWidth="1"/>
    <col min="23" max="23" width="5.28515625" bestFit="1" customWidth="1"/>
    <col min="24" max="24" width="6.28515625" customWidth="1"/>
  </cols>
  <sheetData>
    <row r="1" spans="1:27" s="95" customFormat="1" ht="25.5">
      <c r="A1" s="101" t="s">
        <v>243</v>
      </c>
      <c r="B1" s="101" t="s">
        <v>244</v>
      </c>
      <c r="C1" s="101" t="s">
        <v>245</v>
      </c>
      <c r="D1" s="101" t="s">
        <v>246</v>
      </c>
      <c r="E1" s="102" t="s">
        <v>252</v>
      </c>
      <c r="F1" s="101" t="s">
        <v>247</v>
      </c>
      <c r="G1" s="328" t="s">
        <v>248</v>
      </c>
      <c r="H1" s="328"/>
      <c r="I1" s="328" t="s">
        <v>249</v>
      </c>
      <c r="J1" s="328"/>
      <c r="K1" s="101" t="s">
        <v>330</v>
      </c>
      <c r="M1" s="101" t="s">
        <v>243</v>
      </c>
      <c r="N1" s="101" t="s">
        <v>244</v>
      </c>
      <c r="O1" s="101" t="s">
        <v>245</v>
      </c>
      <c r="P1" s="101" t="s">
        <v>246</v>
      </c>
      <c r="Q1" s="102" t="s">
        <v>252</v>
      </c>
      <c r="R1" s="101" t="s">
        <v>247</v>
      </c>
      <c r="S1" s="328" t="s">
        <v>248</v>
      </c>
      <c r="T1" s="328"/>
      <c r="U1" s="328" t="s">
        <v>249</v>
      </c>
      <c r="V1" s="328"/>
      <c r="W1" s="101" t="s">
        <v>330</v>
      </c>
      <c r="Z1" s="109" t="s">
        <v>248</v>
      </c>
      <c r="AA1" s="109" t="s">
        <v>249</v>
      </c>
    </row>
    <row r="2" spans="1:27">
      <c r="A2" s="106">
        <v>1</v>
      </c>
      <c r="B2" s="69" t="s">
        <v>250</v>
      </c>
      <c r="C2" s="69" t="s">
        <v>251</v>
      </c>
      <c r="D2" s="103">
        <v>543</v>
      </c>
      <c r="E2" s="103"/>
      <c r="F2" s="103"/>
      <c r="G2" s="104">
        <f>(D2+F2)</f>
        <v>543</v>
      </c>
      <c r="H2" s="105">
        <f>G2/$F$55</f>
        <v>1.7057341567767593E-3</v>
      </c>
      <c r="I2" s="104">
        <f>D2+E2</f>
        <v>543</v>
      </c>
      <c r="J2" s="105">
        <f>I2/$F$55</f>
        <v>1.7057341567767593E-3</v>
      </c>
      <c r="K2">
        <v>2</v>
      </c>
      <c r="M2" s="107">
        <v>15</v>
      </c>
      <c r="N2" s="69" t="s">
        <v>277</v>
      </c>
      <c r="O2" s="69" t="s">
        <v>278</v>
      </c>
      <c r="P2" s="103">
        <v>10000</v>
      </c>
      <c r="Q2" s="103"/>
      <c r="R2" s="103"/>
      <c r="S2" s="104">
        <v>10000</v>
      </c>
      <c r="T2" s="105">
        <v>3.1413152058503854E-2</v>
      </c>
      <c r="U2" s="104">
        <v>10000</v>
      </c>
      <c r="V2" s="105">
        <v>3.1413152058503854E-2</v>
      </c>
      <c r="W2">
        <v>1</v>
      </c>
      <c r="Y2" s="107">
        <v>1</v>
      </c>
      <c r="Z2" s="114">
        <f ca="1">SUMIF($W$2:$W$54,Y2,$T2:$T53)</f>
        <v>0.77125885065559241</v>
      </c>
      <c r="AA2" s="114">
        <f ca="1">SUMIF($W$2:$W$54,Y2,$V2:$V53)</f>
        <v>0.73136414754129242</v>
      </c>
    </row>
    <row r="3" spans="1:27">
      <c r="A3" s="2">
        <v>2</v>
      </c>
      <c r="B3" s="69" t="s">
        <v>253</v>
      </c>
      <c r="C3" s="69" t="s">
        <v>254</v>
      </c>
      <c r="D3" s="103"/>
      <c r="E3" s="103"/>
      <c r="F3" s="103">
        <v>20000</v>
      </c>
      <c r="G3" s="104">
        <f t="shared" ref="G3:G53" si="0">(D3+F3)</f>
        <v>20000</v>
      </c>
      <c r="H3" s="105">
        <f t="shared" ref="H3:H53" si="1">G3/$F$55</f>
        <v>6.2826304117007709E-2</v>
      </c>
      <c r="I3" s="104">
        <f t="shared" ref="I3:I53" si="2">D3+E3</f>
        <v>0</v>
      </c>
      <c r="J3" s="105">
        <f t="shared" ref="J3:J54" si="3">I3/$F$55</f>
        <v>0</v>
      </c>
      <c r="K3">
        <v>4</v>
      </c>
      <c r="M3" s="107">
        <v>16</v>
      </c>
      <c r="N3" s="69" t="s">
        <v>279</v>
      </c>
      <c r="O3" s="69" t="s">
        <v>280</v>
      </c>
      <c r="P3" s="103">
        <v>50</v>
      </c>
      <c r="Q3" s="103"/>
      <c r="R3" s="103"/>
      <c r="S3" s="104">
        <v>50</v>
      </c>
      <c r="T3" s="105">
        <v>1.5706576029251928E-4</v>
      </c>
      <c r="U3" s="104">
        <v>50</v>
      </c>
      <c r="V3" s="105">
        <v>1.5706576029251928E-4</v>
      </c>
      <c r="W3">
        <v>1</v>
      </c>
      <c r="Y3" s="106">
        <v>2</v>
      </c>
      <c r="Z3" s="105">
        <f ca="1">SUMIF($W$2:$W$54,Y3,$T2:$T53)</f>
        <v>0</v>
      </c>
      <c r="AA3" s="105">
        <f ca="1">SUMIF($W$2:$W$54,Y3,$V2:$V53)</f>
        <v>0</v>
      </c>
    </row>
    <row r="4" spans="1:27">
      <c r="A4" s="108">
        <v>3</v>
      </c>
      <c r="B4" s="69" t="s">
        <v>255</v>
      </c>
      <c r="C4" s="69" t="s">
        <v>256</v>
      </c>
      <c r="D4" s="103">
        <v>4000</v>
      </c>
      <c r="E4" s="103"/>
      <c r="F4" s="103"/>
      <c r="G4" s="104">
        <f t="shared" si="0"/>
        <v>4000</v>
      </c>
      <c r="H4" s="105">
        <f t="shared" si="1"/>
        <v>1.2565260823401541E-2</v>
      </c>
      <c r="I4" s="104">
        <f t="shared" si="2"/>
        <v>4000</v>
      </c>
      <c r="J4" s="105">
        <f t="shared" si="3"/>
        <v>1.2565260823401541E-2</v>
      </c>
      <c r="K4">
        <v>3</v>
      </c>
      <c r="M4" s="107">
        <v>17</v>
      </c>
      <c r="N4" s="69" t="s">
        <v>281</v>
      </c>
      <c r="O4" s="69" t="s">
        <v>282</v>
      </c>
      <c r="P4" s="103">
        <v>200</v>
      </c>
      <c r="Q4" s="103"/>
      <c r="R4" s="103"/>
      <c r="S4" s="104">
        <v>200</v>
      </c>
      <c r="T4" s="105">
        <v>6.2826304117007711E-4</v>
      </c>
      <c r="U4" s="104">
        <v>200</v>
      </c>
      <c r="V4" s="105">
        <v>6.2826304117007711E-4</v>
      </c>
      <c r="W4">
        <v>1</v>
      </c>
      <c r="Y4" s="108">
        <v>3</v>
      </c>
      <c r="Z4" s="105">
        <f ca="1">SUMIF($W$2:$W$54,Y4,$T2:$T53)</f>
        <v>0.228646909888232</v>
      </c>
      <c r="AA4" s="105">
        <f ca="1">SUMIF($W$2:$W$54,Y4,$V2:$V53)</f>
        <v>0.26854161300253188</v>
      </c>
    </row>
    <row r="5" spans="1:27">
      <c r="A5" s="106">
        <v>4</v>
      </c>
      <c r="B5" s="69" t="s">
        <v>257</v>
      </c>
      <c r="C5" s="69" t="s">
        <v>258</v>
      </c>
      <c r="D5" s="103">
        <v>2700</v>
      </c>
      <c r="E5" s="103"/>
      <c r="F5" s="103"/>
      <c r="G5" s="104">
        <f t="shared" si="0"/>
        <v>2700</v>
      </c>
      <c r="H5" s="105">
        <f t="shared" si="1"/>
        <v>8.48155105579604E-3</v>
      </c>
      <c r="I5" s="104">
        <f t="shared" si="2"/>
        <v>2700</v>
      </c>
      <c r="J5" s="105">
        <f t="shared" si="3"/>
        <v>8.48155105579604E-3</v>
      </c>
      <c r="K5">
        <v>2</v>
      </c>
      <c r="M5" s="107">
        <v>24</v>
      </c>
      <c r="N5" s="69" t="s">
        <v>292</v>
      </c>
      <c r="O5" s="69" t="s">
        <v>293</v>
      </c>
      <c r="P5" s="103">
        <v>2000</v>
      </c>
      <c r="Q5" s="103"/>
      <c r="R5" s="103"/>
      <c r="S5" s="104">
        <v>2000</v>
      </c>
      <c r="T5" s="105">
        <v>6.2826304117007707E-3</v>
      </c>
      <c r="U5" s="104">
        <v>2000</v>
      </c>
      <c r="V5" s="105">
        <v>6.2826304117007707E-3</v>
      </c>
      <c r="W5">
        <v>1</v>
      </c>
      <c r="Y5" s="2">
        <v>4</v>
      </c>
      <c r="Z5" s="105">
        <f ca="1">SUMIF($W$2:$W$54,Y5,$T2:$T53)</f>
        <v>9.4239456175511567E-5</v>
      </c>
      <c r="AA5" s="105">
        <f ca="1">SUMIF($W$2:$W$54,Y5,$V2:$V53)</f>
        <v>9.4239456175511567E-5</v>
      </c>
    </row>
    <row r="6" spans="1:27">
      <c r="A6" s="106">
        <v>5</v>
      </c>
      <c r="B6" s="69" t="s">
        <v>259</v>
      </c>
      <c r="C6" s="69" t="s">
        <v>260</v>
      </c>
      <c r="D6" s="103">
        <v>150</v>
      </c>
      <c r="E6" s="103"/>
      <c r="F6" s="103"/>
      <c r="G6" s="104">
        <f t="shared" si="0"/>
        <v>150</v>
      </c>
      <c r="H6" s="105">
        <f t="shared" si="1"/>
        <v>4.7119728087755783E-4</v>
      </c>
      <c r="I6" s="104">
        <f t="shared" si="2"/>
        <v>150</v>
      </c>
      <c r="J6" s="105">
        <f t="shared" si="3"/>
        <v>4.7119728087755783E-4</v>
      </c>
      <c r="K6">
        <v>2</v>
      </c>
      <c r="M6" s="107">
        <v>26</v>
      </c>
      <c r="N6" s="69" t="s">
        <v>296</v>
      </c>
      <c r="O6" s="69" t="s">
        <v>297</v>
      </c>
      <c r="P6" s="103">
        <v>7905</v>
      </c>
      <c r="Q6" s="103">
        <v>14350</v>
      </c>
      <c r="R6" s="103"/>
      <c r="S6" s="104">
        <v>7905</v>
      </c>
      <c r="T6" s="105">
        <v>2.4832096702247296E-2</v>
      </c>
      <c r="U6" s="104">
        <v>22255</v>
      </c>
      <c r="V6" s="105">
        <v>6.9909969906200325E-2</v>
      </c>
      <c r="W6">
        <v>1</v>
      </c>
      <c r="Z6" s="48">
        <f ca="1">SUM(Z2:Z5)</f>
        <v>0.99999999999999989</v>
      </c>
      <c r="AA6" s="48">
        <f ca="1">SUM(AA2:AA5)</f>
        <v>0.99999999999999978</v>
      </c>
    </row>
    <row r="7" spans="1:27">
      <c r="A7" s="106">
        <v>6</v>
      </c>
      <c r="B7" s="69" t="s">
        <v>261</v>
      </c>
      <c r="C7" s="69" t="s">
        <v>260</v>
      </c>
      <c r="D7" s="103">
        <v>2620</v>
      </c>
      <c r="E7" s="103"/>
      <c r="F7" s="103"/>
      <c r="G7" s="104">
        <f t="shared" si="0"/>
        <v>2620</v>
      </c>
      <c r="H7" s="105">
        <f t="shared" si="1"/>
        <v>8.2302458393280105E-3</v>
      </c>
      <c r="I7" s="104">
        <f t="shared" si="2"/>
        <v>2620</v>
      </c>
      <c r="J7" s="105">
        <f t="shared" si="3"/>
        <v>8.2302458393280105E-3</v>
      </c>
      <c r="K7">
        <v>2</v>
      </c>
      <c r="M7" s="107">
        <v>32</v>
      </c>
      <c r="N7" s="69" t="s">
        <v>279</v>
      </c>
      <c r="O7" s="69" t="s">
        <v>297</v>
      </c>
      <c r="P7" s="103">
        <v>43424</v>
      </c>
      <c r="Q7" s="103">
        <v>20000</v>
      </c>
      <c r="R7" s="103">
        <v>59750</v>
      </c>
      <c r="S7" s="104">
        <v>103174</v>
      </c>
      <c r="T7" s="105">
        <v>0.32410205504840767</v>
      </c>
      <c r="U7" s="104">
        <v>63424</v>
      </c>
      <c r="V7" s="105">
        <v>0.19923477561585484</v>
      </c>
      <c r="W7">
        <v>1</v>
      </c>
    </row>
    <row r="8" spans="1:27">
      <c r="A8" s="106">
        <v>7</v>
      </c>
      <c r="B8" s="69" t="s">
        <v>262</v>
      </c>
      <c r="C8" s="69" t="s">
        <v>263</v>
      </c>
      <c r="D8" s="103">
        <v>601</v>
      </c>
      <c r="E8" s="103"/>
      <c r="F8" s="103"/>
      <c r="G8" s="104">
        <f t="shared" si="0"/>
        <v>601</v>
      </c>
      <c r="H8" s="105">
        <f t="shared" si="1"/>
        <v>1.8879304387160816E-3</v>
      </c>
      <c r="I8" s="104">
        <f t="shared" si="2"/>
        <v>601</v>
      </c>
      <c r="J8" s="105">
        <f t="shared" si="3"/>
        <v>1.8879304387160816E-3</v>
      </c>
      <c r="K8">
        <v>2</v>
      </c>
      <c r="M8" s="107">
        <v>34</v>
      </c>
      <c r="N8" s="69" t="s">
        <v>303</v>
      </c>
      <c r="O8" s="69" t="s">
        <v>297</v>
      </c>
      <c r="P8" s="103">
        <v>8000</v>
      </c>
      <c r="Q8" s="103"/>
      <c r="R8" s="103">
        <v>20000</v>
      </c>
      <c r="S8" s="104">
        <v>28000</v>
      </c>
      <c r="T8" s="105">
        <v>8.7956825763810795E-2</v>
      </c>
      <c r="U8" s="104">
        <v>8000</v>
      </c>
      <c r="V8" s="105">
        <v>2.5130521646803083E-2</v>
      </c>
      <c r="W8">
        <v>1</v>
      </c>
    </row>
    <row r="9" spans="1:27">
      <c r="A9" s="106">
        <v>8</v>
      </c>
      <c r="B9" s="69" t="s">
        <v>264</v>
      </c>
      <c r="C9" s="69" t="s">
        <v>265</v>
      </c>
      <c r="D9" s="103">
        <v>460</v>
      </c>
      <c r="E9" s="103"/>
      <c r="F9" s="103"/>
      <c r="G9" s="104">
        <f t="shared" si="0"/>
        <v>460</v>
      </c>
      <c r="H9" s="105">
        <f t="shared" si="1"/>
        <v>1.4450049946911772E-3</v>
      </c>
      <c r="I9" s="104">
        <f t="shared" si="2"/>
        <v>460</v>
      </c>
      <c r="J9" s="105">
        <f t="shared" si="3"/>
        <v>1.4450049946911772E-3</v>
      </c>
      <c r="K9">
        <v>2</v>
      </c>
      <c r="M9" s="107">
        <v>47</v>
      </c>
      <c r="N9" s="69" t="s">
        <v>320</v>
      </c>
      <c r="O9" s="69" t="s">
        <v>321</v>
      </c>
      <c r="P9" s="103">
        <v>500</v>
      </c>
      <c r="Q9" s="103"/>
      <c r="R9" s="103"/>
      <c r="S9" s="104">
        <v>500</v>
      </c>
      <c r="T9" s="105">
        <v>1.5706576029251927E-3</v>
      </c>
      <c r="U9" s="104">
        <v>500</v>
      </c>
      <c r="V9" s="105">
        <v>1.5706576029251927E-3</v>
      </c>
      <c r="W9">
        <v>1</v>
      </c>
    </row>
    <row r="10" spans="1:27">
      <c r="A10" s="106">
        <v>9</v>
      </c>
      <c r="B10" s="69" t="s">
        <v>266</v>
      </c>
      <c r="C10" s="69" t="s">
        <v>267</v>
      </c>
      <c r="D10" s="103">
        <v>460</v>
      </c>
      <c r="E10" s="103"/>
      <c r="F10" s="103"/>
      <c r="G10" s="104">
        <f t="shared" si="0"/>
        <v>460</v>
      </c>
      <c r="H10" s="105">
        <f t="shared" si="1"/>
        <v>1.4450049946911772E-3</v>
      </c>
      <c r="I10" s="104">
        <f t="shared" si="2"/>
        <v>460</v>
      </c>
      <c r="J10" s="105">
        <f t="shared" si="3"/>
        <v>1.4450049946911772E-3</v>
      </c>
      <c r="K10">
        <v>2</v>
      </c>
      <c r="M10" s="106">
        <v>37</v>
      </c>
      <c r="N10" s="150" t="s">
        <v>306</v>
      </c>
      <c r="O10" s="150" t="s">
        <v>307</v>
      </c>
      <c r="P10" s="151">
        <v>18216</v>
      </c>
      <c r="Q10" s="151">
        <v>6072</v>
      </c>
      <c r="R10" s="151"/>
      <c r="S10" s="152">
        <v>18216</v>
      </c>
      <c r="T10" s="153">
        <v>5.7222197789770619E-2</v>
      </c>
      <c r="U10" s="152">
        <v>24288</v>
      </c>
      <c r="V10" s="153">
        <v>7.6296263719694168E-2</v>
      </c>
      <c r="W10" s="154">
        <v>1</v>
      </c>
    </row>
    <row r="11" spans="1:27">
      <c r="A11" s="106">
        <v>10</v>
      </c>
      <c r="B11" s="69" t="s">
        <v>268</v>
      </c>
      <c r="C11" s="69" t="s">
        <v>267</v>
      </c>
      <c r="D11" s="103">
        <v>460</v>
      </c>
      <c r="E11" s="103"/>
      <c r="F11" s="103"/>
      <c r="G11" s="104">
        <f t="shared" si="0"/>
        <v>460</v>
      </c>
      <c r="H11" s="105">
        <f t="shared" si="1"/>
        <v>1.4450049946911772E-3</v>
      </c>
      <c r="I11" s="104">
        <f t="shared" si="2"/>
        <v>460</v>
      </c>
      <c r="J11" s="105">
        <f t="shared" si="3"/>
        <v>1.4450049946911772E-3</v>
      </c>
      <c r="K11">
        <v>2</v>
      </c>
      <c r="M11" s="106">
        <v>43</v>
      </c>
      <c r="N11" s="150" t="s">
        <v>315</v>
      </c>
      <c r="O11" s="150" t="s">
        <v>313</v>
      </c>
      <c r="P11" s="151">
        <v>5200</v>
      </c>
      <c r="Q11" s="151">
        <v>16350</v>
      </c>
      <c r="R11" s="151"/>
      <c r="S11" s="152">
        <v>5200</v>
      </c>
      <c r="T11" s="153">
        <v>1.6334839070422005E-2</v>
      </c>
      <c r="U11" s="152">
        <v>21550</v>
      </c>
      <c r="V11" s="153">
        <v>6.7695342686075813E-2</v>
      </c>
      <c r="W11" s="154">
        <v>1</v>
      </c>
    </row>
    <row r="12" spans="1:27">
      <c r="A12" s="106">
        <v>11</v>
      </c>
      <c r="B12" s="69" t="s">
        <v>269</v>
      </c>
      <c r="C12" s="69" t="s">
        <v>270</v>
      </c>
      <c r="D12" s="103">
        <v>4000</v>
      </c>
      <c r="E12" s="103"/>
      <c r="F12" s="103"/>
      <c r="G12" s="104">
        <f t="shared" si="0"/>
        <v>4000</v>
      </c>
      <c r="H12" s="105">
        <f t="shared" si="1"/>
        <v>1.2565260823401541E-2</v>
      </c>
      <c r="I12" s="104">
        <f t="shared" si="2"/>
        <v>4000</v>
      </c>
      <c r="J12" s="105">
        <f t="shared" si="3"/>
        <v>1.2565260823401541E-2</v>
      </c>
      <c r="K12">
        <v>2</v>
      </c>
      <c r="M12" s="106">
        <v>28</v>
      </c>
      <c r="N12" s="150" t="s">
        <v>257</v>
      </c>
      <c r="O12" s="150" t="s">
        <v>297</v>
      </c>
      <c r="P12" s="151">
        <v>17370</v>
      </c>
      <c r="Q12" s="151"/>
      <c r="R12" s="151"/>
      <c r="S12" s="152">
        <v>17370</v>
      </c>
      <c r="T12" s="153">
        <v>5.4564645125621196E-2</v>
      </c>
      <c r="U12" s="152">
        <v>17370</v>
      </c>
      <c r="V12" s="153">
        <v>5.4564645125621196E-2</v>
      </c>
      <c r="W12" s="154">
        <v>1</v>
      </c>
    </row>
    <row r="13" spans="1:27">
      <c r="A13" s="106">
        <v>12</v>
      </c>
      <c r="B13" s="69" t="s">
        <v>271</v>
      </c>
      <c r="C13" s="69" t="s">
        <v>272</v>
      </c>
      <c r="D13" s="103">
        <v>5482</v>
      </c>
      <c r="E13" s="103"/>
      <c r="F13" s="103"/>
      <c r="G13" s="104">
        <f t="shared" si="0"/>
        <v>5482</v>
      </c>
      <c r="H13" s="105">
        <f t="shared" si="1"/>
        <v>1.7220689958471813E-2</v>
      </c>
      <c r="I13" s="104">
        <f t="shared" si="2"/>
        <v>5482</v>
      </c>
      <c r="J13" s="105">
        <f t="shared" si="3"/>
        <v>1.7220689958471813E-2</v>
      </c>
      <c r="K13">
        <v>2</v>
      </c>
      <c r="M13" s="106">
        <v>31</v>
      </c>
      <c r="N13" s="150" t="s">
        <v>301</v>
      </c>
      <c r="O13" s="150" t="s">
        <v>297</v>
      </c>
      <c r="P13" s="151">
        <v>7016</v>
      </c>
      <c r="Q13" s="151"/>
      <c r="R13" s="151"/>
      <c r="S13" s="152">
        <v>7016</v>
      </c>
      <c r="T13" s="153">
        <v>2.2039467484246303E-2</v>
      </c>
      <c r="U13" s="152">
        <v>7016</v>
      </c>
      <c r="V13" s="153">
        <v>2.2039467484246303E-2</v>
      </c>
      <c r="W13" s="154">
        <v>1</v>
      </c>
    </row>
    <row r="14" spans="1:27">
      <c r="A14" s="106">
        <v>13</v>
      </c>
      <c r="B14" s="69" t="s">
        <v>273</v>
      </c>
      <c r="C14" s="69" t="s">
        <v>274</v>
      </c>
      <c r="D14" s="103">
        <v>2600</v>
      </c>
      <c r="E14" s="103"/>
      <c r="F14" s="103"/>
      <c r="G14" s="104">
        <f t="shared" si="0"/>
        <v>2600</v>
      </c>
      <c r="H14" s="105">
        <f t="shared" si="1"/>
        <v>8.1674195352110027E-3</v>
      </c>
      <c r="I14" s="104">
        <f t="shared" si="2"/>
        <v>2600</v>
      </c>
      <c r="J14" s="105">
        <f t="shared" si="3"/>
        <v>8.1674195352110027E-3</v>
      </c>
      <c r="K14">
        <v>2</v>
      </c>
      <c r="M14" s="106">
        <v>12</v>
      </c>
      <c r="N14" s="150" t="s">
        <v>271</v>
      </c>
      <c r="O14" s="150" t="s">
        <v>272</v>
      </c>
      <c r="P14" s="151">
        <v>5482</v>
      </c>
      <c r="Q14" s="151"/>
      <c r="R14" s="151"/>
      <c r="S14" s="152">
        <v>5482</v>
      </c>
      <c r="T14" s="153">
        <v>1.7220689958471813E-2</v>
      </c>
      <c r="U14" s="152">
        <v>5482</v>
      </c>
      <c r="V14" s="153">
        <v>1.7220689958471813E-2</v>
      </c>
      <c r="W14" s="154">
        <v>1</v>
      </c>
    </row>
    <row r="15" spans="1:27">
      <c r="A15" s="108">
        <v>14</v>
      </c>
      <c r="B15" s="69" t="s">
        <v>275</v>
      </c>
      <c r="C15" s="69" t="s">
        <v>276</v>
      </c>
      <c r="D15" s="103">
        <v>16000</v>
      </c>
      <c r="E15" s="103"/>
      <c r="F15" s="103"/>
      <c r="G15" s="104">
        <f t="shared" si="0"/>
        <v>16000</v>
      </c>
      <c r="H15" s="105">
        <f t="shared" si="1"/>
        <v>5.0261043293606165E-2</v>
      </c>
      <c r="I15" s="104">
        <f t="shared" si="2"/>
        <v>16000</v>
      </c>
      <c r="J15" s="105">
        <f t="shared" si="3"/>
        <v>5.0261043293606165E-2</v>
      </c>
      <c r="K15">
        <v>3</v>
      </c>
      <c r="M15" s="106">
        <v>51</v>
      </c>
      <c r="N15" s="150" t="s">
        <v>326</v>
      </c>
      <c r="O15" s="150" t="s">
        <v>327</v>
      </c>
      <c r="P15" s="151">
        <v>4255</v>
      </c>
      <c r="Q15" s="151"/>
      <c r="R15" s="151"/>
      <c r="S15" s="152">
        <v>4255</v>
      </c>
      <c r="T15" s="153">
        <v>1.336629620089339E-2</v>
      </c>
      <c r="U15" s="152">
        <v>4255</v>
      </c>
      <c r="V15" s="153">
        <v>1.336629620089339E-2</v>
      </c>
      <c r="W15" s="154">
        <v>1</v>
      </c>
    </row>
    <row r="16" spans="1:27">
      <c r="A16" s="107">
        <v>15</v>
      </c>
      <c r="B16" s="69" t="s">
        <v>277</v>
      </c>
      <c r="C16" s="69" t="s">
        <v>278</v>
      </c>
      <c r="D16" s="103">
        <v>10000</v>
      </c>
      <c r="E16" s="103"/>
      <c r="F16" s="103"/>
      <c r="G16" s="104">
        <f t="shared" si="0"/>
        <v>10000</v>
      </c>
      <c r="H16" s="105">
        <f t="shared" si="1"/>
        <v>3.1413152058503854E-2</v>
      </c>
      <c r="I16" s="104">
        <f t="shared" si="2"/>
        <v>10000</v>
      </c>
      <c r="J16" s="105">
        <f t="shared" si="3"/>
        <v>3.1413152058503854E-2</v>
      </c>
      <c r="K16">
        <v>1</v>
      </c>
      <c r="M16" s="106">
        <v>11</v>
      </c>
      <c r="N16" s="155" t="s">
        <v>269</v>
      </c>
      <c r="O16" s="155" t="s">
        <v>270</v>
      </c>
      <c r="P16" s="156">
        <v>4000</v>
      </c>
      <c r="Q16" s="156"/>
      <c r="R16" s="156"/>
      <c r="S16" s="157">
        <v>4000</v>
      </c>
      <c r="T16" s="158">
        <v>1.2565260823401541E-2</v>
      </c>
      <c r="U16" s="157">
        <v>4000</v>
      </c>
      <c r="V16" s="158">
        <v>1.2565260823401541E-2</v>
      </c>
      <c r="W16" s="159">
        <v>3</v>
      </c>
    </row>
    <row r="17" spans="1:23">
      <c r="A17" s="107">
        <v>16</v>
      </c>
      <c r="B17" s="69" t="s">
        <v>279</v>
      </c>
      <c r="C17" s="69" t="s">
        <v>280</v>
      </c>
      <c r="D17" s="103">
        <v>50</v>
      </c>
      <c r="E17" s="103"/>
      <c r="F17" s="103"/>
      <c r="G17" s="104">
        <f t="shared" si="0"/>
        <v>50</v>
      </c>
      <c r="H17" s="105">
        <f t="shared" si="1"/>
        <v>1.5706576029251928E-4</v>
      </c>
      <c r="I17" s="104">
        <f t="shared" si="2"/>
        <v>50</v>
      </c>
      <c r="J17" s="105">
        <f t="shared" si="3"/>
        <v>1.5706576029251928E-4</v>
      </c>
      <c r="K17">
        <v>1</v>
      </c>
      <c r="M17" s="106">
        <v>4</v>
      </c>
      <c r="N17" s="155" t="s">
        <v>257</v>
      </c>
      <c r="O17" s="155" t="s">
        <v>258</v>
      </c>
      <c r="P17" s="156">
        <v>2700</v>
      </c>
      <c r="Q17" s="156"/>
      <c r="R17" s="156"/>
      <c r="S17" s="157">
        <v>2700</v>
      </c>
      <c r="T17" s="158">
        <v>8.48155105579604E-3</v>
      </c>
      <c r="U17" s="157">
        <v>2700</v>
      </c>
      <c r="V17" s="158">
        <v>8.48155105579604E-3</v>
      </c>
      <c r="W17" s="159">
        <v>3</v>
      </c>
    </row>
    <row r="18" spans="1:23">
      <c r="A18" s="107">
        <v>17</v>
      </c>
      <c r="B18" s="69" t="s">
        <v>281</v>
      </c>
      <c r="C18" s="69" t="s">
        <v>282</v>
      </c>
      <c r="D18" s="103">
        <v>200</v>
      </c>
      <c r="E18" s="103"/>
      <c r="F18" s="103"/>
      <c r="G18" s="104">
        <f t="shared" si="0"/>
        <v>200</v>
      </c>
      <c r="H18" s="105">
        <f t="shared" si="1"/>
        <v>6.2826304117007711E-4</v>
      </c>
      <c r="I18" s="104">
        <f t="shared" si="2"/>
        <v>200</v>
      </c>
      <c r="J18" s="105">
        <f t="shared" si="3"/>
        <v>6.2826304117007711E-4</v>
      </c>
      <c r="K18">
        <v>1</v>
      </c>
      <c r="M18" s="106">
        <v>6</v>
      </c>
      <c r="N18" s="150" t="s">
        <v>261</v>
      </c>
      <c r="O18" s="150" t="s">
        <v>260</v>
      </c>
      <c r="P18" s="151">
        <v>2620</v>
      </c>
      <c r="Q18" s="151"/>
      <c r="R18" s="151"/>
      <c r="S18" s="152">
        <v>2620</v>
      </c>
      <c r="T18" s="153">
        <v>8.2302458393280105E-3</v>
      </c>
      <c r="U18" s="152">
        <v>2620</v>
      </c>
      <c r="V18" s="153">
        <v>8.2302458393280105E-3</v>
      </c>
      <c r="W18" s="154">
        <v>1</v>
      </c>
    </row>
    <row r="19" spans="1:23">
      <c r="A19" s="106">
        <v>18</v>
      </c>
      <c r="B19" s="69" t="s">
        <v>283</v>
      </c>
      <c r="C19" s="69" t="s">
        <v>284</v>
      </c>
      <c r="D19" s="103">
        <v>500</v>
      </c>
      <c r="E19" s="103"/>
      <c r="F19" s="103"/>
      <c r="G19" s="104">
        <f t="shared" si="0"/>
        <v>500</v>
      </c>
      <c r="H19" s="105">
        <f t="shared" si="1"/>
        <v>1.5706576029251927E-3</v>
      </c>
      <c r="I19" s="104">
        <f t="shared" si="2"/>
        <v>500</v>
      </c>
      <c r="J19" s="105">
        <f t="shared" si="3"/>
        <v>1.5706576029251927E-3</v>
      </c>
      <c r="K19">
        <v>2</v>
      </c>
      <c r="M19" s="106">
        <v>13</v>
      </c>
      <c r="N19" s="155" t="s">
        <v>273</v>
      </c>
      <c r="O19" s="155" t="s">
        <v>274</v>
      </c>
      <c r="P19" s="156">
        <v>2600</v>
      </c>
      <c r="Q19" s="156"/>
      <c r="R19" s="156"/>
      <c r="S19" s="157">
        <v>2600</v>
      </c>
      <c r="T19" s="158">
        <v>8.1674195352110027E-3</v>
      </c>
      <c r="U19" s="157">
        <v>2600</v>
      </c>
      <c r="V19" s="158">
        <v>8.1674195352110027E-3</v>
      </c>
      <c r="W19" s="159">
        <v>3</v>
      </c>
    </row>
    <row r="20" spans="1:23">
      <c r="A20" s="108">
        <v>19</v>
      </c>
      <c r="B20" s="69" t="s">
        <v>277</v>
      </c>
      <c r="C20" s="69" t="s">
        <v>285</v>
      </c>
      <c r="D20" s="103">
        <v>2500</v>
      </c>
      <c r="E20" s="103"/>
      <c r="F20" s="103"/>
      <c r="G20" s="104">
        <f t="shared" si="0"/>
        <v>2500</v>
      </c>
      <c r="H20" s="105">
        <f t="shared" si="1"/>
        <v>7.8532880146259636E-3</v>
      </c>
      <c r="I20" s="104">
        <f t="shared" si="2"/>
        <v>2500</v>
      </c>
      <c r="J20" s="105">
        <f t="shared" si="3"/>
        <v>7.8532880146259636E-3</v>
      </c>
      <c r="K20">
        <v>3</v>
      </c>
      <c r="M20" s="106">
        <v>41</v>
      </c>
      <c r="N20" s="150" t="s">
        <v>312</v>
      </c>
      <c r="O20" s="150" t="s">
        <v>313</v>
      </c>
      <c r="P20" s="151">
        <v>2000</v>
      </c>
      <c r="Q20" s="151"/>
      <c r="R20" s="151"/>
      <c r="S20" s="152">
        <v>2000</v>
      </c>
      <c r="T20" s="153">
        <v>6.2826304117007707E-3</v>
      </c>
      <c r="U20" s="152">
        <v>2000</v>
      </c>
      <c r="V20" s="153">
        <v>6.2826304117007707E-3</v>
      </c>
      <c r="W20" s="154">
        <v>1</v>
      </c>
    </row>
    <row r="21" spans="1:23">
      <c r="A21" s="108">
        <v>20</v>
      </c>
      <c r="B21" s="69" t="s">
        <v>286</v>
      </c>
      <c r="C21" s="69" t="s">
        <v>287</v>
      </c>
      <c r="D21" s="103">
        <v>1376</v>
      </c>
      <c r="E21" s="103"/>
      <c r="F21" s="103"/>
      <c r="G21" s="104">
        <f t="shared" si="0"/>
        <v>1376</v>
      </c>
      <c r="H21" s="105">
        <f t="shared" si="1"/>
        <v>4.3224497232501307E-3</v>
      </c>
      <c r="I21" s="104">
        <f t="shared" si="2"/>
        <v>1376</v>
      </c>
      <c r="J21" s="105">
        <f t="shared" si="3"/>
        <v>4.3224497232501307E-3</v>
      </c>
      <c r="K21">
        <v>3</v>
      </c>
      <c r="M21" s="106">
        <v>42</v>
      </c>
      <c r="N21" s="150" t="s">
        <v>314</v>
      </c>
      <c r="O21" s="150" t="s">
        <v>313</v>
      </c>
      <c r="P21" s="151">
        <v>1000</v>
      </c>
      <c r="Q21" s="151"/>
      <c r="R21" s="151"/>
      <c r="S21" s="152">
        <v>1000</v>
      </c>
      <c r="T21" s="153">
        <v>3.1413152058503853E-3</v>
      </c>
      <c r="U21" s="152">
        <v>1000</v>
      </c>
      <c r="V21" s="153">
        <v>3.1413152058503853E-3</v>
      </c>
      <c r="W21" s="154">
        <v>1</v>
      </c>
    </row>
    <row r="22" spans="1:23">
      <c r="A22" s="108">
        <v>21</v>
      </c>
      <c r="B22" s="69" t="s">
        <v>288</v>
      </c>
      <c r="C22" s="69" t="s">
        <v>287</v>
      </c>
      <c r="D22" s="103">
        <v>966</v>
      </c>
      <c r="E22" s="103"/>
      <c r="F22" s="103"/>
      <c r="G22" s="104">
        <f t="shared" si="0"/>
        <v>966</v>
      </c>
      <c r="H22" s="105">
        <f t="shared" si="1"/>
        <v>3.0345104888514721E-3</v>
      </c>
      <c r="I22" s="104">
        <f t="shared" si="2"/>
        <v>966</v>
      </c>
      <c r="J22" s="105">
        <f t="shared" si="3"/>
        <v>3.0345104888514721E-3</v>
      </c>
      <c r="K22">
        <v>3</v>
      </c>
      <c r="M22" s="106">
        <v>7</v>
      </c>
      <c r="N22" s="155" t="s">
        <v>262</v>
      </c>
      <c r="O22" s="155" t="s">
        <v>263</v>
      </c>
      <c r="P22" s="156">
        <v>601</v>
      </c>
      <c r="Q22" s="156"/>
      <c r="R22" s="156"/>
      <c r="S22" s="157">
        <v>601</v>
      </c>
      <c r="T22" s="158">
        <v>1.8879304387160816E-3</v>
      </c>
      <c r="U22" s="157">
        <v>601</v>
      </c>
      <c r="V22" s="158">
        <v>1.8879304387160816E-3</v>
      </c>
      <c r="W22" s="159">
        <v>3</v>
      </c>
    </row>
    <row r="23" spans="1:23">
      <c r="A23" s="106">
        <v>22</v>
      </c>
      <c r="B23" s="69" t="s">
        <v>289</v>
      </c>
      <c r="C23" s="69" t="s">
        <v>290</v>
      </c>
      <c r="D23" s="103"/>
      <c r="E23" s="103"/>
      <c r="F23" s="103">
        <v>361</v>
      </c>
      <c r="G23" s="104">
        <f t="shared" si="0"/>
        <v>361</v>
      </c>
      <c r="H23" s="105">
        <f t="shared" si="1"/>
        <v>1.1340147893119891E-3</v>
      </c>
      <c r="I23" s="104">
        <f t="shared" si="2"/>
        <v>0</v>
      </c>
      <c r="J23" s="105">
        <f t="shared" si="3"/>
        <v>0</v>
      </c>
      <c r="K23">
        <v>2</v>
      </c>
      <c r="M23" s="106">
        <v>1</v>
      </c>
      <c r="N23" s="150" t="s">
        <v>250</v>
      </c>
      <c r="O23" s="150" t="s">
        <v>251</v>
      </c>
      <c r="P23" s="151">
        <v>543</v>
      </c>
      <c r="Q23" s="151"/>
      <c r="R23" s="151"/>
      <c r="S23" s="152">
        <v>543</v>
      </c>
      <c r="T23" s="153">
        <v>1.7057341567767593E-3</v>
      </c>
      <c r="U23" s="152">
        <v>543</v>
      </c>
      <c r="V23" s="153">
        <v>1.7057341567767593E-3</v>
      </c>
      <c r="W23" s="154">
        <v>1</v>
      </c>
    </row>
    <row r="24" spans="1:23">
      <c r="A24" s="106">
        <v>23</v>
      </c>
      <c r="B24" s="2"/>
      <c r="C24" s="69" t="s">
        <v>291</v>
      </c>
      <c r="D24" s="103"/>
      <c r="E24" s="103">
        <v>361</v>
      </c>
      <c r="F24" s="103"/>
      <c r="G24" s="104">
        <f t="shared" si="0"/>
        <v>0</v>
      </c>
      <c r="H24" s="105">
        <f t="shared" si="1"/>
        <v>0</v>
      </c>
      <c r="I24" s="104">
        <f t="shared" si="2"/>
        <v>361</v>
      </c>
      <c r="J24" s="105">
        <f t="shared" si="3"/>
        <v>1.1340147893119891E-3</v>
      </c>
      <c r="K24">
        <v>2</v>
      </c>
      <c r="M24" s="106">
        <v>18</v>
      </c>
      <c r="N24" s="150" t="s">
        <v>283</v>
      </c>
      <c r="O24" s="150" t="s">
        <v>284</v>
      </c>
      <c r="P24" s="151">
        <v>500</v>
      </c>
      <c r="Q24" s="151"/>
      <c r="R24" s="151"/>
      <c r="S24" s="152">
        <v>500</v>
      </c>
      <c r="T24" s="153">
        <v>1.5706576029251927E-3</v>
      </c>
      <c r="U24" s="152">
        <v>500</v>
      </c>
      <c r="V24" s="153">
        <v>1.5706576029251927E-3</v>
      </c>
      <c r="W24" s="154">
        <v>1</v>
      </c>
    </row>
    <row r="25" spans="1:23">
      <c r="A25" s="107">
        <v>24</v>
      </c>
      <c r="B25" s="69" t="s">
        <v>292</v>
      </c>
      <c r="C25" s="69" t="s">
        <v>293</v>
      </c>
      <c r="D25" s="103">
        <v>2000</v>
      </c>
      <c r="E25" s="103"/>
      <c r="F25" s="103"/>
      <c r="G25" s="104">
        <f t="shared" si="0"/>
        <v>2000</v>
      </c>
      <c r="H25" s="105">
        <f t="shared" si="1"/>
        <v>6.2826304117007707E-3</v>
      </c>
      <c r="I25" s="104">
        <f t="shared" si="2"/>
        <v>2000</v>
      </c>
      <c r="J25" s="105">
        <f t="shared" si="3"/>
        <v>6.2826304117007707E-3</v>
      </c>
      <c r="K25">
        <v>1</v>
      </c>
      <c r="M25" s="106">
        <v>8</v>
      </c>
      <c r="N25" s="150" t="s">
        <v>264</v>
      </c>
      <c r="O25" s="150" t="s">
        <v>265</v>
      </c>
      <c r="P25" s="151">
        <v>460</v>
      </c>
      <c r="Q25" s="151"/>
      <c r="R25" s="151"/>
      <c r="S25" s="152">
        <v>460</v>
      </c>
      <c r="T25" s="153">
        <v>1.4450049946911772E-3</v>
      </c>
      <c r="U25" s="152">
        <v>460</v>
      </c>
      <c r="V25" s="153">
        <v>1.4450049946911772E-3</v>
      </c>
      <c r="W25" s="154">
        <v>1</v>
      </c>
    </row>
    <row r="26" spans="1:23">
      <c r="A26" s="2">
        <v>25</v>
      </c>
      <c r="B26" s="69" t="s">
        <v>294</v>
      </c>
      <c r="C26" s="69" t="s">
        <v>295</v>
      </c>
      <c r="D26" s="103">
        <v>30</v>
      </c>
      <c r="E26" s="103"/>
      <c r="F26" s="103"/>
      <c r="G26" s="104">
        <f t="shared" si="0"/>
        <v>30</v>
      </c>
      <c r="H26" s="105">
        <f t="shared" si="1"/>
        <v>9.4239456175511567E-5</v>
      </c>
      <c r="I26" s="104">
        <f t="shared" si="2"/>
        <v>30</v>
      </c>
      <c r="J26" s="105">
        <f t="shared" si="3"/>
        <v>9.4239456175511567E-5</v>
      </c>
      <c r="K26">
        <v>4</v>
      </c>
      <c r="M26" s="106">
        <v>9</v>
      </c>
      <c r="N26" s="150" t="s">
        <v>266</v>
      </c>
      <c r="O26" s="150" t="s">
        <v>267</v>
      </c>
      <c r="P26" s="151">
        <v>460</v>
      </c>
      <c r="Q26" s="151"/>
      <c r="R26" s="151"/>
      <c r="S26" s="152">
        <v>460</v>
      </c>
      <c r="T26" s="153">
        <v>1.4450049946911772E-3</v>
      </c>
      <c r="U26" s="152">
        <v>460</v>
      </c>
      <c r="V26" s="153">
        <v>1.4450049946911772E-3</v>
      </c>
      <c r="W26" s="154">
        <v>1</v>
      </c>
    </row>
    <row r="27" spans="1:23">
      <c r="A27" s="107">
        <v>26</v>
      </c>
      <c r="B27" s="69" t="s">
        <v>296</v>
      </c>
      <c r="C27" s="69" t="s">
        <v>297</v>
      </c>
      <c r="D27" s="103">
        <v>7905</v>
      </c>
      <c r="E27" s="103">
        <v>14350</v>
      </c>
      <c r="F27" s="103"/>
      <c r="G27" s="104">
        <f t="shared" si="0"/>
        <v>7905</v>
      </c>
      <c r="H27" s="105">
        <f t="shared" si="1"/>
        <v>2.4832096702247296E-2</v>
      </c>
      <c r="I27" s="104">
        <f t="shared" si="2"/>
        <v>22255</v>
      </c>
      <c r="J27" s="105">
        <f t="shared" si="3"/>
        <v>6.9909969906200325E-2</v>
      </c>
      <c r="K27">
        <v>1</v>
      </c>
      <c r="M27" s="106">
        <v>10</v>
      </c>
      <c r="N27" s="150" t="s">
        <v>268</v>
      </c>
      <c r="O27" s="150" t="s">
        <v>267</v>
      </c>
      <c r="P27" s="151">
        <v>460</v>
      </c>
      <c r="Q27" s="151"/>
      <c r="R27" s="151"/>
      <c r="S27" s="152">
        <v>460</v>
      </c>
      <c r="T27" s="153">
        <v>1.4450049946911772E-3</v>
      </c>
      <c r="U27" s="152">
        <v>460</v>
      </c>
      <c r="V27" s="153">
        <v>1.4450049946911772E-3</v>
      </c>
      <c r="W27" s="154">
        <v>1</v>
      </c>
    </row>
    <row r="28" spans="1:23">
      <c r="A28" s="108">
        <v>27</v>
      </c>
      <c r="B28" s="69" t="s">
        <v>298</v>
      </c>
      <c r="C28" s="69" t="s">
        <v>297</v>
      </c>
      <c r="D28" s="103">
        <v>2200</v>
      </c>
      <c r="E28" s="103"/>
      <c r="F28" s="103"/>
      <c r="G28" s="104">
        <f t="shared" si="0"/>
        <v>2200</v>
      </c>
      <c r="H28" s="105">
        <f t="shared" si="1"/>
        <v>6.910893452870848E-3</v>
      </c>
      <c r="I28" s="104">
        <f t="shared" si="2"/>
        <v>2200</v>
      </c>
      <c r="J28" s="105">
        <f t="shared" si="3"/>
        <v>6.910893452870848E-3</v>
      </c>
      <c r="K28">
        <v>3</v>
      </c>
      <c r="M28" s="106">
        <v>23</v>
      </c>
      <c r="N28" s="108"/>
      <c r="O28" s="155" t="s">
        <v>291</v>
      </c>
      <c r="P28" s="156"/>
      <c r="Q28" s="156">
        <v>361</v>
      </c>
      <c r="R28" s="156"/>
      <c r="S28" s="157">
        <v>0</v>
      </c>
      <c r="T28" s="158">
        <v>0</v>
      </c>
      <c r="U28" s="157">
        <v>361</v>
      </c>
      <c r="V28" s="158">
        <v>1.1340147893119891E-3</v>
      </c>
      <c r="W28" s="159">
        <v>3</v>
      </c>
    </row>
    <row r="29" spans="1:23">
      <c r="A29" s="106">
        <v>28</v>
      </c>
      <c r="B29" s="69" t="s">
        <v>257</v>
      </c>
      <c r="C29" s="69" t="s">
        <v>297</v>
      </c>
      <c r="D29" s="103">
        <v>17370</v>
      </c>
      <c r="E29" s="103"/>
      <c r="F29" s="103"/>
      <c r="G29" s="104">
        <f t="shared" si="0"/>
        <v>17370</v>
      </c>
      <c r="H29" s="105">
        <f t="shared" si="1"/>
        <v>5.4564645125621196E-2</v>
      </c>
      <c r="I29" s="104">
        <f t="shared" si="2"/>
        <v>17370</v>
      </c>
      <c r="J29" s="105">
        <f t="shared" si="3"/>
        <v>5.4564645125621196E-2</v>
      </c>
      <c r="K29">
        <v>2</v>
      </c>
      <c r="M29" s="106">
        <v>5</v>
      </c>
      <c r="N29" s="155" t="s">
        <v>259</v>
      </c>
      <c r="O29" s="155" t="s">
        <v>260</v>
      </c>
      <c r="P29" s="156">
        <v>150</v>
      </c>
      <c r="Q29" s="156"/>
      <c r="R29" s="156"/>
      <c r="S29" s="157">
        <v>150</v>
      </c>
      <c r="T29" s="158">
        <v>4.7119728087755783E-4</v>
      </c>
      <c r="U29" s="157">
        <v>150</v>
      </c>
      <c r="V29" s="158">
        <v>4.7119728087755783E-4</v>
      </c>
      <c r="W29" s="159">
        <v>3</v>
      </c>
    </row>
    <row r="30" spans="1:23">
      <c r="A30" s="106">
        <v>29</v>
      </c>
      <c r="B30" s="69" t="s">
        <v>299</v>
      </c>
      <c r="C30" s="69" t="s">
        <v>297</v>
      </c>
      <c r="D30" s="103">
        <v>2</v>
      </c>
      <c r="E30" s="103"/>
      <c r="F30" s="103"/>
      <c r="G30" s="104">
        <f t="shared" si="0"/>
        <v>2</v>
      </c>
      <c r="H30" s="105">
        <f t="shared" si="1"/>
        <v>6.2826304117007708E-6</v>
      </c>
      <c r="I30" s="104">
        <f t="shared" si="2"/>
        <v>2</v>
      </c>
      <c r="J30" s="105">
        <f t="shared" si="3"/>
        <v>6.2826304117007708E-6</v>
      </c>
      <c r="K30">
        <v>2</v>
      </c>
      <c r="M30" s="106">
        <v>30</v>
      </c>
      <c r="N30" s="155" t="s">
        <v>300</v>
      </c>
      <c r="O30" s="155" t="s">
        <v>297</v>
      </c>
      <c r="P30" s="156">
        <v>30</v>
      </c>
      <c r="Q30" s="156"/>
      <c r="R30" s="156"/>
      <c r="S30" s="157">
        <v>30</v>
      </c>
      <c r="T30" s="158">
        <v>9.4239456175511567E-5</v>
      </c>
      <c r="U30" s="157">
        <v>30</v>
      </c>
      <c r="V30" s="158">
        <v>9.4239456175511567E-5</v>
      </c>
      <c r="W30" s="159">
        <v>3</v>
      </c>
    </row>
    <row r="31" spans="1:23">
      <c r="A31" s="106">
        <v>30</v>
      </c>
      <c r="B31" s="69" t="s">
        <v>300</v>
      </c>
      <c r="C31" s="69" t="s">
        <v>297</v>
      </c>
      <c r="D31" s="103">
        <v>30</v>
      </c>
      <c r="E31" s="103"/>
      <c r="F31" s="103"/>
      <c r="G31" s="104">
        <f t="shared" si="0"/>
        <v>30</v>
      </c>
      <c r="H31" s="105">
        <f t="shared" si="1"/>
        <v>9.4239456175511567E-5</v>
      </c>
      <c r="I31" s="104">
        <f t="shared" si="2"/>
        <v>30</v>
      </c>
      <c r="J31" s="105">
        <f t="shared" si="3"/>
        <v>9.4239456175511567E-5</v>
      </c>
      <c r="K31">
        <v>2</v>
      </c>
      <c r="M31" s="106">
        <v>36</v>
      </c>
      <c r="N31" s="155" t="s">
        <v>305</v>
      </c>
      <c r="O31" s="155" t="s">
        <v>297</v>
      </c>
      <c r="P31" s="156">
        <v>29</v>
      </c>
      <c r="Q31" s="156"/>
      <c r="R31" s="156"/>
      <c r="S31" s="157">
        <v>29</v>
      </c>
      <c r="T31" s="158">
        <v>9.1098140969661184E-5</v>
      </c>
      <c r="U31" s="157">
        <v>29</v>
      </c>
      <c r="V31" s="158">
        <v>9.1098140969661184E-5</v>
      </c>
      <c r="W31" s="159">
        <v>3</v>
      </c>
    </row>
    <row r="32" spans="1:23">
      <c r="A32" s="106">
        <v>31</v>
      </c>
      <c r="B32" s="69" t="s">
        <v>301</v>
      </c>
      <c r="C32" s="69" t="s">
        <v>297</v>
      </c>
      <c r="D32" s="103">
        <v>7016</v>
      </c>
      <c r="E32" s="103"/>
      <c r="F32" s="103"/>
      <c r="G32" s="104">
        <f t="shared" si="0"/>
        <v>7016</v>
      </c>
      <c r="H32" s="105">
        <f t="shared" si="1"/>
        <v>2.2039467484246303E-2</v>
      </c>
      <c r="I32" s="104">
        <f t="shared" si="2"/>
        <v>7016</v>
      </c>
      <c r="J32" s="105">
        <f t="shared" si="3"/>
        <v>2.2039467484246303E-2</v>
      </c>
      <c r="K32">
        <v>2</v>
      </c>
      <c r="M32" s="106">
        <v>29</v>
      </c>
      <c r="N32" s="150" t="s">
        <v>299</v>
      </c>
      <c r="O32" s="150" t="s">
        <v>297</v>
      </c>
      <c r="P32" s="151">
        <v>2</v>
      </c>
      <c r="Q32" s="151"/>
      <c r="R32" s="151"/>
      <c r="S32" s="152">
        <v>2</v>
      </c>
      <c r="T32" s="153">
        <v>6.2826304117007708E-6</v>
      </c>
      <c r="U32" s="152">
        <v>2</v>
      </c>
      <c r="V32" s="153">
        <v>6.2826304117007708E-6</v>
      </c>
      <c r="W32" s="154">
        <v>1</v>
      </c>
    </row>
    <row r="33" spans="1:23">
      <c r="A33" s="107">
        <v>32</v>
      </c>
      <c r="B33" s="69" t="s">
        <v>279</v>
      </c>
      <c r="C33" s="69" t="s">
        <v>297</v>
      </c>
      <c r="D33" s="103">
        <v>43424</v>
      </c>
      <c r="E33" s="103">
        <v>20000</v>
      </c>
      <c r="F33" s="103">
        <v>59750</v>
      </c>
      <c r="G33" s="104">
        <f t="shared" si="0"/>
        <v>103174</v>
      </c>
      <c r="H33" s="105">
        <f t="shared" si="1"/>
        <v>0.32410205504840767</v>
      </c>
      <c r="I33" s="104">
        <f t="shared" si="2"/>
        <v>63424</v>
      </c>
      <c r="J33" s="105">
        <f t="shared" si="3"/>
        <v>0.19923477561585484</v>
      </c>
      <c r="K33">
        <v>1</v>
      </c>
      <c r="M33" s="106">
        <v>40</v>
      </c>
      <c r="N33" s="150" t="s">
        <v>310</v>
      </c>
      <c r="O33" s="150" t="s">
        <v>311</v>
      </c>
      <c r="P33" s="151">
        <v>2</v>
      </c>
      <c r="Q33" s="151"/>
      <c r="R33" s="151"/>
      <c r="S33" s="152">
        <v>2</v>
      </c>
      <c r="T33" s="153">
        <v>6.2826304117007708E-6</v>
      </c>
      <c r="U33" s="152">
        <v>2</v>
      </c>
      <c r="V33" s="153">
        <v>6.2826304117007708E-6</v>
      </c>
      <c r="W33" s="154">
        <v>1</v>
      </c>
    </row>
    <row r="34" spans="1:23">
      <c r="A34" s="108">
        <v>33</v>
      </c>
      <c r="B34" s="69" t="s">
        <v>302</v>
      </c>
      <c r="C34" s="69" t="s">
        <v>297</v>
      </c>
      <c r="D34" s="103">
        <v>16566</v>
      </c>
      <c r="E34" s="103">
        <v>16350</v>
      </c>
      <c r="F34" s="103"/>
      <c r="G34" s="104">
        <f t="shared" si="0"/>
        <v>16566</v>
      </c>
      <c r="H34" s="105">
        <f t="shared" si="1"/>
        <v>5.2039027700117486E-2</v>
      </c>
      <c r="I34" s="104">
        <f t="shared" si="2"/>
        <v>32916</v>
      </c>
      <c r="J34" s="105">
        <f t="shared" si="3"/>
        <v>0.10339953131577129</v>
      </c>
      <c r="K34">
        <v>3</v>
      </c>
      <c r="M34" s="106">
        <v>22</v>
      </c>
      <c r="N34" s="155" t="s">
        <v>289</v>
      </c>
      <c r="O34" s="155" t="s">
        <v>290</v>
      </c>
      <c r="P34" s="156"/>
      <c r="Q34" s="156"/>
      <c r="R34" s="156">
        <v>361</v>
      </c>
      <c r="S34" s="157">
        <v>361</v>
      </c>
      <c r="T34" s="158">
        <v>1.1340147893119891E-3</v>
      </c>
      <c r="U34" s="157">
        <v>0</v>
      </c>
      <c r="V34" s="158">
        <v>0</v>
      </c>
      <c r="W34" s="159">
        <v>3</v>
      </c>
    </row>
    <row r="35" spans="1:23">
      <c r="A35" s="107">
        <v>34</v>
      </c>
      <c r="B35" s="69" t="s">
        <v>303</v>
      </c>
      <c r="C35" s="69" t="s">
        <v>297</v>
      </c>
      <c r="D35" s="103">
        <v>8000</v>
      </c>
      <c r="E35" s="103"/>
      <c r="F35" s="103">
        <v>20000</v>
      </c>
      <c r="G35" s="104">
        <f t="shared" si="0"/>
        <v>28000</v>
      </c>
      <c r="H35" s="105">
        <f t="shared" si="1"/>
        <v>8.7956825763810795E-2</v>
      </c>
      <c r="I35" s="104">
        <f t="shared" si="2"/>
        <v>8000</v>
      </c>
      <c r="J35" s="105">
        <f t="shared" si="3"/>
        <v>2.5130521646803083E-2</v>
      </c>
      <c r="K35">
        <v>1</v>
      </c>
      <c r="M35" s="106">
        <v>35</v>
      </c>
      <c r="N35" s="150" t="s">
        <v>304</v>
      </c>
      <c r="O35" s="150" t="s">
        <v>297</v>
      </c>
      <c r="P35" s="151"/>
      <c r="Q35" s="151"/>
      <c r="R35" s="151">
        <v>6072</v>
      </c>
      <c r="S35" s="152">
        <v>6072</v>
      </c>
      <c r="T35" s="153">
        <v>1.9074065929923542E-2</v>
      </c>
      <c r="U35" s="152">
        <v>0</v>
      </c>
      <c r="V35" s="153">
        <v>0</v>
      </c>
      <c r="W35" s="154">
        <v>1</v>
      </c>
    </row>
    <row r="36" spans="1:23">
      <c r="A36" s="106">
        <v>35</v>
      </c>
      <c r="B36" s="69" t="s">
        <v>304</v>
      </c>
      <c r="C36" s="69" t="s">
        <v>297</v>
      </c>
      <c r="D36" s="103"/>
      <c r="E36" s="103"/>
      <c r="F36" s="103">
        <v>6072</v>
      </c>
      <c r="G36" s="104">
        <f t="shared" si="0"/>
        <v>6072</v>
      </c>
      <c r="H36" s="105">
        <f t="shared" si="1"/>
        <v>1.9074065929923542E-2</v>
      </c>
      <c r="I36" s="104">
        <f t="shared" si="2"/>
        <v>0</v>
      </c>
      <c r="J36" s="105">
        <f t="shared" si="3"/>
        <v>0</v>
      </c>
      <c r="K36">
        <v>2</v>
      </c>
      <c r="M36" s="108">
        <v>33</v>
      </c>
      <c r="N36" s="69" t="s">
        <v>302</v>
      </c>
      <c r="O36" s="69" t="s">
        <v>297</v>
      </c>
      <c r="P36" s="103">
        <v>16566</v>
      </c>
      <c r="Q36" s="103">
        <v>16350</v>
      </c>
      <c r="R36" s="103"/>
      <c r="S36" s="104">
        <v>16566</v>
      </c>
      <c r="T36" s="105">
        <v>5.2039027700117486E-2</v>
      </c>
      <c r="U36" s="104">
        <v>32916</v>
      </c>
      <c r="V36" s="105">
        <v>0.10339953131577129</v>
      </c>
      <c r="W36">
        <v>3</v>
      </c>
    </row>
    <row r="37" spans="1:23">
      <c r="A37" s="106">
        <v>36</v>
      </c>
      <c r="B37" s="69" t="s">
        <v>305</v>
      </c>
      <c r="C37" s="69" t="s">
        <v>297</v>
      </c>
      <c r="D37" s="103">
        <v>29</v>
      </c>
      <c r="E37" s="103"/>
      <c r="F37" s="103"/>
      <c r="G37" s="104">
        <f t="shared" si="0"/>
        <v>29</v>
      </c>
      <c r="H37" s="105">
        <f t="shared" si="1"/>
        <v>9.1098140969661184E-5</v>
      </c>
      <c r="I37" s="104">
        <f t="shared" si="2"/>
        <v>29</v>
      </c>
      <c r="J37" s="105">
        <f t="shared" si="3"/>
        <v>9.1098140969661184E-5</v>
      </c>
      <c r="K37">
        <v>2</v>
      </c>
      <c r="M37" s="108">
        <v>39</v>
      </c>
      <c r="N37" s="69" t="s">
        <v>309</v>
      </c>
      <c r="O37" s="69" t="s">
        <v>297</v>
      </c>
      <c r="P37" s="103">
        <v>5300</v>
      </c>
      <c r="Q37" s="103">
        <v>16350</v>
      </c>
      <c r="R37" s="103"/>
      <c r="S37" s="104">
        <v>5300</v>
      </c>
      <c r="T37" s="105">
        <v>1.6648970591007044E-2</v>
      </c>
      <c r="U37" s="104">
        <v>21650</v>
      </c>
      <c r="V37" s="105">
        <v>6.8009474206660842E-2</v>
      </c>
      <c r="W37">
        <v>3</v>
      </c>
    </row>
    <row r="38" spans="1:23">
      <c r="A38" s="106">
        <v>37</v>
      </c>
      <c r="B38" s="69" t="s">
        <v>306</v>
      </c>
      <c r="C38" s="69" t="s">
        <v>307</v>
      </c>
      <c r="D38" s="103">
        <v>18216</v>
      </c>
      <c r="E38" s="103">
        <v>6072</v>
      </c>
      <c r="F38" s="103"/>
      <c r="G38" s="104">
        <f t="shared" si="0"/>
        <v>18216</v>
      </c>
      <c r="H38" s="105">
        <f t="shared" si="1"/>
        <v>5.7222197789770619E-2</v>
      </c>
      <c r="I38" s="104">
        <f t="shared" si="2"/>
        <v>24288</v>
      </c>
      <c r="J38" s="105">
        <f t="shared" si="3"/>
        <v>7.6296263719694168E-2</v>
      </c>
      <c r="K38">
        <v>2</v>
      </c>
      <c r="M38" s="108">
        <v>38</v>
      </c>
      <c r="N38" s="150" t="s">
        <v>308</v>
      </c>
      <c r="O38" s="150" t="s">
        <v>297</v>
      </c>
      <c r="P38" s="151">
        <v>136</v>
      </c>
      <c r="Q38" s="151">
        <v>16350</v>
      </c>
      <c r="R38" s="151"/>
      <c r="S38" s="152">
        <v>136</v>
      </c>
      <c r="T38" s="153">
        <v>4.2721886799565245E-4</v>
      </c>
      <c r="U38" s="152">
        <v>16486</v>
      </c>
      <c r="V38" s="153">
        <v>5.1787722483649455E-2</v>
      </c>
      <c r="W38" s="154">
        <v>1</v>
      </c>
    </row>
    <row r="39" spans="1:23">
      <c r="A39" s="108">
        <v>38</v>
      </c>
      <c r="B39" s="69" t="s">
        <v>308</v>
      </c>
      <c r="C39" s="69" t="s">
        <v>297</v>
      </c>
      <c r="D39" s="103">
        <v>136</v>
      </c>
      <c r="E39" s="103">
        <v>16350</v>
      </c>
      <c r="F39" s="103"/>
      <c r="G39" s="104">
        <f t="shared" si="0"/>
        <v>136</v>
      </c>
      <c r="H39" s="105">
        <f t="shared" si="1"/>
        <v>4.2721886799565245E-4</v>
      </c>
      <c r="I39" s="104">
        <f t="shared" si="2"/>
        <v>16486</v>
      </c>
      <c r="J39" s="105">
        <f t="shared" si="3"/>
        <v>5.1787722483649455E-2</v>
      </c>
      <c r="K39">
        <v>3</v>
      </c>
      <c r="M39" s="108">
        <v>14</v>
      </c>
      <c r="N39" s="150" t="s">
        <v>275</v>
      </c>
      <c r="O39" s="150" t="s">
        <v>276</v>
      </c>
      <c r="P39" s="151">
        <v>16000</v>
      </c>
      <c r="Q39" s="151"/>
      <c r="R39" s="151"/>
      <c r="S39" s="152">
        <v>16000</v>
      </c>
      <c r="T39" s="153">
        <v>5.0261043293606165E-2</v>
      </c>
      <c r="U39" s="152">
        <v>16000</v>
      </c>
      <c r="V39" s="153">
        <v>5.0261043293606165E-2</v>
      </c>
      <c r="W39" s="154">
        <v>1</v>
      </c>
    </row>
    <row r="40" spans="1:23">
      <c r="A40" s="108">
        <v>39</v>
      </c>
      <c r="B40" s="69" t="s">
        <v>309</v>
      </c>
      <c r="C40" s="69" t="s">
        <v>297</v>
      </c>
      <c r="D40" s="103">
        <v>5300</v>
      </c>
      <c r="E40" s="103">
        <v>16350</v>
      </c>
      <c r="F40" s="103"/>
      <c r="G40" s="104">
        <f t="shared" si="0"/>
        <v>5300</v>
      </c>
      <c r="H40" s="105">
        <f t="shared" si="1"/>
        <v>1.6648970591007044E-2</v>
      </c>
      <c r="I40" s="104">
        <f t="shared" si="2"/>
        <v>21650</v>
      </c>
      <c r="J40" s="105">
        <f t="shared" si="3"/>
        <v>6.8009474206660842E-2</v>
      </c>
      <c r="K40">
        <v>3</v>
      </c>
      <c r="M40" s="108">
        <v>49</v>
      </c>
      <c r="N40" s="69" t="s">
        <v>324</v>
      </c>
      <c r="O40" s="69" t="s">
        <v>323</v>
      </c>
      <c r="P40" s="103">
        <v>8250</v>
      </c>
      <c r="Q40" s="103"/>
      <c r="R40" s="103"/>
      <c r="S40" s="104">
        <v>8250</v>
      </c>
      <c r="T40" s="105">
        <v>2.5915850448265679E-2</v>
      </c>
      <c r="U40" s="104">
        <v>8250</v>
      </c>
      <c r="V40" s="105">
        <v>2.5915850448265679E-2</v>
      </c>
      <c r="W40">
        <v>3</v>
      </c>
    </row>
    <row r="41" spans="1:23">
      <c r="A41" s="106">
        <v>40</v>
      </c>
      <c r="B41" s="69" t="s">
        <v>310</v>
      </c>
      <c r="C41" s="69" t="s">
        <v>311</v>
      </c>
      <c r="D41" s="103">
        <v>2</v>
      </c>
      <c r="E41" s="103"/>
      <c r="F41" s="103"/>
      <c r="G41" s="104">
        <f t="shared" si="0"/>
        <v>2</v>
      </c>
      <c r="H41" s="105">
        <f t="shared" si="1"/>
        <v>6.2826304117007708E-6</v>
      </c>
      <c r="I41" s="104">
        <f t="shared" si="2"/>
        <v>2</v>
      </c>
      <c r="J41" s="105">
        <f t="shared" si="3"/>
        <v>6.2826304117007708E-6</v>
      </c>
      <c r="K41">
        <v>2</v>
      </c>
      <c r="M41" s="108">
        <v>3</v>
      </c>
      <c r="N41" s="69" t="s">
        <v>255</v>
      </c>
      <c r="O41" s="69" t="s">
        <v>256</v>
      </c>
      <c r="P41" s="103">
        <v>4000</v>
      </c>
      <c r="Q41" s="103"/>
      <c r="R41" s="103"/>
      <c r="S41" s="104">
        <v>4000</v>
      </c>
      <c r="T41" s="105">
        <v>1.2565260823401541E-2</v>
      </c>
      <c r="U41" s="104">
        <v>4000</v>
      </c>
      <c r="V41" s="105">
        <v>1.2565260823401541E-2</v>
      </c>
      <c r="W41">
        <v>3</v>
      </c>
    </row>
    <row r="42" spans="1:23">
      <c r="A42" s="106">
        <v>41</v>
      </c>
      <c r="B42" s="69" t="s">
        <v>312</v>
      </c>
      <c r="C42" s="69" t="s">
        <v>313</v>
      </c>
      <c r="D42" s="103">
        <v>2000</v>
      </c>
      <c r="E42" s="103"/>
      <c r="F42" s="103"/>
      <c r="G42" s="104">
        <f t="shared" si="0"/>
        <v>2000</v>
      </c>
      <c r="H42" s="105">
        <f t="shared" si="1"/>
        <v>6.2826304117007707E-3</v>
      </c>
      <c r="I42" s="104">
        <f t="shared" si="2"/>
        <v>2000</v>
      </c>
      <c r="J42" s="105">
        <f t="shared" si="3"/>
        <v>6.2826304117007707E-3</v>
      </c>
      <c r="K42">
        <v>2</v>
      </c>
      <c r="M42" s="108">
        <v>19</v>
      </c>
      <c r="N42" s="69" t="s">
        <v>277</v>
      </c>
      <c r="O42" s="69" t="s">
        <v>285</v>
      </c>
      <c r="P42" s="103">
        <v>2500</v>
      </c>
      <c r="Q42" s="103"/>
      <c r="R42" s="103"/>
      <c r="S42" s="104">
        <v>2500</v>
      </c>
      <c r="T42" s="105">
        <v>7.8532880146259636E-3</v>
      </c>
      <c r="U42" s="104">
        <v>2500</v>
      </c>
      <c r="V42" s="105">
        <v>7.8532880146259636E-3</v>
      </c>
      <c r="W42">
        <v>3</v>
      </c>
    </row>
    <row r="43" spans="1:23">
      <c r="A43" s="106">
        <v>42</v>
      </c>
      <c r="B43" s="69" t="s">
        <v>314</v>
      </c>
      <c r="C43" s="69" t="s">
        <v>313</v>
      </c>
      <c r="D43" s="103">
        <v>1000</v>
      </c>
      <c r="E43" s="103"/>
      <c r="F43" s="103"/>
      <c r="G43" s="104">
        <f t="shared" si="0"/>
        <v>1000</v>
      </c>
      <c r="H43" s="105">
        <f t="shared" si="1"/>
        <v>3.1413152058503853E-3</v>
      </c>
      <c r="I43" s="104">
        <f t="shared" si="2"/>
        <v>1000</v>
      </c>
      <c r="J43" s="105">
        <f t="shared" si="3"/>
        <v>3.1413152058503853E-3</v>
      </c>
      <c r="K43">
        <v>2</v>
      </c>
      <c r="M43" s="108">
        <v>50</v>
      </c>
      <c r="N43" s="69" t="s">
        <v>325</v>
      </c>
      <c r="O43" s="69" t="s">
        <v>323</v>
      </c>
      <c r="P43" s="103">
        <v>2500</v>
      </c>
      <c r="Q43" s="103"/>
      <c r="R43" s="103"/>
      <c r="S43" s="104">
        <v>2500</v>
      </c>
      <c r="T43" s="105">
        <v>7.8532880146259636E-3</v>
      </c>
      <c r="U43" s="104">
        <v>2500</v>
      </c>
      <c r="V43" s="105">
        <v>7.8532880146259636E-3</v>
      </c>
      <c r="W43">
        <v>3</v>
      </c>
    </row>
    <row r="44" spans="1:23">
      <c r="A44" s="106">
        <v>43</v>
      </c>
      <c r="B44" s="69" t="s">
        <v>315</v>
      </c>
      <c r="C44" s="69" t="s">
        <v>313</v>
      </c>
      <c r="D44" s="103">
        <v>5200</v>
      </c>
      <c r="E44" s="103">
        <v>16350</v>
      </c>
      <c r="F44" s="103"/>
      <c r="G44" s="104">
        <f t="shared" si="0"/>
        <v>5200</v>
      </c>
      <c r="H44" s="105">
        <f t="shared" si="1"/>
        <v>1.6334839070422005E-2</v>
      </c>
      <c r="I44" s="104">
        <f t="shared" si="2"/>
        <v>21550</v>
      </c>
      <c r="J44" s="105">
        <f t="shared" si="3"/>
        <v>6.7695342686075813E-2</v>
      </c>
      <c r="K44">
        <v>2</v>
      </c>
      <c r="M44" s="108">
        <v>27</v>
      </c>
      <c r="N44" s="69" t="s">
        <v>298</v>
      </c>
      <c r="O44" s="69" t="s">
        <v>297</v>
      </c>
      <c r="P44" s="103">
        <v>2200</v>
      </c>
      <c r="Q44" s="103"/>
      <c r="R44" s="103"/>
      <c r="S44" s="104">
        <v>2200</v>
      </c>
      <c r="T44" s="105">
        <v>6.910893452870848E-3</v>
      </c>
      <c r="U44" s="104">
        <v>2200</v>
      </c>
      <c r="V44" s="105">
        <v>6.910893452870848E-3</v>
      </c>
      <c r="W44">
        <v>3</v>
      </c>
    </row>
    <row r="45" spans="1:23">
      <c r="A45" s="2">
        <v>44</v>
      </c>
      <c r="B45" s="69" t="s">
        <v>316</v>
      </c>
      <c r="C45" s="69" t="s">
        <v>317</v>
      </c>
      <c r="D45" s="103">
        <v>867</v>
      </c>
      <c r="E45" s="103"/>
      <c r="F45" s="103"/>
      <c r="G45" s="104">
        <f t="shared" si="0"/>
        <v>867</v>
      </c>
      <c r="H45" s="105">
        <f t="shared" si="1"/>
        <v>2.7235202834722844E-3</v>
      </c>
      <c r="I45" s="104">
        <f t="shared" si="2"/>
        <v>867</v>
      </c>
      <c r="J45" s="105">
        <f t="shared" si="3"/>
        <v>2.7235202834722844E-3</v>
      </c>
      <c r="K45">
        <v>4</v>
      </c>
      <c r="M45" s="108">
        <v>20</v>
      </c>
      <c r="N45" s="150" t="s">
        <v>286</v>
      </c>
      <c r="O45" s="150" t="s">
        <v>287</v>
      </c>
      <c r="P45" s="151">
        <v>1376</v>
      </c>
      <c r="Q45" s="151"/>
      <c r="R45" s="151"/>
      <c r="S45" s="152">
        <v>1376</v>
      </c>
      <c r="T45" s="153">
        <v>4.3224497232501307E-3</v>
      </c>
      <c r="U45" s="152">
        <v>1376</v>
      </c>
      <c r="V45" s="153">
        <v>4.3224497232501307E-3</v>
      </c>
      <c r="W45" s="154">
        <v>1</v>
      </c>
    </row>
    <row r="46" spans="1:23">
      <c r="A46" s="2">
        <v>45</v>
      </c>
      <c r="B46" s="69" t="s">
        <v>305</v>
      </c>
      <c r="C46" s="69" t="s">
        <v>317</v>
      </c>
      <c r="D46" s="103">
        <v>866</v>
      </c>
      <c r="E46" s="103"/>
      <c r="F46" s="103"/>
      <c r="G46" s="104">
        <f t="shared" si="0"/>
        <v>866</v>
      </c>
      <c r="H46" s="105">
        <f t="shared" si="1"/>
        <v>2.7203789682664339E-3</v>
      </c>
      <c r="I46" s="104">
        <f t="shared" si="2"/>
        <v>866</v>
      </c>
      <c r="J46" s="105">
        <f t="shared" si="3"/>
        <v>2.7203789682664339E-3</v>
      </c>
      <c r="K46">
        <v>4</v>
      </c>
      <c r="M46" s="108">
        <v>48</v>
      </c>
      <c r="N46" s="69" t="s">
        <v>322</v>
      </c>
      <c r="O46" s="69" t="s">
        <v>323</v>
      </c>
      <c r="P46" s="103">
        <v>1000</v>
      </c>
      <c r="Q46" s="103"/>
      <c r="R46" s="103"/>
      <c r="S46" s="104">
        <v>1000</v>
      </c>
      <c r="T46" s="105">
        <v>3.1413152058503853E-3</v>
      </c>
      <c r="U46" s="104">
        <v>1000</v>
      </c>
      <c r="V46" s="105">
        <v>3.1413152058503853E-3</v>
      </c>
      <c r="W46">
        <v>3</v>
      </c>
    </row>
    <row r="47" spans="1:23">
      <c r="A47" s="108">
        <v>46</v>
      </c>
      <c r="B47" s="69" t="s">
        <v>318</v>
      </c>
      <c r="C47" s="69" t="s">
        <v>319</v>
      </c>
      <c r="D47" s="103">
        <v>956</v>
      </c>
      <c r="E47" s="103"/>
      <c r="F47" s="103"/>
      <c r="G47" s="104">
        <f t="shared" si="0"/>
        <v>956</v>
      </c>
      <c r="H47" s="105">
        <f t="shared" si="1"/>
        <v>3.0030973367929687E-3</v>
      </c>
      <c r="I47" s="104">
        <f t="shared" si="2"/>
        <v>956</v>
      </c>
      <c r="J47" s="105">
        <f t="shared" si="3"/>
        <v>3.0030973367929687E-3</v>
      </c>
      <c r="K47">
        <v>3</v>
      </c>
      <c r="M47" s="108">
        <v>21</v>
      </c>
      <c r="N47" s="150" t="s">
        <v>288</v>
      </c>
      <c r="O47" s="150" t="s">
        <v>287</v>
      </c>
      <c r="P47" s="151">
        <v>966</v>
      </c>
      <c r="Q47" s="151"/>
      <c r="R47" s="151"/>
      <c r="S47" s="152">
        <v>966</v>
      </c>
      <c r="T47" s="153">
        <v>3.0345104888514721E-3</v>
      </c>
      <c r="U47" s="152">
        <v>966</v>
      </c>
      <c r="V47" s="153">
        <v>3.0345104888514721E-3</v>
      </c>
      <c r="W47" s="154">
        <v>1</v>
      </c>
    </row>
    <row r="48" spans="1:23">
      <c r="A48" s="107">
        <v>47</v>
      </c>
      <c r="B48" s="69" t="s">
        <v>320</v>
      </c>
      <c r="C48" s="69" t="s">
        <v>321</v>
      </c>
      <c r="D48" s="103">
        <v>500</v>
      </c>
      <c r="E48" s="103"/>
      <c r="F48" s="103"/>
      <c r="G48" s="104">
        <f t="shared" si="0"/>
        <v>500</v>
      </c>
      <c r="H48" s="105">
        <f t="shared" si="1"/>
        <v>1.5706576029251927E-3</v>
      </c>
      <c r="I48" s="104">
        <f t="shared" si="2"/>
        <v>500</v>
      </c>
      <c r="J48" s="105">
        <f t="shared" si="3"/>
        <v>1.5706576029251927E-3</v>
      </c>
      <c r="K48">
        <v>1</v>
      </c>
      <c r="M48" s="108">
        <v>46</v>
      </c>
      <c r="N48" s="150" t="s">
        <v>318</v>
      </c>
      <c r="O48" s="150" t="s">
        <v>319</v>
      </c>
      <c r="P48" s="151">
        <v>956</v>
      </c>
      <c r="Q48" s="151"/>
      <c r="R48" s="151"/>
      <c r="S48" s="152">
        <v>956</v>
      </c>
      <c r="T48" s="153">
        <v>3.0030973367929687E-3</v>
      </c>
      <c r="U48" s="152">
        <v>956</v>
      </c>
      <c r="V48" s="153">
        <v>3.0030973367929687E-3</v>
      </c>
      <c r="W48" s="154">
        <v>1</v>
      </c>
    </row>
    <row r="49" spans="1:23">
      <c r="A49" s="108">
        <v>48</v>
      </c>
      <c r="B49" s="69" t="s">
        <v>322</v>
      </c>
      <c r="C49" s="69" t="s">
        <v>323</v>
      </c>
      <c r="D49" s="103">
        <v>1000</v>
      </c>
      <c r="E49" s="103"/>
      <c r="F49" s="103"/>
      <c r="G49" s="104">
        <f t="shared" si="0"/>
        <v>1000</v>
      </c>
      <c r="H49" s="105">
        <f t="shared" si="1"/>
        <v>3.1413152058503853E-3</v>
      </c>
      <c r="I49" s="104">
        <f t="shared" si="2"/>
        <v>1000</v>
      </c>
      <c r="J49" s="105">
        <f t="shared" si="3"/>
        <v>3.1413152058503853E-3</v>
      </c>
      <c r="K49">
        <v>3</v>
      </c>
      <c r="M49" s="2">
        <v>44</v>
      </c>
      <c r="N49" s="150" t="s">
        <v>316</v>
      </c>
      <c r="O49" s="150" t="s">
        <v>317</v>
      </c>
      <c r="P49" s="151">
        <v>867</v>
      </c>
      <c r="Q49" s="151"/>
      <c r="R49" s="151"/>
      <c r="S49" s="152">
        <v>867</v>
      </c>
      <c r="T49" s="153">
        <v>2.7235202834722844E-3</v>
      </c>
      <c r="U49" s="152">
        <v>867</v>
      </c>
      <c r="V49" s="153">
        <v>2.7235202834722844E-3</v>
      </c>
      <c r="W49" s="154">
        <v>1</v>
      </c>
    </row>
    <row r="50" spans="1:23">
      <c r="A50" s="108">
        <v>49</v>
      </c>
      <c r="B50" s="69" t="s">
        <v>324</v>
      </c>
      <c r="C50" s="69" t="s">
        <v>323</v>
      </c>
      <c r="D50" s="103">
        <v>8250</v>
      </c>
      <c r="E50" s="103"/>
      <c r="F50" s="103"/>
      <c r="G50" s="104">
        <f t="shared" si="0"/>
        <v>8250</v>
      </c>
      <c r="H50" s="105">
        <f t="shared" si="1"/>
        <v>2.5915850448265679E-2</v>
      </c>
      <c r="I50" s="104">
        <f t="shared" si="2"/>
        <v>8250</v>
      </c>
      <c r="J50" s="105">
        <f t="shared" si="3"/>
        <v>2.5915850448265679E-2</v>
      </c>
      <c r="K50">
        <v>3</v>
      </c>
      <c r="M50" s="2">
        <v>52</v>
      </c>
      <c r="N50" s="150" t="s">
        <v>328</v>
      </c>
      <c r="O50" s="150" t="s">
        <v>329</v>
      </c>
      <c r="P50" s="151">
        <v>867</v>
      </c>
      <c r="Q50" s="151"/>
      <c r="R50" s="151"/>
      <c r="S50" s="152">
        <v>867</v>
      </c>
      <c r="T50" s="153">
        <v>2.7235202834722844E-3</v>
      </c>
      <c r="U50" s="152">
        <v>867</v>
      </c>
      <c r="V50" s="153">
        <v>2.7235202834722844E-3</v>
      </c>
      <c r="W50" s="154">
        <v>1</v>
      </c>
    </row>
    <row r="51" spans="1:23">
      <c r="A51" s="108">
        <v>50</v>
      </c>
      <c r="B51" s="69" t="s">
        <v>325</v>
      </c>
      <c r="C51" s="69" t="s">
        <v>323</v>
      </c>
      <c r="D51" s="103">
        <v>2500</v>
      </c>
      <c r="E51" s="103"/>
      <c r="F51" s="103"/>
      <c r="G51" s="104">
        <f t="shared" si="0"/>
        <v>2500</v>
      </c>
      <c r="H51" s="105">
        <f t="shared" si="1"/>
        <v>7.8532880146259636E-3</v>
      </c>
      <c r="I51" s="104">
        <f t="shared" si="2"/>
        <v>2500</v>
      </c>
      <c r="J51" s="105">
        <f t="shared" si="3"/>
        <v>7.8532880146259636E-3</v>
      </c>
      <c r="K51">
        <v>3</v>
      </c>
      <c r="M51" s="2">
        <v>45</v>
      </c>
      <c r="N51" s="150" t="s">
        <v>305</v>
      </c>
      <c r="O51" s="150" t="s">
        <v>317</v>
      </c>
      <c r="P51" s="151">
        <v>866</v>
      </c>
      <c r="Q51" s="151"/>
      <c r="R51" s="151"/>
      <c r="S51" s="152">
        <v>866</v>
      </c>
      <c r="T51" s="153">
        <v>2.7203789682664339E-3</v>
      </c>
      <c r="U51" s="152">
        <v>866</v>
      </c>
      <c r="V51" s="153">
        <v>2.7203789682664339E-3</v>
      </c>
      <c r="W51" s="154">
        <v>1</v>
      </c>
    </row>
    <row r="52" spans="1:23">
      <c r="A52" s="106">
        <v>51</v>
      </c>
      <c r="B52" s="69" t="s">
        <v>326</v>
      </c>
      <c r="C52" s="69" t="s">
        <v>327</v>
      </c>
      <c r="D52" s="103">
        <v>4255</v>
      </c>
      <c r="E52" s="103"/>
      <c r="F52" s="103"/>
      <c r="G52" s="104">
        <f t="shared" si="0"/>
        <v>4255</v>
      </c>
      <c r="H52" s="105">
        <f t="shared" si="1"/>
        <v>1.336629620089339E-2</v>
      </c>
      <c r="I52" s="104">
        <f t="shared" si="2"/>
        <v>4255</v>
      </c>
      <c r="J52" s="105">
        <f t="shared" si="3"/>
        <v>1.336629620089339E-2</v>
      </c>
      <c r="K52">
        <v>2</v>
      </c>
      <c r="M52" s="2">
        <v>25</v>
      </c>
      <c r="N52" s="160" t="s">
        <v>294</v>
      </c>
      <c r="O52" s="160" t="s">
        <v>295</v>
      </c>
      <c r="P52" s="110">
        <v>30</v>
      </c>
      <c r="Q52" s="110"/>
      <c r="R52" s="110"/>
      <c r="S52" s="161">
        <v>30</v>
      </c>
      <c r="T52" s="162">
        <v>9.4239456175511567E-5</v>
      </c>
      <c r="U52" s="161">
        <v>30</v>
      </c>
      <c r="V52" s="162">
        <v>9.4239456175511567E-5</v>
      </c>
      <c r="W52" s="49">
        <v>4</v>
      </c>
    </row>
    <row r="53" spans="1:23">
      <c r="A53" s="2">
        <v>52</v>
      </c>
      <c r="B53" s="69" t="s">
        <v>328</v>
      </c>
      <c r="C53" s="69" t="s">
        <v>329</v>
      </c>
      <c r="D53" s="103">
        <v>867</v>
      </c>
      <c r="E53" s="103"/>
      <c r="F53" s="103"/>
      <c r="G53" s="104">
        <f t="shared" si="0"/>
        <v>867</v>
      </c>
      <c r="H53" s="105">
        <f t="shared" si="1"/>
        <v>2.7235202834722844E-3</v>
      </c>
      <c r="I53" s="104">
        <f t="shared" si="2"/>
        <v>867</v>
      </c>
      <c r="J53" s="105">
        <f t="shared" si="3"/>
        <v>2.7235202834722844E-3</v>
      </c>
      <c r="K53">
        <v>4</v>
      </c>
      <c r="M53" s="2">
        <v>2</v>
      </c>
      <c r="N53" s="155" t="s">
        <v>253</v>
      </c>
      <c r="O53" s="155" t="s">
        <v>254</v>
      </c>
      <c r="P53" s="156"/>
      <c r="Q53" s="156"/>
      <c r="R53" s="156">
        <v>20000</v>
      </c>
      <c r="S53" s="157">
        <v>20000</v>
      </c>
      <c r="T53" s="158">
        <v>6.2826304117007709E-2</v>
      </c>
      <c r="U53" s="157">
        <v>0</v>
      </c>
      <c r="V53" s="158">
        <v>0</v>
      </c>
      <c r="W53" s="159">
        <v>3</v>
      </c>
    </row>
    <row r="54" spans="1:23" ht="13.5" thickBot="1">
      <c r="D54" s="97">
        <f>SUM(D2:D53)</f>
        <v>212155</v>
      </c>
      <c r="E54" s="97">
        <f t="shared" ref="E54:F54" si="4">SUM(E2:E53)</f>
        <v>106183</v>
      </c>
      <c r="F54" s="97">
        <f t="shared" si="4"/>
        <v>106183</v>
      </c>
      <c r="G54" s="97">
        <f>SUM(G2:G53)</f>
        <v>318338</v>
      </c>
      <c r="H54" s="98">
        <f t="shared" ref="H54" si="5">SUM(H2:H53)</f>
        <v>0.99999999999999989</v>
      </c>
      <c r="I54" s="99">
        <f>SUM(I2:I53)</f>
        <v>318338</v>
      </c>
      <c r="J54" s="98">
        <f t="shared" si="3"/>
        <v>1</v>
      </c>
      <c r="P54" s="97">
        <v>212155</v>
      </c>
      <c r="Q54" s="97">
        <v>106183</v>
      </c>
      <c r="R54" s="97">
        <v>106183</v>
      </c>
      <c r="S54" s="97">
        <v>318338</v>
      </c>
      <c r="T54" s="98">
        <v>0.99999999999999989</v>
      </c>
      <c r="U54" s="99">
        <v>318338</v>
      </c>
      <c r="V54" s="98">
        <v>1</v>
      </c>
    </row>
    <row r="55" spans="1:23" ht="13.5" thickBot="1">
      <c r="F55" s="100">
        <f>D54+F54</f>
        <v>318338</v>
      </c>
      <c r="R55" s="100">
        <v>318338</v>
      </c>
    </row>
  </sheetData>
  <mergeCells count="4">
    <mergeCell ref="G1:H1"/>
    <mergeCell ref="I1:J1"/>
    <mergeCell ref="S1:T1"/>
    <mergeCell ref="U1:V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5:P22"/>
  <sheetViews>
    <sheetView workbookViewId="0">
      <selection activeCell="B23" sqref="B23"/>
    </sheetView>
  </sheetViews>
  <sheetFormatPr baseColWidth="10" defaultRowHeight="12.75"/>
  <cols>
    <col min="3" max="4" width="12.85546875" bestFit="1" customWidth="1"/>
    <col min="5" max="5" width="11.85546875" bestFit="1" customWidth="1"/>
    <col min="6" max="6" width="22.140625" bestFit="1" customWidth="1"/>
    <col min="13" max="13" width="15.42578125" bestFit="1" customWidth="1"/>
    <col min="14" max="14" width="12.85546875" bestFit="1" customWidth="1"/>
    <col min="15" max="15" width="14.42578125" bestFit="1" customWidth="1"/>
  </cols>
  <sheetData>
    <row r="5" spans="2:6">
      <c r="B5" s="3" t="s">
        <v>351</v>
      </c>
    </row>
    <row r="7" spans="2:6">
      <c r="B7" s="127"/>
      <c r="C7" s="128" t="s">
        <v>343</v>
      </c>
      <c r="D7" s="128" t="s">
        <v>344</v>
      </c>
      <c r="E7" s="128" t="s">
        <v>342</v>
      </c>
      <c r="F7" s="127"/>
    </row>
    <row r="8" spans="2:6">
      <c r="B8" s="133" t="s">
        <v>352</v>
      </c>
      <c r="C8" s="2"/>
      <c r="D8" s="129">
        <v>0.6</v>
      </c>
      <c r="E8" s="2"/>
      <c r="F8" s="130"/>
    </row>
    <row r="9" spans="2:6">
      <c r="B9" s="133" t="s">
        <v>345</v>
      </c>
      <c r="C9" s="103">
        <v>50000</v>
      </c>
      <c r="D9" s="103">
        <f>C9*D8</f>
        <v>30000</v>
      </c>
      <c r="E9" s="136">
        <v>120</v>
      </c>
      <c r="F9" s="134" t="s">
        <v>349</v>
      </c>
    </row>
    <row r="10" spans="2:6">
      <c r="B10" s="133" t="s">
        <v>346</v>
      </c>
      <c r="C10" s="103">
        <v>370</v>
      </c>
      <c r="D10" s="103">
        <v>820</v>
      </c>
      <c r="E10" s="131">
        <f>D9*E9</f>
        <v>3600000</v>
      </c>
      <c r="F10" s="135" t="s">
        <v>350</v>
      </c>
    </row>
    <row r="11" spans="2:6">
      <c r="B11" s="133" t="s">
        <v>347</v>
      </c>
      <c r="C11" s="103">
        <f>C9*C10</f>
        <v>18500000</v>
      </c>
      <c r="D11" s="103">
        <f>D9*D10</f>
        <v>24600000</v>
      </c>
      <c r="E11" s="137">
        <f>E10/D12</f>
        <v>8.3526682134570762E-2</v>
      </c>
      <c r="F11" s="134" t="s">
        <v>354</v>
      </c>
    </row>
    <row r="12" spans="2:6">
      <c r="B12" s="133" t="s">
        <v>348</v>
      </c>
      <c r="C12" s="103"/>
      <c r="D12" s="136">
        <f>C11+D11</f>
        <v>43100000</v>
      </c>
      <c r="E12" s="2"/>
      <c r="F12" s="132"/>
    </row>
    <row r="15" spans="2:6">
      <c r="B15" s="138" t="s">
        <v>353</v>
      </c>
    </row>
    <row r="21" spans="13:16">
      <c r="M21" s="126"/>
      <c r="N21" s="126"/>
      <c r="O21" s="126"/>
      <c r="P21" s="126"/>
    </row>
    <row r="22" spans="13:16">
      <c r="M22" s="126"/>
      <c r="N22" s="126"/>
      <c r="O22" s="126"/>
      <c r="P22" s="1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16"/>
  <sheetViews>
    <sheetView showGridLines="0" topLeftCell="P86" zoomScale="90" zoomScaleNormal="90" workbookViewId="0">
      <selection activeCell="AA111" sqref="AA111"/>
    </sheetView>
  </sheetViews>
  <sheetFormatPr baseColWidth="10" defaultColWidth="7.28515625" defaultRowHeight="12.75"/>
  <cols>
    <col min="1" max="1" width="25.28515625" customWidth="1"/>
    <col min="2" max="2" width="5.42578125" customWidth="1"/>
    <col min="3" max="7" width="7.28515625" customWidth="1"/>
    <col min="8" max="8" width="7.42578125" customWidth="1"/>
    <col min="13" max="13" width="2.28515625" customWidth="1"/>
    <col min="14" max="14" width="9.42578125" customWidth="1"/>
    <col min="15" max="15" width="8.28515625" customWidth="1"/>
    <col min="16" max="16" width="7.85546875" customWidth="1"/>
    <col min="17" max="17" width="8.7109375" customWidth="1"/>
    <col min="18" max="18" width="7.7109375" customWidth="1"/>
    <col min="19" max="19" width="8.42578125" customWidth="1"/>
    <col min="20" max="20" width="8.85546875" customWidth="1"/>
    <col min="21" max="21" width="8.140625" customWidth="1"/>
    <col min="22" max="22" width="8.7109375" customWidth="1"/>
    <col min="23" max="23" width="8" customWidth="1"/>
    <col min="24" max="24" width="14" customWidth="1"/>
    <col min="25" max="25" width="2.42578125" customWidth="1"/>
    <col min="26" max="26" width="13.5703125" customWidth="1"/>
    <col min="27" max="27" width="14.140625" bestFit="1" customWidth="1"/>
    <col min="28" max="28" width="13.5703125" customWidth="1"/>
    <col min="29" max="29" width="13.42578125" bestFit="1" customWidth="1"/>
    <col min="30" max="30" width="11.140625" bestFit="1" customWidth="1"/>
    <col min="31" max="31" width="13.42578125" customWidth="1"/>
    <col min="32" max="32" width="13.5703125" customWidth="1"/>
    <col min="33" max="33" width="10.5703125" bestFit="1" customWidth="1"/>
    <col min="34" max="34" width="7.8554687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3" t="s">
        <v>190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1">
      <c r="A4" s="70" t="s">
        <v>191</v>
      </c>
      <c r="B4" s="70"/>
      <c r="C4" s="70">
        <v>2008</v>
      </c>
      <c r="D4" s="70">
        <v>2009</v>
      </c>
      <c r="E4" s="70">
        <f>D4+1</f>
        <v>2010</v>
      </c>
      <c r="F4" s="71" t="s">
        <v>82</v>
      </c>
      <c r="G4" s="70">
        <f>E4+1</f>
        <v>2011</v>
      </c>
      <c r="H4" s="70">
        <f>G4+1</f>
        <v>2012</v>
      </c>
      <c r="I4" s="70">
        <f>H4+1</f>
        <v>2013</v>
      </c>
      <c r="J4" s="70">
        <f>I4+1</f>
        <v>2014</v>
      </c>
      <c r="K4" s="70">
        <f>J4+1</f>
        <v>2015</v>
      </c>
    </row>
    <row r="5" spans="1:11" hidden="1">
      <c r="A5" s="2" t="s">
        <v>27</v>
      </c>
      <c r="B5" s="2"/>
      <c r="C5" s="2">
        <v>234</v>
      </c>
      <c r="D5" s="2">
        <v>191</v>
      </c>
      <c r="E5" s="2">
        <f t="shared" ref="E5:E10" si="0">D5</f>
        <v>191</v>
      </c>
      <c r="F5" s="8">
        <v>-191</v>
      </c>
      <c r="G5" s="2">
        <f>E5+F5</f>
        <v>0</v>
      </c>
      <c r="H5" s="10">
        <f t="shared" ref="H5:K24" si="1">G5</f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</row>
    <row r="6" spans="1:11" hidden="1">
      <c r="A6" s="2" t="s">
        <v>29</v>
      </c>
      <c r="B6" s="2"/>
      <c r="C6" s="2">
        <v>3</v>
      </c>
      <c r="D6" s="2">
        <v>91</v>
      </c>
      <c r="E6" s="2">
        <f t="shared" si="0"/>
        <v>91</v>
      </c>
      <c r="F6" s="8">
        <v>-91</v>
      </c>
      <c r="G6" s="2">
        <f>E6+F6</f>
        <v>0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</row>
    <row r="7" spans="1:11" hidden="1">
      <c r="A7" s="2" t="s">
        <v>28</v>
      </c>
      <c r="B7" s="2"/>
      <c r="C7" s="2">
        <v>5263</v>
      </c>
      <c r="D7" s="2">
        <v>5291</v>
      </c>
      <c r="E7" s="2">
        <f t="shared" si="0"/>
        <v>5291</v>
      </c>
      <c r="F7" s="8">
        <v>-168</v>
      </c>
      <c r="G7" s="2">
        <f>E7+F7</f>
        <v>5123</v>
      </c>
      <c r="H7" s="10">
        <f t="shared" si="1"/>
        <v>5123</v>
      </c>
      <c r="I7" s="10">
        <f t="shared" si="1"/>
        <v>5123</v>
      </c>
      <c r="J7" s="10">
        <f t="shared" si="1"/>
        <v>5123</v>
      </c>
      <c r="K7" s="10">
        <f t="shared" si="1"/>
        <v>5123</v>
      </c>
    </row>
    <row r="8" spans="1:11">
      <c r="A8" s="1" t="s">
        <v>192</v>
      </c>
      <c r="B8" s="1"/>
      <c r="C8" s="1">
        <f>SUM(C5:C7)</f>
        <v>5500</v>
      </c>
      <c r="D8" s="1">
        <f>SUM(D5:D7)</f>
        <v>5573</v>
      </c>
      <c r="E8" s="1">
        <f t="shared" si="0"/>
        <v>5573</v>
      </c>
      <c r="F8" s="14">
        <f>SUM(F5:F7)</f>
        <v>-450</v>
      </c>
      <c r="G8" s="1">
        <f>SUM(G5:G7)</f>
        <v>5123</v>
      </c>
      <c r="H8" s="11">
        <f t="shared" si="1"/>
        <v>5123</v>
      </c>
      <c r="I8" s="11">
        <f t="shared" si="1"/>
        <v>5123</v>
      </c>
      <c r="J8" s="11">
        <f t="shared" si="1"/>
        <v>5123</v>
      </c>
      <c r="K8" s="11">
        <f t="shared" si="1"/>
        <v>5123</v>
      </c>
    </row>
    <row r="9" spans="1:11" hidden="1">
      <c r="A9" s="2" t="s">
        <v>31</v>
      </c>
      <c r="B9" s="2"/>
      <c r="C9" s="2">
        <v>2198</v>
      </c>
      <c r="D9" s="2">
        <v>1975</v>
      </c>
      <c r="E9" s="2">
        <f t="shared" si="0"/>
        <v>1975</v>
      </c>
      <c r="F9" s="8">
        <f>-366+14-100</f>
        <v>-452</v>
      </c>
      <c r="G9" s="2">
        <f>E9+F9</f>
        <v>1523</v>
      </c>
      <c r="H9" s="10">
        <f t="shared" si="1"/>
        <v>1523</v>
      </c>
      <c r="I9" s="10">
        <f t="shared" si="1"/>
        <v>1523</v>
      </c>
      <c r="J9" s="10">
        <f t="shared" si="1"/>
        <v>1523</v>
      </c>
      <c r="K9" s="10">
        <f t="shared" si="1"/>
        <v>1523</v>
      </c>
    </row>
    <row r="10" spans="1:11" hidden="1">
      <c r="A10" s="2" t="s">
        <v>32</v>
      </c>
      <c r="B10" s="2"/>
      <c r="C10" s="2">
        <v>28</v>
      </c>
      <c r="D10" s="2">
        <v>30</v>
      </c>
      <c r="E10" s="2">
        <f t="shared" si="0"/>
        <v>30</v>
      </c>
      <c r="F10" s="8"/>
      <c r="G10" s="2">
        <f>E10+F10</f>
        <v>30</v>
      </c>
      <c r="H10" s="10">
        <f t="shared" si="1"/>
        <v>30</v>
      </c>
      <c r="I10" s="10">
        <f t="shared" si="1"/>
        <v>30</v>
      </c>
      <c r="J10" s="10">
        <f t="shared" si="1"/>
        <v>30</v>
      </c>
      <c r="K10" s="10">
        <f t="shared" si="1"/>
        <v>30</v>
      </c>
    </row>
    <row r="11" spans="1:11" hidden="1">
      <c r="A11" s="2" t="s">
        <v>128</v>
      </c>
      <c r="B11" s="4">
        <v>0.05</v>
      </c>
      <c r="C11" s="5"/>
      <c r="D11" s="5"/>
      <c r="E11" s="5"/>
      <c r="F11" s="8"/>
      <c r="G11" s="10">
        <f>$B$11*G8</f>
        <v>256.15000000000003</v>
      </c>
      <c r="H11" s="10">
        <f t="shared" si="1"/>
        <v>256.15000000000003</v>
      </c>
      <c r="I11" s="10">
        <f t="shared" si="1"/>
        <v>256.15000000000003</v>
      </c>
      <c r="J11" s="10">
        <f t="shared" si="1"/>
        <v>256.15000000000003</v>
      </c>
      <c r="K11" s="10">
        <f t="shared" si="1"/>
        <v>256.15000000000003</v>
      </c>
    </row>
    <row r="12" spans="1:11" hidden="1">
      <c r="A12" s="2" t="s">
        <v>34</v>
      </c>
      <c r="B12" s="2"/>
      <c r="C12" s="2">
        <v>311</v>
      </c>
      <c r="D12" s="2">
        <v>217</v>
      </c>
      <c r="E12" s="2">
        <f t="shared" ref="E12:E38" si="2">D12</f>
        <v>217</v>
      </c>
      <c r="F12" s="8">
        <v>-217</v>
      </c>
      <c r="G12" s="2">
        <f>E12+F12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</row>
    <row r="13" spans="1:11" hidden="1">
      <c r="A13" s="2" t="s">
        <v>33</v>
      </c>
      <c r="B13" s="2"/>
      <c r="C13" s="2">
        <v>208</v>
      </c>
      <c r="D13" s="2">
        <v>156</v>
      </c>
      <c r="E13" s="2">
        <f t="shared" si="2"/>
        <v>156</v>
      </c>
      <c r="F13" s="8">
        <v>-156</v>
      </c>
      <c r="G13" s="2">
        <f>E13+F13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</row>
    <row r="14" spans="1:11" hidden="1">
      <c r="A14" s="2" t="s">
        <v>35</v>
      </c>
      <c r="B14" s="2"/>
      <c r="C14" s="2">
        <v>1018</v>
      </c>
      <c r="D14" s="2">
        <v>1067</v>
      </c>
      <c r="E14" s="2">
        <f t="shared" si="2"/>
        <v>1067</v>
      </c>
      <c r="F14" s="8">
        <v>133</v>
      </c>
      <c r="G14" s="2">
        <f>E14+F14</f>
        <v>1200</v>
      </c>
      <c r="H14" s="10">
        <f t="shared" si="1"/>
        <v>1200</v>
      </c>
      <c r="I14" s="10">
        <f t="shared" si="1"/>
        <v>1200</v>
      </c>
      <c r="J14" s="10">
        <f t="shared" si="1"/>
        <v>1200</v>
      </c>
      <c r="K14" s="10">
        <f t="shared" si="1"/>
        <v>1200</v>
      </c>
    </row>
    <row r="15" spans="1:11" hidden="1">
      <c r="A15" s="2" t="s">
        <v>14</v>
      </c>
      <c r="B15" s="2"/>
      <c r="C15" s="2">
        <v>21</v>
      </c>
      <c r="D15" s="2">
        <v>25</v>
      </c>
      <c r="E15" s="2">
        <f t="shared" si="2"/>
        <v>25</v>
      </c>
      <c r="F15" s="8"/>
      <c r="G15" s="2">
        <f>E15+F15</f>
        <v>25</v>
      </c>
      <c r="H15" s="10">
        <f t="shared" si="1"/>
        <v>25</v>
      </c>
      <c r="I15" s="10">
        <f t="shared" si="1"/>
        <v>25</v>
      </c>
      <c r="J15" s="10">
        <f t="shared" si="1"/>
        <v>25</v>
      </c>
      <c r="K15" s="10">
        <f t="shared" si="1"/>
        <v>25</v>
      </c>
    </row>
    <row r="16" spans="1:11" hidden="1">
      <c r="A16" s="2" t="s">
        <v>36</v>
      </c>
      <c r="B16" s="2"/>
      <c r="C16" s="2">
        <v>174</v>
      </c>
      <c r="D16" s="2">
        <v>186</v>
      </c>
      <c r="E16" s="2">
        <f t="shared" si="2"/>
        <v>186</v>
      </c>
      <c r="F16" s="8">
        <v>-166</v>
      </c>
      <c r="G16" s="2">
        <f>E16+F16</f>
        <v>20</v>
      </c>
      <c r="H16" s="10">
        <f t="shared" si="1"/>
        <v>20</v>
      </c>
      <c r="I16" s="10">
        <f t="shared" si="1"/>
        <v>20</v>
      </c>
      <c r="J16" s="10">
        <f t="shared" si="1"/>
        <v>20</v>
      </c>
      <c r="K16" s="10">
        <f t="shared" si="1"/>
        <v>20</v>
      </c>
    </row>
    <row r="17" spans="1:11">
      <c r="A17" s="1" t="s">
        <v>37</v>
      </c>
      <c r="B17" s="1"/>
      <c r="C17" s="1">
        <f>+C8-SUM(C9:C16)</f>
        <v>1542</v>
      </c>
      <c r="D17" s="1">
        <f>+D8-SUM(D9:D16)</f>
        <v>1917</v>
      </c>
      <c r="E17" s="1">
        <f t="shared" si="2"/>
        <v>1917</v>
      </c>
      <c r="F17" s="14">
        <f>+F8-SUM(F9:F16)</f>
        <v>408</v>
      </c>
      <c r="G17" s="11">
        <f>+G8-SUM(G9:G16)</f>
        <v>2068.85</v>
      </c>
      <c r="H17" s="11">
        <f t="shared" si="1"/>
        <v>2068.85</v>
      </c>
      <c r="I17" s="11">
        <f t="shared" si="1"/>
        <v>2068.85</v>
      </c>
      <c r="J17" s="11">
        <f t="shared" si="1"/>
        <v>2068.85</v>
      </c>
      <c r="K17" s="11">
        <f t="shared" si="1"/>
        <v>2068.85</v>
      </c>
    </row>
    <row r="18" spans="1:11" hidden="1">
      <c r="A18" s="2" t="s">
        <v>38</v>
      </c>
      <c r="B18" s="2"/>
      <c r="C18" s="2">
        <v>826</v>
      </c>
      <c r="D18" s="2">
        <v>501</v>
      </c>
      <c r="E18" s="2">
        <f t="shared" si="2"/>
        <v>501</v>
      </c>
      <c r="F18" s="8">
        <v>-501</v>
      </c>
      <c r="G18" s="2">
        <f>E18+F18</f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</row>
    <row r="19" spans="1:11" hidden="1">
      <c r="A19" s="2" t="s">
        <v>39</v>
      </c>
      <c r="B19" s="2"/>
      <c r="C19" s="2">
        <v>263</v>
      </c>
      <c r="D19" s="2">
        <v>176</v>
      </c>
      <c r="E19" s="2">
        <f t="shared" si="2"/>
        <v>176</v>
      </c>
      <c r="F19" s="8"/>
      <c r="G19" s="2">
        <f>E19+F19</f>
        <v>176</v>
      </c>
      <c r="H19" s="10">
        <f t="shared" si="1"/>
        <v>176</v>
      </c>
      <c r="I19" s="10">
        <f t="shared" si="1"/>
        <v>176</v>
      </c>
      <c r="J19" s="10">
        <f t="shared" si="1"/>
        <v>176</v>
      </c>
      <c r="K19" s="10">
        <f t="shared" si="1"/>
        <v>176</v>
      </c>
    </row>
    <row r="20" spans="1:11" hidden="1">
      <c r="A20" s="2" t="s">
        <v>42</v>
      </c>
      <c r="B20" s="2"/>
      <c r="C20" s="2">
        <v>7</v>
      </c>
      <c r="D20" s="2">
        <v>3</v>
      </c>
      <c r="E20" s="2">
        <f t="shared" si="2"/>
        <v>3</v>
      </c>
      <c r="F20" s="8">
        <v>-3</v>
      </c>
      <c r="G20" s="2">
        <f>E20+F20</f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</row>
    <row r="21" spans="1:11" hidden="1">
      <c r="A21" s="2" t="s">
        <v>40</v>
      </c>
      <c r="B21" s="2"/>
      <c r="C21" s="2"/>
      <c r="D21" s="2">
        <v>1013</v>
      </c>
      <c r="E21" s="2">
        <f t="shared" si="2"/>
        <v>1013</v>
      </c>
      <c r="F21" s="8">
        <v>-1013</v>
      </c>
      <c r="G21" s="2">
        <f>E21+F21</f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  <c r="K21" s="10">
        <f t="shared" si="1"/>
        <v>0</v>
      </c>
    </row>
    <row r="22" spans="1:11" hidden="1">
      <c r="A22" s="2" t="s">
        <v>41</v>
      </c>
      <c r="B22" s="2"/>
      <c r="C22" s="2">
        <v>388</v>
      </c>
      <c r="D22" s="2">
        <v>148</v>
      </c>
      <c r="E22" s="2">
        <f t="shared" si="2"/>
        <v>148</v>
      </c>
      <c r="F22" s="8">
        <v>-148</v>
      </c>
      <c r="G22" s="2">
        <f>E22+F22</f>
        <v>0</v>
      </c>
      <c r="H22" s="10">
        <f t="shared" si="1"/>
        <v>0</v>
      </c>
      <c r="I22" s="10">
        <f t="shared" si="1"/>
        <v>0</v>
      </c>
      <c r="J22" s="10">
        <f t="shared" si="1"/>
        <v>0</v>
      </c>
      <c r="K22" s="10">
        <f t="shared" si="1"/>
        <v>0</v>
      </c>
    </row>
    <row r="23" spans="1:11" hidden="1">
      <c r="A23" s="1" t="s">
        <v>47</v>
      </c>
      <c r="B23" s="1"/>
      <c r="C23" s="1">
        <f>SUM(C18:C22)</f>
        <v>1484</v>
      </c>
      <c r="D23" s="1">
        <f>SUM(D18:D22)</f>
        <v>1841</v>
      </c>
      <c r="E23" s="1">
        <f t="shared" si="2"/>
        <v>1841</v>
      </c>
      <c r="F23" s="14">
        <f>SUM(F18:F22)</f>
        <v>-1665</v>
      </c>
      <c r="G23" s="1">
        <f>SUM(G18:G22)</f>
        <v>176</v>
      </c>
      <c r="H23" s="11">
        <f t="shared" si="1"/>
        <v>176</v>
      </c>
      <c r="I23" s="11">
        <f t="shared" si="1"/>
        <v>176</v>
      </c>
      <c r="J23" s="11">
        <f t="shared" si="1"/>
        <v>176</v>
      </c>
      <c r="K23" s="11">
        <f t="shared" si="1"/>
        <v>176</v>
      </c>
    </row>
    <row r="24" spans="1:11" hidden="1">
      <c r="A24" s="2" t="s">
        <v>43</v>
      </c>
      <c r="B24" s="2"/>
      <c r="C24" s="2">
        <v>1620</v>
      </c>
      <c r="D24" s="2">
        <v>1130</v>
      </c>
      <c r="E24" s="2">
        <f t="shared" si="2"/>
        <v>1130</v>
      </c>
      <c r="F24" s="8">
        <v>-1130</v>
      </c>
      <c r="G24" s="2">
        <f>E24+F24</f>
        <v>0</v>
      </c>
      <c r="H24" s="10">
        <f t="shared" si="1"/>
        <v>0</v>
      </c>
      <c r="I24" s="10">
        <f t="shared" si="1"/>
        <v>0</v>
      </c>
      <c r="J24" s="10">
        <f t="shared" si="1"/>
        <v>0</v>
      </c>
      <c r="K24" s="10">
        <f t="shared" si="1"/>
        <v>0</v>
      </c>
    </row>
    <row r="25" spans="1:11" hidden="1">
      <c r="A25" s="2" t="s">
        <v>44</v>
      </c>
      <c r="B25" s="2"/>
      <c r="C25" s="2">
        <v>498</v>
      </c>
      <c r="D25" s="2">
        <v>425</v>
      </c>
      <c r="E25" s="2">
        <f t="shared" si="2"/>
        <v>425</v>
      </c>
      <c r="F25" s="8"/>
      <c r="G25" s="8">
        <v>350</v>
      </c>
      <c r="H25" s="9">
        <v>300</v>
      </c>
      <c r="I25" s="9"/>
      <c r="J25" s="9"/>
      <c r="K25" s="13"/>
    </row>
    <row r="26" spans="1:11" hidden="1">
      <c r="A26" s="2" t="s">
        <v>45</v>
      </c>
      <c r="B26" s="2"/>
      <c r="C26" s="2">
        <v>347</v>
      </c>
      <c r="D26" s="2">
        <v>232</v>
      </c>
      <c r="E26" s="2">
        <f t="shared" si="2"/>
        <v>232</v>
      </c>
      <c r="F26" s="8">
        <v>-232</v>
      </c>
      <c r="G26" s="2">
        <f>E26+F26</f>
        <v>0</v>
      </c>
      <c r="H26" s="10">
        <f>G26</f>
        <v>0</v>
      </c>
      <c r="I26" s="10">
        <f>H26</f>
        <v>0</v>
      </c>
      <c r="J26" s="10">
        <f>I26</f>
        <v>0</v>
      </c>
      <c r="K26" s="10">
        <f>J26</f>
        <v>0</v>
      </c>
    </row>
    <row r="27" spans="1:11" hidden="1">
      <c r="A27" s="1" t="s">
        <v>48</v>
      </c>
      <c r="B27" s="1"/>
      <c r="C27" s="1">
        <f>SUM(C24:C26)</f>
        <v>2465</v>
      </c>
      <c r="D27" s="1">
        <f>SUM(D24:D26)</f>
        <v>1787</v>
      </c>
      <c r="E27" s="1">
        <f t="shared" si="2"/>
        <v>1787</v>
      </c>
      <c r="F27" s="14">
        <f t="shared" ref="F27:K27" si="3">SUM(F24:F26)</f>
        <v>-1362</v>
      </c>
      <c r="G27" s="1">
        <f t="shared" si="3"/>
        <v>350</v>
      </c>
      <c r="H27" s="1">
        <f t="shared" si="3"/>
        <v>300</v>
      </c>
      <c r="I27" s="1">
        <f t="shared" si="3"/>
        <v>0</v>
      </c>
      <c r="J27" s="1">
        <f t="shared" si="3"/>
        <v>0</v>
      </c>
      <c r="K27" s="1">
        <f t="shared" si="3"/>
        <v>0</v>
      </c>
    </row>
    <row r="28" spans="1:11">
      <c r="A28" s="69" t="s">
        <v>193</v>
      </c>
      <c r="B28" s="1"/>
      <c r="C28" s="1">
        <f>C23-C27</f>
        <v>-981</v>
      </c>
      <c r="D28" s="1">
        <f>D23-D27</f>
        <v>54</v>
      </c>
      <c r="E28" s="1">
        <f t="shared" si="2"/>
        <v>54</v>
      </c>
      <c r="F28" s="14">
        <f t="shared" ref="F28:K28" si="4">F23-F27</f>
        <v>-303</v>
      </c>
      <c r="G28" s="1">
        <f t="shared" si="4"/>
        <v>-174</v>
      </c>
      <c r="H28" s="1">
        <f t="shared" si="4"/>
        <v>-124</v>
      </c>
      <c r="I28" s="1">
        <f t="shared" si="4"/>
        <v>176</v>
      </c>
      <c r="J28" s="1">
        <f t="shared" si="4"/>
        <v>176</v>
      </c>
      <c r="K28" s="1">
        <f t="shared" si="4"/>
        <v>176</v>
      </c>
    </row>
    <row r="29" spans="1:11" hidden="1">
      <c r="A29" s="1" t="s">
        <v>49</v>
      </c>
      <c r="B29" s="1"/>
      <c r="C29" s="1">
        <f>C17+C28</f>
        <v>561</v>
      </c>
      <c r="D29" s="1">
        <f>D17+D28</f>
        <v>1971</v>
      </c>
      <c r="E29" s="1">
        <f t="shared" si="2"/>
        <v>1971</v>
      </c>
      <c r="F29" s="14">
        <f t="shared" ref="F29:K29" si="5">F17+F28</f>
        <v>105</v>
      </c>
      <c r="G29" s="11">
        <f t="shared" si="5"/>
        <v>1894.85</v>
      </c>
      <c r="H29" s="11">
        <f t="shared" si="5"/>
        <v>1944.85</v>
      </c>
      <c r="I29" s="11">
        <f t="shared" si="5"/>
        <v>2244.85</v>
      </c>
      <c r="J29" s="11">
        <f t="shared" si="5"/>
        <v>2244.85</v>
      </c>
      <c r="K29" s="11">
        <f t="shared" si="5"/>
        <v>2244.85</v>
      </c>
    </row>
    <row r="30" spans="1:11" hidden="1">
      <c r="A30" s="2" t="s">
        <v>50</v>
      </c>
      <c r="B30" s="2"/>
      <c r="C30" s="2">
        <v>8</v>
      </c>
      <c r="D30" s="2">
        <v>4</v>
      </c>
      <c r="E30" s="2">
        <f t="shared" si="2"/>
        <v>4</v>
      </c>
      <c r="F30" s="8">
        <v>-4</v>
      </c>
      <c r="G30" s="2">
        <f t="shared" ref="G30:G37" si="6">E30+F30</f>
        <v>0</v>
      </c>
      <c r="H30" s="10">
        <f t="shared" ref="H30:K40" si="7">G30</f>
        <v>0</v>
      </c>
      <c r="I30" s="10">
        <f t="shared" si="7"/>
        <v>0</v>
      </c>
      <c r="J30" s="10">
        <f t="shared" si="7"/>
        <v>0</v>
      </c>
      <c r="K30" s="10">
        <f t="shared" si="7"/>
        <v>0</v>
      </c>
    </row>
    <row r="31" spans="1:11" hidden="1">
      <c r="A31" s="2" t="s">
        <v>52</v>
      </c>
      <c r="B31" s="2"/>
      <c r="C31" s="2">
        <v>375</v>
      </c>
      <c r="D31" s="2">
        <v>0</v>
      </c>
      <c r="E31" s="2">
        <f t="shared" si="2"/>
        <v>0</v>
      </c>
      <c r="F31" s="8"/>
      <c r="G31" s="2">
        <f t="shared" si="6"/>
        <v>0</v>
      </c>
      <c r="H31" s="10">
        <f t="shared" si="7"/>
        <v>0</v>
      </c>
      <c r="I31" s="10">
        <f t="shared" si="7"/>
        <v>0</v>
      </c>
      <c r="J31" s="10">
        <f t="shared" si="7"/>
        <v>0</v>
      </c>
      <c r="K31" s="10">
        <f t="shared" si="7"/>
        <v>0</v>
      </c>
    </row>
    <row r="32" spans="1:11" hidden="1">
      <c r="A32" s="2" t="s">
        <v>51</v>
      </c>
      <c r="B32" s="2"/>
      <c r="C32" s="2">
        <v>431</v>
      </c>
      <c r="D32" s="2">
        <v>0</v>
      </c>
      <c r="E32" s="2">
        <f t="shared" si="2"/>
        <v>0</v>
      </c>
      <c r="F32" s="8"/>
      <c r="G32" s="2">
        <f t="shared" si="6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</row>
    <row r="33" spans="1:12" hidden="1">
      <c r="A33" s="2" t="s">
        <v>53</v>
      </c>
      <c r="B33" s="2"/>
      <c r="C33" s="2">
        <f>SUM(C30:C32)</f>
        <v>814</v>
      </c>
      <c r="D33" s="2">
        <f>SUM(D30:D32)</f>
        <v>4</v>
      </c>
      <c r="E33" s="2">
        <f t="shared" si="2"/>
        <v>4</v>
      </c>
      <c r="F33" s="8">
        <f>SUM(F30:F32)</f>
        <v>-4</v>
      </c>
      <c r="G33" s="2">
        <f t="shared" si="6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</row>
    <row r="34" spans="1:12" hidden="1">
      <c r="A34" s="2" t="s">
        <v>54</v>
      </c>
      <c r="B34" s="2"/>
      <c r="C34" s="2">
        <v>35</v>
      </c>
      <c r="D34" s="2">
        <v>21</v>
      </c>
      <c r="E34" s="2">
        <f t="shared" si="2"/>
        <v>21</v>
      </c>
      <c r="F34" s="8">
        <v>-21</v>
      </c>
      <c r="G34" s="2">
        <f t="shared" si="6"/>
        <v>0</v>
      </c>
      <c r="H34" s="10">
        <f t="shared" si="7"/>
        <v>0</v>
      </c>
      <c r="I34" s="10">
        <f t="shared" si="7"/>
        <v>0</v>
      </c>
      <c r="J34" s="10">
        <f t="shared" si="7"/>
        <v>0</v>
      </c>
      <c r="K34" s="10">
        <f t="shared" si="7"/>
        <v>0</v>
      </c>
    </row>
    <row r="35" spans="1:12" hidden="1">
      <c r="A35" s="2" t="s">
        <v>52</v>
      </c>
      <c r="B35" s="2"/>
      <c r="C35" s="2">
        <v>5</v>
      </c>
      <c r="D35" s="2">
        <v>0</v>
      </c>
      <c r="E35" s="2">
        <f t="shared" si="2"/>
        <v>0</v>
      </c>
      <c r="F35" s="8"/>
      <c r="G35" s="2">
        <f t="shared" si="6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</row>
    <row r="36" spans="1:12" hidden="1">
      <c r="A36" s="2" t="s">
        <v>55</v>
      </c>
      <c r="B36" s="2"/>
      <c r="C36" s="2">
        <v>0</v>
      </c>
      <c r="D36" s="2">
        <v>158</v>
      </c>
      <c r="E36" s="2">
        <f t="shared" si="2"/>
        <v>158</v>
      </c>
      <c r="F36" s="8">
        <v>-158</v>
      </c>
      <c r="G36" s="2">
        <f t="shared" si="6"/>
        <v>0</v>
      </c>
      <c r="H36" s="10">
        <f t="shared" si="7"/>
        <v>0</v>
      </c>
      <c r="I36" s="10">
        <f t="shared" si="7"/>
        <v>0</v>
      </c>
      <c r="J36" s="10">
        <f t="shared" si="7"/>
        <v>0</v>
      </c>
      <c r="K36" s="10">
        <f t="shared" si="7"/>
        <v>0</v>
      </c>
    </row>
    <row r="37" spans="1:12" hidden="1">
      <c r="A37" s="2" t="s">
        <v>56</v>
      </c>
      <c r="B37" s="2"/>
      <c r="C37" s="2">
        <f>SUM(C34:C36)</f>
        <v>40</v>
      </c>
      <c r="D37" s="2">
        <f>SUM(D34:D36)</f>
        <v>179</v>
      </c>
      <c r="E37" s="2">
        <f t="shared" si="2"/>
        <v>179</v>
      </c>
      <c r="F37" s="8">
        <v>-179</v>
      </c>
      <c r="G37" s="2">
        <f t="shared" si="6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</row>
    <row r="38" spans="1:12">
      <c r="A38" s="69" t="s">
        <v>194</v>
      </c>
      <c r="B38" s="1"/>
      <c r="C38" s="1">
        <f>C33-C37</f>
        <v>774</v>
      </c>
      <c r="D38" s="1">
        <f>D33-D37</f>
        <v>-175</v>
      </c>
      <c r="E38" s="1">
        <f t="shared" si="2"/>
        <v>-175</v>
      </c>
      <c r="F38" s="14">
        <f>F33-F37</f>
        <v>175</v>
      </c>
      <c r="G38" s="1">
        <f>G33-G37</f>
        <v>0</v>
      </c>
      <c r="H38" s="10">
        <f t="shared" si="7"/>
        <v>0</v>
      </c>
      <c r="I38" s="10">
        <f t="shared" si="7"/>
        <v>0</v>
      </c>
      <c r="J38" s="10">
        <f t="shared" si="7"/>
        <v>0</v>
      </c>
      <c r="K38" s="10">
        <f t="shared" si="7"/>
        <v>0</v>
      </c>
    </row>
    <row r="39" spans="1:12">
      <c r="A39" s="2" t="s">
        <v>195</v>
      </c>
      <c r="B39" s="4">
        <v>0.33</v>
      </c>
      <c r="C39" s="2">
        <v>179</v>
      </c>
      <c r="D39" s="2">
        <v>111</v>
      </c>
      <c r="E39" s="9">
        <f>-$B$39*(E29+E38)</f>
        <v>-592.68000000000006</v>
      </c>
      <c r="F39" s="9"/>
      <c r="G39" s="10">
        <f>-$B$39*(G29+G38)</f>
        <v>-625.30049999999994</v>
      </c>
      <c r="H39" s="10">
        <f t="shared" si="7"/>
        <v>-625.30049999999994</v>
      </c>
      <c r="I39" s="10">
        <f t="shared" si="7"/>
        <v>-625.30049999999994</v>
      </c>
      <c r="J39" s="10">
        <f t="shared" si="7"/>
        <v>-625.30049999999994</v>
      </c>
      <c r="K39" s="10">
        <f t="shared" si="7"/>
        <v>-625.30049999999994</v>
      </c>
      <c r="L39" t="s">
        <v>197</v>
      </c>
    </row>
    <row r="40" spans="1:12">
      <c r="A40" s="1" t="s">
        <v>196</v>
      </c>
      <c r="B40" s="1"/>
      <c r="C40" s="1">
        <f>C17+C28+C38+C39</f>
        <v>1514</v>
      </c>
      <c r="D40" s="1">
        <f>D17+D28+D38+D39</f>
        <v>1907</v>
      </c>
      <c r="E40" s="11">
        <f>E29+E38+E39</f>
        <v>1203.32</v>
      </c>
      <c r="F40" s="15">
        <f>F17+F28+F38+F39</f>
        <v>280</v>
      </c>
      <c r="G40" s="11">
        <f>G17+G28+G38+G39</f>
        <v>1269.5495000000001</v>
      </c>
      <c r="H40" s="11">
        <f t="shared" si="7"/>
        <v>1269.5495000000001</v>
      </c>
      <c r="I40" s="11">
        <f t="shared" si="7"/>
        <v>1269.5495000000001</v>
      </c>
      <c r="J40" s="11">
        <f t="shared" si="7"/>
        <v>1269.5495000000001</v>
      </c>
      <c r="K40" s="11">
        <f t="shared" si="7"/>
        <v>1269.5495000000001</v>
      </c>
    </row>
    <row r="41" spans="1:12" s="49" customForma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idden="1">
      <c r="A42" s="1" t="s">
        <v>89</v>
      </c>
      <c r="B42" s="2"/>
      <c r="C42" s="17">
        <f>C4</f>
        <v>2008</v>
      </c>
      <c r="D42" s="17">
        <f>D4</f>
        <v>2009</v>
      </c>
      <c r="E42" s="17">
        <f>E4</f>
        <v>2010</v>
      </c>
      <c r="F42" s="18" t="s">
        <v>86</v>
      </c>
      <c r="G42" s="17">
        <f>G4</f>
        <v>2011</v>
      </c>
      <c r="H42" s="17">
        <f>H4</f>
        <v>2012</v>
      </c>
      <c r="I42" s="17">
        <f>I4</f>
        <v>2013</v>
      </c>
      <c r="J42" s="17">
        <f>J4</f>
        <v>2014</v>
      </c>
      <c r="K42" s="17">
        <f>K4</f>
        <v>2015</v>
      </c>
      <c r="L42" s="6">
        <f>K4</f>
        <v>2015</v>
      </c>
    </row>
    <row r="43" spans="1:12" ht="12.75" hidden="1" customHeight="1">
      <c r="A43" s="2" t="s">
        <v>68</v>
      </c>
      <c r="B43" s="2"/>
      <c r="C43" s="10"/>
      <c r="D43" s="10">
        <f>D40+D14</f>
        <v>2974</v>
      </c>
      <c r="E43" s="10">
        <f>E40+E14</f>
        <v>2270.3199999999997</v>
      </c>
      <c r="F43" s="301" t="s">
        <v>88</v>
      </c>
      <c r="G43" s="10">
        <f>G40+G14</f>
        <v>2469.5495000000001</v>
      </c>
      <c r="H43" s="10">
        <f>H40+H14</f>
        <v>2469.5495000000001</v>
      </c>
      <c r="I43" s="10">
        <f>I40+I14</f>
        <v>2469.5495000000001</v>
      </c>
      <c r="J43" s="10">
        <f>J40+J14</f>
        <v>2469.5495000000001</v>
      </c>
      <c r="K43" s="10">
        <f>K40+K14</f>
        <v>2469.5495000000001</v>
      </c>
    </row>
    <row r="44" spans="1:12" hidden="1">
      <c r="A44" s="2" t="s">
        <v>71</v>
      </c>
      <c r="B44" s="2"/>
      <c r="C44" s="10"/>
      <c r="D44" s="10">
        <f>D71-C71-D40</f>
        <v>-1192</v>
      </c>
      <c r="E44" s="9">
        <f>E71-D71-E40</f>
        <v>-1203.32</v>
      </c>
      <c r="F44" s="301"/>
      <c r="G44" s="10"/>
      <c r="H44" s="10"/>
      <c r="I44" s="10"/>
      <c r="J44" s="10"/>
      <c r="K44" s="10"/>
    </row>
    <row r="45" spans="1:12" hidden="1">
      <c r="A45" s="2" t="s">
        <v>69</v>
      </c>
      <c r="B45" s="2"/>
      <c r="C45" s="10"/>
      <c r="D45" s="10">
        <f>D73-C73</f>
        <v>-1656</v>
      </c>
      <c r="E45" s="9">
        <f>E73-D73</f>
        <v>-1656</v>
      </c>
      <c r="F45" s="301"/>
      <c r="G45" s="10">
        <v>-1656</v>
      </c>
      <c r="H45" s="10">
        <v>-1656</v>
      </c>
      <c r="I45" s="9">
        <v>-1400</v>
      </c>
      <c r="J45" s="9">
        <v>0</v>
      </c>
      <c r="K45" s="9">
        <v>0</v>
      </c>
    </row>
    <row r="46" spans="1:12" hidden="1">
      <c r="A46" s="2" t="s">
        <v>70</v>
      </c>
      <c r="B46" s="2"/>
      <c r="C46" s="10"/>
      <c r="D46" s="10">
        <f>D74-C74</f>
        <v>195</v>
      </c>
      <c r="E46" s="10">
        <f>E74-D74</f>
        <v>0</v>
      </c>
      <c r="F46" s="301"/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2" hidden="1">
      <c r="A47" s="2" t="s">
        <v>74</v>
      </c>
      <c r="B47" s="2"/>
      <c r="C47" s="10"/>
      <c r="D47" s="10">
        <f>C56-D56+C57-D57+C58-D58+C59-D59+C60-D60-D14</f>
        <v>-1916</v>
      </c>
      <c r="E47" s="9">
        <f>D56-E56+D57-E57+D58-E58+D59-E59+D60-E60-E14</f>
        <v>-300</v>
      </c>
      <c r="F47" s="301"/>
      <c r="G47" s="9">
        <v>-500</v>
      </c>
      <c r="H47" s="9">
        <v>-500</v>
      </c>
      <c r="I47" s="9">
        <v>-500</v>
      </c>
      <c r="J47" s="9">
        <v>-500</v>
      </c>
      <c r="K47" s="9">
        <v>-500</v>
      </c>
    </row>
    <row r="48" spans="1:12" hidden="1">
      <c r="A48" s="2" t="s">
        <v>75</v>
      </c>
      <c r="B48" s="2"/>
      <c r="C48" s="10"/>
      <c r="D48" s="10">
        <f>C61-D61+C62-D62+C63-D63</f>
        <v>781</v>
      </c>
      <c r="E48" s="10">
        <f>D61-E61+D62-E62+D63-E63</f>
        <v>0</v>
      </c>
      <c r="F48" s="301"/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2" hidden="1">
      <c r="A49" s="2" t="s">
        <v>76</v>
      </c>
      <c r="B49" s="2"/>
      <c r="C49" s="10"/>
      <c r="D49" s="10">
        <f>C64-D64+C65-D65+D75-C75+D76-C76</f>
        <v>387</v>
      </c>
      <c r="E49" s="10">
        <f>D64-E64+D65-E65+E75-D75+E76-D76</f>
        <v>0</v>
      </c>
      <c r="F49" s="301"/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2" hidden="1">
      <c r="A50" s="2" t="s">
        <v>129</v>
      </c>
      <c r="B50" s="2"/>
      <c r="C50" s="10"/>
      <c r="D50" s="10">
        <f>C66-D66+D72-C72+D77-C77</f>
        <v>1956</v>
      </c>
      <c r="E50" s="10">
        <f>D66-E66+E72-D72+E77-D77</f>
        <v>0</v>
      </c>
      <c r="F50" s="301"/>
      <c r="G50" s="10">
        <v>0</v>
      </c>
      <c r="H50" s="10">
        <v>0</v>
      </c>
      <c r="I50" s="10">
        <v>0</v>
      </c>
      <c r="J50" s="10">
        <f>I63</f>
        <v>2040</v>
      </c>
      <c r="K50" s="10">
        <v>0</v>
      </c>
    </row>
    <row r="51" spans="1:12" hidden="1">
      <c r="A51" s="2" t="s">
        <v>10</v>
      </c>
      <c r="B51" s="2"/>
      <c r="C51" s="10"/>
      <c r="D51" s="10">
        <f>C67-D67</f>
        <v>-834</v>
      </c>
      <c r="E51" s="10">
        <f>D67-E67</f>
        <v>0</v>
      </c>
      <c r="F51" s="301"/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2" hidden="1">
      <c r="A52" s="2" t="s">
        <v>72</v>
      </c>
      <c r="B52" s="2"/>
      <c r="C52" s="10"/>
      <c r="D52" s="10">
        <f>C53</f>
        <v>4436</v>
      </c>
      <c r="E52" s="10">
        <f>D53</f>
        <v>5131</v>
      </c>
      <c r="F52" s="301"/>
      <c r="G52" s="10">
        <f>F68</f>
        <v>6752</v>
      </c>
      <c r="H52" s="10">
        <f>G68</f>
        <v>7065.5495000000001</v>
      </c>
      <c r="I52" s="10">
        <f>H68</f>
        <v>7379.0990000000002</v>
      </c>
      <c r="J52" s="10">
        <f>I68</f>
        <v>7948.6485000000002</v>
      </c>
      <c r="K52" s="10">
        <f>J68</f>
        <v>11958.198</v>
      </c>
    </row>
    <row r="53" spans="1:12" hidden="1">
      <c r="A53" s="2" t="s">
        <v>73</v>
      </c>
      <c r="B53" s="2"/>
      <c r="C53" s="10">
        <f>C68</f>
        <v>4436</v>
      </c>
      <c r="D53" s="10">
        <f>SUM(D43:D52)</f>
        <v>5131</v>
      </c>
      <c r="E53" s="10">
        <f>SUM(E43:E52)</f>
        <v>4242</v>
      </c>
      <c r="F53" s="12">
        <f>J98</f>
        <v>6752</v>
      </c>
      <c r="G53" s="10">
        <f>SUM(G43:G52)</f>
        <v>7065.5495000000001</v>
      </c>
      <c r="H53" s="10">
        <f>SUM(H43:H52)</f>
        <v>7379.0990000000002</v>
      </c>
      <c r="I53" s="10">
        <f>SUM(I43:I52)</f>
        <v>7948.6485000000002</v>
      </c>
      <c r="J53" s="10">
        <f>SUM(J43:J52)</f>
        <v>11958.198</v>
      </c>
      <c r="K53" s="10">
        <f>SUM(K43:K52)</f>
        <v>13927.747500000001</v>
      </c>
    </row>
    <row r="54" spans="1:12" hidden="1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7"/>
      <c r="D54" s="7"/>
      <c r="E54" s="7"/>
      <c r="F54" s="7"/>
      <c r="G54" s="7"/>
      <c r="H54" s="7"/>
      <c r="I54" s="7"/>
      <c r="J54" s="7"/>
      <c r="K54" s="7"/>
    </row>
    <row r="55" spans="1:12" hidden="1">
      <c r="A55" s="1" t="s">
        <v>90</v>
      </c>
      <c r="B55" s="2"/>
      <c r="C55" s="11">
        <f>C42</f>
        <v>2008</v>
      </c>
      <c r="D55" s="11">
        <f>D42</f>
        <v>2009</v>
      </c>
      <c r="E55" s="11">
        <f>E42</f>
        <v>2010</v>
      </c>
      <c r="F55" s="11" t="s">
        <v>87</v>
      </c>
      <c r="G55" s="11">
        <f t="shared" ref="G55:L55" si="8">G42</f>
        <v>2011</v>
      </c>
      <c r="H55" s="11">
        <f t="shared" si="8"/>
        <v>2012</v>
      </c>
      <c r="I55" s="11">
        <f t="shared" si="8"/>
        <v>2013</v>
      </c>
      <c r="J55" s="11">
        <f t="shared" si="8"/>
        <v>2014</v>
      </c>
      <c r="K55" s="11">
        <f t="shared" si="8"/>
        <v>2015</v>
      </c>
      <c r="L55" s="3">
        <f t="shared" si="8"/>
        <v>2015</v>
      </c>
    </row>
    <row r="56" spans="1:12" hidden="1">
      <c r="A56" s="2" t="s">
        <v>1</v>
      </c>
      <c r="B56" s="10"/>
      <c r="C56" s="10">
        <f>'Bil Mure (2)'!B5</f>
        <v>2</v>
      </c>
      <c r="D56" s="10">
        <f>'Bil Mure (2)'!C5</f>
        <v>0</v>
      </c>
      <c r="E56" s="10">
        <f>D56</f>
        <v>0</v>
      </c>
      <c r="F56" s="10">
        <f t="shared" ref="F56:F68" si="9">J86</f>
        <v>0</v>
      </c>
      <c r="G56" s="10">
        <f t="shared" ref="G56:K57" si="10">F56</f>
        <v>0</v>
      </c>
      <c r="H56" s="10">
        <f t="shared" si="10"/>
        <v>0</v>
      </c>
      <c r="I56" s="10">
        <f t="shared" si="10"/>
        <v>0</v>
      </c>
      <c r="J56" s="10">
        <f t="shared" si="10"/>
        <v>0</v>
      </c>
      <c r="K56" s="10">
        <f t="shared" si="10"/>
        <v>0</v>
      </c>
      <c r="L56" s="7"/>
    </row>
    <row r="57" spans="1:12" hidden="1">
      <c r="A57" s="2" t="s">
        <v>0</v>
      </c>
      <c r="B57" s="10" t="s">
        <v>79</v>
      </c>
      <c r="C57" s="10">
        <f>'Bil Mure (2)'!B6</f>
        <v>5243</v>
      </c>
      <c r="D57" s="10">
        <f>'Bil Mure (2)'!C6</f>
        <v>5476</v>
      </c>
      <c r="E57" s="10">
        <f>D57</f>
        <v>5476</v>
      </c>
      <c r="F57" s="10">
        <f t="shared" si="9"/>
        <v>5476</v>
      </c>
      <c r="G57" s="10">
        <f t="shared" si="10"/>
        <v>5476</v>
      </c>
      <c r="H57" s="10">
        <f t="shared" si="10"/>
        <v>5476</v>
      </c>
      <c r="I57" s="10">
        <f t="shared" si="10"/>
        <v>5476</v>
      </c>
      <c r="J57" s="10">
        <f t="shared" si="10"/>
        <v>5476</v>
      </c>
      <c r="K57" s="10">
        <f t="shared" si="10"/>
        <v>5476</v>
      </c>
      <c r="L57" s="7"/>
    </row>
    <row r="58" spans="1:12" hidden="1">
      <c r="A58" s="2" t="s">
        <v>2</v>
      </c>
      <c r="B58" s="10" t="s">
        <v>79</v>
      </c>
      <c r="C58" s="10">
        <f>'Bil Mure (2)'!B7</f>
        <v>15188</v>
      </c>
      <c r="D58" s="10">
        <f>'Bil Mure (2)'!C7</f>
        <v>17813</v>
      </c>
      <c r="E58" s="9">
        <f>D58-E14+300</f>
        <v>17046</v>
      </c>
      <c r="F58" s="10">
        <f t="shared" si="9"/>
        <v>17046</v>
      </c>
      <c r="G58" s="10">
        <f>F58-G14-G47</f>
        <v>16346</v>
      </c>
      <c r="H58" s="10">
        <f>G58-H14-H47</f>
        <v>15646</v>
      </c>
      <c r="I58" s="10">
        <f>H58-I14-I47</f>
        <v>14946</v>
      </c>
      <c r="J58" s="10">
        <f>I58-J14-J47</f>
        <v>14246</v>
      </c>
      <c r="K58" s="10">
        <f>J58-K14-K47</f>
        <v>13546</v>
      </c>
      <c r="L58" s="7"/>
    </row>
    <row r="59" spans="1:12" hidden="1">
      <c r="A59" s="2" t="s">
        <v>3</v>
      </c>
      <c r="B59" s="10" t="s">
        <v>79</v>
      </c>
      <c r="C59" s="10">
        <f>'Bil Mure (2)'!B8</f>
        <v>70</v>
      </c>
      <c r="D59" s="10">
        <f>'Bil Mure (2)'!C8</f>
        <v>64</v>
      </c>
      <c r="E59" s="10">
        <f t="shared" ref="E59:E67" si="11">D59</f>
        <v>64</v>
      </c>
      <c r="F59" s="10">
        <f t="shared" si="9"/>
        <v>64</v>
      </c>
      <c r="G59" s="10">
        <f t="shared" ref="G59:K62" si="12">F59</f>
        <v>64</v>
      </c>
      <c r="H59" s="10">
        <f t="shared" si="12"/>
        <v>64</v>
      </c>
      <c r="I59" s="10">
        <f t="shared" si="12"/>
        <v>64</v>
      </c>
      <c r="J59" s="10">
        <f t="shared" si="12"/>
        <v>64</v>
      </c>
      <c r="K59" s="10">
        <f t="shared" si="12"/>
        <v>64</v>
      </c>
      <c r="L59" s="7"/>
    </row>
    <row r="60" spans="1:12" hidden="1">
      <c r="A60" s="2" t="s">
        <v>4</v>
      </c>
      <c r="B60" s="10" t="s">
        <v>79</v>
      </c>
      <c r="C60" s="10">
        <f>'Bil Mure (2)'!B9</f>
        <v>2001</v>
      </c>
      <c r="D60" s="10">
        <f>'Bil Mure (2)'!C9</f>
        <v>0</v>
      </c>
      <c r="E60" s="10">
        <f t="shared" si="11"/>
        <v>0</v>
      </c>
      <c r="F60" s="10">
        <f t="shared" si="9"/>
        <v>0</v>
      </c>
      <c r="G60" s="10">
        <f t="shared" si="12"/>
        <v>0</v>
      </c>
      <c r="H60" s="10">
        <f t="shared" si="12"/>
        <v>0</v>
      </c>
      <c r="I60" s="10">
        <f t="shared" si="12"/>
        <v>0</v>
      </c>
      <c r="J60" s="10">
        <f t="shared" si="12"/>
        <v>0</v>
      </c>
      <c r="K60" s="10">
        <f t="shared" si="12"/>
        <v>0</v>
      </c>
      <c r="L60" s="7"/>
    </row>
    <row r="61" spans="1:12" hidden="1">
      <c r="A61" s="2" t="s">
        <v>5</v>
      </c>
      <c r="B61" s="10" t="s">
        <v>79</v>
      </c>
      <c r="C61" s="10">
        <f>'Bil Mure (2)'!B10</f>
        <v>4139</v>
      </c>
      <c r="D61" s="10">
        <f>'Bil Mure (2)'!C10</f>
        <v>3934</v>
      </c>
      <c r="E61" s="10">
        <f t="shared" si="11"/>
        <v>3934</v>
      </c>
      <c r="F61" s="10">
        <f t="shared" si="9"/>
        <v>0</v>
      </c>
      <c r="G61" s="10">
        <f t="shared" si="12"/>
        <v>0</v>
      </c>
      <c r="H61" s="10">
        <f t="shared" si="12"/>
        <v>0</v>
      </c>
      <c r="I61" s="10">
        <f t="shared" si="12"/>
        <v>0</v>
      </c>
      <c r="J61" s="10">
        <f t="shared" si="12"/>
        <v>0</v>
      </c>
      <c r="K61" s="10">
        <f t="shared" si="12"/>
        <v>0</v>
      </c>
      <c r="L61" s="7"/>
    </row>
    <row r="62" spans="1:12" hidden="1">
      <c r="A62" s="2" t="s">
        <v>6</v>
      </c>
      <c r="B62" s="10" t="s">
        <v>79</v>
      </c>
      <c r="C62" s="10">
        <f>'Bil Mure (2)'!B11</f>
        <v>2376</v>
      </c>
      <c r="D62" s="10">
        <f>'Bil Mure (2)'!C11</f>
        <v>2307</v>
      </c>
      <c r="E62" s="10">
        <f t="shared" si="11"/>
        <v>2307</v>
      </c>
      <c r="F62" s="10">
        <f t="shared" si="9"/>
        <v>0</v>
      </c>
      <c r="G62" s="10">
        <f t="shared" si="12"/>
        <v>0</v>
      </c>
      <c r="H62" s="10">
        <f t="shared" si="12"/>
        <v>0</v>
      </c>
      <c r="I62" s="10">
        <f t="shared" si="12"/>
        <v>0</v>
      </c>
      <c r="J62" s="10">
        <f t="shared" si="12"/>
        <v>0</v>
      </c>
      <c r="K62" s="10">
        <f t="shared" si="12"/>
        <v>0</v>
      </c>
      <c r="L62" s="7"/>
    </row>
    <row r="63" spans="1:12" hidden="1">
      <c r="A63" s="2" t="s">
        <v>7</v>
      </c>
      <c r="B63" s="10" t="s">
        <v>79</v>
      </c>
      <c r="C63" s="10">
        <f>'Bil Mure (2)'!B12</f>
        <v>2547</v>
      </c>
      <c r="D63" s="10">
        <f>'Bil Mure (2)'!C12</f>
        <v>2040</v>
      </c>
      <c r="E63" s="10">
        <f t="shared" si="11"/>
        <v>2040</v>
      </c>
      <c r="F63" s="10">
        <f t="shared" si="9"/>
        <v>2040</v>
      </c>
      <c r="G63" s="10">
        <f>F63-G50</f>
        <v>2040</v>
      </c>
      <c r="H63" s="10">
        <f>G63-H50</f>
        <v>2040</v>
      </c>
      <c r="I63" s="10">
        <f>H63-I50</f>
        <v>2040</v>
      </c>
      <c r="J63" s="10">
        <f>I63-J50</f>
        <v>0</v>
      </c>
      <c r="K63" s="10">
        <f>J63-K50</f>
        <v>0</v>
      </c>
      <c r="L63" s="7"/>
    </row>
    <row r="64" spans="1:12" hidden="1">
      <c r="A64" s="2" t="s">
        <v>8</v>
      </c>
      <c r="B64" s="10" t="s">
        <v>79</v>
      </c>
      <c r="C64" s="10">
        <f>'Bil Mure (2)'!B13</f>
        <v>234</v>
      </c>
      <c r="D64" s="10">
        <f>'Bil Mure (2)'!C13</f>
        <v>221</v>
      </c>
      <c r="E64" s="10">
        <f t="shared" si="11"/>
        <v>221</v>
      </c>
      <c r="F64" s="10">
        <f t="shared" si="9"/>
        <v>221</v>
      </c>
      <c r="G64" s="10">
        <f t="shared" ref="G64:K66" si="13">F64</f>
        <v>221</v>
      </c>
      <c r="H64" s="10">
        <f t="shared" si="13"/>
        <v>221</v>
      </c>
      <c r="I64" s="10">
        <f t="shared" si="13"/>
        <v>221</v>
      </c>
      <c r="J64" s="10">
        <f t="shared" si="13"/>
        <v>221</v>
      </c>
      <c r="K64" s="10">
        <f t="shared" si="13"/>
        <v>221</v>
      </c>
      <c r="L64" s="7"/>
    </row>
    <row r="65" spans="1:12" hidden="1">
      <c r="A65" s="2" t="s">
        <v>9</v>
      </c>
      <c r="B65" s="10" t="s">
        <v>79</v>
      </c>
      <c r="C65" s="10">
        <f>'Bil Mure (2)'!B14</f>
        <v>821</v>
      </c>
      <c r="D65" s="10">
        <f>'Bil Mure (2)'!C14</f>
        <v>290</v>
      </c>
      <c r="E65" s="10">
        <f t="shared" si="11"/>
        <v>290</v>
      </c>
      <c r="F65" s="10">
        <f t="shared" si="9"/>
        <v>140</v>
      </c>
      <c r="G65" s="10">
        <f t="shared" si="13"/>
        <v>140</v>
      </c>
      <c r="H65" s="10">
        <f t="shared" si="13"/>
        <v>140</v>
      </c>
      <c r="I65" s="10">
        <f t="shared" si="13"/>
        <v>140</v>
      </c>
      <c r="J65" s="10">
        <f t="shared" si="13"/>
        <v>140</v>
      </c>
      <c r="K65" s="10">
        <f t="shared" si="13"/>
        <v>140</v>
      </c>
      <c r="L65" s="7"/>
    </row>
    <row r="66" spans="1:12" hidden="1">
      <c r="A66" s="2" t="s">
        <v>12</v>
      </c>
      <c r="B66" s="10" t="s">
        <v>79</v>
      </c>
      <c r="C66" s="10">
        <f>'Bil Mure (2)'!B15</f>
        <v>282</v>
      </c>
      <c r="D66" s="10">
        <f>'Bil Mure (2)'!C15</f>
        <v>236</v>
      </c>
      <c r="E66" s="10">
        <f t="shared" si="11"/>
        <v>236</v>
      </c>
      <c r="F66" s="10">
        <f t="shared" si="9"/>
        <v>236</v>
      </c>
      <c r="G66" s="10">
        <f t="shared" si="13"/>
        <v>236</v>
      </c>
      <c r="H66" s="10">
        <f t="shared" si="13"/>
        <v>236</v>
      </c>
      <c r="I66" s="10">
        <f t="shared" si="13"/>
        <v>236</v>
      </c>
      <c r="J66" s="10">
        <f t="shared" si="13"/>
        <v>236</v>
      </c>
      <c r="K66" s="10">
        <f t="shared" si="13"/>
        <v>236</v>
      </c>
      <c r="L66" s="7"/>
    </row>
    <row r="67" spans="1:12" hidden="1">
      <c r="A67" s="2" t="s">
        <v>10</v>
      </c>
      <c r="B67" s="10"/>
      <c r="C67" s="10">
        <f>'Bil Mure (2)'!B16</f>
        <v>3033</v>
      </c>
      <c r="D67" s="10">
        <f>'Bil Mure (2)'!C16</f>
        <v>3867</v>
      </c>
      <c r="E67" s="10">
        <f t="shared" si="11"/>
        <v>3867</v>
      </c>
      <c r="F67" s="10">
        <f t="shared" si="9"/>
        <v>3867</v>
      </c>
      <c r="G67" s="10">
        <f>F67-G51</f>
        <v>3867</v>
      </c>
      <c r="H67" s="10">
        <f>G67-H51</f>
        <v>3867</v>
      </c>
      <c r="I67" s="10">
        <f>H67-I51</f>
        <v>3867</v>
      </c>
      <c r="J67" s="10">
        <f>I67-J51</f>
        <v>3867</v>
      </c>
      <c r="K67" s="10">
        <f>J67-K51</f>
        <v>3867</v>
      </c>
      <c r="L67" s="7"/>
    </row>
    <row r="68" spans="1:12" hidden="1">
      <c r="A68" s="2" t="s">
        <v>11</v>
      </c>
      <c r="B68" s="10"/>
      <c r="C68" s="10">
        <f>'Bil Mure (2)'!B17</f>
        <v>4436</v>
      </c>
      <c r="D68" s="10">
        <f>'Bil Mure (2)'!C17</f>
        <v>5132</v>
      </c>
      <c r="E68" s="13">
        <f>E53</f>
        <v>4242</v>
      </c>
      <c r="F68" s="10">
        <f t="shared" si="9"/>
        <v>6752</v>
      </c>
      <c r="G68" s="10">
        <f>G53</f>
        <v>7065.5495000000001</v>
      </c>
      <c r="H68" s="10">
        <f>H53</f>
        <v>7379.0990000000002</v>
      </c>
      <c r="I68" s="10">
        <f>I53</f>
        <v>7948.6485000000002</v>
      </c>
      <c r="J68" s="10">
        <f>J53</f>
        <v>11958.198</v>
      </c>
      <c r="K68" s="10">
        <f>K53</f>
        <v>13927.747500000001</v>
      </c>
      <c r="L68" s="7"/>
    </row>
    <row r="69" spans="1:12" hidden="1">
      <c r="A69" s="1" t="s">
        <v>78</v>
      </c>
      <c r="B69" s="11"/>
      <c r="C69" s="11">
        <f>'Bil Mure (2)'!B18</f>
        <v>40372</v>
      </c>
      <c r="D69" s="11">
        <f>'Bil Mure (2)'!C18</f>
        <v>41380</v>
      </c>
      <c r="E69" s="11">
        <f t="shared" ref="E69:K69" si="14">SUM(E56:E68)</f>
        <v>39723</v>
      </c>
      <c r="F69" s="11">
        <f t="shared" si="14"/>
        <v>35842</v>
      </c>
      <c r="G69" s="11">
        <f t="shared" si="14"/>
        <v>35455.549500000001</v>
      </c>
      <c r="H69" s="11">
        <f t="shared" si="14"/>
        <v>35069.099000000002</v>
      </c>
      <c r="I69" s="11">
        <f t="shared" si="14"/>
        <v>34938.648500000003</v>
      </c>
      <c r="J69" s="11">
        <f t="shared" si="14"/>
        <v>36208.198000000004</v>
      </c>
      <c r="K69" s="11">
        <f t="shared" si="14"/>
        <v>37477.747499999998</v>
      </c>
      <c r="L69" s="7"/>
    </row>
    <row r="70" spans="1:12" hidden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hidden="1">
      <c r="A71" s="1" t="s">
        <v>13</v>
      </c>
      <c r="B71" s="1" t="s">
        <v>79</v>
      </c>
      <c r="C71" s="11">
        <f>'Bil Mure (2)'!B20</f>
        <v>28715</v>
      </c>
      <c r="D71" s="11">
        <f>'Bil Mure (2)'!C20</f>
        <v>29430</v>
      </c>
      <c r="E71" s="11">
        <f>D71</f>
        <v>29430</v>
      </c>
      <c r="F71" s="11">
        <f t="shared" ref="F71:F77" si="15">J101</f>
        <v>29430</v>
      </c>
      <c r="G71" s="11">
        <f>F71+G40+G44</f>
        <v>30699.549500000001</v>
      </c>
      <c r="H71" s="11">
        <f>G71+H40+H44</f>
        <v>31969.099000000002</v>
      </c>
      <c r="I71" s="11">
        <f>H71+I40+I44</f>
        <v>33238.648500000003</v>
      </c>
      <c r="J71" s="11">
        <f>I71+J40+J44</f>
        <v>34508.198000000004</v>
      </c>
      <c r="K71" s="11">
        <f>J71+K40+K44</f>
        <v>35777.747500000005</v>
      </c>
    </row>
    <row r="72" spans="1:12" hidden="1">
      <c r="A72" s="2" t="s">
        <v>14</v>
      </c>
      <c r="B72" s="2" t="s">
        <v>79</v>
      </c>
      <c r="C72" s="10">
        <f>'Bil Mure (2)'!B21</f>
        <v>203</v>
      </c>
      <c r="D72" s="10">
        <f>'Bil Mure (2)'!C21</f>
        <v>307</v>
      </c>
      <c r="E72" s="10">
        <f>D72</f>
        <v>307</v>
      </c>
      <c r="F72" s="10">
        <f t="shared" si="15"/>
        <v>307</v>
      </c>
      <c r="G72" s="10">
        <f>F72</f>
        <v>307</v>
      </c>
      <c r="H72" s="10">
        <f>G72</f>
        <v>307</v>
      </c>
      <c r="I72" s="10">
        <f>H72</f>
        <v>307</v>
      </c>
      <c r="J72" s="10">
        <f>I72</f>
        <v>307</v>
      </c>
      <c r="K72" s="10">
        <f>J72</f>
        <v>307</v>
      </c>
    </row>
    <row r="73" spans="1:12" hidden="1">
      <c r="A73" s="2" t="s">
        <v>15</v>
      </c>
      <c r="B73" s="2" t="s">
        <v>79</v>
      </c>
      <c r="C73" s="10">
        <f>'Bil Mure (2)'!B22</f>
        <v>8088</v>
      </c>
      <c r="D73" s="10">
        <f>'Bil Mure (2)'!C22</f>
        <v>6432</v>
      </c>
      <c r="E73" s="9">
        <f>D73+D45</f>
        <v>4776</v>
      </c>
      <c r="F73" s="10">
        <f t="shared" si="15"/>
        <v>4776</v>
      </c>
      <c r="G73" s="10">
        <f t="shared" ref="G73:K74" si="16">F73+G45</f>
        <v>3120</v>
      </c>
      <c r="H73" s="10">
        <f t="shared" si="16"/>
        <v>1464</v>
      </c>
      <c r="I73" s="10">
        <f t="shared" si="16"/>
        <v>64</v>
      </c>
      <c r="J73" s="10">
        <f t="shared" si="16"/>
        <v>64</v>
      </c>
      <c r="K73" s="10">
        <f t="shared" si="16"/>
        <v>64</v>
      </c>
    </row>
    <row r="74" spans="1:12" hidden="1">
      <c r="A74" s="2" t="s">
        <v>130</v>
      </c>
      <c r="B74" s="2" t="s">
        <v>79</v>
      </c>
      <c r="C74" s="10">
        <f>'Bil Mure (2)'!B23</f>
        <v>715</v>
      </c>
      <c r="D74" s="10">
        <f>'Bil Mure (2)'!C23</f>
        <v>910</v>
      </c>
      <c r="E74" s="13">
        <f>D74</f>
        <v>910</v>
      </c>
      <c r="F74" s="10">
        <f t="shared" si="15"/>
        <v>910</v>
      </c>
      <c r="G74" s="10">
        <f t="shared" si="16"/>
        <v>910</v>
      </c>
      <c r="H74" s="10">
        <f t="shared" si="16"/>
        <v>910</v>
      </c>
      <c r="I74" s="10">
        <f t="shared" si="16"/>
        <v>910</v>
      </c>
      <c r="J74" s="10">
        <f t="shared" si="16"/>
        <v>910</v>
      </c>
      <c r="K74" s="10">
        <f t="shared" si="16"/>
        <v>910</v>
      </c>
    </row>
    <row r="75" spans="1:12" hidden="1">
      <c r="A75" s="2" t="s">
        <v>17</v>
      </c>
      <c r="B75" s="2" t="s">
        <v>79</v>
      </c>
      <c r="C75" s="10">
        <f>'Bil Mure (2)'!B24</f>
        <v>405</v>
      </c>
      <c r="D75" s="10">
        <f>'Bil Mure (2)'!C24</f>
        <v>228</v>
      </c>
      <c r="E75" s="10">
        <f>D75</f>
        <v>228</v>
      </c>
      <c r="F75" s="10">
        <f t="shared" si="15"/>
        <v>228</v>
      </c>
      <c r="G75" s="10">
        <f t="shared" ref="G75:K77" si="17">F75</f>
        <v>228</v>
      </c>
      <c r="H75" s="10">
        <f t="shared" si="17"/>
        <v>228</v>
      </c>
      <c r="I75" s="10">
        <f t="shared" si="17"/>
        <v>228</v>
      </c>
      <c r="J75" s="10">
        <f t="shared" si="17"/>
        <v>228</v>
      </c>
      <c r="K75" s="10">
        <f t="shared" si="17"/>
        <v>228</v>
      </c>
    </row>
    <row r="76" spans="1:12" hidden="1">
      <c r="A76" s="2" t="s">
        <v>18</v>
      </c>
      <c r="B76" s="2" t="s">
        <v>79</v>
      </c>
      <c r="C76" s="10">
        <f>'Bil Mure (2)'!B25</f>
        <v>172</v>
      </c>
      <c r="D76" s="10">
        <f>'Bil Mure (2)'!C25</f>
        <v>192</v>
      </c>
      <c r="E76" s="10">
        <f>D76</f>
        <v>192</v>
      </c>
      <c r="F76" s="10">
        <f t="shared" si="15"/>
        <v>192</v>
      </c>
      <c r="G76" s="10">
        <f t="shared" si="17"/>
        <v>192</v>
      </c>
      <c r="H76" s="10">
        <f t="shared" si="17"/>
        <v>192</v>
      </c>
      <c r="I76" s="10">
        <f t="shared" si="17"/>
        <v>192</v>
      </c>
      <c r="J76" s="10">
        <f t="shared" si="17"/>
        <v>192</v>
      </c>
      <c r="K76" s="10">
        <f t="shared" si="17"/>
        <v>192</v>
      </c>
    </row>
    <row r="77" spans="1:12" hidden="1">
      <c r="A77" s="2" t="s">
        <v>19</v>
      </c>
      <c r="B77" s="2" t="s">
        <v>79</v>
      </c>
      <c r="C77" s="10">
        <f>'Bil Mure (2)'!B26</f>
        <v>2075</v>
      </c>
      <c r="D77" s="10">
        <f>'Bil Mure (2)'!C26</f>
        <v>3881</v>
      </c>
      <c r="E77" s="10">
        <f>D77</f>
        <v>3881</v>
      </c>
      <c r="F77" s="10">
        <f t="shared" si="15"/>
        <v>0</v>
      </c>
      <c r="G77" s="10">
        <f t="shared" si="17"/>
        <v>0</v>
      </c>
      <c r="H77" s="10">
        <f t="shared" si="17"/>
        <v>0</v>
      </c>
      <c r="I77" s="10">
        <f t="shared" si="17"/>
        <v>0</v>
      </c>
      <c r="J77" s="10">
        <f t="shared" si="17"/>
        <v>0</v>
      </c>
      <c r="K77" s="10">
        <f t="shared" si="17"/>
        <v>0</v>
      </c>
    </row>
    <row r="78" spans="1:12" hidden="1">
      <c r="A78" s="1" t="s">
        <v>77</v>
      </c>
      <c r="B78" s="1"/>
      <c r="C78" s="11">
        <f t="shared" ref="C78:K78" si="18">SUM(C71:C77)</f>
        <v>40373</v>
      </c>
      <c r="D78" s="11">
        <f t="shared" si="18"/>
        <v>41380</v>
      </c>
      <c r="E78" s="11">
        <f t="shared" si="18"/>
        <v>39724</v>
      </c>
      <c r="F78" s="11">
        <f t="shared" si="18"/>
        <v>35843</v>
      </c>
      <c r="G78" s="11">
        <f t="shared" si="18"/>
        <v>35456.549500000001</v>
      </c>
      <c r="H78" s="11">
        <f t="shared" si="18"/>
        <v>35070.099000000002</v>
      </c>
      <c r="I78" s="11">
        <f t="shared" si="18"/>
        <v>34939.648500000003</v>
      </c>
      <c r="J78" s="11">
        <f t="shared" si="18"/>
        <v>36209.198000000004</v>
      </c>
      <c r="K78" s="11">
        <f t="shared" si="18"/>
        <v>37478.747500000005</v>
      </c>
    </row>
    <row r="79" spans="1:12" hidden="1">
      <c r="A79" s="2" t="s">
        <v>80</v>
      </c>
      <c r="B79" s="2"/>
      <c r="C79" s="10">
        <f t="shared" ref="C79:K79" si="19">C78-C69</f>
        <v>1</v>
      </c>
      <c r="D79" s="10">
        <f t="shared" si="19"/>
        <v>0</v>
      </c>
      <c r="E79" s="10">
        <f t="shared" si="19"/>
        <v>1</v>
      </c>
      <c r="F79" s="10">
        <f t="shared" si="19"/>
        <v>1</v>
      </c>
      <c r="G79" s="10">
        <f t="shared" si="19"/>
        <v>1</v>
      </c>
      <c r="H79" s="10">
        <f t="shared" si="19"/>
        <v>1</v>
      </c>
      <c r="I79" s="10">
        <f t="shared" si="19"/>
        <v>1</v>
      </c>
      <c r="J79" s="10">
        <f t="shared" si="19"/>
        <v>1</v>
      </c>
      <c r="K79" s="10">
        <f t="shared" si="19"/>
        <v>1.000000000007276</v>
      </c>
    </row>
    <row r="80" spans="1:12" hidden="1">
      <c r="A80" s="2" t="s">
        <v>81</v>
      </c>
      <c r="B80" s="2"/>
      <c r="C80" s="10"/>
      <c r="D80" s="10">
        <f t="shared" ref="D80:K80" si="20">D53-D68</f>
        <v>-1</v>
      </c>
      <c r="E80" s="10">
        <f t="shared" si="20"/>
        <v>0</v>
      </c>
      <c r="F80" s="10">
        <f t="shared" si="20"/>
        <v>0</v>
      </c>
      <c r="G80" s="10">
        <f t="shared" si="20"/>
        <v>0</v>
      </c>
      <c r="H80" s="10">
        <f t="shared" si="20"/>
        <v>0</v>
      </c>
      <c r="I80" s="10">
        <f t="shared" si="20"/>
        <v>0</v>
      </c>
      <c r="J80" s="10">
        <f t="shared" si="20"/>
        <v>0</v>
      </c>
      <c r="K80" s="10">
        <f t="shared" si="20"/>
        <v>0</v>
      </c>
    </row>
    <row r="81" spans="1:34">
      <c r="A8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1" s="7"/>
      <c r="D81" s="7"/>
      <c r="E81" s="7"/>
      <c r="F81" s="7"/>
      <c r="G81" s="7"/>
      <c r="H81" s="7"/>
      <c r="I81" s="7"/>
      <c r="J81" s="7"/>
      <c r="K81" s="7"/>
    </row>
    <row r="82" spans="1:34">
      <c r="A82" s="3" t="s">
        <v>198</v>
      </c>
      <c r="C82" s="7"/>
      <c r="D82" s="7"/>
      <c r="E82" s="7"/>
      <c r="F82" s="7"/>
      <c r="G82" s="7"/>
      <c r="H82" s="7"/>
      <c r="I82" s="7"/>
      <c r="J82" s="7"/>
      <c r="K82" s="7"/>
    </row>
    <row r="83" spans="1:34">
      <c r="A83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3" s="7"/>
      <c r="D83" s="7"/>
      <c r="E83" s="7"/>
      <c r="F83" s="7"/>
      <c r="G83" s="7"/>
      <c r="H83" s="7"/>
      <c r="I83" s="7"/>
      <c r="J83" s="7"/>
      <c r="K83" s="7"/>
      <c r="O83" s="128" t="s">
        <v>342</v>
      </c>
      <c r="S83" s="143" t="s">
        <v>358</v>
      </c>
      <c r="T83" s="139"/>
      <c r="U83" s="143" t="s">
        <v>334</v>
      </c>
      <c r="V83" s="143" t="s">
        <v>361</v>
      </c>
      <c r="W83" s="149" t="s">
        <v>340</v>
      </c>
    </row>
    <row r="84" spans="1:34">
      <c r="A84" s="70" t="s">
        <v>223</v>
      </c>
      <c r="B84" s="70"/>
      <c r="C84" s="72"/>
      <c r="D84" s="72"/>
      <c r="E84" s="72"/>
      <c r="F84" s="302" t="s">
        <v>217</v>
      </c>
      <c r="G84" s="303"/>
      <c r="H84" s="303"/>
      <c r="I84" s="304"/>
      <c r="J84" s="72"/>
      <c r="K84" s="73" t="s">
        <v>218</v>
      </c>
      <c r="L84" s="73" t="s">
        <v>219</v>
      </c>
      <c r="N84" s="133" t="s">
        <v>362</v>
      </c>
      <c r="O84" s="2">
        <v>4.5</v>
      </c>
      <c r="P84" s="115">
        <f>SUM(P85:P87)</f>
        <v>1</v>
      </c>
      <c r="Q84" s="128" t="s">
        <v>386</v>
      </c>
      <c r="R84" s="148" t="s">
        <v>333</v>
      </c>
      <c r="S84" s="144" t="s">
        <v>359</v>
      </c>
      <c r="T84" s="146" t="s">
        <v>357</v>
      </c>
      <c r="U84" s="144" t="s">
        <v>360</v>
      </c>
      <c r="V84" s="144" t="s">
        <v>341</v>
      </c>
      <c r="W84" s="144" t="s">
        <v>355</v>
      </c>
    </row>
    <row r="85" spans="1:34">
      <c r="A85" s="70" t="s">
        <v>199</v>
      </c>
      <c r="B85" s="70"/>
      <c r="C85" s="72">
        <f t="shared" ref="C85:E99" si="21">C55</f>
        <v>2008</v>
      </c>
      <c r="D85" s="72">
        <f t="shared" si="21"/>
        <v>2009</v>
      </c>
      <c r="E85" s="74">
        <v>2010</v>
      </c>
      <c r="F85" s="75" t="s">
        <v>83</v>
      </c>
      <c r="G85" s="75" t="s">
        <v>84</v>
      </c>
      <c r="H85" s="75" t="s">
        <v>85</v>
      </c>
      <c r="I85" s="75" t="s">
        <v>106</v>
      </c>
      <c r="J85" s="72">
        <f>E85</f>
        <v>2010</v>
      </c>
      <c r="K85" s="76"/>
      <c r="L85" s="73" t="s">
        <v>220</v>
      </c>
      <c r="N85" t="s">
        <v>331</v>
      </c>
      <c r="O85" s="113">
        <v>10.5</v>
      </c>
      <c r="P85" s="37">
        <f>'tri actionnaires'!AF10</f>
        <v>0.47694274638905815</v>
      </c>
      <c r="Q85" s="111">
        <f>O85*$O$84</f>
        <v>47.25</v>
      </c>
      <c r="R85" s="181">
        <f>Q85*P85</f>
        <v>22.535544766882996</v>
      </c>
      <c r="T85" s="105">
        <f>R85/$R$88</f>
        <v>0.52596035249339712</v>
      </c>
      <c r="V85" s="180">
        <f>$V$88*P85</f>
        <v>151829</v>
      </c>
      <c r="W85" s="2">
        <f>(R85*1000000)/V85</f>
        <v>148.4271434764307</v>
      </c>
    </row>
    <row r="86" spans="1:34">
      <c r="A86" s="2" t="s">
        <v>1</v>
      </c>
      <c r="B86" s="2"/>
      <c r="C86" s="10">
        <f t="shared" si="21"/>
        <v>2</v>
      </c>
      <c r="D86" s="10">
        <f t="shared" si="21"/>
        <v>0</v>
      </c>
      <c r="E86" s="10">
        <f t="shared" si="21"/>
        <v>0</v>
      </c>
      <c r="F86" s="10"/>
      <c r="G86" s="10"/>
      <c r="H86" s="10"/>
      <c r="I86" s="10"/>
      <c r="J86" s="10">
        <f t="shared" ref="J86:J98" si="22">E86+F86+G86+H86+I86</f>
        <v>0</v>
      </c>
      <c r="K86" s="10"/>
      <c r="L86" s="10">
        <f t="shared" ref="L86:L98" si="23">J86+K86</f>
        <v>0</v>
      </c>
      <c r="N86" s="46" t="s">
        <v>385</v>
      </c>
      <c r="O86" s="113">
        <v>9</v>
      </c>
      <c r="P86" s="37">
        <f>'tri actionnaires'!AF11+'tri actionnaires'!AF13</f>
        <v>0.3290810396496805</v>
      </c>
      <c r="Q86" s="111">
        <f t="shared" ref="Q86" si="24">O86*$O$84</f>
        <v>40.5</v>
      </c>
      <c r="R86" s="181">
        <f t="shared" ref="R86:R87" si="25">Q86*P86</f>
        <v>13.32778210581206</v>
      </c>
      <c r="S86" s="140">
        <f>O86/O85-1</f>
        <v>-0.1428571428571429</v>
      </c>
      <c r="T86" s="105">
        <f t="shared" ref="T86:T87" si="26">R86/$R$88</f>
        <v>0.31105904236357512</v>
      </c>
      <c r="V86" s="180">
        <f>$V$88*P86</f>
        <v>104758.99999999999</v>
      </c>
      <c r="W86" s="2">
        <f>(R86*1000000)/V86</f>
        <v>127.22326583694061</v>
      </c>
      <c r="AC86" s="37"/>
      <c r="AD86" s="169"/>
    </row>
    <row r="87" spans="1:34">
      <c r="A87" s="2" t="s">
        <v>201</v>
      </c>
      <c r="B87" s="2"/>
      <c r="C87" s="10">
        <f t="shared" si="21"/>
        <v>5243</v>
      </c>
      <c r="D87" s="10">
        <f t="shared" si="21"/>
        <v>5476</v>
      </c>
      <c r="E87" s="10">
        <f t="shared" si="21"/>
        <v>5476</v>
      </c>
      <c r="F87" s="10"/>
      <c r="G87" s="10"/>
      <c r="H87" s="10"/>
      <c r="I87" s="10"/>
      <c r="J87" s="10">
        <f t="shared" si="22"/>
        <v>5476</v>
      </c>
      <c r="K87" s="10">
        <v>-5476</v>
      </c>
      <c r="L87" s="10">
        <f t="shared" si="23"/>
        <v>0</v>
      </c>
      <c r="N87" s="7" t="s">
        <v>332</v>
      </c>
      <c r="O87" s="113">
        <v>8</v>
      </c>
      <c r="P87" s="37">
        <f>'tri actionnaires'!AF12</f>
        <v>0.1939762139612613</v>
      </c>
      <c r="Q87" s="111">
        <f>O87*$O$84</f>
        <v>36</v>
      </c>
      <c r="R87" s="181">
        <f t="shared" si="25"/>
        <v>6.9831437026054068</v>
      </c>
      <c r="S87" s="140">
        <f>O87/O85-1</f>
        <v>-0.23809523809523814</v>
      </c>
      <c r="T87" s="105">
        <f t="shared" si="26"/>
        <v>0.1629806051430279</v>
      </c>
      <c r="V87" s="180">
        <f>$V$88*P87</f>
        <v>61750</v>
      </c>
      <c r="W87" s="2">
        <f>(R87*1000000)/V87</f>
        <v>113.08734741061387</v>
      </c>
      <c r="AA87" s="305" t="s">
        <v>412</v>
      </c>
      <c r="AB87" s="306"/>
      <c r="AC87" s="307"/>
    </row>
    <row r="88" spans="1:34">
      <c r="A88" s="2" t="s">
        <v>202</v>
      </c>
      <c r="B88" s="2"/>
      <c r="C88" s="10">
        <f t="shared" si="21"/>
        <v>15188</v>
      </c>
      <c r="D88" s="10">
        <f t="shared" si="21"/>
        <v>17813</v>
      </c>
      <c r="E88" s="10">
        <f t="shared" si="21"/>
        <v>17046</v>
      </c>
      <c r="F88" s="10"/>
      <c r="G88" s="10"/>
      <c r="H88" s="10"/>
      <c r="I88" s="10"/>
      <c r="J88" s="10">
        <f t="shared" si="22"/>
        <v>17046</v>
      </c>
      <c r="K88" s="10">
        <f>4500*10-J88-R92</f>
        <v>25800.47057530046</v>
      </c>
      <c r="L88" s="77">
        <f>J88+K88</f>
        <v>42846.47057530046</v>
      </c>
      <c r="P88" s="7"/>
      <c r="R88" s="112">
        <f>SUM(R85:R87)</f>
        <v>42.846470575300458</v>
      </c>
      <c r="T88" s="48">
        <f>SUM(T85:T87)</f>
        <v>1</v>
      </c>
      <c r="U88" s="96">
        <f>O84/R88</f>
        <v>0.10502615360328181</v>
      </c>
      <c r="V88" s="47">
        <v>318338</v>
      </c>
      <c r="W88" s="1">
        <f>(R88*1000000)/V88</f>
        <v>134.59426953521242</v>
      </c>
      <c r="AA88" s="244">
        <v>151</v>
      </c>
      <c r="AB88" s="243" t="e">
        <f>#REF!</f>
        <v>#REF!</v>
      </c>
      <c r="AC88" s="242" t="e">
        <f>AA88-AB88</f>
        <v>#REF!</v>
      </c>
    </row>
    <row r="89" spans="1:34">
      <c r="A89" s="2" t="s">
        <v>203</v>
      </c>
      <c r="B89" s="2"/>
      <c r="C89" s="10">
        <f t="shared" si="21"/>
        <v>70</v>
      </c>
      <c r="D89" s="10">
        <f t="shared" si="21"/>
        <v>64</v>
      </c>
      <c r="E89" s="10">
        <f t="shared" si="21"/>
        <v>64</v>
      </c>
      <c r="F89" s="10"/>
      <c r="G89" s="10"/>
      <c r="H89" s="10"/>
      <c r="I89" s="10"/>
      <c r="J89" s="10">
        <f t="shared" si="22"/>
        <v>64</v>
      </c>
      <c r="K89" s="10"/>
      <c r="L89" s="10">
        <f>J89+K89</f>
        <v>64</v>
      </c>
      <c r="R89">
        <f>R88*1000</f>
        <v>42846.47057530046</v>
      </c>
    </row>
    <row r="90" spans="1:34" ht="13.5" thickBot="1">
      <c r="A90" s="2" t="s">
        <v>204</v>
      </c>
      <c r="B90" s="2"/>
      <c r="C90" s="10">
        <f t="shared" si="21"/>
        <v>2001</v>
      </c>
      <c r="D90" s="10">
        <f t="shared" si="21"/>
        <v>0</v>
      </c>
      <c r="E90" s="10">
        <f t="shared" si="21"/>
        <v>0</v>
      </c>
      <c r="F90" s="10"/>
      <c r="G90" s="10"/>
      <c r="H90" s="10"/>
      <c r="I90" s="10"/>
      <c r="J90" s="10">
        <f t="shared" si="22"/>
        <v>0</v>
      </c>
      <c r="K90" s="10"/>
      <c r="L90" s="10">
        <f t="shared" si="23"/>
        <v>0</v>
      </c>
    </row>
    <row r="91" spans="1:34">
      <c r="A91" s="2" t="s">
        <v>205</v>
      </c>
      <c r="B91" s="2"/>
      <c r="C91" s="10">
        <f t="shared" si="21"/>
        <v>4139</v>
      </c>
      <c r="D91" s="10">
        <f t="shared" si="21"/>
        <v>3934</v>
      </c>
      <c r="E91" s="10">
        <f t="shared" si="21"/>
        <v>3934</v>
      </c>
      <c r="F91" s="10">
        <v>-3934</v>
      </c>
      <c r="G91" s="10"/>
      <c r="H91" s="10"/>
      <c r="I91" s="10"/>
      <c r="J91" s="10">
        <f t="shared" si="22"/>
        <v>0</v>
      </c>
      <c r="K91" s="10"/>
      <c r="L91" s="10">
        <f t="shared" si="23"/>
        <v>0</v>
      </c>
      <c r="O91" s="128" t="s">
        <v>181</v>
      </c>
      <c r="Q91" s="128" t="s">
        <v>224</v>
      </c>
      <c r="R91" s="135" t="s">
        <v>339</v>
      </c>
      <c r="Z91" s="189" t="s">
        <v>387</v>
      </c>
      <c r="AA91" s="190"/>
      <c r="AB91" s="190"/>
      <c r="AC91" s="190"/>
      <c r="AD91" s="190"/>
      <c r="AE91" s="190"/>
      <c r="AF91" s="190"/>
      <c r="AG91" s="190"/>
      <c r="AH91" s="191"/>
    </row>
    <row r="92" spans="1:34">
      <c r="A92" s="2" t="s">
        <v>206</v>
      </c>
      <c r="B92" s="2"/>
      <c r="C92" s="10">
        <f t="shared" si="21"/>
        <v>2376</v>
      </c>
      <c r="D92" s="10">
        <f t="shared" si="21"/>
        <v>2307</v>
      </c>
      <c r="E92" s="10">
        <f t="shared" si="21"/>
        <v>2307</v>
      </c>
      <c r="F92" s="10">
        <v>-2307</v>
      </c>
      <c r="G92" s="10"/>
      <c r="H92" s="10"/>
      <c r="I92" s="10"/>
      <c r="J92" s="10">
        <f t="shared" si="22"/>
        <v>0</v>
      </c>
      <c r="K92" s="10"/>
      <c r="L92" s="10">
        <f t="shared" si="23"/>
        <v>0</v>
      </c>
      <c r="O92" s="182">
        <v>4100</v>
      </c>
      <c r="P92" s="47"/>
      <c r="Q92" s="47">
        <v>45000</v>
      </c>
      <c r="R92" s="47">
        <f>Q92-R89</f>
        <v>2153.52942469954</v>
      </c>
      <c r="Z92" s="192"/>
      <c r="AA92" s="92"/>
      <c r="AB92" s="92"/>
      <c r="AC92" s="128" t="s">
        <v>392</v>
      </c>
      <c r="AD92" s="128" t="s">
        <v>393</v>
      </c>
      <c r="AE92" s="128" t="s">
        <v>394</v>
      </c>
      <c r="AF92" s="128" t="s">
        <v>398</v>
      </c>
      <c r="AG92" s="128" t="s">
        <v>400</v>
      </c>
      <c r="AH92" s="193"/>
    </row>
    <row r="93" spans="1:34">
      <c r="A93" s="2" t="s">
        <v>207</v>
      </c>
      <c r="B93" s="2"/>
      <c r="C93" s="10">
        <f t="shared" si="21"/>
        <v>2547</v>
      </c>
      <c r="D93" s="10">
        <f t="shared" si="21"/>
        <v>2040</v>
      </c>
      <c r="E93" s="10">
        <f t="shared" si="21"/>
        <v>2040</v>
      </c>
      <c r="F93" s="10"/>
      <c r="G93" s="10"/>
      <c r="H93" s="10"/>
      <c r="I93" s="10"/>
      <c r="J93" s="10">
        <f t="shared" si="22"/>
        <v>2040</v>
      </c>
      <c r="K93" s="10"/>
      <c r="L93" s="10">
        <f t="shared" si="23"/>
        <v>2040</v>
      </c>
      <c r="R93" s="7"/>
      <c r="Z93" s="192" t="str">
        <f>N98</f>
        <v>action 1</v>
      </c>
      <c r="AA93" s="175">
        <v>1</v>
      </c>
      <c r="AB93" s="92"/>
      <c r="AC93" s="194">
        <f>O84*1000000</f>
        <v>4500000</v>
      </c>
      <c r="AD93" s="195">
        <v>11</v>
      </c>
      <c r="AE93" s="176">
        <f>AC93*AD93</f>
        <v>49500000</v>
      </c>
      <c r="AF93" s="211">
        <f>AE93/$P$101</f>
        <v>155.49510268959409</v>
      </c>
      <c r="AG93" s="216">
        <f>AC93/AE93</f>
        <v>9.0909090909090912E-2</v>
      </c>
      <c r="AH93" s="193"/>
    </row>
    <row r="94" spans="1:34">
      <c r="A94" s="2" t="s">
        <v>208</v>
      </c>
      <c r="B94" s="2"/>
      <c r="C94" s="10">
        <f t="shared" si="21"/>
        <v>234</v>
      </c>
      <c r="D94" s="10">
        <f t="shared" si="21"/>
        <v>221</v>
      </c>
      <c r="E94" s="10">
        <f t="shared" si="21"/>
        <v>221</v>
      </c>
      <c r="F94" s="10"/>
      <c r="G94" s="10"/>
      <c r="H94" s="10"/>
      <c r="I94" s="10"/>
      <c r="J94" s="10">
        <f t="shared" si="22"/>
        <v>221</v>
      </c>
      <c r="K94" s="10"/>
      <c r="L94" s="10">
        <f t="shared" si="23"/>
        <v>221</v>
      </c>
      <c r="Z94" s="192" t="str">
        <f t="shared" ref="Z94:Z95" si="27">N99</f>
        <v>action 2+4</v>
      </c>
      <c r="AA94" s="196">
        <f>T99</f>
        <v>-0.14285714285714246</v>
      </c>
      <c r="AB94" s="92"/>
      <c r="AC94" s="176">
        <f>AC93</f>
        <v>4500000</v>
      </c>
      <c r="AD94" s="197">
        <f>AE94/AC94</f>
        <v>11.111111111111111</v>
      </c>
      <c r="AE94" s="198">
        <v>50000000</v>
      </c>
      <c r="AF94" s="211">
        <f>AE94/$P$101</f>
        <v>157.06576029251929</v>
      </c>
      <c r="AG94" s="216">
        <f>AC94/AE94</f>
        <v>0.09</v>
      </c>
      <c r="AH94" s="193"/>
    </row>
    <row r="95" spans="1:34">
      <c r="A95" s="2" t="s">
        <v>209</v>
      </c>
      <c r="B95" s="2"/>
      <c r="C95" s="10">
        <f t="shared" si="21"/>
        <v>821</v>
      </c>
      <c r="D95" s="10">
        <f t="shared" si="21"/>
        <v>290</v>
      </c>
      <c r="E95" s="10">
        <f t="shared" si="21"/>
        <v>290</v>
      </c>
      <c r="F95" s="10"/>
      <c r="G95" s="10"/>
      <c r="H95" s="10"/>
      <c r="I95" s="10">
        <v>-150</v>
      </c>
      <c r="J95" s="10">
        <f t="shared" si="22"/>
        <v>140</v>
      </c>
      <c r="K95" s="10"/>
      <c r="L95" s="10">
        <f t="shared" si="23"/>
        <v>140</v>
      </c>
      <c r="N95" s="142" t="s">
        <v>364</v>
      </c>
      <c r="Z95" s="192" t="str">
        <f t="shared" si="27"/>
        <v>action 3</v>
      </c>
      <c r="AA95" s="196">
        <f>T100</f>
        <v>-0.2380952380952378</v>
      </c>
      <c r="AB95" s="199"/>
      <c r="AC95" s="199"/>
      <c r="AD95" s="199"/>
      <c r="AE95" s="199"/>
      <c r="AF95" s="92"/>
      <c r="AG95" s="92"/>
      <c r="AH95" s="193"/>
    </row>
    <row r="96" spans="1:34">
      <c r="A96" s="2" t="s">
        <v>210</v>
      </c>
      <c r="B96" s="2"/>
      <c r="C96" s="10">
        <f t="shared" si="21"/>
        <v>282</v>
      </c>
      <c r="D96" s="10">
        <f t="shared" si="21"/>
        <v>236</v>
      </c>
      <c r="E96" s="10">
        <f t="shared" si="21"/>
        <v>236</v>
      </c>
      <c r="F96" s="10"/>
      <c r="G96" s="10"/>
      <c r="H96" s="10"/>
      <c r="I96" s="10"/>
      <c r="J96" s="10">
        <f t="shared" si="22"/>
        <v>236</v>
      </c>
      <c r="K96" s="10"/>
      <c r="L96" s="10">
        <f t="shared" si="23"/>
        <v>236</v>
      </c>
      <c r="O96" s="124"/>
      <c r="P96" s="49"/>
      <c r="Q96" s="125"/>
      <c r="S96" s="147" t="s">
        <v>340</v>
      </c>
      <c r="V96" s="147" t="s">
        <v>373</v>
      </c>
      <c r="X96" s="147" t="s">
        <v>380</v>
      </c>
      <c r="Z96" s="192"/>
      <c r="AA96" s="92"/>
      <c r="AB96" s="92"/>
      <c r="AC96" s="92"/>
      <c r="AD96" s="92"/>
      <c r="AE96" s="92"/>
      <c r="AF96" s="92"/>
      <c r="AG96" s="92"/>
      <c r="AH96" s="193"/>
    </row>
    <row r="97" spans="1:34" ht="13.5" thickBot="1">
      <c r="A97" s="2" t="s">
        <v>221</v>
      </c>
      <c r="B97" s="2"/>
      <c r="C97" s="10">
        <f t="shared" si="21"/>
        <v>3033</v>
      </c>
      <c r="D97" s="10">
        <f t="shared" si="21"/>
        <v>3867</v>
      </c>
      <c r="E97" s="10">
        <f t="shared" si="21"/>
        <v>3867</v>
      </c>
      <c r="F97" s="10"/>
      <c r="G97" s="10"/>
      <c r="H97" s="10"/>
      <c r="I97" s="10"/>
      <c r="J97" s="10">
        <f t="shared" si="22"/>
        <v>3867</v>
      </c>
      <c r="K97" s="10"/>
      <c r="L97" s="10">
        <f t="shared" si="23"/>
        <v>3867</v>
      </c>
      <c r="N97" s="133" t="s">
        <v>362</v>
      </c>
      <c r="O97" s="128" t="s">
        <v>335</v>
      </c>
      <c r="P97" s="128" t="s">
        <v>341</v>
      </c>
      <c r="Q97" s="128" t="s">
        <v>357</v>
      </c>
      <c r="R97" s="146" t="s">
        <v>363</v>
      </c>
      <c r="S97" s="167" t="s">
        <v>356</v>
      </c>
      <c r="V97" s="167" t="s">
        <v>374</v>
      </c>
      <c r="X97" s="168" t="s">
        <v>381</v>
      </c>
      <c r="Z97" s="200" t="s">
        <v>388</v>
      </c>
      <c r="AA97" s="128" t="s">
        <v>389</v>
      </c>
      <c r="AB97" s="143" t="s">
        <v>404</v>
      </c>
      <c r="AC97" s="128" t="s">
        <v>390</v>
      </c>
      <c r="AD97" s="128" t="s">
        <v>395</v>
      </c>
      <c r="AE97" s="128" t="s">
        <v>391</v>
      </c>
      <c r="AF97" s="128" t="s">
        <v>377</v>
      </c>
      <c r="AG97" s="128" t="s">
        <v>396</v>
      </c>
      <c r="AH97" s="201" t="s">
        <v>400</v>
      </c>
    </row>
    <row r="98" spans="1:34" ht="13.5" thickBot="1">
      <c r="A98" s="2" t="s">
        <v>211</v>
      </c>
      <c r="B98" s="2"/>
      <c r="C98" s="10">
        <f t="shared" si="21"/>
        <v>4436</v>
      </c>
      <c r="D98" s="10">
        <f t="shared" si="21"/>
        <v>5132</v>
      </c>
      <c r="E98" s="10">
        <f t="shared" si="21"/>
        <v>4242</v>
      </c>
      <c r="F98" s="10">
        <f>-F92-F91</f>
        <v>6241</v>
      </c>
      <c r="G98" s="10"/>
      <c r="H98" s="13">
        <v>-3881</v>
      </c>
      <c r="I98" s="10">
        <v>150</v>
      </c>
      <c r="J98" s="10">
        <f t="shared" si="22"/>
        <v>6752</v>
      </c>
      <c r="K98" s="10"/>
      <c r="L98" s="10">
        <f t="shared" si="23"/>
        <v>6752</v>
      </c>
      <c r="N98" t="str">
        <f>N85</f>
        <v>action 1</v>
      </c>
      <c r="O98" s="54">
        <f>L101</f>
        <v>42300.932930375886</v>
      </c>
      <c r="P98" s="179">
        <f>V85</f>
        <v>151829</v>
      </c>
      <c r="Q98" s="48">
        <f>T85</f>
        <v>0.52596035249339712</v>
      </c>
      <c r="R98" s="179">
        <f>$O$98*Q98</f>
        <v>22248.613594860049</v>
      </c>
      <c r="S98" s="141">
        <f>R98/P98*1000</f>
        <v>146.53731233730082</v>
      </c>
      <c r="U98" s="51" t="s">
        <v>378</v>
      </c>
      <c r="V98" s="163">
        <v>6.4000000000000001E-2</v>
      </c>
      <c r="X98" s="230">
        <f>S98*$P$101</f>
        <v>46648394.934831671</v>
      </c>
      <c r="Z98" s="202">
        <f>P98</f>
        <v>151829</v>
      </c>
      <c r="AA98" s="284">
        <v>147.5</v>
      </c>
      <c r="AB98" s="287">
        <f>Z98*AA98</f>
        <v>22394777.5</v>
      </c>
      <c r="AC98" s="285">
        <f>AA98*$Z$101</f>
        <v>46954855</v>
      </c>
      <c r="AD98" s="187">
        <f>AC98/$AC$93</f>
        <v>10.434412222222223</v>
      </c>
      <c r="AE98" s="179">
        <f>$AE$106</f>
        <v>4194697.6050000004</v>
      </c>
      <c r="AF98" s="177">
        <f>AC98+AE98</f>
        <v>51149552.605000004</v>
      </c>
      <c r="AG98" s="188">
        <f>AF98/$AC$93</f>
        <v>11.366567245555556</v>
      </c>
      <c r="AH98" s="218">
        <f>$AC$93/AC98</f>
        <v>9.5836735093740577E-2</v>
      </c>
    </row>
    <row r="99" spans="1:34">
      <c r="A99" s="1" t="s">
        <v>77</v>
      </c>
      <c r="B99" s="1"/>
      <c r="C99" s="11">
        <f t="shared" si="21"/>
        <v>40372</v>
      </c>
      <c r="D99" s="11">
        <f t="shared" si="21"/>
        <v>41380</v>
      </c>
      <c r="E99" s="11">
        <f t="shared" ref="E99:L99" si="28">SUM(E86:E98)</f>
        <v>39723</v>
      </c>
      <c r="F99" s="11">
        <f t="shared" si="28"/>
        <v>0</v>
      </c>
      <c r="G99" s="11">
        <f t="shared" si="28"/>
        <v>0</v>
      </c>
      <c r="H99" s="11">
        <f t="shared" si="28"/>
        <v>-3881</v>
      </c>
      <c r="I99" s="11">
        <f t="shared" si="28"/>
        <v>0</v>
      </c>
      <c r="J99" s="11">
        <f t="shared" si="28"/>
        <v>35842</v>
      </c>
      <c r="K99" s="11">
        <f>SUM(K86:K98)</f>
        <v>20324.47057530046</v>
      </c>
      <c r="L99" s="11">
        <f t="shared" si="28"/>
        <v>56166.47057530046</v>
      </c>
      <c r="N99" t="str">
        <f>N86</f>
        <v>action 2+4</v>
      </c>
      <c r="P99" s="179">
        <f>V86</f>
        <v>104758.99999999999</v>
      </c>
      <c r="Q99" s="48">
        <f>T86</f>
        <v>0.31105904236357512</v>
      </c>
      <c r="R99" s="179">
        <f>$O$98*Q99</f>
        <v>13158.087688408543</v>
      </c>
      <c r="S99" s="141">
        <f t="shared" ref="S99:S101" si="29">R99/P99*1000</f>
        <v>125.60341057482933</v>
      </c>
      <c r="T99" s="105">
        <f>S99/S98-1</f>
        <v>-0.14285714285714246</v>
      </c>
      <c r="U99" s="51" t="s">
        <v>376</v>
      </c>
      <c r="V99" s="164">
        <f>O84/V98</f>
        <v>70.3125</v>
      </c>
      <c r="X99" s="103">
        <f t="shared" ref="X99:X100" si="30">S99*$P$101</f>
        <v>39984338.515570015</v>
      </c>
      <c r="Z99" s="202">
        <f t="shared" ref="Z99:Z100" si="31">P99</f>
        <v>104758.99999999999</v>
      </c>
      <c r="AA99" s="184">
        <f>AA98*(1+AA94)</f>
        <v>126.42857142857149</v>
      </c>
      <c r="AB99" s="286">
        <f t="shared" ref="AB99:AB100" si="32">Z99*AA99</f>
        <v>13244530.714285718</v>
      </c>
      <c r="AC99" s="103">
        <f t="shared" ref="AC99:AC100" si="33">AA99*$Z$101</f>
        <v>40247018.57142859</v>
      </c>
      <c r="AD99" s="187">
        <f t="shared" ref="AD99:AD100" si="34">AC99/$AC$93</f>
        <v>8.9437819047619094</v>
      </c>
      <c r="AE99" s="179">
        <f>AE98</f>
        <v>4194697.6050000004</v>
      </c>
      <c r="AF99" s="104">
        <f>AC99+AE99</f>
        <v>44441716.176428586</v>
      </c>
      <c r="AG99" s="188">
        <f t="shared" ref="AG99:AG100" si="35">AF99/$AC$93</f>
        <v>9.8759369280952409</v>
      </c>
      <c r="AH99" s="218">
        <f t="shared" ref="AH99:AH100" si="36">$AC$93/AC99</f>
        <v>0.11180952427603062</v>
      </c>
    </row>
    <row r="100" spans="1:34" ht="13.5" thickBot="1">
      <c r="A100" s="1" t="s">
        <v>200</v>
      </c>
      <c r="B100" s="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N100" t="str">
        <f>N87</f>
        <v>action 3</v>
      </c>
      <c r="P100" s="179">
        <f>V87</f>
        <v>61750</v>
      </c>
      <c r="Q100" s="48">
        <f>T87</f>
        <v>0.1629806051430279</v>
      </c>
      <c r="R100" s="179">
        <f>$O$98*Q100</f>
        <v>6894.2316471072982</v>
      </c>
      <c r="S100" s="141">
        <f t="shared" si="29"/>
        <v>111.64747606651495</v>
      </c>
      <c r="T100" s="105">
        <f>S100/S98-1</f>
        <v>-0.2380952380952378</v>
      </c>
      <c r="U100" s="51" t="s">
        <v>370</v>
      </c>
      <c r="V100" s="165">
        <v>6.54E-2</v>
      </c>
      <c r="X100" s="103">
        <f t="shared" si="30"/>
        <v>35541634.236062236</v>
      </c>
      <c r="Z100" s="202">
        <f t="shared" si="31"/>
        <v>61750</v>
      </c>
      <c r="AA100" s="225">
        <f>AA98*(1+AA95)</f>
        <v>112.38095238095242</v>
      </c>
      <c r="AB100" s="283">
        <f t="shared" si="32"/>
        <v>6939523.8095238125</v>
      </c>
      <c r="AC100" s="103">
        <f t="shared" si="33"/>
        <v>35775127.619047634</v>
      </c>
      <c r="AD100" s="187">
        <f t="shared" si="34"/>
        <v>7.9500283597883632</v>
      </c>
      <c r="AE100" s="179">
        <f>AE99</f>
        <v>4194697.6050000004</v>
      </c>
      <c r="AF100" s="104">
        <f>AC100+AE100</f>
        <v>39969825.224047631</v>
      </c>
      <c r="AG100" s="188">
        <f t="shared" si="35"/>
        <v>8.8821833831216956</v>
      </c>
      <c r="AH100" s="218">
        <f t="shared" si="36"/>
        <v>0.12578571481053444</v>
      </c>
    </row>
    <row r="101" spans="1:34" ht="13.5" thickBot="1">
      <c r="A101" s="1" t="s">
        <v>212</v>
      </c>
      <c r="B101" s="1"/>
      <c r="C101" s="11">
        <f t="shared" ref="C101:E110" si="37">C71</f>
        <v>28715</v>
      </c>
      <c r="D101" s="11">
        <f t="shared" si="37"/>
        <v>29430</v>
      </c>
      <c r="E101" s="11">
        <f t="shared" si="37"/>
        <v>29430</v>
      </c>
      <c r="F101" s="11">
        <v>0</v>
      </c>
      <c r="G101" s="11"/>
      <c r="H101" s="11"/>
      <c r="I101" s="11"/>
      <c r="J101" s="11">
        <f>E101+F101+G101+H101+I101</f>
        <v>29430</v>
      </c>
      <c r="K101" s="11">
        <f>K99-K102</f>
        <v>12870.932930375884</v>
      </c>
      <c r="L101" s="9">
        <f>J101+K101</f>
        <v>42300.932930375886</v>
      </c>
      <c r="O101">
        <f>O98/P101*1000</f>
        <v>132.88056383584706</v>
      </c>
      <c r="P101" s="47">
        <v>318338</v>
      </c>
      <c r="R101" s="63">
        <f>SUM(R98:R100)</f>
        <v>42300.932930375893</v>
      </c>
      <c r="S101" s="141">
        <f t="shared" si="29"/>
        <v>132.88056383584708</v>
      </c>
      <c r="U101" s="51"/>
      <c r="V101" s="164">
        <f>V99*V100</f>
        <v>4.5984375000000002</v>
      </c>
      <c r="Z101" s="224">
        <f>SUM(Z98:Z100)</f>
        <v>318338</v>
      </c>
      <c r="AA101" s="227">
        <f>AB101/Z101</f>
        <v>133.75353248374222</v>
      </c>
      <c r="AB101" s="185">
        <f>SUM(AB98:AB100)</f>
        <v>42578832.02380953</v>
      </c>
      <c r="AC101" s="92"/>
      <c r="AD101" s="92"/>
      <c r="AE101" s="176"/>
      <c r="AF101" s="92"/>
      <c r="AG101" s="92"/>
      <c r="AH101" s="193"/>
    </row>
    <row r="102" spans="1:34">
      <c r="A102" s="2" t="s">
        <v>14</v>
      </c>
      <c r="B102" s="2"/>
      <c r="C102" s="10">
        <f t="shared" si="37"/>
        <v>203</v>
      </c>
      <c r="D102" s="10">
        <f t="shared" si="37"/>
        <v>307</v>
      </c>
      <c r="E102" s="10">
        <f t="shared" si="37"/>
        <v>307</v>
      </c>
      <c r="F102" s="10"/>
      <c r="G102" s="10"/>
      <c r="H102" s="10"/>
      <c r="I102" s="10"/>
      <c r="J102" s="19">
        <f t="shared" ref="J102:J107" si="38">E102+F102+G102+H102+I102</f>
        <v>307</v>
      </c>
      <c r="K102" s="10">
        <f>(33%*(L88-J88-J87)/2)+O92</f>
        <v>7453.5376449245759</v>
      </c>
      <c r="L102" s="10">
        <f t="shared" ref="L102:L107" si="39">J102+K102</f>
        <v>7760.5376449245759</v>
      </c>
      <c r="U102" s="51" t="s">
        <v>377</v>
      </c>
      <c r="V102" s="164">
        <f>V99+V101</f>
        <v>74.910937500000003</v>
      </c>
      <c r="Z102" s="192"/>
      <c r="AA102" s="226">
        <f>S101-AA101</f>
        <v>-0.87296864789513506</v>
      </c>
      <c r="AB102" s="203">
        <f>(R101*1000)-AB101</f>
        <v>-277899.09343363345</v>
      </c>
      <c r="AC102" s="92"/>
      <c r="AD102" s="92"/>
      <c r="AE102" s="92"/>
      <c r="AF102" s="92"/>
      <c r="AG102" s="92"/>
      <c r="AH102" s="193"/>
    </row>
    <row r="103" spans="1:34">
      <c r="A103" s="2" t="s">
        <v>213</v>
      </c>
      <c r="B103" s="2"/>
      <c r="C103" s="10">
        <f t="shared" si="37"/>
        <v>8088</v>
      </c>
      <c r="D103" s="10">
        <f t="shared" si="37"/>
        <v>6432</v>
      </c>
      <c r="E103" s="10">
        <f t="shared" si="37"/>
        <v>4776</v>
      </c>
      <c r="F103" s="10"/>
      <c r="G103" s="10"/>
      <c r="H103" s="10"/>
      <c r="I103" s="10"/>
      <c r="J103" s="19">
        <f t="shared" si="38"/>
        <v>4776</v>
      </c>
      <c r="K103" s="10"/>
      <c r="L103" s="10">
        <f t="shared" si="39"/>
        <v>4776</v>
      </c>
      <c r="U103" s="210" t="s">
        <v>397</v>
      </c>
      <c r="V103" s="105">
        <f>O84/V102</f>
        <v>6.0071334709968081E-2</v>
      </c>
      <c r="Z103" s="192"/>
      <c r="AA103" s="183">
        <f>AA102/AA101</f>
        <v>-6.526696018299514E-3</v>
      </c>
      <c r="AB103" s="92"/>
      <c r="AC103" s="92"/>
      <c r="AD103" s="78" t="s">
        <v>175</v>
      </c>
      <c r="AE103" s="179">
        <v>800000</v>
      </c>
      <c r="AF103" s="92"/>
      <c r="AG103" s="92"/>
      <c r="AH103" s="193"/>
    </row>
    <row r="104" spans="1:34" ht="13.5" thickBot="1">
      <c r="A104" s="2" t="s">
        <v>222</v>
      </c>
      <c r="B104" s="2"/>
      <c r="C104" s="10">
        <f t="shared" si="37"/>
        <v>715</v>
      </c>
      <c r="D104" s="10">
        <f t="shared" si="37"/>
        <v>910</v>
      </c>
      <c r="E104" s="10">
        <f t="shared" si="37"/>
        <v>910</v>
      </c>
      <c r="F104" s="10"/>
      <c r="G104" s="10"/>
      <c r="H104" s="10"/>
      <c r="I104" s="10"/>
      <c r="J104" s="19">
        <f t="shared" si="38"/>
        <v>910</v>
      </c>
      <c r="K104" s="10"/>
      <c r="L104" s="10">
        <f t="shared" si="39"/>
        <v>910</v>
      </c>
      <c r="N104" s="3" t="s">
        <v>365</v>
      </c>
      <c r="U104" s="51"/>
      <c r="Z104" s="192"/>
      <c r="AA104" s="92"/>
      <c r="AB104" s="92"/>
      <c r="AC104" s="92"/>
      <c r="AD104" s="78" t="s">
        <v>176</v>
      </c>
      <c r="AE104" s="179">
        <v>1000000</v>
      </c>
      <c r="AF104" s="92"/>
      <c r="AG104" s="92"/>
      <c r="AH104" s="193"/>
    </row>
    <row r="105" spans="1:34" ht="13.5" thickBot="1">
      <c r="A105" s="2" t="s">
        <v>214</v>
      </c>
      <c r="B105" s="2"/>
      <c r="C105" s="10">
        <f t="shared" si="37"/>
        <v>405</v>
      </c>
      <c r="D105" s="10">
        <f t="shared" si="37"/>
        <v>228</v>
      </c>
      <c r="E105" s="10">
        <f t="shared" si="37"/>
        <v>228</v>
      </c>
      <c r="F105" s="10"/>
      <c r="G105" s="10"/>
      <c r="H105" s="10"/>
      <c r="I105" s="10"/>
      <c r="J105" s="19">
        <f t="shared" si="38"/>
        <v>228</v>
      </c>
      <c r="K105" s="10"/>
      <c r="L105" s="10">
        <f t="shared" si="39"/>
        <v>228</v>
      </c>
      <c r="N105" s="143" t="s">
        <v>370</v>
      </c>
      <c r="O105" s="143" t="s">
        <v>337</v>
      </c>
      <c r="P105" s="143" t="s">
        <v>367</v>
      </c>
      <c r="Q105" s="143" t="s">
        <v>336</v>
      </c>
      <c r="R105" s="143" t="s">
        <v>338</v>
      </c>
      <c r="S105" s="143" t="s">
        <v>334</v>
      </c>
      <c r="U105" s="51" t="s">
        <v>379</v>
      </c>
      <c r="V105" s="166">
        <f>V99-(R107/1000)</f>
        <v>30.934219490174947</v>
      </c>
      <c r="Z105" s="192"/>
      <c r="AA105" s="217" t="s">
        <v>401</v>
      </c>
      <c r="AB105" s="186">
        <f>AC93/AB101</f>
        <v>0.10568631843831833</v>
      </c>
      <c r="AC105" s="204"/>
      <c r="AD105" s="78" t="s">
        <v>399</v>
      </c>
      <c r="AE105" s="179">
        <f>AF105*AC98</f>
        <v>2394697.605</v>
      </c>
      <c r="AF105" s="213">
        <f>N107</f>
        <v>5.0999999999999997E-2</v>
      </c>
      <c r="AG105" s="211"/>
      <c r="AH105" s="193"/>
    </row>
    <row r="106" spans="1:34">
      <c r="A106" s="2" t="s">
        <v>215</v>
      </c>
      <c r="B106" s="2"/>
      <c r="C106" s="10">
        <f t="shared" si="37"/>
        <v>172</v>
      </c>
      <c r="D106" s="10">
        <f t="shared" si="37"/>
        <v>192</v>
      </c>
      <c r="E106" s="10">
        <f t="shared" si="37"/>
        <v>192</v>
      </c>
      <c r="F106" s="10"/>
      <c r="G106" s="10"/>
      <c r="H106" s="10"/>
      <c r="I106" s="10"/>
      <c r="J106" s="19">
        <f t="shared" si="38"/>
        <v>192</v>
      </c>
      <c r="K106" s="10"/>
      <c r="L106" s="10">
        <f t="shared" si="39"/>
        <v>192</v>
      </c>
      <c r="N106" s="144" t="s">
        <v>371</v>
      </c>
      <c r="O106" s="144" t="s">
        <v>369</v>
      </c>
      <c r="P106" s="144" t="s">
        <v>368</v>
      </c>
      <c r="Q106" s="144" t="s">
        <v>366</v>
      </c>
      <c r="R106" s="144"/>
      <c r="S106" s="144" t="s">
        <v>372</v>
      </c>
      <c r="U106" s="51" t="s">
        <v>375</v>
      </c>
      <c r="V106" s="114">
        <f>V105/(R107/1000)</f>
        <v>0.78556552215266795</v>
      </c>
      <c r="Z106" s="192"/>
      <c r="AA106" s="92"/>
      <c r="AB106" s="92"/>
      <c r="AC106" s="92"/>
      <c r="AD106" s="92"/>
      <c r="AE106" s="212">
        <f>SUM(AE103:AE105)</f>
        <v>4194697.6050000004</v>
      </c>
      <c r="AF106" s="92"/>
      <c r="AG106" s="92"/>
      <c r="AH106" s="193"/>
    </row>
    <row r="107" spans="1:34" ht="13.5" thickBot="1">
      <c r="A107" s="2" t="s">
        <v>216</v>
      </c>
      <c r="B107" s="2"/>
      <c r="C107" s="10">
        <f t="shared" si="37"/>
        <v>2075</v>
      </c>
      <c r="D107" s="10">
        <f t="shared" si="37"/>
        <v>3881</v>
      </c>
      <c r="E107" s="10">
        <f t="shared" si="37"/>
        <v>3881</v>
      </c>
      <c r="F107" s="10"/>
      <c r="G107" s="10"/>
      <c r="H107" s="10">
        <v>-3881</v>
      </c>
      <c r="I107" s="10"/>
      <c r="J107" s="19">
        <f t="shared" si="38"/>
        <v>0</v>
      </c>
      <c r="K107" s="10"/>
      <c r="L107" s="10">
        <f t="shared" si="39"/>
        <v>0</v>
      </c>
      <c r="N107" s="96">
        <v>5.0999999999999997E-2</v>
      </c>
      <c r="O107" s="47">
        <v>820</v>
      </c>
      <c r="P107" s="47">
        <f>O98+N108+O109</f>
        <v>46278.280509825054</v>
      </c>
      <c r="Q107" s="182">
        <v>-6900</v>
      </c>
      <c r="R107" s="54">
        <f>P107+Q107</f>
        <v>39378.280509825054</v>
      </c>
      <c r="S107" s="145">
        <f>(O84*1000)/R107</f>
        <v>0.11427619341777075</v>
      </c>
      <c r="U107" s="51"/>
      <c r="Z107" s="192"/>
      <c r="AA107" s="92"/>
      <c r="AB107" s="92"/>
      <c r="AC107" s="222"/>
      <c r="AD107" s="92"/>
      <c r="AE107" s="92"/>
      <c r="AF107" s="92"/>
      <c r="AG107" s="92"/>
      <c r="AH107" s="193"/>
    </row>
    <row r="108" spans="1:34">
      <c r="A108" s="1" t="s">
        <v>77</v>
      </c>
      <c r="B108" s="1"/>
      <c r="C108" s="11">
        <f t="shared" si="37"/>
        <v>40373</v>
      </c>
      <c r="D108" s="11">
        <f t="shared" si="37"/>
        <v>41380</v>
      </c>
      <c r="E108" s="11">
        <f t="shared" ref="E108:L108" si="40">SUM(E101:E107)</f>
        <v>39724</v>
      </c>
      <c r="F108" s="11">
        <f t="shared" si="40"/>
        <v>0</v>
      </c>
      <c r="G108" s="11">
        <f t="shared" si="40"/>
        <v>0</v>
      </c>
      <c r="H108" s="11">
        <f t="shared" si="40"/>
        <v>-3881</v>
      </c>
      <c r="I108" s="11">
        <f t="shared" si="40"/>
        <v>0</v>
      </c>
      <c r="J108" s="11">
        <f t="shared" si="40"/>
        <v>35843</v>
      </c>
      <c r="K108" s="11">
        <f t="shared" si="40"/>
        <v>20324.47057530046</v>
      </c>
      <c r="L108" s="11">
        <f t="shared" si="40"/>
        <v>56167.47057530046</v>
      </c>
      <c r="N108" s="54">
        <f>O98*N107</f>
        <v>2157.3475794491701</v>
      </c>
      <c r="O108" s="47">
        <v>1000</v>
      </c>
      <c r="P108" s="47"/>
      <c r="Q108" s="47"/>
      <c r="Z108" s="205" t="s">
        <v>367</v>
      </c>
      <c r="AA108" s="143" t="s">
        <v>336</v>
      </c>
      <c r="AB108" s="143" t="s">
        <v>338</v>
      </c>
      <c r="AC108" s="143" t="s">
        <v>379</v>
      </c>
      <c r="AD108" s="143" t="s">
        <v>375</v>
      </c>
      <c r="AE108" s="92"/>
      <c r="AF108" s="92"/>
      <c r="AG108" s="92"/>
      <c r="AH108" s="193"/>
    </row>
    <row r="109" spans="1:34">
      <c r="A109" s="2" t="s">
        <v>80</v>
      </c>
      <c r="B109" s="2"/>
      <c r="C109" s="10">
        <f t="shared" si="37"/>
        <v>1</v>
      </c>
      <c r="D109" s="10">
        <f t="shared" si="37"/>
        <v>0</v>
      </c>
      <c r="E109" s="10">
        <f t="shared" ref="E109:L109" si="41">E108-E99</f>
        <v>1</v>
      </c>
      <c r="F109" s="10">
        <f t="shared" si="41"/>
        <v>0</v>
      </c>
      <c r="G109" s="10">
        <f t="shared" si="41"/>
        <v>0</v>
      </c>
      <c r="H109" s="10">
        <f t="shared" si="41"/>
        <v>0</v>
      </c>
      <c r="I109" s="10">
        <f t="shared" si="41"/>
        <v>0</v>
      </c>
      <c r="J109" s="10">
        <f t="shared" si="41"/>
        <v>1</v>
      </c>
      <c r="K109" s="10">
        <f t="shared" si="41"/>
        <v>0</v>
      </c>
      <c r="L109" s="10">
        <f t="shared" si="41"/>
        <v>1</v>
      </c>
      <c r="O109" s="54">
        <f>SUM(O107:O108)</f>
        <v>1820</v>
      </c>
      <c r="Q109" s="214">
        <f>SUM(L93:L98)</f>
        <v>13256</v>
      </c>
      <c r="R109" s="7"/>
      <c r="Z109" s="206" t="s">
        <v>403</v>
      </c>
      <c r="AA109" s="144" t="s">
        <v>366</v>
      </c>
      <c r="AB109" s="144"/>
      <c r="AC109" s="144"/>
      <c r="AD109" s="144"/>
      <c r="AE109" s="92"/>
      <c r="AF109" s="92"/>
      <c r="AG109" s="92"/>
      <c r="AH109" s="193"/>
    </row>
    <row r="110" spans="1:34" ht="13.5" thickBot="1">
      <c r="A110" s="2" t="s">
        <v>81</v>
      </c>
      <c r="B110" s="2"/>
      <c r="C110" s="10">
        <f t="shared" si="37"/>
        <v>0</v>
      </c>
      <c r="D110" s="10">
        <f t="shared" si="37"/>
        <v>-1</v>
      </c>
      <c r="E110" s="10">
        <f>E68-E98</f>
        <v>0</v>
      </c>
      <c r="F110" s="16"/>
      <c r="G110" s="16"/>
      <c r="H110" s="16"/>
      <c r="I110" s="16"/>
      <c r="J110" s="16"/>
      <c r="K110" s="16"/>
      <c r="L110" s="16"/>
      <c r="Q110" s="214">
        <f>SUM(L103:L106)+J102</f>
        <v>6413</v>
      </c>
      <c r="T110" s="46"/>
      <c r="U110" s="46"/>
      <c r="Z110" s="219">
        <f>AB101+AE106</f>
        <v>46773529.628809527</v>
      </c>
      <c r="AA110" s="176">
        <f>-SUM('Mécanique PV vendeur'!E14:E15)</f>
        <v>-4113000</v>
      </c>
      <c r="AB110" s="176">
        <f>Z110+AA110</f>
        <v>42660529.628809527</v>
      </c>
      <c r="AC110" s="103">
        <f>(V99*1000000)-AB110</f>
        <v>27651970.371190473</v>
      </c>
      <c r="AD110" s="183">
        <f>AC110/AB101</f>
        <v>0.64942998802146223</v>
      </c>
      <c r="AE110" s="92"/>
      <c r="AF110" s="92"/>
      <c r="AG110" s="92"/>
      <c r="AH110" s="193"/>
    </row>
    <row r="111" spans="1:34" ht="13.5" thickBot="1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7"/>
      <c r="D111" s="7"/>
      <c r="E111" s="7"/>
      <c r="F111" s="7"/>
      <c r="G111" s="7"/>
      <c r="H111" s="7"/>
      <c r="I111" s="7"/>
      <c r="J111" s="7"/>
      <c r="K111" s="7"/>
      <c r="Q111" s="215">
        <f>Q109-Q110</f>
        <v>6843</v>
      </c>
      <c r="U111" s="46"/>
      <c r="Z111" s="192"/>
      <c r="AA111" s="92"/>
      <c r="AB111" s="92"/>
      <c r="AC111" s="222"/>
      <c r="AD111" s="92"/>
      <c r="AE111" s="92"/>
      <c r="AF111" s="92"/>
      <c r="AG111" s="92"/>
      <c r="AH111" s="193"/>
    </row>
    <row r="112" spans="1:34" ht="13.5" thickBot="1">
      <c r="C112" s="7"/>
      <c r="D112" s="7"/>
      <c r="E112" s="7"/>
      <c r="F112" s="7"/>
      <c r="G112" s="7"/>
      <c r="H112" s="7"/>
      <c r="I112" s="7"/>
      <c r="J112" s="7"/>
      <c r="K112" s="7"/>
      <c r="Z112" s="223">
        <f>AC93/Z110</f>
        <v>9.6208262145525261E-2</v>
      </c>
      <c r="AA112" s="220" t="s">
        <v>402</v>
      </c>
      <c r="AB112" s="221">
        <f>AC93/AB110</f>
        <v>0.10548392247247343</v>
      </c>
      <c r="AC112" s="92"/>
      <c r="AD112" s="92"/>
      <c r="AE112" s="92"/>
      <c r="AF112" s="92"/>
      <c r="AG112" s="92"/>
      <c r="AH112" s="193"/>
    </row>
    <row r="113" spans="3:34" ht="13.5" thickBot="1">
      <c r="C113" s="7"/>
      <c r="D113" s="7"/>
      <c r="E113" s="7"/>
      <c r="F113" s="7"/>
      <c r="G113" s="7"/>
      <c r="H113" s="7"/>
      <c r="I113" s="7"/>
      <c r="J113" s="7" t="s">
        <v>405</v>
      </c>
      <c r="K113" s="7">
        <f>K87+K88</f>
        <v>20324.47057530046</v>
      </c>
      <c r="L113" s="7"/>
      <c r="N113" s="7"/>
      <c r="O113" s="7"/>
      <c r="Z113" s="207"/>
      <c r="AA113" s="208"/>
      <c r="AB113" s="208"/>
      <c r="AC113" s="208"/>
      <c r="AD113" s="208"/>
      <c r="AE113" s="208"/>
      <c r="AF113" s="208"/>
      <c r="AG113" s="208"/>
      <c r="AH113" s="209"/>
    </row>
    <row r="114" spans="3:34">
      <c r="J114" t="s">
        <v>406</v>
      </c>
      <c r="K114">
        <f>K113*0.33</f>
        <v>6707.0752898491519</v>
      </c>
      <c r="L114" s="7"/>
      <c r="O114" s="214"/>
    </row>
    <row r="115" spans="3:34">
      <c r="F115" s="37"/>
      <c r="J115" s="37">
        <v>0.5</v>
      </c>
      <c r="K115">
        <f>K114/2</f>
        <v>3353.5376449245759</v>
      </c>
      <c r="O115" s="214"/>
    </row>
    <row r="116" spans="3:34">
      <c r="O116" s="7"/>
    </row>
  </sheetData>
  <mergeCells count="3">
    <mergeCell ref="F43:F52"/>
    <mergeCell ref="F84:I84"/>
    <mergeCell ref="AA87:AC87"/>
  </mergeCells>
  <printOptions horizontalCentered="1" verticalCentered="1"/>
  <pageMargins left="0.25" right="0.25" top="0.75" bottom="0.75" header="0.3" footer="0.3"/>
  <pageSetup paperSize="8" scale="66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16"/>
  <sheetViews>
    <sheetView showGridLines="0" tabSelected="1" topLeftCell="S86" zoomScale="90" zoomScaleNormal="90" workbookViewId="0">
      <selection activeCell="AB104" sqref="AB104"/>
    </sheetView>
  </sheetViews>
  <sheetFormatPr baseColWidth="10" defaultColWidth="7.28515625" defaultRowHeight="12.75"/>
  <cols>
    <col min="1" max="1" width="25.28515625" customWidth="1"/>
    <col min="2" max="2" width="5.42578125" customWidth="1"/>
    <col min="3" max="7" width="7.28515625" customWidth="1"/>
    <col min="8" max="8" width="7.42578125" customWidth="1"/>
    <col min="13" max="13" width="2.28515625" customWidth="1"/>
    <col min="14" max="14" width="9.42578125" customWidth="1"/>
    <col min="15" max="15" width="8.28515625" customWidth="1"/>
    <col min="16" max="16" width="7.85546875" customWidth="1"/>
    <col min="17" max="17" width="8.7109375" customWidth="1"/>
    <col min="18" max="18" width="7.7109375" customWidth="1"/>
    <col min="19" max="19" width="8.42578125" customWidth="1"/>
    <col min="20" max="20" width="8.85546875" customWidth="1"/>
    <col min="21" max="21" width="8.140625" customWidth="1"/>
    <col min="22" max="22" width="8.7109375" customWidth="1"/>
    <col min="23" max="23" width="8" customWidth="1"/>
    <col min="24" max="24" width="14" customWidth="1"/>
    <col min="25" max="25" width="2.42578125" customWidth="1"/>
    <col min="26" max="26" width="13.5703125" customWidth="1"/>
    <col min="27" max="27" width="14.140625" bestFit="1" customWidth="1"/>
    <col min="28" max="28" width="13.5703125" customWidth="1"/>
    <col min="29" max="29" width="13.42578125" bestFit="1" customWidth="1"/>
    <col min="30" max="30" width="11.140625" bestFit="1" customWidth="1"/>
    <col min="31" max="31" width="13.42578125" customWidth="1"/>
    <col min="32" max="32" width="13.5703125" customWidth="1"/>
    <col min="33" max="33" width="10.5703125" bestFit="1" customWidth="1"/>
    <col min="34" max="34" width="7.8554687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3" t="s">
        <v>190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1">
      <c r="A4" s="70" t="s">
        <v>191</v>
      </c>
      <c r="B4" s="70"/>
      <c r="C4" s="70">
        <v>2008</v>
      </c>
      <c r="D4" s="70">
        <v>2009</v>
      </c>
      <c r="E4" s="70">
        <f>D4+1</f>
        <v>2010</v>
      </c>
      <c r="F4" s="71" t="s">
        <v>82</v>
      </c>
      <c r="G4" s="70">
        <f>E4+1</f>
        <v>2011</v>
      </c>
      <c r="H4" s="70">
        <f>G4+1</f>
        <v>2012</v>
      </c>
      <c r="I4" s="70">
        <f>H4+1</f>
        <v>2013</v>
      </c>
      <c r="J4" s="70">
        <f>I4+1</f>
        <v>2014</v>
      </c>
      <c r="K4" s="70">
        <f>J4+1</f>
        <v>2015</v>
      </c>
    </row>
    <row r="5" spans="1:11" hidden="1">
      <c r="A5" s="2" t="s">
        <v>27</v>
      </c>
      <c r="B5" s="2"/>
      <c r="C5" s="2">
        <v>234</v>
      </c>
      <c r="D5" s="2">
        <v>191</v>
      </c>
      <c r="E5" s="2">
        <f t="shared" ref="E5:E10" si="0">D5</f>
        <v>191</v>
      </c>
      <c r="F5" s="8">
        <v>-191</v>
      </c>
      <c r="G5" s="2">
        <f>E5+F5</f>
        <v>0</v>
      </c>
      <c r="H5" s="10">
        <f t="shared" ref="H5:K24" si="1">G5</f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</row>
    <row r="6" spans="1:11" hidden="1">
      <c r="A6" s="2" t="s">
        <v>29</v>
      </c>
      <c r="B6" s="2"/>
      <c r="C6" s="2">
        <v>3</v>
      </c>
      <c r="D6" s="2">
        <v>91</v>
      </c>
      <c r="E6" s="2">
        <f t="shared" si="0"/>
        <v>91</v>
      </c>
      <c r="F6" s="8">
        <v>-91</v>
      </c>
      <c r="G6" s="2">
        <f>E6+F6</f>
        <v>0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</row>
    <row r="7" spans="1:11" hidden="1">
      <c r="A7" s="2" t="s">
        <v>28</v>
      </c>
      <c r="B7" s="2"/>
      <c r="C7" s="2">
        <v>5263</v>
      </c>
      <c r="D7" s="2">
        <v>5291</v>
      </c>
      <c r="E7" s="2">
        <f t="shared" si="0"/>
        <v>5291</v>
      </c>
      <c r="F7" s="8">
        <v>-168</v>
      </c>
      <c r="G7" s="2">
        <f>E7+F7</f>
        <v>5123</v>
      </c>
      <c r="H7" s="10">
        <f t="shared" si="1"/>
        <v>5123</v>
      </c>
      <c r="I7" s="10">
        <f t="shared" si="1"/>
        <v>5123</v>
      </c>
      <c r="J7" s="10">
        <f t="shared" si="1"/>
        <v>5123</v>
      </c>
      <c r="K7" s="10">
        <f t="shared" si="1"/>
        <v>5123</v>
      </c>
    </row>
    <row r="8" spans="1:11">
      <c r="A8" s="1" t="s">
        <v>192</v>
      </c>
      <c r="B8" s="1"/>
      <c r="C8" s="1">
        <f>SUM(C5:C7)</f>
        <v>5500</v>
      </c>
      <c r="D8" s="1">
        <f>SUM(D5:D7)</f>
        <v>5573</v>
      </c>
      <c r="E8" s="1">
        <f t="shared" si="0"/>
        <v>5573</v>
      </c>
      <c r="F8" s="14">
        <f>SUM(F5:F7)</f>
        <v>-450</v>
      </c>
      <c r="G8" s="1">
        <f>SUM(G5:G7)</f>
        <v>5123</v>
      </c>
      <c r="H8" s="11">
        <f t="shared" si="1"/>
        <v>5123</v>
      </c>
      <c r="I8" s="11">
        <f t="shared" si="1"/>
        <v>5123</v>
      </c>
      <c r="J8" s="11">
        <f t="shared" si="1"/>
        <v>5123</v>
      </c>
      <c r="K8" s="11">
        <f t="shared" si="1"/>
        <v>5123</v>
      </c>
    </row>
    <row r="9" spans="1:11" hidden="1">
      <c r="A9" s="2" t="s">
        <v>31</v>
      </c>
      <c r="B9" s="2"/>
      <c r="C9" s="2">
        <v>2198</v>
      </c>
      <c r="D9" s="2">
        <v>1975</v>
      </c>
      <c r="E9" s="2">
        <f t="shared" si="0"/>
        <v>1975</v>
      </c>
      <c r="F9" s="8">
        <f>-366+14-100</f>
        <v>-452</v>
      </c>
      <c r="G9" s="2">
        <f>E9+F9</f>
        <v>1523</v>
      </c>
      <c r="H9" s="10">
        <f t="shared" si="1"/>
        <v>1523</v>
      </c>
      <c r="I9" s="10">
        <f t="shared" si="1"/>
        <v>1523</v>
      </c>
      <c r="J9" s="10">
        <f t="shared" si="1"/>
        <v>1523</v>
      </c>
      <c r="K9" s="10">
        <f t="shared" si="1"/>
        <v>1523</v>
      </c>
    </row>
    <row r="10" spans="1:11" hidden="1">
      <c r="A10" s="2" t="s">
        <v>32</v>
      </c>
      <c r="B10" s="2"/>
      <c r="C10" s="2">
        <v>28</v>
      </c>
      <c r="D10" s="2">
        <v>30</v>
      </c>
      <c r="E10" s="2">
        <f t="shared" si="0"/>
        <v>30</v>
      </c>
      <c r="F10" s="8"/>
      <c r="G10" s="2">
        <f>E10+F10</f>
        <v>30</v>
      </c>
      <c r="H10" s="10">
        <f t="shared" si="1"/>
        <v>30</v>
      </c>
      <c r="I10" s="10">
        <f t="shared" si="1"/>
        <v>30</v>
      </c>
      <c r="J10" s="10">
        <f t="shared" si="1"/>
        <v>30</v>
      </c>
      <c r="K10" s="10">
        <f t="shared" si="1"/>
        <v>30</v>
      </c>
    </row>
    <row r="11" spans="1:11" hidden="1">
      <c r="A11" s="2" t="s">
        <v>128</v>
      </c>
      <c r="B11" s="4">
        <v>0.05</v>
      </c>
      <c r="C11" s="5"/>
      <c r="D11" s="5"/>
      <c r="E11" s="5"/>
      <c r="F11" s="8"/>
      <c r="G11" s="10">
        <f>$B$11*G8</f>
        <v>256.15000000000003</v>
      </c>
      <c r="H11" s="10">
        <f t="shared" si="1"/>
        <v>256.15000000000003</v>
      </c>
      <c r="I11" s="10">
        <f t="shared" si="1"/>
        <v>256.15000000000003</v>
      </c>
      <c r="J11" s="10">
        <f t="shared" si="1"/>
        <v>256.15000000000003</v>
      </c>
      <c r="K11" s="10">
        <f t="shared" si="1"/>
        <v>256.15000000000003</v>
      </c>
    </row>
    <row r="12" spans="1:11" hidden="1">
      <c r="A12" s="2" t="s">
        <v>34</v>
      </c>
      <c r="B12" s="2"/>
      <c r="C12" s="2">
        <v>311</v>
      </c>
      <c r="D12" s="2">
        <v>217</v>
      </c>
      <c r="E12" s="2">
        <f t="shared" ref="E12:E38" si="2">D12</f>
        <v>217</v>
      </c>
      <c r="F12" s="8">
        <v>-217</v>
      </c>
      <c r="G12" s="2">
        <f>E12+F12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</row>
    <row r="13" spans="1:11" hidden="1">
      <c r="A13" s="2" t="s">
        <v>33</v>
      </c>
      <c r="B13" s="2"/>
      <c r="C13" s="2">
        <v>208</v>
      </c>
      <c r="D13" s="2">
        <v>156</v>
      </c>
      <c r="E13" s="2">
        <f t="shared" si="2"/>
        <v>156</v>
      </c>
      <c r="F13" s="8">
        <v>-156</v>
      </c>
      <c r="G13" s="2">
        <f>E13+F13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</row>
    <row r="14" spans="1:11" hidden="1">
      <c r="A14" s="2" t="s">
        <v>35</v>
      </c>
      <c r="B14" s="2"/>
      <c r="C14" s="2">
        <v>1018</v>
      </c>
      <c r="D14" s="2">
        <v>1067</v>
      </c>
      <c r="E14" s="2">
        <f t="shared" si="2"/>
        <v>1067</v>
      </c>
      <c r="F14" s="8">
        <v>133</v>
      </c>
      <c r="G14" s="2">
        <f>E14+F14</f>
        <v>1200</v>
      </c>
      <c r="H14" s="10">
        <f t="shared" si="1"/>
        <v>1200</v>
      </c>
      <c r="I14" s="10">
        <f t="shared" si="1"/>
        <v>1200</v>
      </c>
      <c r="J14" s="10">
        <f t="shared" si="1"/>
        <v>1200</v>
      </c>
      <c r="K14" s="10">
        <f t="shared" si="1"/>
        <v>1200</v>
      </c>
    </row>
    <row r="15" spans="1:11" hidden="1">
      <c r="A15" s="2" t="s">
        <v>14</v>
      </c>
      <c r="B15" s="2"/>
      <c r="C15" s="2">
        <v>21</v>
      </c>
      <c r="D15" s="2">
        <v>25</v>
      </c>
      <c r="E15" s="2">
        <f t="shared" si="2"/>
        <v>25</v>
      </c>
      <c r="F15" s="8"/>
      <c r="G15" s="2">
        <f>E15+F15</f>
        <v>25</v>
      </c>
      <c r="H15" s="10">
        <f t="shared" si="1"/>
        <v>25</v>
      </c>
      <c r="I15" s="10">
        <f t="shared" si="1"/>
        <v>25</v>
      </c>
      <c r="J15" s="10">
        <f t="shared" si="1"/>
        <v>25</v>
      </c>
      <c r="K15" s="10">
        <f t="shared" si="1"/>
        <v>25</v>
      </c>
    </row>
    <row r="16" spans="1:11" hidden="1">
      <c r="A16" s="2" t="s">
        <v>36</v>
      </c>
      <c r="B16" s="2"/>
      <c r="C16" s="2">
        <v>174</v>
      </c>
      <c r="D16" s="2">
        <v>186</v>
      </c>
      <c r="E16" s="2">
        <f t="shared" si="2"/>
        <v>186</v>
      </c>
      <c r="F16" s="8">
        <v>-166</v>
      </c>
      <c r="G16" s="2">
        <f>E16+F16</f>
        <v>20</v>
      </c>
      <c r="H16" s="10">
        <f t="shared" si="1"/>
        <v>20</v>
      </c>
      <c r="I16" s="10">
        <f t="shared" si="1"/>
        <v>20</v>
      </c>
      <c r="J16" s="10">
        <f t="shared" si="1"/>
        <v>20</v>
      </c>
      <c r="K16" s="10">
        <f t="shared" si="1"/>
        <v>20</v>
      </c>
    </row>
    <row r="17" spans="1:11">
      <c r="A17" s="1" t="s">
        <v>37</v>
      </c>
      <c r="B17" s="1"/>
      <c r="C17" s="1">
        <f>+C8-SUM(C9:C16)</f>
        <v>1542</v>
      </c>
      <c r="D17" s="1">
        <f>+D8-SUM(D9:D16)</f>
        <v>1917</v>
      </c>
      <c r="E17" s="1">
        <f t="shared" si="2"/>
        <v>1917</v>
      </c>
      <c r="F17" s="14">
        <f>+F8-SUM(F9:F16)</f>
        <v>408</v>
      </c>
      <c r="G17" s="11">
        <f>+G8-SUM(G9:G16)</f>
        <v>2068.85</v>
      </c>
      <c r="H17" s="11">
        <f t="shared" si="1"/>
        <v>2068.85</v>
      </c>
      <c r="I17" s="11">
        <f t="shared" si="1"/>
        <v>2068.85</v>
      </c>
      <c r="J17" s="11">
        <f t="shared" si="1"/>
        <v>2068.85</v>
      </c>
      <c r="K17" s="11">
        <f t="shared" si="1"/>
        <v>2068.85</v>
      </c>
    </row>
    <row r="18" spans="1:11" hidden="1">
      <c r="A18" s="2" t="s">
        <v>38</v>
      </c>
      <c r="B18" s="2"/>
      <c r="C18" s="2">
        <v>826</v>
      </c>
      <c r="D18" s="2">
        <v>501</v>
      </c>
      <c r="E18" s="2">
        <f t="shared" si="2"/>
        <v>501</v>
      </c>
      <c r="F18" s="8">
        <v>-501</v>
      </c>
      <c r="G18" s="2">
        <f>E18+F18</f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</row>
    <row r="19" spans="1:11" hidden="1">
      <c r="A19" s="2" t="s">
        <v>39</v>
      </c>
      <c r="B19" s="2"/>
      <c r="C19" s="2">
        <v>263</v>
      </c>
      <c r="D19" s="2">
        <v>176</v>
      </c>
      <c r="E19" s="2">
        <f t="shared" si="2"/>
        <v>176</v>
      </c>
      <c r="F19" s="8"/>
      <c r="G19" s="2">
        <f>E19+F19</f>
        <v>176</v>
      </c>
      <c r="H19" s="10">
        <f t="shared" si="1"/>
        <v>176</v>
      </c>
      <c r="I19" s="10">
        <f t="shared" si="1"/>
        <v>176</v>
      </c>
      <c r="J19" s="10">
        <f t="shared" si="1"/>
        <v>176</v>
      </c>
      <c r="K19" s="10">
        <f t="shared" si="1"/>
        <v>176</v>
      </c>
    </row>
    <row r="20" spans="1:11" hidden="1">
      <c r="A20" s="2" t="s">
        <v>42</v>
      </c>
      <c r="B20" s="2"/>
      <c r="C20" s="2">
        <v>7</v>
      </c>
      <c r="D20" s="2">
        <v>3</v>
      </c>
      <c r="E20" s="2">
        <f t="shared" si="2"/>
        <v>3</v>
      </c>
      <c r="F20" s="8">
        <v>-3</v>
      </c>
      <c r="G20" s="2">
        <f>E20+F20</f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</row>
    <row r="21" spans="1:11" hidden="1">
      <c r="A21" s="2" t="s">
        <v>40</v>
      </c>
      <c r="B21" s="2"/>
      <c r="C21" s="2"/>
      <c r="D21" s="2">
        <v>1013</v>
      </c>
      <c r="E21" s="2">
        <f t="shared" si="2"/>
        <v>1013</v>
      </c>
      <c r="F21" s="8">
        <v>-1013</v>
      </c>
      <c r="G21" s="2">
        <f>E21+F21</f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  <c r="K21" s="10">
        <f t="shared" si="1"/>
        <v>0</v>
      </c>
    </row>
    <row r="22" spans="1:11" hidden="1">
      <c r="A22" s="2" t="s">
        <v>41</v>
      </c>
      <c r="B22" s="2"/>
      <c r="C22" s="2">
        <v>388</v>
      </c>
      <c r="D22" s="2">
        <v>148</v>
      </c>
      <c r="E22" s="2">
        <f t="shared" si="2"/>
        <v>148</v>
      </c>
      <c r="F22" s="8">
        <v>-148</v>
      </c>
      <c r="G22" s="2">
        <f>E22+F22</f>
        <v>0</v>
      </c>
      <c r="H22" s="10">
        <f t="shared" si="1"/>
        <v>0</v>
      </c>
      <c r="I22" s="10">
        <f t="shared" si="1"/>
        <v>0</v>
      </c>
      <c r="J22" s="10">
        <f t="shared" si="1"/>
        <v>0</v>
      </c>
      <c r="K22" s="10">
        <f t="shared" si="1"/>
        <v>0</v>
      </c>
    </row>
    <row r="23" spans="1:11" hidden="1">
      <c r="A23" s="1" t="s">
        <v>47</v>
      </c>
      <c r="B23" s="1"/>
      <c r="C23" s="1">
        <f>SUM(C18:C22)</f>
        <v>1484</v>
      </c>
      <c r="D23" s="1">
        <f>SUM(D18:D22)</f>
        <v>1841</v>
      </c>
      <c r="E23" s="1">
        <f t="shared" si="2"/>
        <v>1841</v>
      </c>
      <c r="F23" s="14">
        <f>SUM(F18:F22)</f>
        <v>-1665</v>
      </c>
      <c r="G23" s="1">
        <f>SUM(G18:G22)</f>
        <v>176</v>
      </c>
      <c r="H23" s="11">
        <f t="shared" si="1"/>
        <v>176</v>
      </c>
      <c r="I23" s="11">
        <f t="shared" si="1"/>
        <v>176</v>
      </c>
      <c r="J23" s="11">
        <f t="shared" si="1"/>
        <v>176</v>
      </c>
      <c r="K23" s="11">
        <f t="shared" si="1"/>
        <v>176</v>
      </c>
    </row>
    <row r="24" spans="1:11" hidden="1">
      <c r="A24" s="2" t="s">
        <v>43</v>
      </c>
      <c r="B24" s="2"/>
      <c r="C24" s="2">
        <v>1620</v>
      </c>
      <c r="D24" s="2">
        <v>1130</v>
      </c>
      <c r="E24" s="2">
        <f t="shared" si="2"/>
        <v>1130</v>
      </c>
      <c r="F24" s="8">
        <v>-1130</v>
      </c>
      <c r="G24" s="2">
        <f>E24+F24</f>
        <v>0</v>
      </c>
      <c r="H24" s="10">
        <f t="shared" si="1"/>
        <v>0</v>
      </c>
      <c r="I24" s="10">
        <f t="shared" si="1"/>
        <v>0</v>
      </c>
      <c r="J24" s="10">
        <f t="shared" si="1"/>
        <v>0</v>
      </c>
      <c r="K24" s="10">
        <f t="shared" si="1"/>
        <v>0</v>
      </c>
    </row>
    <row r="25" spans="1:11" hidden="1">
      <c r="A25" s="2" t="s">
        <v>44</v>
      </c>
      <c r="B25" s="2"/>
      <c r="C25" s="2">
        <v>498</v>
      </c>
      <c r="D25" s="2">
        <v>425</v>
      </c>
      <c r="E25" s="2">
        <f t="shared" si="2"/>
        <v>425</v>
      </c>
      <c r="F25" s="8"/>
      <c r="G25" s="8">
        <v>350</v>
      </c>
      <c r="H25" s="9">
        <v>300</v>
      </c>
      <c r="I25" s="9"/>
      <c r="J25" s="9"/>
      <c r="K25" s="13"/>
    </row>
    <row r="26" spans="1:11" hidden="1">
      <c r="A26" s="2" t="s">
        <v>45</v>
      </c>
      <c r="B26" s="2"/>
      <c r="C26" s="2">
        <v>347</v>
      </c>
      <c r="D26" s="2">
        <v>232</v>
      </c>
      <c r="E26" s="2">
        <f t="shared" si="2"/>
        <v>232</v>
      </c>
      <c r="F26" s="8">
        <v>-232</v>
      </c>
      <c r="G26" s="2">
        <f>E26+F26</f>
        <v>0</v>
      </c>
      <c r="H26" s="10">
        <f>G26</f>
        <v>0</v>
      </c>
      <c r="I26" s="10">
        <f>H26</f>
        <v>0</v>
      </c>
      <c r="J26" s="10">
        <f>I26</f>
        <v>0</v>
      </c>
      <c r="K26" s="10">
        <f>J26</f>
        <v>0</v>
      </c>
    </row>
    <row r="27" spans="1:11" hidden="1">
      <c r="A27" s="1" t="s">
        <v>48</v>
      </c>
      <c r="B27" s="1"/>
      <c r="C27" s="1">
        <f>SUM(C24:C26)</f>
        <v>2465</v>
      </c>
      <c r="D27" s="1">
        <f>SUM(D24:D26)</f>
        <v>1787</v>
      </c>
      <c r="E27" s="1">
        <f t="shared" si="2"/>
        <v>1787</v>
      </c>
      <c r="F27" s="14">
        <f t="shared" ref="F27:K27" si="3">SUM(F24:F26)</f>
        <v>-1362</v>
      </c>
      <c r="G27" s="1">
        <f t="shared" si="3"/>
        <v>350</v>
      </c>
      <c r="H27" s="1">
        <f t="shared" si="3"/>
        <v>300</v>
      </c>
      <c r="I27" s="1">
        <f t="shared" si="3"/>
        <v>0</v>
      </c>
      <c r="J27" s="1">
        <f t="shared" si="3"/>
        <v>0</v>
      </c>
      <c r="K27" s="1">
        <f t="shared" si="3"/>
        <v>0</v>
      </c>
    </row>
    <row r="28" spans="1:11">
      <c r="A28" s="69" t="s">
        <v>193</v>
      </c>
      <c r="B28" s="1"/>
      <c r="C28" s="1">
        <f>C23-C27</f>
        <v>-981</v>
      </c>
      <c r="D28" s="1">
        <f>D23-D27</f>
        <v>54</v>
      </c>
      <c r="E28" s="1">
        <f t="shared" si="2"/>
        <v>54</v>
      </c>
      <c r="F28" s="14">
        <f t="shared" ref="F28:K28" si="4">F23-F27</f>
        <v>-303</v>
      </c>
      <c r="G28" s="1">
        <f t="shared" si="4"/>
        <v>-174</v>
      </c>
      <c r="H28" s="1">
        <f t="shared" si="4"/>
        <v>-124</v>
      </c>
      <c r="I28" s="1">
        <f t="shared" si="4"/>
        <v>176</v>
      </c>
      <c r="J28" s="1">
        <f t="shared" si="4"/>
        <v>176</v>
      </c>
      <c r="K28" s="1">
        <f t="shared" si="4"/>
        <v>176</v>
      </c>
    </row>
    <row r="29" spans="1:11" hidden="1">
      <c r="A29" s="1" t="s">
        <v>49</v>
      </c>
      <c r="B29" s="1"/>
      <c r="C29" s="1">
        <f>C17+C28</f>
        <v>561</v>
      </c>
      <c r="D29" s="1">
        <f>D17+D28</f>
        <v>1971</v>
      </c>
      <c r="E29" s="1">
        <f t="shared" si="2"/>
        <v>1971</v>
      </c>
      <c r="F29" s="14">
        <f t="shared" ref="F29:K29" si="5">F17+F28</f>
        <v>105</v>
      </c>
      <c r="G29" s="11">
        <f t="shared" si="5"/>
        <v>1894.85</v>
      </c>
      <c r="H29" s="11">
        <f t="shared" si="5"/>
        <v>1944.85</v>
      </c>
      <c r="I29" s="11">
        <f t="shared" si="5"/>
        <v>2244.85</v>
      </c>
      <c r="J29" s="11">
        <f t="shared" si="5"/>
        <v>2244.85</v>
      </c>
      <c r="K29" s="11">
        <f t="shared" si="5"/>
        <v>2244.85</v>
      </c>
    </row>
    <row r="30" spans="1:11" hidden="1">
      <c r="A30" s="2" t="s">
        <v>50</v>
      </c>
      <c r="B30" s="2"/>
      <c r="C30" s="2">
        <v>8</v>
      </c>
      <c r="D30" s="2">
        <v>4</v>
      </c>
      <c r="E30" s="2">
        <f t="shared" si="2"/>
        <v>4</v>
      </c>
      <c r="F30" s="8">
        <v>-4</v>
      </c>
      <c r="G30" s="2">
        <f t="shared" ref="G30:G37" si="6">E30+F30</f>
        <v>0</v>
      </c>
      <c r="H30" s="10">
        <f t="shared" ref="H30:K40" si="7">G30</f>
        <v>0</v>
      </c>
      <c r="I30" s="10">
        <f t="shared" si="7"/>
        <v>0</v>
      </c>
      <c r="J30" s="10">
        <f t="shared" si="7"/>
        <v>0</v>
      </c>
      <c r="K30" s="10">
        <f t="shared" si="7"/>
        <v>0</v>
      </c>
    </row>
    <row r="31" spans="1:11" hidden="1">
      <c r="A31" s="2" t="s">
        <v>52</v>
      </c>
      <c r="B31" s="2"/>
      <c r="C31" s="2">
        <v>375</v>
      </c>
      <c r="D31" s="2">
        <v>0</v>
      </c>
      <c r="E31" s="2">
        <f t="shared" si="2"/>
        <v>0</v>
      </c>
      <c r="F31" s="8"/>
      <c r="G31" s="2">
        <f t="shared" si="6"/>
        <v>0</v>
      </c>
      <c r="H31" s="10">
        <f t="shared" si="7"/>
        <v>0</v>
      </c>
      <c r="I31" s="10">
        <f t="shared" si="7"/>
        <v>0</v>
      </c>
      <c r="J31" s="10">
        <f t="shared" si="7"/>
        <v>0</v>
      </c>
      <c r="K31" s="10">
        <f t="shared" si="7"/>
        <v>0</v>
      </c>
    </row>
    <row r="32" spans="1:11" hidden="1">
      <c r="A32" s="2" t="s">
        <v>51</v>
      </c>
      <c r="B32" s="2"/>
      <c r="C32" s="2">
        <v>431</v>
      </c>
      <c r="D32" s="2">
        <v>0</v>
      </c>
      <c r="E32" s="2">
        <f t="shared" si="2"/>
        <v>0</v>
      </c>
      <c r="F32" s="8"/>
      <c r="G32" s="2">
        <f t="shared" si="6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</row>
    <row r="33" spans="1:12" hidden="1">
      <c r="A33" s="2" t="s">
        <v>53</v>
      </c>
      <c r="B33" s="2"/>
      <c r="C33" s="2">
        <f>SUM(C30:C32)</f>
        <v>814</v>
      </c>
      <c r="D33" s="2">
        <f>SUM(D30:D32)</f>
        <v>4</v>
      </c>
      <c r="E33" s="2">
        <f t="shared" si="2"/>
        <v>4</v>
      </c>
      <c r="F33" s="8">
        <f>SUM(F30:F32)</f>
        <v>-4</v>
      </c>
      <c r="G33" s="2">
        <f t="shared" si="6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</row>
    <row r="34" spans="1:12" hidden="1">
      <c r="A34" s="2" t="s">
        <v>54</v>
      </c>
      <c r="B34" s="2"/>
      <c r="C34" s="2">
        <v>35</v>
      </c>
      <c r="D34" s="2">
        <v>21</v>
      </c>
      <c r="E34" s="2">
        <f t="shared" si="2"/>
        <v>21</v>
      </c>
      <c r="F34" s="8">
        <v>-21</v>
      </c>
      <c r="G34" s="2">
        <f t="shared" si="6"/>
        <v>0</v>
      </c>
      <c r="H34" s="10">
        <f t="shared" si="7"/>
        <v>0</v>
      </c>
      <c r="I34" s="10">
        <f t="shared" si="7"/>
        <v>0</v>
      </c>
      <c r="J34" s="10">
        <f t="shared" si="7"/>
        <v>0</v>
      </c>
      <c r="K34" s="10">
        <f t="shared" si="7"/>
        <v>0</v>
      </c>
    </row>
    <row r="35" spans="1:12" hidden="1">
      <c r="A35" s="2" t="s">
        <v>52</v>
      </c>
      <c r="B35" s="2"/>
      <c r="C35" s="2">
        <v>5</v>
      </c>
      <c r="D35" s="2">
        <v>0</v>
      </c>
      <c r="E35" s="2">
        <f t="shared" si="2"/>
        <v>0</v>
      </c>
      <c r="F35" s="8"/>
      <c r="G35" s="2">
        <f t="shared" si="6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</row>
    <row r="36" spans="1:12" hidden="1">
      <c r="A36" s="2" t="s">
        <v>55</v>
      </c>
      <c r="B36" s="2"/>
      <c r="C36" s="2">
        <v>0</v>
      </c>
      <c r="D36" s="2">
        <v>158</v>
      </c>
      <c r="E36" s="2">
        <f t="shared" si="2"/>
        <v>158</v>
      </c>
      <c r="F36" s="8">
        <v>-158</v>
      </c>
      <c r="G36" s="2">
        <f t="shared" si="6"/>
        <v>0</v>
      </c>
      <c r="H36" s="10">
        <f t="shared" si="7"/>
        <v>0</v>
      </c>
      <c r="I36" s="10">
        <f t="shared" si="7"/>
        <v>0</v>
      </c>
      <c r="J36" s="10">
        <f t="shared" si="7"/>
        <v>0</v>
      </c>
      <c r="K36" s="10">
        <f t="shared" si="7"/>
        <v>0</v>
      </c>
    </row>
    <row r="37" spans="1:12" hidden="1">
      <c r="A37" s="2" t="s">
        <v>56</v>
      </c>
      <c r="B37" s="2"/>
      <c r="C37" s="2">
        <f>SUM(C34:C36)</f>
        <v>40</v>
      </c>
      <c r="D37" s="2">
        <f>SUM(D34:D36)</f>
        <v>179</v>
      </c>
      <c r="E37" s="2">
        <f t="shared" si="2"/>
        <v>179</v>
      </c>
      <c r="F37" s="8">
        <v>-179</v>
      </c>
      <c r="G37" s="2">
        <f t="shared" si="6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</row>
    <row r="38" spans="1:12">
      <c r="A38" s="69" t="s">
        <v>194</v>
      </c>
      <c r="B38" s="1"/>
      <c r="C38" s="1">
        <f>C33-C37</f>
        <v>774</v>
      </c>
      <c r="D38" s="1">
        <f>D33-D37</f>
        <v>-175</v>
      </c>
      <c r="E38" s="1">
        <f t="shared" si="2"/>
        <v>-175</v>
      </c>
      <c r="F38" s="14">
        <f>F33-F37</f>
        <v>175</v>
      </c>
      <c r="G38" s="1">
        <f>G33-G37</f>
        <v>0</v>
      </c>
      <c r="H38" s="10">
        <f t="shared" si="7"/>
        <v>0</v>
      </c>
      <c r="I38" s="10">
        <f t="shared" si="7"/>
        <v>0</v>
      </c>
      <c r="J38" s="10">
        <f t="shared" si="7"/>
        <v>0</v>
      </c>
      <c r="K38" s="10">
        <f t="shared" si="7"/>
        <v>0</v>
      </c>
    </row>
    <row r="39" spans="1:12">
      <c r="A39" s="2" t="s">
        <v>195</v>
      </c>
      <c r="B39" s="4">
        <v>0.33</v>
      </c>
      <c r="C39" s="2">
        <v>179</v>
      </c>
      <c r="D39" s="2">
        <v>111</v>
      </c>
      <c r="E39" s="9">
        <f>-$B$39*(E29+E38)</f>
        <v>-592.68000000000006</v>
      </c>
      <c r="F39" s="9"/>
      <c r="G39" s="10">
        <f>-$B$39*(G29+G38)</f>
        <v>-625.30049999999994</v>
      </c>
      <c r="H39" s="10">
        <f t="shared" si="7"/>
        <v>-625.30049999999994</v>
      </c>
      <c r="I39" s="10">
        <f t="shared" si="7"/>
        <v>-625.30049999999994</v>
      </c>
      <c r="J39" s="10">
        <f t="shared" si="7"/>
        <v>-625.30049999999994</v>
      </c>
      <c r="K39" s="10">
        <f t="shared" si="7"/>
        <v>-625.30049999999994</v>
      </c>
      <c r="L39" t="s">
        <v>197</v>
      </c>
    </row>
    <row r="40" spans="1:12">
      <c r="A40" s="1" t="s">
        <v>196</v>
      </c>
      <c r="B40" s="1"/>
      <c r="C40" s="1">
        <f>C17+C28+C38+C39</f>
        <v>1514</v>
      </c>
      <c r="D40" s="1">
        <f>D17+D28+D38+D39</f>
        <v>1907</v>
      </c>
      <c r="E40" s="11">
        <f>E29+E38+E39</f>
        <v>1203.32</v>
      </c>
      <c r="F40" s="15">
        <f>F17+F28+F38+F39</f>
        <v>280</v>
      </c>
      <c r="G40" s="11">
        <f>G17+G28+G38+G39</f>
        <v>1269.5495000000001</v>
      </c>
      <c r="H40" s="11">
        <f t="shared" si="7"/>
        <v>1269.5495000000001</v>
      </c>
      <c r="I40" s="11">
        <f t="shared" si="7"/>
        <v>1269.5495000000001</v>
      </c>
      <c r="J40" s="11">
        <f t="shared" si="7"/>
        <v>1269.5495000000001</v>
      </c>
      <c r="K40" s="11">
        <f t="shared" si="7"/>
        <v>1269.5495000000001</v>
      </c>
    </row>
    <row r="41" spans="1:12" s="49" customForma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idden="1">
      <c r="A42" s="1" t="s">
        <v>89</v>
      </c>
      <c r="B42" s="2"/>
      <c r="C42" s="17">
        <f>C4</f>
        <v>2008</v>
      </c>
      <c r="D42" s="17">
        <f>D4</f>
        <v>2009</v>
      </c>
      <c r="E42" s="17">
        <f>E4</f>
        <v>2010</v>
      </c>
      <c r="F42" s="18" t="s">
        <v>86</v>
      </c>
      <c r="G42" s="17">
        <f>G4</f>
        <v>2011</v>
      </c>
      <c r="H42" s="17">
        <f>H4</f>
        <v>2012</v>
      </c>
      <c r="I42" s="17">
        <f>I4</f>
        <v>2013</v>
      </c>
      <c r="J42" s="17">
        <f>J4</f>
        <v>2014</v>
      </c>
      <c r="K42" s="17">
        <f>K4</f>
        <v>2015</v>
      </c>
      <c r="L42" s="6">
        <f>K4</f>
        <v>2015</v>
      </c>
    </row>
    <row r="43" spans="1:12" ht="12.75" hidden="1" customHeight="1">
      <c r="A43" s="2" t="s">
        <v>68</v>
      </c>
      <c r="B43" s="2"/>
      <c r="C43" s="10"/>
      <c r="D43" s="10">
        <f>D40+D14</f>
        <v>2974</v>
      </c>
      <c r="E43" s="10">
        <f>E40+E14</f>
        <v>2270.3199999999997</v>
      </c>
      <c r="F43" s="301" t="s">
        <v>88</v>
      </c>
      <c r="G43" s="10">
        <f>G40+G14</f>
        <v>2469.5495000000001</v>
      </c>
      <c r="H43" s="10">
        <f>H40+H14</f>
        <v>2469.5495000000001</v>
      </c>
      <c r="I43" s="10">
        <f>I40+I14</f>
        <v>2469.5495000000001</v>
      </c>
      <c r="J43" s="10">
        <f>J40+J14</f>
        <v>2469.5495000000001</v>
      </c>
      <c r="K43" s="10">
        <f>K40+K14</f>
        <v>2469.5495000000001</v>
      </c>
    </row>
    <row r="44" spans="1:12" hidden="1">
      <c r="A44" s="2" t="s">
        <v>71</v>
      </c>
      <c r="B44" s="2"/>
      <c r="C44" s="10"/>
      <c r="D44" s="10">
        <f>D71-C71-D40</f>
        <v>-1192</v>
      </c>
      <c r="E44" s="9">
        <f>E71-D71-E40</f>
        <v>-1203.32</v>
      </c>
      <c r="F44" s="301"/>
      <c r="G44" s="10"/>
      <c r="H44" s="10"/>
      <c r="I44" s="10"/>
      <c r="J44" s="10"/>
      <c r="K44" s="10"/>
    </row>
    <row r="45" spans="1:12" hidden="1">
      <c r="A45" s="2" t="s">
        <v>69</v>
      </c>
      <c r="B45" s="2"/>
      <c r="C45" s="10"/>
      <c r="D45" s="10">
        <f>D73-C73</f>
        <v>-1656</v>
      </c>
      <c r="E45" s="9">
        <f>E73-D73</f>
        <v>-1656</v>
      </c>
      <c r="F45" s="301"/>
      <c r="G45" s="10">
        <v>-1656</v>
      </c>
      <c r="H45" s="10">
        <v>-1656</v>
      </c>
      <c r="I45" s="9">
        <v>-1400</v>
      </c>
      <c r="J45" s="9">
        <v>0</v>
      </c>
      <c r="K45" s="9">
        <v>0</v>
      </c>
    </row>
    <row r="46" spans="1:12" hidden="1">
      <c r="A46" s="2" t="s">
        <v>70</v>
      </c>
      <c r="B46" s="2"/>
      <c r="C46" s="10"/>
      <c r="D46" s="10">
        <f>D74-C74</f>
        <v>195</v>
      </c>
      <c r="E46" s="10">
        <f>E74-D74</f>
        <v>0</v>
      </c>
      <c r="F46" s="301"/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2" hidden="1">
      <c r="A47" s="2" t="s">
        <v>74</v>
      </c>
      <c r="B47" s="2"/>
      <c r="C47" s="10"/>
      <c r="D47" s="10">
        <f>C56-D56+C57-D57+C58-D58+C59-D59+C60-D60-D14</f>
        <v>-1916</v>
      </c>
      <c r="E47" s="9">
        <f>D56-E56+D57-E57+D58-E58+D59-E59+D60-E60-E14</f>
        <v>-300</v>
      </c>
      <c r="F47" s="301"/>
      <c r="G47" s="9">
        <v>-500</v>
      </c>
      <c r="H47" s="9">
        <v>-500</v>
      </c>
      <c r="I47" s="9">
        <v>-500</v>
      </c>
      <c r="J47" s="9">
        <v>-500</v>
      </c>
      <c r="K47" s="9">
        <v>-500</v>
      </c>
    </row>
    <row r="48" spans="1:12" hidden="1">
      <c r="A48" s="2" t="s">
        <v>75</v>
      </c>
      <c r="B48" s="2"/>
      <c r="C48" s="10"/>
      <c r="D48" s="10">
        <f>C61-D61+C62-D62+C63-D63</f>
        <v>781</v>
      </c>
      <c r="E48" s="10">
        <f>D61-E61+D62-E62+D63-E63</f>
        <v>0</v>
      </c>
      <c r="F48" s="301"/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2" hidden="1">
      <c r="A49" s="2" t="s">
        <v>76</v>
      </c>
      <c r="B49" s="2"/>
      <c r="C49" s="10"/>
      <c r="D49" s="10">
        <f>C64-D64+C65-D65+D75-C75+D76-C76</f>
        <v>387</v>
      </c>
      <c r="E49" s="10">
        <f>D64-E64+D65-E65+E75-D75+E76-D76</f>
        <v>0</v>
      </c>
      <c r="F49" s="301"/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2" hidden="1">
      <c r="A50" s="2" t="s">
        <v>129</v>
      </c>
      <c r="B50" s="2"/>
      <c r="C50" s="10"/>
      <c r="D50" s="10">
        <f>C66-D66+D72-C72+D77-C77</f>
        <v>1956</v>
      </c>
      <c r="E50" s="10">
        <f>D66-E66+E72-D72+E77-D77</f>
        <v>0</v>
      </c>
      <c r="F50" s="301"/>
      <c r="G50" s="10">
        <v>0</v>
      </c>
      <c r="H50" s="10">
        <v>0</v>
      </c>
      <c r="I50" s="10">
        <v>0</v>
      </c>
      <c r="J50" s="10">
        <f>I63</f>
        <v>2040</v>
      </c>
      <c r="K50" s="10">
        <v>0</v>
      </c>
    </row>
    <row r="51" spans="1:12" hidden="1">
      <c r="A51" s="2" t="s">
        <v>10</v>
      </c>
      <c r="B51" s="2"/>
      <c r="C51" s="10"/>
      <c r="D51" s="10">
        <f>C67-D67</f>
        <v>-834</v>
      </c>
      <c r="E51" s="10">
        <f>D67-E67</f>
        <v>0</v>
      </c>
      <c r="F51" s="301"/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2" hidden="1">
      <c r="A52" s="2" t="s">
        <v>72</v>
      </c>
      <c r="B52" s="2"/>
      <c r="C52" s="10"/>
      <c r="D52" s="10">
        <f>C53</f>
        <v>4436</v>
      </c>
      <c r="E52" s="10">
        <f>D53</f>
        <v>5131</v>
      </c>
      <c r="F52" s="301"/>
      <c r="G52" s="10">
        <f>F68</f>
        <v>6752</v>
      </c>
      <c r="H52" s="10">
        <f>G68</f>
        <v>7065.5495000000001</v>
      </c>
      <c r="I52" s="10">
        <f>H68</f>
        <v>7379.0990000000002</v>
      </c>
      <c r="J52" s="10">
        <f>I68</f>
        <v>7948.6485000000002</v>
      </c>
      <c r="K52" s="10">
        <f>J68</f>
        <v>11958.198</v>
      </c>
    </row>
    <row r="53" spans="1:12" hidden="1">
      <c r="A53" s="2" t="s">
        <v>73</v>
      </c>
      <c r="B53" s="2"/>
      <c r="C53" s="10">
        <f>C68</f>
        <v>4436</v>
      </c>
      <c r="D53" s="10">
        <f>SUM(D43:D52)</f>
        <v>5131</v>
      </c>
      <c r="E53" s="10">
        <f>SUM(E43:E52)</f>
        <v>4242</v>
      </c>
      <c r="F53" s="12">
        <f>J98</f>
        <v>6752</v>
      </c>
      <c r="G53" s="10">
        <f>SUM(G43:G52)</f>
        <v>7065.5495000000001</v>
      </c>
      <c r="H53" s="10">
        <f>SUM(H43:H52)</f>
        <v>7379.0990000000002</v>
      </c>
      <c r="I53" s="10">
        <f>SUM(I43:I52)</f>
        <v>7948.6485000000002</v>
      </c>
      <c r="J53" s="10">
        <f>SUM(J43:J52)</f>
        <v>11958.198</v>
      </c>
      <c r="K53" s="10">
        <f>SUM(K43:K52)</f>
        <v>13927.747500000001</v>
      </c>
    </row>
    <row r="54" spans="1:12" hidden="1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7"/>
      <c r="D54" s="7"/>
      <c r="E54" s="7"/>
      <c r="F54" s="7"/>
      <c r="G54" s="7"/>
      <c r="H54" s="7"/>
      <c r="I54" s="7"/>
      <c r="J54" s="7"/>
      <c r="K54" s="7"/>
    </row>
    <row r="55" spans="1:12" hidden="1">
      <c r="A55" s="1" t="s">
        <v>90</v>
      </c>
      <c r="B55" s="2"/>
      <c r="C55" s="11">
        <f>C42</f>
        <v>2008</v>
      </c>
      <c r="D55" s="11">
        <f>D42</f>
        <v>2009</v>
      </c>
      <c r="E55" s="11">
        <f>E42</f>
        <v>2010</v>
      </c>
      <c r="F55" s="11" t="s">
        <v>87</v>
      </c>
      <c r="G55" s="11">
        <f t="shared" ref="G55:L55" si="8">G42</f>
        <v>2011</v>
      </c>
      <c r="H55" s="11">
        <f t="shared" si="8"/>
        <v>2012</v>
      </c>
      <c r="I55" s="11">
        <f t="shared" si="8"/>
        <v>2013</v>
      </c>
      <c r="J55" s="11">
        <f t="shared" si="8"/>
        <v>2014</v>
      </c>
      <c r="K55" s="11">
        <f t="shared" si="8"/>
        <v>2015</v>
      </c>
      <c r="L55" s="3">
        <f t="shared" si="8"/>
        <v>2015</v>
      </c>
    </row>
    <row r="56" spans="1:12" hidden="1">
      <c r="A56" s="2" t="s">
        <v>1</v>
      </c>
      <c r="B56" s="10"/>
      <c r="C56" s="10">
        <f>'Bil Mure (2)'!B5</f>
        <v>2</v>
      </c>
      <c r="D56" s="10">
        <f>'Bil Mure (2)'!C5</f>
        <v>0</v>
      </c>
      <c r="E56" s="10">
        <f>D56</f>
        <v>0</v>
      </c>
      <c r="F56" s="10">
        <f t="shared" ref="F56:F68" si="9">J86</f>
        <v>0</v>
      </c>
      <c r="G56" s="10">
        <f t="shared" ref="G56:K57" si="10">F56</f>
        <v>0</v>
      </c>
      <c r="H56" s="10">
        <f t="shared" si="10"/>
        <v>0</v>
      </c>
      <c r="I56" s="10">
        <f t="shared" si="10"/>
        <v>0</v>
      </c>
      <c r="J56" s="10">
        <f t="shared" si="10"/>
        <v>0</v>
      </c>
      <c r="K56" s="10">
        <f t="shared" si="10"/>
        <v>0</v>
      </c>
      <c r="L56" s="7"/>
    </row>
    <row r="57" spans="1:12" hidden="1">
      <c r="A57" s="2" t="s">
        <v>0</v>
      </c>
      <c r="B57" s="10" t="s">
        <v>79</v>
      </c>
      <c r="C57" s="10">
        <f>'Bil Mure (2)'!B6</f>
        <v>5243</v>
      </c>
      <c r="D57" s="10">
        <f>'Bil Mure (2)'!C6</f>
        <v>5476</v>
      </c>
      <c r="E57" s="10">
        <f>D57</f>
        <v>5476</v>
      </c>
      <c r="F57" s="10">
        <f t="shared" si="9"/>
        <v>5476</v>
      </c>
      <c r="G57" s="10">
        <f t="shared" si="10"/>
        <v>5476</v>
      </c>
      <c r="H57" s="10">
        <f t="shared" si="10"/>
        <v>5476</v>
      </c>
      <c r="I57" s="10">
        <f t="shared" si="10"/>
        <v>5476</v>
      </c>
      <c r="J57" s="10">
        <f t="shared" si="10"/>
        <v>5476</v>
      </c>
      <c r="K57" s="10">
        <f t="shared" si="10"/>
        <v>5476</v>
      </c>
      <c r="L57" s="7"/>
    </row>
    <row r="58" spans="1:12" hidden="1">
      <c r="A58" s="2" t="s">
        <v>2</v>
      </c>
      <c r="B58" s="10" t="s">
        <v>79</v>
      </c>
      <c r="C58" s="10">
        <f>'Bil Mure (2)'!B7</f>
        <v>15188</v>
      </c>
      <c r="D58" s="10">
        <f>'Bil Mure (2)'!C7</f>
        <v>17813</v>
      </c>
      <c r="E58" s="9">
        <f>D58-E14+300</f>
        <v>17046</v>
      </c>
      <c r="F58" s="10">
        <f t="shared" si="9"/>
        <v>17046</v>
      </c>
      <c r="G58" s="10">
        <f>F58-G14-G47</f>
        <v>16346</v>
      </c>
      <c r="H58" s="10">
        <f>G58-H14-H47</f>
        <v>15646</v>
      </c>
      <c r="I58" s="10">
        <f>H58-I14-I47</f>
        <v>14946</v>
      </c>
      <c r="J58" s="10">
        <f>I58-J14-J47</f>
        <v>14246</v>
      </c>
      <c r="K58" s="10">
        <f>J58-K14-K47</f>
        <v>13546</v>
      </c>
      <c r="L58" s="7"/>
    </row>
    <row r="59" spans="1:12" hidden="1">
      <c r="A59" s="2" t="s">
        <v>3</v>
      </c>
      <c r="B59" s="10" t="s">
        <v>79</v>
      </c>
      <c r="C59" s="10">
        <f>'Bil Mure (2)'!B8</f>
        <v>70</v>
      </c>
      <c r="D59" s="10">
        <f>'Bil Mure (2)'!C8</f>
        <v>64</v>
      </c>
      <c r="E59" s="10">
        <f t="shared" ref="E59:E67" si="11">D59</f>
        <v>64</v>
      </c>
      <c r="F59" s="10">
        <f t="shared" si="9"/>
        <v>64</v>
      </c>
      <c r="G59" s="10">
        <f t="shared" ref="G59:K62" si="12">F59</f>
        <v>64</v>
      </c>
      <c r="H59" s="10">
        <f t="shared" si="12"/>
        <v>64</v>
      </c>
      <c r="I59" s="10">
        <f t="shared" si="12"/>
        <v>64</v>
      </c>
      <c r="J59" s="10">
        <f t="shared" si="12"/>
        <v>64</v>
      </c>
      <c r="K59" s="10">
        <f t="shared" si="12"/>
        <v>64</v>
      </c>
      <c r="L59" s="7"/>
    </row>
    <row r="60" spans="1:12" hidden="1">
      <c r="A60" s="2" t="s">
        <v>4</v>
      </c>
      <c r="B60" s="10" t="s">
        <v>79</v>
      </c>
      <c r="C60" s="10">
        <f>'Bil Mure (2)'!B9</f>
        <v>2001</v>
      </c>
      <c r="D60" s="10">
        <f>'Bil Mure (2)'!C9</f>
        <v>0</v>
      </c>
      <c r="E60" s="10">
        <f t="shared" si="11"/>
        <v>0</v>
      </c>
      <c r="F60" s="10">
        <f t="shared" si="9"/>
        <v>0</v>
      </c>
      <c r="G60" s="10">
        <f t="shared" si="12"/>
        <v>0</v>
      </c>
      <c r="H60" s="10">
        <f t="shared" si="12"/>
        <v>0</v>
      </c>
      <c r="I60" s="10">
        <f t="shared" si="12"/>
        <v>0</v>
      </c>
      <c r="J60" s="10">
        <f t="shared" si="12"/>
        <v>0</v>
      </c>
      <c r="K60" s="10">
        <f t="shared" si="12"/>
        <v>0</v>
      </c>
      <c r="L60" s="7"/>
    </row>
    <row r="61" spans="1:12" hidden="1">
      <c r="A61" s="2" t="s">
        <v>5</v>
      </c>
      <c r="B61" s="10" t="s">
        <v>79</v>
      </c>
      <c r="C61" s="10">
        <f>'Bil Mure (2)'!B10</f>
        <v>4139</v>
      </c>
      <c r="D61" s="10">
        <f>'Bil Mure (2)'!C10</f>
        <v>3934</v>
      </c>
      <c r="E61" s="10">
        <f t="shared" si="11"/>
        <v>3934</v>
      </c>
      <c r="F61" s="10">
        <f t="shared" si="9"/>
        <v>0</v>
      </c>
      <c r="G61" s="10">
        <f t="shared" si="12"/>
        <v>0</v>
      </c>
      <c r="H61" s="10">
        <f t="shared" si="12"/>
        <v>0</v>
      </c>
      <c r="I61" s="10">
        <f t="shared" si="12"/>
        <v>0</v>
      </c>
      <c r="J61" s="10">
        <f t="shared" si="12"/>
        <v>0</v>
      </c>
      <c r="K61" s="10">
        <f t="shared" si="12"/>
        <v>0</v>
      </c>
      <c r="L61" s="7"/>
    </row>
    <row r="62" spans="1:12" hidden="1">
      <c r="A62" s="2" t="s">
        <v>6</v>
      </c>
      <c r="B62" s="10" t="s">
        <v>79</v>
      </c>
      <c r="C62" s="10">
        <f>'Bil Mure (2)'!B11</f>
        <v>2376</v>
      </c>
      <c r="D62" s="10">
        <f>'Bil Mure (2)'!C11</f>
        <v>2307</v>
      </c>
      <c r="E62" s="10">
        <f t="shared" si="11"/>
        <v>2307</v>
      </c>
      <c r="F62" s="10">
        <f t="shared" si="9"/>
        <v>0</v>
      </c>
      <c r="G62" s="10">
        <f t="shared" si="12"/>
        <v>0</v>
      </c>
      <c r="H62" s="10">
        <f t="shared" si="12"/>
        <v>0</v>
      </c>
      <c r="I62" s="10">
        <f t="shared" si="12"/>
        <v>0</v>
      </c>
      <c r="J62" s="10">
        <f t="shared" si="12"/>
        <v>0</v>
      </c>
      <c r="K62" s="10">
        <f t="shared" si="12"/>
        <v>0</v>
      </c>
      <c r="L62" s="7"/>
    </row>
    <row r="63" spans="1:12" hidden="1">
      <c r="A63" s="2" t="s">
        <v>7</v>
      </c>
      <c r="B63" s="10" t="s">
        <v>79</v>
      </c>
      <c r="C63" s="10">
        <f>'Bil Mure (2)'!B12</f>
        <v>2547</v>
      </c>
      <c r="D63" s="10">
        <f>'Bil Mure (2)'!C12</f>
        <v>2040</v>
      </c>
      <c r="E63" s="10">
        <f t="shared" si="11"/>
        <v>2040</v>
      </c>
      <c r="F63" s="10">
        <f t="shared" si="9"/>
        <v>2040</v>
      </c>
      <c r="G63" s="10">
        <f>F63-G50</f>
        <v>2040</v>
      </c>
      <c r="H63" s="10">
        <f>G63-H50</f>
        <v>2040</v>
      </c>
      <c r="I63" s="10">
        <f>H63-I50</f>
        <v>2040</v>
      </c>
      <c r="J63" s="10">
        <f>I63-J50</f>
        <v>0</v>
      </c>
      <c r="K63" s="10">
        <f>J63-K50</f>
        <v>0</v>
      </c>
      <c r="L63" s="7"/>
    </row>
    <row r="64" spans="1:12" hidden="1">
      <c r="A64" s="2" t="s">
        <v>8</v>
      </c>
      <c r="B64" s="10" t="s">
        <v>79</v>
      </c>
      <c r="C64" s="10">
        <f>'Bil Mure (2)'!B13</f>
        <v>234</v>
      </c>
      <c r="D64" s="10">
        <f>'Bil Mure (2)'!C13</f>
        <v>221</v>
      </c>
      <c r="E64" s="10">
        <f t="shared" si="11"/>
        <v>221</v>
      </c>
      <c r="F64" s="10">
        <f t="shared" si="9"/>
        <v>221</v>
      </c>
      <c r="G64" s="10">
        <f t="shared" ref="G64:K66" si="13">F64</f>
        <v>221</v>
      </c>
      <c r="H64" s="10">
        <f t="shared" si="13"/>
        <v>221</v>
      </c>
      <c r="I64" s="10">
        <f t="shared" si="13"/>
        <v>221</v>
      </c>
      <c r="J64" s="10">
        <f t="shared" si="13"/>
        <v>221</v>
      </c>
      <c r="K64" s="10">
        <f t="shared" si="13"/>
        <v>221</v>
      </c>
      <c r="L64" s="7"/>
    </row>
    <row r="65" spans="1:12" hidden="1">
      <c r="A65" s="2" t="s">
        <v>9</v>
      </c>
      <c r="B65" s="10" t="s">
        <v>79</v>
      </c>
      <c r="C65" s="10">
        <f>'Bil Mure (2)'!B14</f>
        <v>821</v>
      </c>
      <c r="D65" s="10">
        <f>'Bil Mure (2)'!C14</f>
        <v>290</v>
      </c>
      <c r="E65" s="10">
        <f t="shared" si="11"/>
        <v>290</v>
      </c>
      <c r="F65" s="10">
        <f t="shared" si="9"/>
        <v>140</v>
      </c>
      <c r="G65" s="10">
        <f t="shared" si="13"/>
        <v>140</v>
      </c>
      <c r="H65" s="10">
        <f t="shared" si="13"/>
        <v>140</v>
      </c>
      <c r="I65" s="10">
        <f t="shared" si="13"/>
        <v>140</v>
      </c>
      <c r="J65" s="10">
        <f t="shared" si="13"/>
        <v>140</v>
      </c>
      <c r="K65" s="10">
        <f t="shared" si="13"/>
        <v>140</v>
      </c>
      <c r="L65" s="7"/>
    </row>
    <row r="66" spans="1:12" hidden="1">
      <c r="A66" s="2" t="s">
        <v>12</v>
      </c>
      <c r="B66" s="10" t="s">
        <v>79</v>
      </c>
      <c r="C66" s="10">
        <f>'Bil Mure (2)'!B15</f>
        <v>282</v>
      </c>
      <c r="D66" s="10">
        <f>'Bil Mure (2)'!C15</f>
        <v>236</v>
      </c>
      <c r="E66" s="10">
        <f t="shared" si="11"/>
        <v>236</v>
      </c>
      <c r="F66" s="10">
        <f t="shared" si="9"/>
        <v>236</v>
      </c>
      <c r="G66" s="10">
        <f t="shared" si="13"/>
        <v>236</v>
      </c>
      <c r="H66" s="10">
        <f t="shared" si="13"/>
        <v>236</v>
      </c>
      <c r="I66" s="10">
        <f t="shared" si="13"/>
        <v>236</v>
      </c>
      <c r="J66" s="10">
        <f t="shared" si="13"/>
        <v>236</v>
      </c>
      <c r="K66" s="10">
        <f t="shared" si="13"/>
        <v>236</v>
      </c>
      <c r="L66" s="7"/>
    </row>
    <row r="67" spans="1:12" hidden="1">
      <c r="A67" s="2" t="s">
        <v>10</v>
      </c>
      <c r="B67" s="10"/>
      <c r="C67" s="10">
        <f>'Bil Mure (2)'!B16</f>
        <v>3033</v>
      </c>
      <c r="D67" s="10">
        <f>'Bil Mure (2)'!C16</f>
        <v>3867</v>
      </c>
      <c r="E67" s="10">
        <f t="shared" si="11"/>
        <v>3867</v>
      </c>
      <c r="F67" s="10">
        <f t="shared" si="9"/>
        <v>3867</v>
      </c>
      <c r="G67" s="10">
        <f>F67-G51</f>
        <v>3867</v>
      </c>
      <c r="H67" s="10">
        <f>G67-H51</f>
        <v>3867</v>
      </c>
      <c r="I67" s="10">
        <f>H67-I51</f>
        <v>3867</v>
      </c>
      <c r="J67" s="10">
        <f>I67-J51</f>
        <v>3867</v>
      </c>
      <c r="K67" s="10">
        <f>J67-K51</f>
        <v>3867</v>
      </c>
      <c r="L67" s="7"/>
    </row>
    <row r="68" spans="1:12" hidden="1">
      <c r="A68" s="2" t="s">
        <v>11</v>
      </c>
      <c r="B68" s="10"/>
      <c r="C68" s="10">
        <f>'Bil Mure (2)'!B17</f>
        <v>4436</v>
      </c>
      <c r="D68" s="10">
        <f>'Bil Mure (2)'!C17</f>
        <v>5132</v>
      </c>
      <c r="E68" s="13">
        <f>E53</f>
        <v>4242</v>
      </c>
      <c r="F68" s="10">
        <f t="shared" si="9"/>
        <v>6752</v>
      </c>
      <c r="G68" s="10">
        <f>G53</f>
        <v>7065.5495000000001</v>
      </c>
      <c r="H68" s="10">
        <f>H53</f>
        <v>7379.0990000000002</v>
      </c>
      <c r="I68" s="10">
        <f>I53</f>
        <v>7948.6485000000002</v>
      </c>
      <c r="J68" s="10">
        <f>J53</f>
        <v>11958.198</v>
      </c>
      <c r="K68" s="10">
        <f>K53</f>
        <v>13927.747500000001</v>
      </c>
      <c r="L68" s="7"/>
    </row>
    <row r="69" spans="1:12" hidden="1">
      <c r="A69" s="1" t="s">
        <v>78</v>
      </c>
      <c r="B69" s="11"/>
      <c r="C69" s="11">
        <f>'Bil Mure (2)'!B18</f>
        <v>40372</v>
      </c>
      <c r="D69" s="11">
        <f>'Bil Mure (2)'!C18</f>
        <v>41380</v>
      </c>
      <c r="E69" s="11">
        <f t="shared" ref="E69:K69" si="14">SUM(E56:E68)</f>
        <v>39723</v>
      </c>
      <c r="F69" s="11">
        <f t="shared" si="14"/>
        <v>35842</v>
      </c>
      <c r="G69" s="11">
        <f t="shared" si="14"/>
        <v>35455.549500000001</v>
      </c>
      <c r="H69" s="11">
        <f t="shared" si="14"/>
        <v>35069.099000000002</v>
      </c>
      <c r="I69" s="11">
        <f t="shared" si="14"/>
        <v>34938.648500000003</v>
      </c>
      <c r="J69" s="11">
        <f t="shared" si="14"/>
        <v>36208.198000000004</v>
      </c>
      <c r="K69" s="11">
        <f t="shared" si="14"/>
        <v>37477.747499999998</v>
      </c>
      <c r="L69" s="7"/>
    </row>
    <row r="70" spans="1:12" hidden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hidden="1">
      <c r="A71" s="1" t="s">
        <v>13</v>
      </c>
      <c r="B71" s="1" t="s">
        <v>79</v>
      </c>
      <c r="C71" s="11">
        <f>'Bil Mure (2)'!B20</f>
        <v>28715</v>
      </c>
      <c r="D71" s="11">
        <f>'Bil Mure (2)'!C20</f>
        <v>29430</v>
      </c>
      <c r="E71" s="11">
        <f>D71</f>
        <v>29430</v>
      </c>
      <c r="F71" s="11">
        <f t="shared" ref="F71:F77" si="15">J101</f>
        <v>29430</v>
      </c>
      <c r="G71" s="11">
        <f>F71+G40+G44</f>
        <v>30699.549500000001</v>
      </c>
      <c r="H71" s="11">
        <f>G71+H40+H44</f>
        <v>31969.099000000002</v>
      </c>
      <c r="I71" s="11">
        <f>H71+I40+I44</f>
        <v>33238.648500000003</v>
      </c>
      <c r="J71" s="11">
        <f>I71+J40+J44</f>
        <v>34508.198000000004</v>
      </c>
      <c r="K71" s="11">
        <f>J71+K40+K44</f>
        <v>35777.747500000005</v>
      </c>
    </row>
    <row r="72" spans="1:12" hidden="1">
      <c r="A72" s="2" t="s">
        <v>14</v>
      </c>
      <c r="B72" s="2" t="s">
        <v>79</v>
      </c>
      <c r="C72" s="10">
        <f>'Bil Mure (2)'!B21</f>
        <v>203</v>
      </c>
      <c r="D72" s="10">
        <f>'Bil Mure (2)'!C21</f>
        <v>307</v>
      </c>
      <c r="E72" s="10">
        <f>D72</f>
        <v>307</v>
      </c>
      <c r="F72" s="10">
        <f t="shared" si="15"/>
        <v>307</v>
      </c>
      <c r="G72" s="10">
        <f>F72</f>
        <v>307</v>
      </c>
      <c r="H72" s="10">
        <f>G72</f>
        <v>307</v>
      </c>
      <c r="I72" s="10">
        <f>H72</f>
        <v>307</v>
      </c>
      <c r="J72" s="10">
        <f>I72</f>
        <v>307</v>
      </c>
      <c r="K72" s="10">
        <f>J72</f>
        <v>307</v>
      </c>
    </row>
    <row r="73" spans="1:12" hidden="1">
      <c r="A73" s="2" t="s">
        <v>15</v>
      </c>
      <c r="B73" s="2" t="s">
        <v>79</v>
      </c>
      <c r="C73" s="10">
        <f>'Bil Mure (2)'!B22</f>
        <v>8088</v>
      </c>
      <c r="D73" s="10">
        <f>'Bil Mure (2)'!C22</f>
        <v>6432</v>
      </c>
      <c r="E73" s="9">
        <f>D73+D45</f>
        <v>4776</v>
      </c>
      <c r="F73" s="10">
        <f t="shared" si="15"/>
        <v>4776</v>
      </c>
      <c r="G73" s="10">
        <f t="shared" ref="G73:K74" si="16">F73+G45</f>
        <v>3120</v>
      </c>
      <c r="H73" s="10">
        <f t="shared" si="16"/>
        <v>1464</v>
      </c>
      <c r="I73" s="10">
        <f t="shared" si="16"/>
        <v>64</v>
      </c>
      <c r="J73" s="10">
        <f t="shared" si="16"/>
        <v>64</v>
      </c>
      <c r="K73" s="10">
        <f t="shared" si="16"/>
        <v>64</v>
      </c>
    </row>
    <row r="74" spans="1:12" hidden="1">
      <c r="A74" s="2" t="s">
        <v>130</v>
      </c>
      <c r="B74" s="2" t="s">
        <v>79</v>
      </c>
      <c r="C74" s="10">
        <f>'Bil Mure (2)'!B23</f>
        <v>715</v>
      </c>
      <c r="D74" s="10">
        <f>'Bil Mure (2)'!C23</f>
        <v>910</v>
      </c>
      <c r="E74" s="13">
        <f>D74</f>
        <v>910</v>
      </c>
      <c r="F74" s="10">
        <f t="shared" si="15"/>
        <v>910</v>
      </c>
      <c r="G74" s="10">
        <f t="shared" si="16"/>
        <v>910</v>
      </c>
      <c r="H74" s="10">
        <f t="shared" si="16"/>
        <v>910</v>
      </c>
      <c r="I74" s="10">
        <f t="shared" si="16"/>
        <v>910</v>
      </c>
      <c r="J74" s="10">
        <f t="shared" si="16"/>
        <v>910</v>
      </c>
      <c r="K74" s="10">
        <f t="shared" si="16"/>
        <v>910</v>
      </c>
    </row>
    <row r="75" spans="1:12" hidden="1">
      <c r="A75" s="2" t="s">
        <v>17</v>
      </c>
      <c r="B75" s="2" t="s">
        <v>79</v>
      </c>
      <c r="C75" s="10">
        <f>'Bil Mure (2)'!B24</f>
        <v>405</v>
      </c>
      <c r="D75" s="10">
        <f>'Bil Mure (2)'!C24</f>
        <v>228</v>
      </c>
      <c r="E75" s="10">
        <f>D75</f>
        <v>228</v>
      </c>
      <c r="F75" s="10">
        <f t="shared" si="15"/>
        <v>228</v>
      </c>
      <c r="G75" s="10">
        <f t="shared" ref="G75:K77" si="17">F75</f>
        <v>228</v>
      </c>
      <c r="H75" s="10">
        <f t="shared" si="17"/>
        <v>228</v>
      </c>
      <c r="I75" s="10">
        <f t="shared" si="17"/>
        <v>228</v>
      </c>
      <c r="J75" s="10">
        <f t="shared" si="17"/>
        <v>228</v>
      </c>
      <c r="K75" s="10">
        <f t="shared" si="17"/>
        <v>228</v>
      </c>
    </row>
    <row r="76" spans="1:12" hidden="1">
      <c r="A76" s="2" t="s">
        <v>18</v>
      </c>
      <c r="B76" s="2" t="s">
        <v>79</v>
      </c>
      <c r="C76" s="10">
        <f>'Bil Mure (2)'!B25</f>
        <v>172</v>
      </c>
      <c r="D76" s="10">
        <f>'Bil Mure (2)'!C25</f>
        <v>192</v>
      </c>
      <c r="E76" s="10">
        <f>D76</f>
        <v>192</v>
      </c>
      <c r="F76" s="10">
        <f t="shared" si="15"/>
        <v>192</v>
      </c>
      <c r="G76" s="10">
        <f t="shared" si="17"/>
        <v>192</v>
      </c>
      <c r="H76" s="10">
        <f t="shared" si="17"/>
        <v>192</v>
      </c>
      <c r="I76" s="10">
        <f t="shared" si="17"/>
        <v>192</v>
      </c>
      <c r="J76" s="10">
        <f t="shared" si="17"/>
        <v>192</v>
      </c>
      <c r="K76" s="10">
        <f t="shared" si="17"/>
        <v>192</v>
      </c>
    </row>
    <row r="77" spans="1:12" hidden="1">
      <c r="A77" s="2" t="s">
        <v>19</v>
      </c>
      <c r="B77" s="2" t="s">
        <v>79</v>
      </c>
      <c r="C77" s="10">
        <f>'Bil Mure (2)'!B26</f>
        <v>2075</v>
      </c>
      <c r="D77" s="10">
        <f>'Bil Mure (2)'!C26</f>
        <v>3881</v>
      </c>
      <c r="E77" s="10">
        <f>D77</f>
        <v>3881</v>
      </c>
      <c r="F77" s="10">
        <f t="shared" si="15"/>
        <v>0</v>
      </c>
      <c r="G77" s="10">
        <f t="shared" si="17"/>
        <v>0</v>
      </c>
      <c r="H77" s="10">
        <f t="shared" si="17"/>
        <v>0</v>
      </c>
      <c r="I77" s="10">
        <f t="shared" si="17"/>
        <v>0</v>
      </c>
      <c r="J77" s="10">
        <f t="shared" si="17"/>
        <v>0</v>
      </c>
      <c r="K77" s="10">
        <f t="shared" si="17"/>
        <v>0</v>
      </c>
    </row>
    <row r="78" spans="1:12" hidden="1">
      <c r="A78" s="1" t="s">
        <v>77</v>
      </c>
      <c r="B78" s="1"/>
      <c r="C78" s="11">
        <f t="shared" ref="C78:K78" si="18">SUM(C71:C77)</f>
        <v>40373</v>
      </c>
      <c r="D78" s="11">
        <f t="shared" si="18"/>
        <v>41380</v>
      </c>
      <c r="E78" s="11">
        <f t="shared" si="18"/>
        <v>39724</v>
      </c>
      <c r="F78" s="11">
        <f t="shared" si="18"/>
        <v>35843</v>
      </c>
      <c r="G78" s="11">
        <f t="shared" si="18"/>
        <v>35456.549500000001</v>
      </c>
      <c r="H78" s="11">
        <f t="shared" si="18"/>
        <v>35070.099000000002</v>
      </c>
      <c r="I78" s="11">
        <f t="shared" si="18"/>
        <v>34939.648500000003</v>
      </c>
      <c r="J78" s="11">
        <f t="shared" si="18"/>
        <v>36209.198000000004</v>
      </c>
      <c r="K78" s="11">
        <f t="shared" si="18"/>
        <v>37478.747500000005</v>
      </c>
    </row>
    <row r="79" spans="1:12" hidden="1">
      <c r="A79" s="2" t="s">
        <v>80</v>
      </c>
      <c r="B79" s="2"/>
      <c r="C79" s="10">
        <f t="shared" ref="C79:K79" si="19">C78-C69</f>
        <v>1</v>
      </c>
      <c r="D79" s="10">
        <f t="shared" si="19"/>
        <v>0</v>
      </c>
      <c r="E79" s="10">
        <f t="shared" si="19"/>
        <v>1</v>
      </c>
      <c r="F79" s="10">
        <f t="shared" si="19"/>
        <v>1</v>
      </c>
      <c r="G79" s="10">
        <f t="shared" si="19"/>
        <v>1</v>
      </c>
      <c r="H79" s="10">
        <f t="shared" si="19"/>
        <v>1</v>
      </c>
      <c r="I79" s="10">
        <f t="shared" si="19"/>
        <v>1</v>
      </c>
      <c r="J79" s="10">
        <f t="shared" si="19"/>
        <v>1</v>
      </c>
      <c r="K79" s="10">
        <f t="shared" si="19"/>
        <v>1.000000000007276</v>
      </c>
    </row>
    <row r="80" spans="1:12" hidden="1">
      <c r="A80" s="2" t="s">
        <v>81</v>
      </c>
      <c r="B80" s="2"/>
      <c r="C80" s="10"/>
      <c r="D80" s="10">
        <f t="shared" ref="D80:K80" si="20">D53-D68</f>
        <v>-1</v>
      </c>
      <c r="E80" s="10">
        <f t="shared" si="20"/>
        <v>0</v>
      </c>
      <c r="F80" s="10">
        <f t="shared" si="20"/>
        <v>0</v>
      </c>
      <c r="G80" s="10">
        <f t="shared" si="20"/>
        <v>0</v>
      </c>
      <c r="H80" s="10">
        <f t="shared" si="20"/>
        <v>0</v>
      </c>
      <c r="I80" s="10">
        <f t="shared" si="20"/>
        <v>0</v>
      </c>
      <c r="J80" s="10">
        <f t="shared" si="20"/>
        <v>0</v>
      </c>
      <c r="K80" s="10">
        <f t="shared" si="20"/>
        <v>0</v>
      </c>
    </row>
    <row r="81" spans="1:34">
      <c r="A8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1" s="7"/>
      <c r="D81" s="7"/>
      <c r="E81" s="7"/>
      <c r="F81" s="7"/>
      <c r="G81" s="7"/>
      <c r="H81" s="7"/>
      <c r="I81" s="7"/>
      <c r="J81" s="7"/>
      <c r="K81" s="7"/>
    </row>
    <row r="82" spans="1:34">
      <c r="A82" s="3" t="s">
        <v>198</v>
      </c>
      <c r="C82" s="7"/>
      <c r="D82" s="7"/>
      <c r="E82" s="7"/>
      <c r="F82" s="7"/>
      <c r="G82" s="7"/>
      <c r="H82" s="7"/>
      <c r="I82" s="7"/>
      <c r="J82" s="7"/>
      <c r="K82" s="7"/>
    </row>
    <row r="83" spans="1:34">
      <c r="A83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3" s="7"/>
      <c r="D83" s="7"/>
      <c r="E83" s="7"/>
      <c r="F83" s="7"/>
      <c r="G83" s="7"/>
      <c r="H83" s="7"/>
      <c r="I83" s="7"/>
      <c r="J83" s="7"/>
      <c r="K83" s="7"/>
      <c r="O83" s="128" t="s">
        <v>342</v>
      </c>
      <c r="S83" s="143" t="s">
        <v>358</v>
      </c>
      <c r="T83" s="139"/>
      <c r="U83" s="143" t="s">
        <v>334</v>
      </c>
      <c r="V83" s="143" t="s">
        <v>361</v>
      </c>
      <c r="W83" s="149" t="s">
        <v>340</v>
      </c>
    </row>
    <row r="84" spans="1:34">
      <c r="A84" s="70" t="s">
        <v>223</v>
      </c>
      <c r="B84" s="70"/>
      <c r="C84" s="72"/>
      <c r="D84" s="72"/>
      <c r="E84" s="72"/>
      <c r="F84" s="302" t="s">
        <v>217</v>
      </c>
      <c r="G84" s="303"/>
      <c r="H84" s="303"/>
      <c r="I84" s="304"/>
      <c r="J84" s="72"/>
      <c r="K84" s="73" t="s">
        <v>218</v>
      </c>
      <c r="L84" s="73" t="s">
        <v>219</v>
      </c>
      <c r="N84" s="133" t="s">
        <v>362</v>
      </c>
      <c r="O84" s="2">
        <v>4.5</v>
      </c>
      <c r="P84" s="115">
        <f>SUM(P85:P87)</f>
        <v>1</v>
      </c>
      <c r="Q84" s="128" t="s">
        <v>386</v>
      </c>
      <c r="R84" s="148" t="s">
        <v>333</v>
      </c>
      <c r="S84" s="144" t="s">
        <v>359</v>
      </c>
      <c r="T84" s="146" t="s">
        <v>357</v>
      </c>
      <c r="U84" s="144" t="s">
        <v>360</v>
      </c>
      <c r="V84" s="144" t="s">
        <v>341</v>
      </c>
      <c r="W84" s="144" t="s">
        <v>355</v>
      </c>
    </row>
    <row r="85" spans="1:34">
      <c r="A85" s="70" t="s">
        <v>199</v>
      </c>
      <c r="B85" s="70"/>
      <c r="C85" s="72">
        <f t="shared" ref="C85:E99" si="21">C55</f>
        <v>2008</v>
      </c>
      <c r="D85" s="72">
        <f t="shared" si="21"/>
        <v>2009</v>
      </c>
      <c r="E85" s="74">
        <v>2010</v>
      </c>
      <c r="F85" s="75" t="s">
        <v>83</v>
      </c>
      <c r="G85" s="75" t="s">
        <v>84</v>
      </c>
      <c r="H85" s="75" t="s">
        <v>85</v>
      </c>
      <c r="I85" s="75" t="s">
        <v>106</v>
      </c>
      <c r="J85" s="72">
        <f>E85</f>
        <v>2010</v>
      </c>
      <c r="K85" s="76"/>
      <c r="L85" s="73" t="s">
        <v>220</v>
      </c>
      <c r="N85" t="s">
        <v>331</v>
      </c>
      <c r="O85" s="113">
        <v>10.5</v>
      </c>
      <c r="P85" s="37">
        <f>'tri actionnaires'!AF10</f>
        <v>0.47694274638905815</v>
      </c>
      <c r="Q85" s="111">
        <f>O85*$O$84</f>
        <v>47.25</v>
      </c>
      <c r="R85" s="181">
        <f>Q85*P85</f>
        <v>22.535544766882996</v>
      </c>
      <c r="T85" s="105">
        <f>R85/$R$88</f>
        <v>0.52596035249339712</v>
      </c>
      <c r="V85" s="180">
        <f>$V$88*P85</f>
        <v>151829</v>
      </c>
      <c r="W85" s="2">
        <f>(R85*1000000)/V85</f>
        <v>148.4271434764307</v>
      </c>
    </row>
    <row r="86" spans="1:34">
      <c r="A86" s="2" t="s">
        <v>1</v>
      </c>
      <c r="B86" s="2"/>
      <c r="C86" s="10">
        <f t="shared" si="21"/>
        <v>2</v>
      </c>
      <c r="D86" s="10">
        <f t="shared" si="21"/>
        <v>0</v>
      </c>
      <c r="E86" s="10">
        <f t="shared" si="21"/>
        <v>0</v>
      </c>
      <c r="F86" s="10"/>
      <c r="G86" s="10"/>
      <c r="H86" s="10"/>
      <c r="I86" s="10"/>
      <c r="J86" s="10">
        <f t="shared" ref="J86:J98" si="22">E86+F86+G86+H86+I86</f>
        <v>0</v>
      </c>
      <c r="K86" s="10"/>
      <c r="L86" s="10">
        <f t="shared" ref="L86:L98" si="23">J86+K86</f>
        <v>0</v>
      </c>
      <c r="N86" s="46" t="s">
        <v>385</v>
      </c>
      <c r="O86" s="113">
        <v>9</v>
      </c>
      <c r="P86" s="37">
        <f>'tri actionnaires'!AF11+'tri actionnaires'!AF13</f>
        <v>0.3290810396496805</v>
      </c>
      <c r="Q86" s="111">
        <f t="shared" ref="Q86" si="24">O86*$O$84</f>
        <v>40.5</v>
      </c>
      <c r="R86" s="181">
        <f t="shared" ref="R86:R87" si="25">Q86*P86</f>
        <v>13.32778210581206</v>
      </c>
      <c r="S86" s="140">
        <f>O86/O85-1</f>
        <v>-0.1428571428571429</v>
      </c>
      <c r="T86" s="105">
        <f t="shared" ref="T86:T87" si="26">R86/$R$88</f>
        <v>0.31105904236357512</v>
      </c>
      <c r="V86" s="180">
        <f>$V$88*P86</f>
        <v>104758.99999999999</v>
      </c>
      <c r="W86" s="2">
        <f>(R86*1000000)/V86</f>
        <v>127.22326583694061</v>
      </c>
      <c r="AC86" s="37"/>
      <c r="AD86" s="169"/>
    </row>
    <row r="87" spans="1:34">
      <c r="A87" s="2" t="s">
        <v>201</v>
      </c>
      <c r="B87" s="2"/>
      <c r="C87" s="10">
        <f t="shared" si="21"/>
        <v>5243</v>
      </c>
      <c r="D87" s="10">
        <f t="shared" si="21"/>
        <v>5476</v>
      </c>
      <c r="E87" s="10">
        <f t="shared" si="21"/>
        <v>5476</v>
      </c>
      <c r="F87" s="10"/>
      <c r="G87" s="10"/>
      <c r="H87" s="10"/>
      <c r="I87" s="10"/>
      <c r="J87" s="10">
        <f t="shared" si="22"/>
        <v>5476</v>
      </c>
      <c r="K87" s="10">
        <v>-5476</v>
      </c>
      <c r="L87" s="10">
        <f t="shared" si="23"/>
        <v>0</v>
      </c>
      <c r="N87" s="7" t="s">
        <v>332</v>
      </c>
      <c r="O87" s="113">
        <v>8</v>
      </c>
      <c r="P87" s="37">
        <f>'tri actionnaires'!AF12</f>
        <v>0.1939762139612613</v>
      </c>
      <c r="Q87" s="111">
        <f>O87*$O$84</f>
        <v>36</v>
      </c>
      <c r="R87" s="181">
        <f t="shared" si="25"/>
        <v>6.9831437026054068</v>
      </c>
      <c r="S87" s="140">
        <f>O87/O85-1</f>
        <v>-0.23809523809523814</v>
      </c>
      <c r="T87" s="105">
        <f t="shared" si="26"/>
        <v>0.1629806051430279</v>
      </c>
      <c r="V87" s="180">
        <f>$V$88*P87</f>
        <v>61750</v>
      </c>
      <c r="W87" s="2">
        <f>(R87*1000000)/V87</f>
        <v>113.08734741061387</v>
      </c>
      <c r="AA87" s="169"/>
      <c r="AB87" s="169"/>
      <c r="AC87" s="169"/>
    </row>
    <row r="88" spans="1:34">
      <c r="A88" s="2" t="s">
        <v>202</v>
      </c>
      <c r="B88" s="2"/>
      <c r="C88" s="10">
        <f t="shared" si="21"/>
        <v>15188</v>
      </c>
      <c r="D88" s="10">
        <f t="shared" si="21"/>
        <v>17813</v>
      </c>
      <c r="E88" s="10">
        <f t="shared" si="21"/>
        <v>17046</v>
      </c>
      <c r="F88" s="10"/>
      <c r="G88" s="10"/>
      <c r="H88" s="10"/>
      <c r="I88" s="10"/>
      <c r="J88" s="10">
        <f t="shared" si="22"/>
        <v>17046</v>
      </c>
      <c r="K88" s="10">
        <f>4500*10-J88-R92</f>
        <v>25800.47057530046</v>
      </c>
      <c r="L88" s="77">
        <f>J88+K88</f>
        <v>42846.47057530046</v>
      </c>
      <c r="P88" s="7"/>
      <c r="R88" s="112">
        <f>SUM(R85:R87)</f>
        <v>42.846470575300458</v>
      </c>
      <c r="T88" s="48">
        <f>SUM(T85:T87)</f>
        <v>1</v>
      </c>
      <c r="U88" s="96">
        <f>O84/R88</f>
        <v>0.10502615360328181</v>
      </c>
      <c r="V88" s="47">
        <v>318338</v>
      </c>
      <c r="W88" s="1">
        <f>(R88*1000000)/V88</f>
        <v>134.59426953521242</v>
      </c>
      <c r="AA88" s="169"/>
      <c r="AB88" s="169"/>
      <c r="AC88" s="169"/>
    </row>
    <row r="89" spans="1:34">
      <c r="A89" s="2" t="s">
        <v>203</v>
      </c>
      <c r="B89" s="2"/>
      <c r="C89" s="10">
        <f t="shared" si="21"/>
        <v>70</v>
      </c>
      <c r="D89" s="10">
        <f t="shared" si="21"/>
        <v>64</v>
      </c>
      <c r="E89" s="10">
        <f t="shared" si="21"/>
        <v>64</v>
      </c>
      <c r="F89" s="10"/>
      <c r="G89" s="10"/>
      <c r="H89" s="10"/>
      <c r="I89" s="10"/>
      <c r="J89" s="10">
        <f t="shared" si="22"/>
        <v>64</v>
      </c>
      <c r="K89" s="10"/>
      <c r="L89" s="10">
        <f>J89+K89</f>
        <v>64</v>
      </c>
      <c r="R89">
        <f>R88*1000</f>
        <v>42846.47057530046</v>
      </c>
    </row>
    <row r="90" spans="1:34" ht="13.5" thickBot="1">
      <c r="A90" s="2" t="s">
        <v>204</v>
      </c>
      <c r="B90" s="2"/>
      <c r="C90" s="10">
        <f t="shared" si="21"/>
        <v>2001</v>
      </c>
      <c r="D90" s="10">
        <f t="shared" si="21"/>
        <v>0</v>
      </c>
      <c r="E90" s="10">
        <f t="shared" si="21"/>
        <v>0</v>
      </c>
      <c r="F90" s="10"/>
      <c r="G90" s="10"/>
      <c r="H90" s="10"/>
      <c r="I90" s="10"/>
      <c r="J90" s="10">
        <f t="shared" si="22"/>
        <v>0</v>
      </c>
      <c r="K90" s="10"/>
      <c r="L90" s="10">
        <f t="shared" si="23"/>
        <v>0</v>
      </c>
    </row>
    <row r="91" spans="1:34">
      <c r="A91" s="2" t="s">
        <v>205</v>
      </c>
      <c r="B91" s="2"/>
      <c r="C91" s="10">
        <f t="shared" si="21"/>
        <v>4139</v>
      </c>
      <c r="D91" s="10">
        <f t="shared" si="21"/>
        <v>3934</v>
      </c>
      <c r="E91" s="10">
        <f t="shared" si="21"/>
        <v>3934</v>
      </c>
      <c r="F91" s="10">
        <v>-3934</v>
      </c>
      <c r="G91" s="10"/>
      <c r="H91" s="10"/>
      <c r="I91" s="10"/>
      <c r="J91" s="10">
        <f t="shared" si="22"/>
        <v>0</v>
      </c>
      <c r="K91" s="10"/>
      <c r="L91" s="10">
        <f t="shared" si="23"/>
        <v>0</v>
      </c>
      <c r="O91" s="128" t="s">
        <v>181</v>
      </c>
      <c r="Q91" s="128" t="s">
        <v>224</v>
      </c>
      <c r="R91" s="135" t="s">
        <v>339</v>
      </c>
      <c r="Z91" s="189" t="s">
        <v>387</v>
      </c>
      <c r="AA91" s="190"/>
      <c r="AB91" s="190"/>
      <c r="AC91" s="190"/>
      <c r="AD91" s="190"/>
      <c r="AE91" s="190"/>
      <c r="AF91" s="190"/>
      <c r="AG91" s="190"/>
      <c r="AH91" s="191"/>
    </row>
    <row r="92" spans="1:34">
      <c r="A92" s="2" t="s">
        <v>206</v>
      </c>
      <c r="B92" s="2"/>
      <c r="C92" s="10">
        <f t="shared" si="21"/>
        <v>2376</v>
      </c>
      <c r="D92" s="10">
        <f t="shared" si="21"/>
        <v>2307</v>
      </c>
      <c r="E92" s="10">
        <f t="shared" si="21"/>
        <v>2307</v>
      </c>
      <c r="F92" s="10">
        <v>-2307</v>
      </c>
      <c r="G92" s="10"/>
      <c r="H92" s="10"/>
      <c r="I92" s="10"/>
      <c r="J92" s="10">
        <f t="shared" si="22"/>
        <v>0</v>
      </c>
      <c r="K92" s="10"/>
      <c r="L92" s="10">
        <f t="shared" si="23"/>
        <v>0</v>
      </c>
      <c r="O92" s="182">
        <v>4100</v>
      </c>
      <c r="P92" s="47"/>
      <c r="Q92" s="47">
        <v>45000</v>
      </c>
      <c r="R92" s="47">
        <f>Q92-R89</f>
        <v>2153.52942469954</v>
      </c>
      <c r="Z92" s="192"/>
      <c r="AA92" s="92"/>
      <c r="AB92" s="92"/>
      <c r="AC92" s="128" t="s">
        <v>392</v>
      </c>
      <c r="AD92" s="128" t="s">
        <v>393</v>
      </c>
      <c r="AE92" s="128" t="s">
        <v>394</v>
      </c>
      <c r="AF92" s="128" t="s">
        <v>398</v>
      </c>
      <c r="AG92" s="128" t="s">
        <v>400</v>
      </c>
      <c r="AH92" s="193"/>
    </row>
    <row r="93" spans="1:34">
      <c r="A93" s="2" t="s">
        <v>207</v>
      </c>
      <c r="B93" s="2"/>
      <c r="C93" s="10">
        <f t="shared" si="21"/>
        <v>2547</v>
      </c>
      <c r="D93" s="10">
        <f t="shared" si="21"/>
        <v>2040</v>
      </c>
      <c r="E93" s="10">
        <f t="shared" si="21"/>
        <v>2040</v>
      </c>
      <c r="F93" s="10"/>
      <c r="G93" s="10"/>
      <c r="H93" s="10"/>
      <c r="I93" s="10"/>
      <c r="J93" s="10">
        <f t="shared" si="22"/>
        <v>2040</v>
      </c>
      <c r="K93" s="10"/>
      <c r="L93" s="10">
        <f t="shared" si="23"/>
        <v>2040</v>
      </c>
      <c r="R93" s="7"/>
      <c r="Z93" s="192" t="str">
        <f>N98</f>
        <v>action 1</v>
      </c>
      <c r="AA93" s="175">
        <v>1</v>
      </c>
      <c r="AB93" s="92"/>
      <c r="AC93" s="194">
        <f>O84*1000000</f>
        <v>4500000</v>
      </c>
      <c r="AD93" s="195">
        <v>11</v>
      </c>
      <c r="AE93" s="176">
        <f>AC93*AD93</f>
        <v>49500000</v>
      </c>
      <c r="AF93" s="211">
        <f>AE93/$P$101</f>
        <v>155.49510268959409</v>
      </c>
      <c r="AG93" s="216">
        <f>AC93/AE93</f>
        <v>9.0909090909090912E-2</v>
      </c>
      <c r="AH93" s="193"/>
    </row>
    <row r="94" spans="1:34">
      <c r="A94" s="2" t="s">
        <v>208</v>
      </c>
      <c r="B94" s="2"/>
      <c r="C94" s="10">
        <f t="shared" si="21"/>
        <v>234</v>
      </c>
      <c r="D94" s="10">
        <f t="shared" si="21"/>
        <v>221</v>
      </c>
      <c r="E94" s="10">
        <f t="shared" si="21"/>
        <v>221</v>
      </c>
      <c r="F94" s="10"/>
      <c r="G94" s="10"/>
      <c r="H94" s="10"/>
      <c r="I94" s="10"/>
      <c r="J94" s="10">
        <f t="shared" si="22"/>
        <v>221</v>
      </c>
      <c r="K94" s="10"/>
      <c r="L94" s="10">
        <f t="shared" si="23"/>
        <v>221</v>
      </c>
      <c r="Z94" s="192" t="str">
        <f t="shared" ref="Z94:Z95" si="27">N99</f>
        <v>action 2+4</v>
      </c>
      <c r="AA94" s="196">
        <f>T99</f>
        <v>-0.14285714285714246</v>
      </c>
      <c r="AB94" s="92"/>
      <c r="AC94" s="176">
        <f>AC93</f>
        <v>4500000</v>
      </c>
      <c r="AD94" s="197">
        <f>AE94/AC94</f>
        <v>9.2412804055555569</v>
      </c>
      <c r="AE94" s="198">
        <f>AB110</f>
        <v>41585761.825000003</v>
      </c>
      <c r="AF94" s="211">
        <f>AE94/$P$101</f>
        <v>130.63398596774499</v>
      </c>
      <c r="AG94" s="216">
        <f>AC94/AE94</f>
        <v>0.1082101133300568</v>
      </c>
      <c r="AH94" s="193"/>
    </row>
    <row r="95" spans="1:34">
      <c r="A95" s="2" t="s">
        <v>209</v>
      </c>
      <c r="B95" s="2"/>
      <c r="C95" s="10">
        <f t="shared" si="21"/>
        <v>821</v>
      </c>
      <c r="D95" s="10">
        <f t="shared" si="21"/>
        <v>290</v>
      </c>
      <c r="E95" s="10">
        <f t="shared" si="21"/>
        <v>290</v>
      </c>
      <c r="F95" s="10"/>
      <c r="G95" s="10"/>
      <c r="H95" s="10"/>
      <c r="I95" s="10">
        <v>-150</v>
      </c>
      <c r="J95" s="10">
        <f t="shared" si="22"/>
        <v>140</v>
      </c>
      <c r="K95" s="10"/>
      <c r="L95" s="10">
        <f t="shared" si="23"/>
        <v>140</v>
      </c>
      <c r="N95" s="142" t="s">
        <v>364</v>
      </c>
      <c r="Z95" s="192" t="str">
        <f t="shared" si="27"/>
        <v>action 3</v>
      </c>
      <c r="AA95" s="196">
        <f>T100</f>
        <v>-0.2380952380952378</v>
      </c>
      <c r="AB95" s="199"/>
      <c r="AC95" s="199"/>
      <c r="AD95" s="199"/>
      <c r="AE95" s="199"/>
      <c r="AF95" s="92"/>
      <c r="AG95" s="92"/>
      <c r="AH95" s="193"/>
    </row>
    <row r="96" spans="1:34">
      <c r="A96" s="2" t="s">
        <v>210</v>
      </c>
      <c r="B96" s="2"/>
      <c r="C96" s="10">
        <f t="shared" si="21"/>
        <v>282</v>
      </c>
      <c r="D96" s="10">
        <f t="shared" si="21"/>
        <v>236</v>
      </c>
      <c r="E96" s="10">
        <f t="shared" si="21"/>
        <v>236</v>
      </c>
      <c r="F96" s="10"/>
      <c r="G96" s="10"/>
      <c r="H96" s="10"/>
      <c r="I96" s="10"/>
      <c r="J96" s="10">
        <f t="shared" si="22"/>
        <v>236</v>
      </c>
      <c r="K96" s="10"/>
      <c r="L96" s="10">
        <f t="shared" si="23"/>
        <v>236</v>
      </c>
      <c r="O96" s="124"/>
      <c r="P96" s="49"/>
      <c r="Q96" s="125"/>
      <c r="S96" s="147" t="s">
        <v>340</v>
      </c>
      <c r="V96" s="147" t="s">
        <v>373</v>
      </c>
      <c r="X96" s="147" t="s">
        <v>380</v>
      </c>
      <c r="Z96" s="192"/>
      <c r="AA96" s="92"/>
      <c r="AB96" s="92"/>
      <c r="AC96" s="92"/>
      <c r="AD96" s="92"/>
      <c r="AE96" s="92"/>
      <c r="AF96" s="92"/>
      <c r="AG96" s="92"/>
      <c r="AH96" s="193"/>
    </row>
    <row r="97" spans="1:34" ht="13.5" thickBot="1">
      <c r="A97" s="2" t="s">
        <v>221</v>
      </c>
      <c r="B97" s="2"/>
      <c r="C97" s="10">
        <f t="shared" si="21"/>
        <v>3033</v>
      </c>
      <c r="D97" s="10">
        <f t="shared" si="21"/>
        <v>3867</v>
      </c>
      <c r="E97" s="10">
        <f t="shared" si="21"/>
        <v>3867</v>
      </c>
      <c r="F97" s="10"/>
      <c r="G97" s="10"/>
      <c r="H97" s="10"/>
      <c r="I97" s="10"/>
      <c r="J97" s="10">
        <f t="shared" si="22"/>
        <v>3867</v>
      </c>
      <c r="K97" s="10"/>
      <c r="L97" s="10">
        <f t="shared" si="23"/>
        <v>3867</v>
      </c>
      <c r="N97" s="133" t="s">
        <v>362</v>
      </c>
      <c r="O97" s="128" t="s">
        <v>335</v>
      </c>
      <c r="P97" s="128" t="s">
        <v>341</v>
      </c>
      <c r="Q97" s="128" t="s">
        <v>357</v>
      </c>
      <c r="R97" s="146" t="s">
        <v>363</v>
      </c>
      <c r="S97" s="167" t="s">
        <v>356</v>
      </c>
      <c r="V97" s="167" t="s">
        <v>374</v>
      </c>
      <c r="X97" s="168" t="s">
        <v>381</v>
      </c>
      <c r="Z97" s="200" t="s">
        <v>388</v>
      </c>
      <c r="AA97" s="128" t="s">
        <v>389</v>
      </c>
      <c r="AB97" s="143" t="s">
        <v>404</v>
      </c>
      <c r="AC97" s="128" t="s">
        <v>390</v>
      </c>
      <c r="AD97" s="128" t="s">
        <v>395</v>
      </c>
      <c r="AE97" s="128" t="s">
        <v>391</v>
      </c>
      <c r="AF97" s="128" t="s">
        <v>377</v>
      </c>
      <c r="AG97" s="128" t="s">
        <v>396</v>
      </c>
      <c r="AH97" s="201" t="s">
        <v>400</v>
      </c>
    </row>
    <row r="98" spans="1:34" ht="13.5" thickBot="1">
      <c r="A98" s="2" t="s">
        <v>211</v>
      </c>
      <c r="B98" s="2"/>
      <c r="C98" s="10">
        <f t="shared" si="21"/>
        <v>4436</v>
      </c>
      <c r="D98" s="10">
        <f t="shared" si="21"/>
        <v>5132</v>
      </c>
      <c r="E98" s="10">
        <f t="shared" si="21"/>
        <v>4242</v>
      </c>
      <c r="F98" s="10">
        <f>-F92-F91</f>
        <v>6241</v>
      </c>
      <c r="G98" s="10"/>
      <c r="H98" s="13">
        <v>-3881</v>
      </c>
      <c r="I98" s="10">
        <v>150</v>
      </c>
      <c r="J98" s="10">
        <f t="shared" si="22"/>
        <v>6752</v>
      </c>
      <c r="K98" s="10"/>
      <c r="L98" s="10">
        <f t="shared" si="23"/>
        <v>6752</v>
      </c>
      <c r="N98" t="str">
        <f>N85</f>
        <v>action 1</v>
      </c>
      <c r="O98" s="54">
        <f>L101</f>
        <v>42300.932930375886</v>
      </c>
      <c r="P98" s="179">
        <f>V85</f>
        <v>151829</v>
      </c>
      <c r="Q98" s="48">
        <f>T85</f>
        <v>0.52596035249339712</v>
      </c>
      <c r="R98" s="179">
        <f>$O$98*Q98</f>
        <v>22248.613594860049</v>
      </c>
      <c r="S98" s="141">
        <f>R98/P98*1000</f>
        <v>146.53731233730082</v>
      </c>
      <c r="U98" s="51" t="s">
        <v>378</v>
      </c>
      <c r="V98" s="163">
        <v>6.4000000000000001E-2</v>
      </c>
      <c r="X98" s="230">
        <f>S98*$P$101</f>
        <v>46648394.934831671</v>
      </c>
      <c r="Z98" s="202">
        <v>106429</v>
      </c>
      <c r="AA98" s="300">
        <v>157.30000000000001</v>
      </c>
      <c r="AB98" s="287">
        <v>16741578</v>
      </c>
      <c r="AC98" s="285">
        <v>46954855</v>
      </c>
      <c r="AD98" s="187">
        <f>AC98/$AC$93</f>
        <v>10.434412222222223</v>
      </c>
      <c r="AE98" s="179">
        <f>$AE$106</f>
        <v>4194697.6050000004</v>
      </c>
      <c r="AF98" s="177">
        <f>AC98+AE98</f>
        <v>51149552.605000004</v>
      </c>
      <c r="AG98" s="188">
        <f>AF98/$AC$93</f>
        <v>11.366567245555556</v>
      </c>
      <c r="AH98" s="218">
        <f>$AC$93/AC98</f>
        <v>9.5836735093740577E-2</v>
      </c>
    </row>
    <row r="99" spans="1:34">
      <c r="A99" s="1" t="s">
        <v>77</v>
      </c>
      <c r="B99" s="1"/>
      <c r="C99" s="11">
        <f t="shared" si="21"/>
        <v>40372</v>
      </c>
      <c r="D99" s="11">
        <f t="shared" si="21"/>
        <v>41380</v>
      </c>
      <c r="E99" s="11">
        <f t="shared" ref="E99:L99" si="28">SUM(E86:E98)</f>
        <v>39723</v>
      </c>
      <c r="F99" s="11">
        <f t="shared" si="28"/>
        <v>0</v>
      </c>
      <c r="G99" s="11">
        <f t="shared" si="28"/>
        <v>0</v>
      </c>
      <c r="H99" s="11">
        <f t="shared" si="28"/>
        <v>-3881</v>
      </c>
      <c r="I99" s="11">
        <f t="shared" si="28"/>
        <v>0</v>
      </c>
      <c r="J99" s="11">
        <f t="shared" si="28"/>
        <v>35842</v>
      </c>
      <c r="K99" s="11">
        <f>SUM(K86:K98)</f>
        <v>20324.47057530046</v>
      </c>
      <c r="L99" s="11">
        <f t="shared" si="28"/>
        <v>56166.47057530046</v>
      </c>
      <c r="N99" t="str">
        <f>N86</f>
        <v>action 2+4</v>
      </c>
      <c r="P99" s="179">
        <f>V86</f>
        <v>104758.99999999999</v>
      </c>
      <c r="Q99" s="48">
        <f>T86</f>
        <v>0.31105904236357512</v>
      </c>
      <c r="R99" s="179">
        <f>$O$98*Q99</f>
        <v>13158.087688408543</v>
      </c>
      <c r="S99" s="141">
        <f>R99/P99*1000</f>
        <v>125.60341057482933</v>
      </c>
      <c r="T99" s="105">
        <f>S99/S98-1</f>
        <v>-0.14285714285714246</v>
      </c>
      <c r="U99" s="51" t="s">
        <v>376</v>
      </c>
      <c r="V99" s="164">
        <f>O84/V98</f>
        <v>70.3125</v>
      </c>
      <c r="X99" s="103">
        <f t="shared" ref="X99:X100" si="29">S99*$P$101</f>
        <v>39984338.515570015</v>
      </c>
      <c r="Z99" s="202">
        <f>'tri actionnaires'!AB11+'tri actionnaires'!AB13</f>
        <v>101109</v>
      </c>
      <c r="AA99" s="184">
        <f>+AA98-25.72</f>
        <v>131.58000000000001</v>
      </c>
      <c r="AB99" s="286">
        <f>+Z99*AA99</f>
        <v>13303922.220000001</v>
      </c>
      <c r="AC99" s="103">
        <f t="shared" ref="AC99:AC100" si="30">AA99*$Z$101</f>
        <v>41886914.040000007</v>
      </c>
      <c r="AD99" s="187">
        <f t="shared" ref="AD99:AD100" si="31">AC99/$AC$93</f>
        <v>9.3082031200000017</v>
      </c>
      <c r="AE99" s="179">
        <f>AE98</f>
        <v>4194697.6050000004</v>
      </c>
      <c r="AF99" s="104">
        <f>AC99+AE99</f>
        <v>46081611.645000011</v>
      </c>
      <c r="AG99" s="188">
        <f t="shared" ref="AG99:AG100" si="32">AF99/$AC$93</f>
        <v>10.240358143333335</v>
      </c>
      <c r="AH99" s="218">
        <f t="shared" ref="AH99:AH100" si="33">$AC$93/AC99</f>
        <v>0.1074321205831185</v>
      </c>
    </row>
    <row r="100" spans="1:34" ht="13.5" thickBot="1">
      <c r="A100" s="1" t="s">
        <v>200</v>
      </c>
      <c r="B100" s="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N100" t="str">
        <f>N87</f>
        <v>action 3</v>
      </c>
      <c r="P100" s="179">
        <f>V87</f>
        <v>61750</v>
      </c>
      <c r="Q100" s="48">
        <f>T87</f>
        <v>0.1629806051430279</v>
      </c>
      <c r="R100" s="179">
        <f>$O$98*Q100</f>
        <v>6894.2316471072982</v>
      </c>
      <c r="S100" s="141">
        <f t="shared" ref="S100:S101" si="34">R100/P100*1000</f>
        <v>111.64747606651495</v>
      </c>
      <c r="T100" s="105">
        <f>S100/S98-1</f>
        <v>-0.2380952380952378</v>
      </c>
      <c r="U100" s="51" t="s">
        <v>370</v>
      </c>
      <c r="V100" s="165">
        <v>6.54E-2</v>
      </c>
      <c r="X100" s="103">
        <f t="shared" si="29"/>
        <v>35541634.236062236</v>
      </c>
      <c r="Z100" s="202">
        <f>'tri actionnaires'!AB12</f>
        <v>110800</v>
      </c>
      <c r="AA100" s="225">
        <f>+AA99</f>
        <v>131.58000000000001</v>
      </c>
      <c r="AB100" s="286">
        <f>+Z100*AA100</f>
        <v>14579064.000000002</v>
      </c>
      <c r="AC100" s="103">
        <f t="shared" si="30"/>
        <v>41886914.040000007</v>
      </c>
      <c r="AD100" s="187">
        <f t="shared" si="31"/>
        <v>9.3082031200000017</v>
      </c>
      <c r="AE100" s="179">
        <f>AE99</f>
        <v>4194697.6050000004</v>
      </c>
      <c r="AF100" s="104">
        <f>AC100+AE100</f>
        <v>46081611.645000011</v>
      </c>
      <c r="AG100" s="188">
        <f t="shared" si="32"/>
        <v>10.240358143333335</v>
      </c>
      <c r="AH100" s="218">
        <f t="shared" si="33"/>
        <v>0.1074321205831185</v>
      </c>
    </row>
    <row r="101" spans="1:34" ht="13.5" thickBot="1">
      <c r="A101" s="1" t="s">
        <v>212</v>
      </c>
      <c r="B101" s="1"/>
      <c r="C101" s="11">
        <f t="shared" ref="C101:E110" si="35">C71</f>
        <v>28715</v>
      </c>
      <c r="D101" s="11">
        <f t="shared" si="35"/>
        <v>29430</v>
      </c>
      <c r="E101" s="11">
        <f t="shared" si="35"/>
        <v>29430</v>
      </c>
      <c r="F101" s="11">
        <v>0</v>
      </c>
      <c r="G101" s="11"/>
      <c r="H101" s="11"/>
      <c r="I101" s="11"/>
      <c r="J101" s="11">
        <f>E101+F101+G101+H101+I101</f>
        <v>29430</v>
      </c>
      <c r="K101" s="11">
        <f>K99-K102</f>
        <v>12870.932930375884</v>
      </c>
      <c r="L101" s="9">
        <f>J101+K101</f>
        <v>42300.932930375886</v>
      </c>
      <c r="O101">
        <f>O98/P101*1000</f>
        <v>132.88056383584706</v>
      </c>
      <c r="P101" s="47">
        <v>318338</v>
      </c>
      <c r="R101" s="63">
        <f>SUM(R98:R100)</f>
        <v>42300.932930375893</v>
      </c>
      <c r="S101" s="141">
        <f t="shared" si="34"/>
        <v>132.88056383584708</v>
      </c>
      <c r="U101" s="51"/>
      <c r="V101" s="164">
        <f>V99*V100</f>
        <v>4.5984375000000002</v>
      </c>
      <c r="Z101" s="224">
        <f>SUM(Z98:Z100)</f>
        <v>318338</v>
      </c>
      <c r="AA101" s="227">
        <f>AB101/Z101</f>
        <v>140.17982213873304</v>
      </c>
      <c r="AB101" s="185">
        <f>SUM(AB98:AB100)</f>
        <v>44624564.219999999</v>
      </c>
      <c r="AC101" s="92"/>
      <c r="AD101" s="92"/>
      <c r="AE101" s="176"/>
      <c r="AF101" s="92"/>
      <c r="AG101" s="92"/>
      <c r="AH101" s="193"/>
    </row>
    <row r="102" spans="1:34">
      <c r="A102" s="2" t="s">
        <v>14</v>
      </c>
      <c r="B102" s="2"/>
      <c r="C102" s="10">
        <f t="shared" si="35"/>
        <v>203</v>
      </c>
      <c r="D102" s="10">
        <f t="shared" si="35"/>
        <v>307</v>
      </c>
      <c r="E102" s="10">
        <f t="shared" si="35"/>
        <v>307</v>
      </c>
      <c r="F102" s="10"/>
      <c r="G102" s="10"/>
      <c r="H102" s="10"/>
      <c r="I102" s="10"/>
      <c r="J102" s="19">
        <f t="shared" ref="J102:J107" si="36">E102+F102+G102+H102+I102</f>
        <v>307</v>
      </c>
      <c r="K102" s="10">
        <f>(33%*(L88-J88-J87)/2)+O92</f>
        <v>7453.5376449245759</v>
      </c>
      <c r="L102" s="10">
        <f t="shared" ref="L102:L107" si="37">J102+K102</f>
        <v>7760.5376449245759</v>
      </c>
      <c r="U102" s="51" t="s">
        <v>377</v>
      </c>
      <c r="V102" s="164">
        <f>V99+V101</f>
        <v>74.910937500000003</v>
      </c>
      <c r="Z102" s="192"/>
      <c r="AA102" s="226">
        <f>S101-AA101</f>
        <v>-7.2992583028859599</v>
      </c>
      <c r="AB102" s="203">
        <f>(R101*1000)-AB101</f>
        <v>-2323631.2896241024</v>
      </c>
      <c r="AC102" s="92"/>
      <c r="AD102" s="92"/>
      <c r="AE102" s="92"/>
      <c r="AF102" s="92"/>
      <c r="AG102" s="92"/>
      <c r="AH102" s="193"/>
    </row>
    <row r="103" spans="1:34">
      <c r="A103" s="2" t="s">
        <v>213</v>
      </c>
      <c r="B103" s="2"/>
      <c r="C103" s="10">
        <f t="shared" si="35"/>
        <v>8088</v>
      </c>
      <c r="D103" s="10">
        <f t="shared" si="35"/>
        <v>6432</v>
      </c>
      <c r="E103" s="10">
        <f t="shared" si="35"/>
        <v>4776</v>
      </c>
      <c r="F103" s="10"/>
      <c r="G103" s="10"/>
      <c r="H103" s="10"/>
      <c r="I103" s="10"/>
      <c r="J103" s="19">
        <f t="shared" si="36"/>
        <v>4776</v>
      </c>
      <c r="K103" s="10"/>
      <c r="L103" s="10">
        <f t="shared" si="37"/>
        <v>4776</v>
      </c>
      <c r="U103" s="210" t="s">
        <v>397</v>
      </c>
      <c r="V103" s="105">
        <f>O84/V102</f>
        <v>6.0071334709968081E-2</v>
      </c>
      <c r="Z103" s="192"/>
      <c r="AA103" s="183">
        <f>AA102/AA101</f>
        <v>-5.207067744501799E-2</v>
      </c>
      <c r="AB103" s="92"/>
      <c r="AC103" s="92"/>
      <c r="AD103" s="78" t="s">
        <v>175</v>
      </c>
      <c r="AE103" s="179">
        <v>800000</v>
      </c>
      <c r="AF103" s="92"/>
      <c r="AG103" s="92"/>
      <c r="AH103" s="193"/>
    </row>
    <row r="104" spans="1:34" ht="13.5" thickBot="1">
      <c r="A104" s="2" t="s">
        <v>222</v>
      </c>
      <c r="B104" s="2"/>
      <c r="C104" s="10">
        <f t="shared" si="35"/>
        <v>715</v>
      </c>
      <c r="D104" s="10">
        <f t="shared" si="35"/>
        <v>910</v>
      </c>
      <c r="E104" s="10">
        <f t="shared" si="35"/>
        <v>910</v>
      </c>
      <c r="F104" s="10"/>
      <c r="G104" s="10"/>
      <c r="H104" s="10"/>
      <c r="I104" s="10"/>
      <c r="J104" s="19">
        <f t="shared" si="36"/>
        <v>910</v>
      </c>
      <c r="K104" s="10"/>
      <c r="L104" s="10">
        <f t="shared" si="37"/>
        <v>910</v>
      </c>
      <c r="N104" s="3" t="s">
        <v>365</v>
      </c>
      <c r="U104" s="51"/>
      <c r="Z104" s="192"/>
      <c r="AA104" s="92"/>
      <c r="AB104" s="92"/>
      <c r="AC104" s="92"/>
      <c r="AD104" s="78" t="s">
        <v>176</v>
      </c>
      <c r="AE104" s="179">
        <v>1000000</v>
      </c>
      <c r="AF104" s="92"/>
      <c r="AG104" s="92"/>
      <c r="AH104" s="193"/>
    </row>
    <row r="105" spans="1:34" ht="13.5" thickBot="1">
      <c r="A105" s="2" t="s">
        <v>214</v>
      </c>
      <c r="B105" s="2"/>
      <c r="C105" s="10">
        <f t="shared" si="35"/>
        <v>405</v>
      </c>
      <c r="D105" s="10">
        <f t="shared" si="35"/>
        <v>228</v>
      </c>
      <c r="E105" s="10">
        <f t="shared" si="35"/>
        <v>228</v>
      </c>
      <c r="F105" s="10"/>
      <c r="G105" s="10"/>
      <c r="H105" s="10"/>
      <c r="I105" s="10"/>
      <c r="J105" s="19">
        <f t="shared" si="36"/>
        <v>228</v>
      </c>
      <c r="K105" s="10"/>
      <c r="L105" s="10">
        <f t="shared" si="37"/>
        <v>228</v>
      </c>
      <c r="N105" s="143" t="s">
        <v>370</v>
      </c>
      <c r="O105" s="143" t="s">
        <v>337</v>
      </c>
      <c r="P105" s="143" t="s">
        <v>367</v>
      </c>
      <c r="Q105" s="143" t="s">
        <v>336</v>
      </c>
      <c r="R105" s="143" t="s">
        <v>338</v>
      </c>
      <c r="S105" s="143" t="s">
        <v>334</v>
      </c>
      <c r="U105" s="51" t="s">
        <v>379</v>
      </c>
      <c r="V105" s="166">
        <f>V99-(R107/1000)</f>
        <v>30.934219490174947</v>
      </c>
      <c r="Z105" s="192"/>
      <c r="AA105" s="217" t="s">
        <v>401</v>
      </c>
      <c r="AB105" s="186">
        <f>AC93/AB101</f>
        <v>0.10084132088808553</v>
      </c>
      <c r="AC105" s="204"/>
      <c r="AD105" s="78" t="s">
        <v>399</v>
      </c>
      <c r="AE105" s="179">
        <f>AF105*AC98</f>
        <v>2394697.605</v>
      </c>
      <c r="AF105" s="213">
        <f>N107</f>
        <v>5.0999999999999997E-2</v>
      </c>
      <c r="AG105" s="211"/>
      <c r="AH105" s="193"/>
    </row>
    <row r="106" spans="1:34">
      <c r="A106" s="2" t="s">
        <v>215</v>
      </c>
      <c r="B106" s="2"/>
      <c r="C106" s="10">
        <f t="shared" si="35"/>
        <v>172</v>
      </c>
      <c r="D106" s="10">
        <f t="shared" si="35"/>
        <v>192</v>
      </c>
      <c r="E106" s="10">
        <f t="shared" si="35"/>
        <v>192</v>
      </c>
      <c r="F106" s="10"/>
      <c r="G106" s="10"/>
      <c r="H106" s="10"/>
      <c r="I106" s="10"/>
      <c r="J106" s="19">
        <f t="shared" si="36"/>
        <v>192</v>
      </c>
      <c r="K106" s="10"/>
      <c r="L106" s="10">
        <f t="shared" si="37"/>
        <v>192</v>
      </c>
      <c r="N106" s="144" t="s">
        <v>371</v>
      </c>
      <c r="O106" s="144" t="s">
        <v>369</v>
      </c>
      <c r="P106" s="144" t="s">
        <v>368</v>
      </c>
      <c r="Q106" s="144" t="s">
        <v>366</v>
      </c>
      <c r="R106" s="144"/>
      <c r="S106" s="144" t="s">
        <v>372</v>
      </c>
      <c r="U106" s="51" t="s">
        <v>375</v>
      </c>
      <c r="V106" s="114">
        <f>V105/(R107/1000)</f>
        <v>0.78556552215266795</v>
      </c>
      <c r="Z106" s="192"/>
      <c r="AA106" s="92"/>
      <c r="AB106" s="92"/>
      <c r="AC106" s="92"/>
      <c r="AD106" s="92"/>
      <c r="AE106" s="212">
        <f>SUM(AE103:AE105)</f>
        <v>4194697.6050000004</v>
      </c>
      <c r="AF106" s="92"/>
      <c r="AG106" s="92"/>
      <c r="AH106" s="193"/>
    </row>
    <row r="107" spans="1:34" ht="13.5" thickBot="1">
      <c r="A107" s="2" t="s">
        <v>216</v>
      </c>
      <c r="B107" s="2"/>
      <c r="C107" s="10">
        <f t="shared" si="35"/>
        <v>2075</v>
      </c>
      <c r="D107" s="10">
        <f t="shared" si="35"/>
        <v>3881</v>
      </c>
      <c r="E107" s="10">
        <f t="shared" si="35"/>
        <v>3881</v>
      </c>
      <c r="F107" s="10"/>
      <c r="G107" s="10"/>
      <c r="H107" s="10">
        <v>-3881</v>
      </c>
      <c r="I107" s="10"/>
      <c r="J107" s="19">
        <f t="shared" si="36"/>
        <v>0</v>
      </c>
      <c r="K107" s="10"/>
      <c r="L107" s="10">
        <f t="shared" si="37"/>
        <v>0</v>
      </c>
      <c r="N107" s="96">
        <v>5.0999999999999997E-2</v>
      </c>
      <c r="O107" s="47">
        <v>820</v>
      </c>
      <c r="P107" s="47">
        <f>O98+N108+O109</f>
        <v>46278.280509825054</v>
      </c>
      <c r="Q107" s="182">
        <v>-6900</v>
      </c>
      <c r="R107" s="54">
        <f>P107+Q107</f>
        <v>39378.280509825054</v>
      </c>
      <c r="S107" s="145">
        <f>(O84*1000)/R107</f>
        <v>0.11427619341777075</v>
      </c>
      <c r="U107" s="51"/>
      <c r="Z107" s="192"/>
      <c r="AA107" s="92"/>
      <c r="AB107" s="92"/>
      <c r="AC107" s="222"/>
      <c r="AD107" s="92"/>
      <c r="AE107" s="92"/>
      <c r="AF107" s="92"/>
      <c r="AG107" s="92"/>
      <c r="AH107" s="193"/>
    </row>
    <row r="108" spans="1:34">
      <c r="A108" s="1" t="s">
        <v>77</v>
      </c>
      <c r="B108" s="1"/>
      <c r="C108" s="11">
        <f t="shared" si="35"/>
        <v>40373</v>
      </c>
      <c r="D108" s="11">
        <f t="shared" si="35"/>
        <v>41380</v>
      </c>
      <c r="E108" s="11">
        <f t="shared" ref="E108:L108" si="38">SUM(E101:E107)</f>
        <v>39724</v>
      </c>
      <c r="F108" s="11">
        <f t="shared" si="38"/>
        <v>0</v>
      </c>
      <c r="G108" s="11">
        <f t="shared" si="38"/>
        <v>0</v>
      </c>
      <c r="H108" s="11">
        <f t="shared" si="38"/>
        <v>-3881</v>
      </c>
      <c r="I108" s="11">
        <f t="shared" si="38"/>
        <v>0</v>
      </c>
      <c r="J108" s="11">
        <f t="shared" si="38"/>
        <v>35843</v>
      </c>
      <c r="K108" s="11">
        <f t="shared" si="38"/>
        <v>20324.47057530046</v>
      </c>
      <c r="L108" s="11">
        <f t="shared" si="38"/>
        <v>56167.47057530046</v>
      </c>
      <c r="N108" s="54">
        <f>O98*N107</f>
        <v>2157.3475794491701</v>
      </c>
      <c r="O108" s="47">
        <v>1000</v>
      </c>
      <c r="P108" s="47"/>
      <c r="Q108" s="47"/>
      <c r="Z108" s="205" t="s">
        <v>367</v>
      </c>
      <c r="AA108" s="143" t="s">
        <v>336</v>
      </c>
      <c r="AB108" s="143" t="s">
        <v>338</v>
      </c>
      <c r="AC108" s="143" t="s">
        <v>379</v>
      </c>
      <c r="AD108" s="143" t="s">
        <v>375</v>
      </c>
      <c r="AE108" s="92"/>
      <c r="AF108" s="92"/>
      <c r="AG108" s="92"/>
      <c r="AH108" s="193"/>
    </row>
    <row r="109" spans="1:34">
      <c r="A109" s="2" t="s">
        <v>80</v>
      </c>
      <c r="B109" s="2"/>
      <c r="C109" s="10">
        <f t="shared" si="35"/>
        <v>1</v>
      </c>
      <c r="D109" s="10">
        <f t="shared" si="35"/>
        <v>0</v>
      </c>
      <c r="E109" s="10">
        <f t="shared" ref="E109:L109" si="39">E108-E99</f>
        <v>1</v>
      </c>
      <c r="F109" s="10">
        <f t="shared" si="39"/>
        <v>0</v>
      </c>
      <c r="G109" s="10">
        <f t="shared" si="39"/>
        <v>0</v>
      </c>
      <c r="H109" s="10">
        <f t="shared" si="39"/>
        <v>0</v>
      </c>
      <c r="I109" s="10">
        <f t="shared" si="39"/>
        <v>0</v>
      </c>
      <c r="J109" s="10">
        <f t="shared" si="39"/>
        <v>1</v>
      </c>
      <c r="K109" s="10">
        <f t="shared" si="39"/>
        <v>0</v>
      </c>
      <c r="L109" s="10">
        <f t="shared" si="39"/>
        <v>1</v>
      </c>
      <c r="O109" s="54">
        <f>SUM(O107:O108)</f>
        <v>1820</v>
      </c>
      <c r="Q109" s="214">
        <f>SUM(L93:L98)</f>
        <v>13256</v>
      </c>
      <c r="R109" s="7"/>
      <c r="Z109" s="206" t="s">
        <v>403</v>
      </c>
      <c r="AA109" s="144" t="s">
        <v>366</v>
      </c>
      <c r="AB109" s="144"/>
      <c r="AC109" s="144"/>
      <c r="AD109" s="144"/>
      <c r="AE109" s="92"/>
      <c r="AF109" s="92"/>
      <c r="AG109" s="92"/>
      <c r="AH109" s="193"/>
    </row>
    <row r="110" spans="1:34" ht="13.5" thickBot="1">
      <c r="A110" s="2" t="s">
        <v>81</v>
      </c>
      <c r="B110" s="2"/>
      <c r="C110" s="10">
        <f t="shared" si="35"/>
        <v>0</v>
      </c>
      <c r="D110" s="10">
        <f t="shared" si="35"/>
        <v>-1</v>
      </c>
      <c r="E110" s="10">
        <f>E68-E98</f>
        <v>0</v>
      </c>
      <c r="F110" s="16"/>
      <c r="G110" s="16"/>
      <c r="H110" s="16"/>
      <c r="I110" s="16"/>
      <c r="J110" s="16"/>
      <c r="K110" s="16"/>
      <c r="L110" s="16"/>
      <c r="Q110" s="214">
        <f>SUM(L103:L106)+J102</f>
        <v>6413</v>
      </c>
      <c r="T110" s="46"/>
      <c r="U110" s="46"/>
      <c r="Z110" s="219">
        <f>AB101+AE106</f>
        <v>48819261.825000003</v>
      </c>
      <c r="AA110" s="176">
        <f>-SUM('Mécanique PV vendeur'!E13:E15)</f>
        <v>-7233500</v>
      </c>
      <c r="AB110" s="176">
        <f>Z110+AA110</f>
        <v>41585761.825000003</v>
      </c>
      <c r="AC110" s="103">
        <f>(V99*1000000)-AB110</f>
        <v>28726738.174999997</v>
      </c>
      <c r="AD110" s="183">
        <f>AC110/AB101</f>
        <v>0.64374271608293132</v>
      </c>
      <c r="AE110" s="92"/>
      <c r="AF110" s="92"/>
      <c r="AG110" s="92"/>
      <c r="AH110" s="193"/>
    </row>
    <row r="111" spans="1:34" ht="13.5" thickBot="1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7"/>
      <c r="D111" s="7"/>
      <c r="E111" s="7"/>
      <c r="F111" s="7"/>
      <c r="G111" s="7"/>
      <c r="H111" s="7"/>
      <c r="I111" s="7"/>
      <c r="J111" s="7"/>
      <c r="K111" s="7"/>
      <c r="Q111" s="215">
        <f>Q109-Q110</f>
        <v>6843</v>
      </c>
      <c r="U111" s="46"/>
      <c r="Z111" s="192"/>
      <c r="AA111" s="92"/>
      <c r="AB111" s="92"/>
      <c r="AC111" s="222"/>
      <c r="AD111" s="92"/>
      <c r="AE111" s="92"/>
      <c r="AF111" s="92"/>
      <c r="AG111" s="92"/>
      <c r="AH111" s="193"/>
    </row>
    <row r="112" spans="1:34" ht="13.5" thickBot="1">
      <c r="C112" s="7"/>
      <c r="D112" s="7"/>
      <c r="E112" s="7"/>
      <c r="F112" s="7"/>
      <c r="G112" s="7"/>
      <c r="H112" s="7"/>
      <c r="I112" s="7"/>
      <c r="J112" s="7"/>
      <c r="K112" s="7"/>
      <c r="Z112" s="223">
        <f>AC93/Z110</f>
        <v>9.2176731719765204E-2</v>
      </c>
      <c r="AA112" s="220" t="s">
        <v>402</v>
      </c>
      <c r="AB112" s="221">
        <f>AC93/AB110</f>
        <v>0.1082101133300568</v>
      </c>
      <c r="AC112" s="92"/>
      <c r="AD112" s="92"/>
      <c r="AE112" s="92"/>
      <c r="AF112" s="92"/>
      <c r="AG112" s="92"/>
      <c r="AH112" s="193"/>
    </row>
    <row r="113" spans="3:34" ht="13.5" thickBot="1">
      <c r="C113" s="7"/>
      <c r="D113" s="7"/>
      <c r="E113" s="7"/>
      <c r="F113" s="7"/>
      <c r="G113" s="7"/>
      <c r="H113" s="7"/>
      <c r="I113" s="7"/>
      <c r="J113" s="7" t="s">
        <v>405</v>
      </c>
      <c r="K113" s="7">
        <f>K87+K88</f>
        <v>20324.47057530046</v>
      </c>
      <c r="L113" s="7"/>
      <c r="N113" s="7"/>
      <c r="O113" s="7"/>
      <c r="Z113" s="207"/>
      <c r="AA113" s="208"/>
      <c r="AB113" s="208"/>
      <c r="AC113" s="208"/>
      <c r="AD113" s="208"/>
      <c r="AE113" s="208"/>
      <c r="AF113" s="208"/>
      <c r="AG113" s="208"/>
      <c r="AH113" s="209"/>
    </row>
    <row r="114" spans="3:34">
      <c r="J114" t="s">
        <v>406</v>
      </c>
      <c r="K114">
        <f>K113*0.33</f>
        <v>6707.0752898491519</v>
      </c>
      <c r="L114" s="7"/>
      <c r="O114" s="214"/>
    </row>
    <row r="115" spans="3:34">
      <c r="F115" s="37"/>
      <c r="J115" s="37">
        <v>0.5</v>
      </c>
      <c r="K115">
        <f>K114/2</f>
        <v>3353.5376449245759</v>
      </c>
      <c r="O115" s="214"/>
    </row>
    <row r="116" spans="3:34">
      <c r="O116" s="7"/>
    </row>
  </sheetData>
  <mergeCells count="2">
    <mergeCell ref="F43:F52"/>
    <mergeCell ref="F84:I84"/>
  </mergeCells>
  <printOptions horizontalCentered="1" verticalCentered="1"/>
  <pageMargins left="0.25" right="0.25" top="0.75" bottom="0.75" header="0.3" footer="0.3"/>
  <pageSetup paperSize="8" scale="66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2"/>
  <sheetViews>
    <sheetView workbookViewId="0">
      <selection activeCell="L27" sqref="L27"/>
    </sheetView>
  </sheetViews>
  <sheetFormatPr baseColWidth="10" defaultRowHeight="12.75"/>
  <cols>
    <col min="1" max="1" width="8.85546875" customWidth="1"/>
    <col min="2" max="2" width="29.85546875" customWidth="1"/>
    <col min="3" max="3" width="14" customWidth="1"/>
    <col min="4" max="4" width="12.140625" customWidth="1"/>
    <col min="5" max="5" width="13.28515625" customWidth="1"/>
    <col min="6" max="6" width="12.85546875" bestFit="1" customWidth="1"/>
    <col min="7" max="7" width="2.5703125" customWidth="1"/>
    <col min="8" max="8" width="12.85546875" bestFit="1" customWidth="1"/>
    <col min="9" max="9" width="2.28515625" customWidth="1"/>
    <col min="10" max="10" width="12.85546875" bestFit="1" customWidth="1"/>
    <col min="11" max="11" width="2.5703125" customWidth="1"/>
    <col min="12" max="12" width="14.28515625" customWidth="1"/>
    <col min="13" max="13" width="3.42578125" customWidth="1"/>
    <col min="15" max="15" width="11.85546875" bestFit="1" customWidth="1"/>
    <col min="17" max="17" width="11.85546875" bestFit="1" customWidth="1"/>
  </cols>
  <sheetData>
    <row r="1" spans="1:16">
      <c r="B1" s="3" t="s">
        <v>408</v>
      </c>
    </row>
    <row r="2" spans="1:16">
      <c r="B2" s="3"/>
    </row>
    <row r="3" spans="1:16">
      <c r="A3" s="233"/>
      <c r="C3" s="232" t="s">
        <v>414</v>
      </c>
      <c r="D3" s="232" t="s">
        <v>418</v>
      </c>
      <c r="E3" s="232" t="s">
        <v>421</v>
      </c>
      <c r="F3" s="232" t="s">
        <v>415</v>
      </c>
      <c r="G3" s="232"/>
      <c r="H3" s="232" t="s">
        <v>422</v>
      </c>
      <c r="I3" s="46"/>
      <c r="J3" s="232" t="s">
        <v>422</v>
      </c>
      <c r="K3" s="232"/>
      <c r="L3" s="232" t="s">
        <v>433</v>
      </c>
      <c r="N3" s="232" t="s">
        <v>426</v>
      </c>
    </row>
    <row r="4" spans="1:16">
      <c r="A4" s="234"/>
      <c r="H4" s="250" t="s">
        <v>423</v>
      </c>
      <c r="I4" s="250"/>
      <c r="J4" s="258" t="s">
        <v>424</v>
      </c>
      <c r="K4" s="259"/>
      <c r="L4" s="238" t="s">
        <v>438</v>
      </c>
      <c r="N4" s="250" t="s">
        <v>424</v>
      </c>
    </row>
    <row r="5" spans="1:16">
      <c r="A5" s="234"/>
      <c r="H5" s="250"/>
      <c r="I5" s="250"/>
      <c r="J5" s="250"/>
      <c r="K5" s="260"/>
      <c r="N5" s="250"/>
    </row>
    <row r="6" spans="1:16">
      <c r="A6" s="229"/>
      <c r="B6" s="46" t="s">
        <v>413</v>
      </c>
      <c r="C6" s="231">
        <v>40020121</v>
      </c>
      <c r="D6" s="231"/>
      <c r="E6" s="169">
        <f>+C6</f>
        <v>40020121</v>
      </c>
      <c r="F6" s="112">
        <v>123.2</v>
      </c>
      <c r="H6" s="112">
        <v>125.72</v>
      </c>
      <c r="J6" s="112">
        <f>H6</f>
        <v>125.72</v>
      </c>
      <c r="K6" s="122"/>
      <c r="L6" s="112">
        <f>+J6</f>
        <v>125.72</v>
      </c>
      <c r="M6" s="257"/>
      <c r="N6" s="46" t="s">
        <v>432</v>
      </c>
    </row>
    <row r="7" spans="1:16" ht="13.5" thickBot="1">
      <c r="A7" s="229"/>
      <c r="C7" s="231"/>
      <c r="D7" s="231"/>
      <c r="E7" s="169"/>
      <c r="F7" s="111"/>
      <c r="J7" s="111"/>
      <c r="K7" s="119"/>
    </row>
    <row r="8" spans="1:16" ht="13.5" thickBot="1">
      <c r="A8" s="229"/>
      <c r="B8" s="3" t="s">
        <v>409</v>
      </c>
      <c r="C8" s="26"/>
      <c r="D8" s="26"/>
      <c r="F8" s="239">
        <f>SUM(F6:F7)</f>
        <v>123.2</v>
      </c>
      <c r="H8" s="239">
        <f>SUM(H6:H7)</f>
        <v>125.72</v>
      </c>
      <c r="J8" s="265">
        <f>SUM(J6:J7)</f>
        <v>125.72</v>
      </c>
      <c r="K8" s="240"/>
      <c r="L8" s="266">
        <f>SUM(L6:L7)</f>
        <v>125.72</v>
      </c>
    </row>
    <row r="9" spans="1:16">
      <c r="A9" s="229"/>
      <c r="K9" s="49"/>
    </row>
    <row r="10" spans="1:16">
      <c r="A10" s="229"/>
      <c r="K10" s="49"/>
    </row>
    <row r="11" spans="1:16">
      <c r="A11" s="229"/>
      <c r="K11" s="49"/>
    </row>
    <row r="12" spans="1:16">
      <c r="A12" s="229"/>
      <c r="B12" s="3" t="s">
        <v>410</v>
      </c>
      <c r="C12" s="26"/>
      <c r="D12" s="26"/>
      <c r="E12" s="231"/>
      <c r="F12" s="240"/>
      <c r="J12" s="111"/>
      <c r="K12" s="119"/>
    </row>
    <row r="13" spans="1:16">
      <c r="A13" s="229"/>
      <c r="B13" s="46" t="s">
        <v>407</v>
      </c>
      <c r="C13" s="231">
        <v>6241000</v>
      </c>
      <c r="D13" s="248" t="s">
        <v>419</v>
      </c>
      <c r="E13" s="231">
        <f>+C13*D13</f>
        <v>3120500</v>
      </c>
      <c r="F13" s="111">
        <f>E13/F25</f>
        <v>9.8024740998561271</v>
      </c>
      <c r="H13" s="111">
        <f>F13</f>
        <v>9.8024740998561271</v>
      </c>
      <c r="J13" s="111">
        <f>F13</f>
        <v>9.8024740998561271</v>
      </c>
      <c r="K13" s="119"/>
      <c r="L13" s="111">
        <f>+C13/F25</f>
        <v>19.604948199712254</v>
      </c>
      <c r="N13" s="46" t="s">
        <v>425</v>
      </c>
    </row>
    <row r="14" spans="1:16">
      <c r="A14" s="229"/>
      <c r="B14" s="46" t="s">
        <v>10</v>
      </c>
      <c r="C14" s="231">
        <v>3867000</v>
      </c>
      <c r="D14" s="248" t="s">
        <v>420</v>
      </c>
      <c r="E14" s="231">
        <f>C14</f>
        <v>3867000</v>
      </c>
      <c r="F14" s="111">
        <f>C14*D14/F25*0.8</f>
        <v>9.7179727208187536</v>
      </c>
      <c r="H14" s="111">
        <f>F14</f>
        <v>9.7179727208187536</v>
      </c>
      <c r="J14" s="111">
        <f>C14/F25</f>
        <v>12.147465901023441</v>
      </c>
      <c r="K14" s="119"/>
      <c r="L14" s="111">
        <f>+J14</f>
        <v>12.147465901023441</v>
      </c>
      <c r="N14" s="46" t="s">
        <v>427</v>
      </c>
    </row>
    <row r="15" spans="1:16">
      <c r="A15" s="229"/>
      <c r="B15" s="46" t="s">
        <v>434</v>
      </c>
      <c r="C15" s="231">
        <f>(-6016-910+5132+2040)*1000</f>
        <v>246000</v>
      </c>
      <c r="D15" s="248"/>
      <c r="E15" s="231">
        <f>C15</f>
        <v>246000</v>
      </c>
      <c r="F15" s="111">
        <f>E15/F25</f>
        <v>0.77276354063919483</v>
      </c>
      <c r="H15">
        <v>1.67</v>
      </c>
      <c r="J15" s="111">
        <f>F15</f>
        <v>0.77276354063919483</v>
      </c>
      <c r="K15" s="119"/>
      <c r="L15" s="111">
        <f>J15</f>
        <v>0.77276354063919483</v>
      </c>
      <c r="N15" s="46"/>
    </row>
    <row r="16" spans="1:16">
      <c r="A16" s="229"/>
      <c r="B16" s="46" t="s">
        <v>428</v>
      </c>
      <c r="C16" s="231">
        <v>300000</v>
      </c>
      <c r="D16" s="248"/>
      <c r="E16" s="231"/>
      <c r="F16" s="111">
        <f>-C16/F25</f>
        <v>-0.9423945617551156</v>
      </c>
      <c r="H16" s="111"/>
      <c r="J16" s="111">
        <f>F16</f>
        <v>-0.9423945617551156</v>
      </c>
      <c r="K16" s="119"/>
      <c r="L16" s="111">
        <f>J16</f>
        <v>-0.9423945617551156</v>
      </c>
      <c r="N16" s="46" t="s">
        <v>429</v>
      </c>
      <c r="P16" s="257"/>
    </row>
    <row r="17" spans="1:20">
      <c r="A17" s="229"/>
      <c r="C17" s="231"/>
      <c r="D17" s="248"/>
      <c r="E17" s="231"/>
      <c r="F17" s="111"/>
      <c r="H17" s="111"/>
      <c r="J17" s="111"/>
      <c r="K17" s="119"/>
      <c r="L17" s="111"/>
    </row>
    <row r="18" spans="1:20">
      <c r="A18" s="235"/>
      <c r="C18" s="231"/>
      <c r="D18" s="248"/>
      <c r="E18" s="231"/>
      <c r="F18" s="111"/>
      <c r="G18" s="169"/>
      <c r="H18" s="111"/>
      <c r="K18" s="49"/>
      <c r="L18" s="111"/>
    </row>
    <row r="19" spans="1:20" ht="13.5" thickBot="1">
      <c r="A19" s="235"/>
      <c r="C19" s="231"/>
      <c r="D19" s="248"/>
      <c r="E19" s="231"/>
      <c r="F19" s="111"/>
      <c r="G19" s="169"/>
      <c r="H19" s="111"/>
      <c r="J19" s="111"/>
      <c r="K19" s="119"/>
      <c r="L19" s="111"/>
    </row>
    <row r="20" spans="1:20" ht="13.5" thickBot="1">
      <c r="A20" s="229"/>
      <c r="B20" s="3" t="s">
        <v>410</v>
      </c>
      <c r="C20" s="103">
        <f>SUM(C13:C19)</f>
        <v>10654000</v>
      </c>
      <c r="D20" s="249"/>
      <c r="E20" s="231"/>
      <c r="F20" s="239">
        <f>SUM(F13:F19)</f>
        <v>19.350815799558958</v>
      </c>
      <c r="G20" s="169"/>
      <c r="H20" s="239">
        <f>SUM(H13:H19)</f>
        <v>21.190446820674879</v>
      </c>
      <c r="J20" s="239">
        <f>SUM(J13:J19)</f>
        <v>21.780308979763646</v>
      </c>
      <c r="K20" s="240"/>
      <c r="L20" s="239">
        <f>SUM(L13:L19)</f>
        <v>31.582783079619773</v>
      </c>
    </row>
    <row r="21" spans="1:20">
      <c r="A21" s="229"/>
      <c r="B21" s="256"/>
      <c r="C21" s="231"/>
      <c r="D21" s="247"/>
      <c r="E21" s="231"/>
      <c r="F21" s="169"/>
      <c r="G21" s="169"/>
      <c r="H21" s="255"/>
      <c r="J21" s="111"/>
      <c r="K21" s="119"/>
      <c r="L21" s="111"/>
    </row>
    <row r="22" spans="1:20" ht="13.5" thickBot="1">
      <c r="A22" s="235"/>
      <c r="E22" s="231"/>
      <c r="K22" s="49"/>
      <c r="O22" s="37"/>
    </row>
    <row r="23" spans="1:20" ht="13.5" thickBot="1">
      <c r="A23" s="229"/>
      <c r="B23" s="3" t="s">
        <v>411</v>
      </c>
      <c r="C23" s="231"/>
      <c r="E23" s="231"/>
      <c r="F23" s="241">
        <f>F8+F20</f>
        <v>142.55081579955896</v>
      </c>
      <c r="G23" s="169"/>
      <c r="H23" s="228">
        <v>146.91</v>
      </c>
      <c r="J23" s="251">
        <f>J8+J20</f>
        <v>147.50030897976364</v>
      </c>
      <c r="K23" s="261"/>
      <c r="L23" s="251">
        <f>L8+L20</f>
        <v>157.30278307961976</v>
      </c>
      <c r="P23" s="46"/>
    </row>
    <row r="24" spans="1:20">
      <c r="A24" s="235"/>
      <c r="C24" s="231"/>
      <c r="E24" s="231"/>
      <c r="F24" s="169"/>
      <c r="G24" s="169"/>
      <c r="J24" s="237"/>
      <c r="K24" s="262"/>
      <c r="P24" s="3" t="s">
        <v>181</v>
      </c>
    </row>
    <row r="25" spans="1:20" s="3" customFormat="1">
      <c r="A25" s="245"/>
      <c r="B25" s="3" t="s">
        <v>416</v>
      </c>
      <c r="E25" s="231"/>
      <c r="F25" s="246">
        <v>318338</v>
      </c>
      <c r="K25" s="263"/>
      <c r="P25"/>
      <c r="Q25"/>
      <c r="R25"/>
      <c r="S25"/>
      <c r="T25"/>
    </row>
    <row r="26" spans="1:20" s="3" customFormat="1">
      <c r="A26" s="236"/>
      <c r="C26" s="246"/>
      <c r="E26" s="231"/>
      <c r="G26" s="99"/>
      <c r="K26" s="263"/>
      <c r="O26" s="99"/>
      <c r="P26" s="46" t="s">
        <v>430</v>
      </c>
      <c r="Q26" s="169">
        <v>6000000</v>
      </c>
      <c r="R26" s="111">
        <f>Q26/Q27</f>
        <v>6</v>
      </c>
      <c r="S26"/>
      <c r="T26"/>
    </row>
    <row r="27" spans="1:20" s="3" customFormat="1">
      <c r="A27" s="245"/>
      <c r="B27" s="3" t="s">
        <v>417</v>
      </c>
      <c r="C27" s="246"/>
      <c r="E27" s="246"/>
      <c r="F27" s="99">
        <f>$F$25*F23</f>
        <v>45379341.600000001</v>
      </c>
      <c r="G27" s="99"/>
      <c r="H27" s="99">
        <f>$F$25*H23</f>
        <v>46767035.579999998</v>
      </c>
      <c r="I27" s="99"/>
      <c r="J27" s="99">
        <f>$F$25*J23</f>
        <v>46954953.359999999</v>
      </c>
      <c r="K27" s="264"/>
      <c r="L27" s="99">
        <f>$F$25*L23</f>
        <v>50075453.359999992</v>
      </c>
      <c r="P27" s="46" t="s">
        <v>347</v>
      </c>
      <c r="Q27" s="169">
        <v>1000000</v>
      </c>
      <c r="R27"/>
      <c r="S27"/>
      <c r="T27"/>
    </row>
    <row r="28" spans="1:20" s="3" customFormat="1">
      <c r="A28" s="245"/>
      <c r="C28" s="246"/>
      <c r="E28" s="246"/>
      <c r="F28" s="99"/>
      <c r="G28" s="99"/>
      <c r="H28" s="99"/>
      <c r="I28" s="99"/>
      <c r="J28" s="99"/>
      <c r="K28" s="264"/>
      <c r="L28" s="99"/>
      <c r="P28" s="46" t="s">
        <v>431</v>
      </c>
      <c r="Q28" s="169">
        <f>F25</f>
        <v>318338</v>
      </c>
      <c r="R28" s="37">
        <v>0.47</v>
      </c>
      <c r="S28" s="169">
        <f>Q28*R28</f>
        <v>149618.85999999999</v>
      </c>
      <c r="T28" s="255">
        <f>Q27/S28</f>
        <v>6.6836493741497565</v>
      </c>
    </row>
    <row r="29" spans="1:20" s="3" customFormat="1">
      <c r="A29" s="245"/>
      <c r="B29" s="3" t="s">
        <v>447</v>
      </c>
      <c r="C29" s="246"/>
      <c r="E29" s="246" t="s">
        <v>451</v>
      </c>
      <c r="F29" s="99">
        <f>'tri actionnaires'!AB10</f>
        <v>106429</v>
      </c>
      <c r="G29" s="99"/>
      <c r="H29" s="99"/>
      <c r="I29" s="99"/>
      <c r="J29" s="99"/>
      <c r="K29" s="264"/>
      <c r="L29" s="99"/>
      <c r="P29"/>
      <c r="Q29" s="255"/>
      <c r="R29"/>
      <c r="S29"/>
      <c r="T29" s="255">
        <f>J23+T28</f>
        <v>154.1839583539134</v>
      </c>
    </row>
    <row r="30" spans="1:20" s="3" customFormat="1">
      <c r="A30" s="245"/>
      <c r="C30" s="246"/>
      <c r="E30" s="246"/>
      <c r="F30" s="99"/>
      <c r="G30" s="99"/>
      <c r="H30" s="99"/>
      <c r="I30" s="99"/>
      <c r="J30" s="99"/>
      <c r="K30" s="264"/>
      <c r="L30" s="99"/>
      <c r="P30" s="46"/>
      <c r="Q30" s="169"/>
      <c r="R30"/>
      <c r="S30"/>
      <c r="T30"/>
    </row>
    <row r="31" spans="1:20" s="3" customFormat="1">
      <c r="A31" s="245"/>
      <c r="B31" s="3" t="s">
        <v>448</v>
      </c>
      <c r="C31" s="246"/>
      <c r="E31" s="246"/>
      <c r="F31" s="99">
        <f>F23*$F$29</f>
        <v>15171540.77473126</v>
      </c>
      <c r="G31" s="99"/>
      <c r="H31" s="99">
        <f>H23*$F$29</f>
        <v>15635484.389999999</v>
      </c>
      <c r="I31" s="99"/>
      <c r="J31" s="99">
        <f>J23*$F$29</f>
        <v>15698310.384407265</v>
      </c>
      <c r="K31" s="264"/>
      <c r="L31" s="99">
        <f>L23*$F$29</f>
        <v>16741577.900380852</v>
      </c>
      <c r="P31" s="46"/>
      <c r="Q31" s="169"/>
      <c r="R31"/>
      <c r="S31"/>
      <c r="T31"/>
    </row>
    <row r="32" spans="1:20" s="3" customFormat="1">
      <c r="A32" s="245"/>
      <c r="C32" s="246"/>
      <c r="E32" s="246"/>
      <c r="F32" s="99"/>
      <c r="G32" s="99"/>
      <c r="H32" s="99"/>
      <c r="I32" s="99"/>
      <c r="J32" s="99"/>
      <c r="K32" s="264"/>
      <c r="L32" s="99"/>
      <c r="P32" s="46"/>
      <c r="Q32" s="169"/>
      <c r="R32"/>
      <c r="S32"/>
      <c r="T32"/>
    </row>
    <row r="33" spans="1:9">
      <c r="A33" s="229"/>
      <c r="C33" s="231"/>
      <c r="E33" s="231"/>
      <c r="F33" s="48"/>
      <c r="G33" s="169"/>
      <c r="H33" s="111"/>
      <c r="I33" s="111"/>
    </row>
    <row r="34" spans="1:9">
      <c r="A34" s="229"/>
      <c r="D34" s="231"/>
      <c r="E34" s="169"/>
      <c r="F34" s="169"/>
      <c r="G34" s="111"/>
      <c r="H34" s="111"/>
    </row>
    <row r="35" spans="1:9">
      <c r="A35" s="229"/>
      <c r="B35" s="3" t="s">
        <v>434</v>
      </c>
      <c r="C35" s="231"/>
      <c r="D35" s="231"/>
      <c r="G35" s="111"/>
      <c r="H35" s="111"/>
    </row>
    <row r="36" spans="1:9">
      <c r="B36" s="46" t="s">
        <v>11</v>
      </c>
      <c r="C36" s="269">
        <v>5132</v>
      </c>
    </row>
    <row r="37" spans="1:9">
      <c r="B37" s="46" t="s">
        <v>435</v>
      </c>
      <c r="C37" s="269">
        <v>2040</v>
      </c>
    </row>
    <row r="38" spans="1:9">
      <c r="B38" s="46" t="s">
        <v>436</v>
      </c>
      <c r="C38" s="269">
        <v>-6016</v>
      </c>
    </row>
    <row r="39" spans="1:9">
      <c r="B39" s="46" t="s">
        <v>437</v>
      </c>
      <c r="C39" s="269">
        <v>-910</v>
      </c>
    </row>
    <row r="40" spans="1:9">
      <c r="C40" s="270">
        <f>SUM(C36:C39)</f>
        <v>246</v>
      </c>
    </row>
    <row r="41" spans="1:9">
      <c r="C41" s="267"/>
    </row>
    <row r="42" spans="1:9">
      <c r="C42" s="268"/>
    </row>
    <row r="43" spans="1:9">
      <c r="C43" s="268"/>
    </row>
    <row r="49" spans="1:11" s="49" customFormat="1">
      <c r="A49"/>
      <c r="B49"/>
      <c r="C49"/>
      <c r="D49"/>
      <c r="E49"/>
      <c r="F49"/>
      <c r="G49"/>
      <c r="H49"/>
      <c r="I49"/>
      <c r="J49"/>
      <c r="K49"/>
    </row>
    <row r="50" spans="1:11" s="49" customFormat="1">
      <c r="A50"/>
      <c r="B50"/>
      <c r="C50"/>
      <c r="D50"/>
      <c r="E50"/>
      <c r="F50"/>
      <c r="G50"/>
      <c r="H50"/>
      <c r="I50"/>
      <c r="J50"/>
      <c r="K50"/>
    </row>
    <row r="51" spans="1:11" s="49" customFormat="1">
      <c r="A51"/>
      <c r="B51"/>
      <c r="C51"/>
      <c r="D51"/>
      <c r="E51"/>
      <c r="F51"/>
      <c r="G51"/>
      <c r="H51"/>
      <c r="I51"/>
      <c r="J51"/>
      <c r="K51"/>
    </row>
    <row r="52" spans="1:11" s="49" customFormat="1">
      <c r="A52"/>
      <c r="B52"/>
      <c r="C52"/>
      <c r="D52"/>
      <c r="E52"/>
      <c r="F52"/>
      <c r="G52"/>
      <c r="H52"/>
      <c r="I52"/>
      <c r="J52"/>
      <c r="K52"/>
    </row>
  </sheetData>
  <pageMargins left="0.25" right="0.25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59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N48" sqref="N48"/>
    </sheetView>
  </sheetViews>
  <sheetFormatPr baseColWidth="10" defaultColWidth="4.28515625" defaultRowHeight="12.75"/>
  <cols>
    <col min="1" max="1" width="13.85546875" style="39" customWidth="1"/>
    <col min="2" max="29" width="2.85546875" customWidth="1"/>
    <col min="30" max="45" width="3.28515625" customWidth="1"/>
  </cols>
  <sheetData>
    <row r="1" spans="1:45">
      <c r="A1" s="39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45">
      <c r="A2" s="41" t="s">
        <v>159</v>
      </c>
    </row>
    <row r="3" spans="1:45">
      <c r="A3" s="3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45">
      <c r="A4" s="40"/>
      <c r="B4" s="309">
        <v>40513</v>
      </c>
      <c r="C4" s="310"/>
      <c r="D4" s="310"/>
      <c r="E4" s="311"/>
      <c r="F4" s="312">
        <v>40544</v>
      </c>
      <c r="G4" s="308"/>
      <c r="H4" s="308"/>
      <c r="I4" s="308"/>
      <c r="J4" s="308" t="s">
        <v>133</v>
      </c>
      <c r="K4" s="308"/>
      <c r="L4" s="308"/>
      <c r="M4" s="308"/>
      <c r="N4" s="308" t="s">
        <v>134</v>
      </c>
      <c r="O4" s="308"/>
      <c r="P4" s="308"/>
      <c r="Q4" s="308"/>
      <c r="R4" s="308" t="s">
        <v>145</v>
      </c>
      <c r="S4" s="308"/>
      <c r="T4" s="308"/>
      <c r="U4" s="308"/>
      <c r="V4" s="308" t="s">
        <v>146</v>
      </c>
      <c r="W4" s="308"/>
      <c r="X4" s="308"/>
      <c r="Y4" s="308"/>
      <c r="Z4" s="308" t="s">
        <v>147</v>
      </c>
      <c r="AA4" s="308"/>
      <c r="AB4" s="308"/>
      <c r="AC4" s="308"/>
      <c r="AD4" s="308" t="s">
        <v>157</v>
      </c>
      <c r="AE4" s="308"/>
      <c r="AF4" s="308"/>
      <c r="AG4" s="308"/>
      <c r="AH4" s="308" t="s">
        <v>167</v>
      </c>
      <c r="AI4" s="308"/>
      <c r="AJ4" s="308"/>
      <c r="AK4" s="308"/>
      <c r="AL4" s="308" t="s">
        <v>168</v>
      </c>
      <c r="AM4" s="308"/>
      <c r="AN4" s="308"/>
      <c r="AO4" s="308"/>
      <c r="AP4" s="308" t="s">
        <v>169</v>
      </c>
      <c r="AQ4" s="308"/>
      <c r="AR4" s="308"/>
      <c r="AS4" s="308"/>
    </row>
    <row r="5" spans="1:45">
      <c r="A5" s="40"/>
      <c r="B5" s="42">
        <v>1</v>
      </c>
      <c r="C5" s="42">
        <v>2</v>
      </c>
      <c r="D5" s="42">
        <v>3</v>
      </c>
      <c r="E5" s="42">
        <v>4</v>
      </c>
      <c r="F5" s="42">
        <v>1</v>
      </c>
      <c r="G5" s="42">
        <v>2</v>
      </c>
      <c r="H5" s="42">
        <v>3</v>
      </c>
      <c r="I5" s="42">
        <v>4</v>
      </c>
      <c r="J5" s="42">
        <v>1</v>
      </c>
      <c r="K5" s="42">
        <v>2</v>
      </c>
      <c r="L5" s="42">
        <v>3</v>
      </c>
      <c r="M5" s="42">
        <v>4</v>
      </c>
      <c r="N5" s="42">
        <v>1</v>
      </c>
      <c r="O5" s="42">
        <v>2</v>
      </c>
      <c r="P5" s="42">
        <v>3</v>
      </c>
      <c r="Q5" s="42">
        <v>4</v>
      </c>
      <c r="R5" s="42">
        <v>1</v>
      </c>
      <c r="S5" s="42">
        <v>2</v>
      </c>
      <c r="T5" s="42">
        <v>3</v>
      </c>
      <c r="U5" s="42">
        <v>4</v>
      </c>
      <c r="V5" s="42">
        <v>1</v>
      </c>
      <c r="W5" s="42">
        <v>2</v>
      </c>
      <c r="X5" s="42">
        <v>3</v>
      </c>
      <c r="Y5" s="42">
        <v>4</v>
      </c>
      <c r="Z5" s="42">
        <v>1</v>
      </c>
      <c r="AA5" s="42">
        <v>2</v>
      </c>
      <c r="AB5" s="42">
        <v>3</v>
      </c>
      <c r="AC5" s="42">
        <v>4</v>
      </c>
      <c r="AD5" s="42">
        <v>1</v>
      </c>
      <c r="AE5" s="42">
        <v>2</v>
      </c>
      <c r="AF5" s="42">
        <v>3</v>
      </c>
      <c r="AG5" s="42">
        <v>4</v>
      </c>
      <c r="AH5" s="42">
        <v>1</v>
      </c>
      <c r="AI5" s="42">
        <v>2</v>
      </c>
      <c r="AJ5" s="42">
        <v>3</v>
      </c>
      <c r="AK5" s="42">
        <v>4</v>
      </c>
      <c r="AL5" s="42">
        <v>1</v>
      </c>
      <c r="AM5" s="42">
        <v>2</v>
      </c>
      <c r="AN5" s="42">
        <v>3</v>
      </c>
      <c r="AO5" s="42">
        <v>4</v>
      </c>
      <c r="AP5" s="42">
        <v>1</v>
      </c>
      <c r="AQ5" s="42">
        <v>2</v>
      </c>
      <c r="AR5" s="42">
        <v>3</v>
      </c>
      <c r="AS5" s="42">
        <v>4</v>
      </c>
    </row>
    <row r="6" spans="1:45">
      <c r="A6" s="40" t="s">
        <v>135</v>
      </c>
      <c r="B6" s="2"/>
      <c r="C6" s="8"/>
      <c r="D6" s="2"/>
      <c r="E6" s="3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>
      <c r="A7" s="40" t="s">
        <v>136</v>
      </c>
      <c r="B7" s="2"/>
      <c r="C7" s="8"/>
      <c r="D7" s="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>
      <c r="A8" s="40" t="s">
        <v>137</v>
      </c>
      <c r="B8" s="2"/>
      <c r="C8" s="2"/>
      <c r="D8" s="8"/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>
      <c r="A9" s="40" t="s">
        <v>138</v>
      </c>
      <c r="B9" s="2"/>
      <c r="C9" s="2"/>
      <c r="D9" s="2"/>
      <c r="E9" s="2"/>
      <c r="F9" s="2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>
      <c r="A10" s="40" t="s">
        <v>139</v>
      </c>
      <c r="B10" s="2"/>
      <c r="C10" s="2"/>
      <c r="D10" s="2"/>
      <c r="E10" s="2"/>
      <c r="F10" s="2"/>
      <c r="G10" s="2"/>
      <c r="H10" s="43"/>
      <c r="I10" s="4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40" t="s">
        <v>140</v>
      </c>
      <c r="B11" s="2"/>
      <c r="C11" s="2"/>
      <c r="D11" s="2"/>
      <c r="E11" s="2"/>
      <c r="F11" s="2"/>
      <c r="G11" s="2"/>
      <c r="H11" s="2"/>
      <c r="I11" s="2"/>
      <c r="J11" s="8"/>
      <c r="K11" s="4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>
      <c r="A12" s="40" t="s">
        <v>141</v>
      </c>
      <c r="B12" s="2"/>
      <c r="C12" s="2"/>
      <c r="D12" s="2"/>
      <c r="E12" s="2"/>
      <c r="F12" s="2"/>
      <c r="G12" s="2"/>
      <c r="H12" s="2"/>
      <c r="I12" s="2"/>
      <c r="J12" s="2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>
      <c r="A13" s="40" t="s">
        <v>142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8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>
      <c r="A14" s="40" t="s">
        <v>143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>
      <c r="A15" s="40" t="s">
        <v>144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8"/>
      <c r="P15" s="8"/>
      <c r="Q15" s="8"/>
      <c r="R15" s="8"/>
      <c r="S15" s="8"/>
      <c r="T15" s="8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>
      <c r="A16" s="40" t="s">
        <v>148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3"/>
      <c r="Q16" s="2"/>
      <c r="R16" s="2"/>
      <c r="S16" s="2"/>
      <c r="T16" s="38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>
      <c r="A17" s="40" t="s">
        <v>149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3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>
      <c r="A18" s="40" t="s">
        <v>150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>
      <c r="A19" s="40" t="s">
        <v>151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8"/>
      <c r="W19" s="8"/>
      <c r="X19" s="8"/>
      <c r="Y19" s="8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>
      <c r="A20" s="40" t="s">
        <v>152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8"/>
      <c r="Y20" s="8"/>
      <c r="Z20" s="8"/>
      <c r="AA20" s="8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>
      <c r="A21" s="40" t="s">
        <v>153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4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>
      <c r="A22" s="40" t="s">
        <v>154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8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>
      <c r="A23" s="40" t="s">
        <v>156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3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>
      <c r="A24" s="39" t="s">
        <v>158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8"/>
      <c r="AE24" s="8"/>
      <c r="AF24" s="8"/>
      <c r="AG24" s="8"/>
      <c r="AH24" s="38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>
      <c r="A25" s="40" t="s">
        <v>155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43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>
      <c r="A26" s="4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8" spans="1:45">
      <c r="A28" s="39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9" spans="1:45">
      <c r="A29" s="41" t="s">
        <v>160</v>
      </c>
    </row>
    <row r="30" spans="1:45">
      <c r="A30" s="39" t="str">
        <f>A28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1" spans="1:45">
      <c r="A31" s="40"/>
      <c r="B31" s="309">
        <v>40513</v>
      </c>
      <c r="C31" s="310"/>
      <c r="D31" s="310"/>
      <c r="E31" s="311"/>
      <c r="F31" s="312">
        <v>40544</v>
      </c>
      <c r="G31" s="308"/>
      <c r="H31" s="308"/>
      <c r="I31" s="308"/>
      <c r="J31" s="308" t="s">
        <v>133</v>
      </c>
      <c r="K31" s="308"/>
      <c r="L31" s="308"/>
      <c r="M31" s="308"/>
      <c r="N31" s="308" t="s">
        <v>134</v>
      </c>
      <c r="O31" s="308"/>
      <c r="P31" s="308"/>
      <c r="Q31" s="308"/>
      <c r="R31" s="308" t="s">
        <v>145</v>
      </c>
      <c r="S31" s="308"/>
      <c r="T31" s="308"/>
      <c r="U31" s="308"/>
      <c r="V31" s="308" t="s">
        <v>146</v>
      </c>
      <c r="W31" s="308"/>
      <c r="X31" s="308"/>
      <c r="Y31" s="308"/>
      <c r="Z31" s="308" t="s">
        <v>147</v>
      </c>
      <c r="AA31" s="308"/>
      <c r="AB31" s="308"/>
      <c r="AC31" s="308"/>
      <c r="AD31" s="308" t="s">
        <v>157</v>
      </c>
      <c r="AE31" s="308"/>
      <c r="AF31" s="308"/>
      <c r="AG31" s="308"/>
      <c r="AH31" s="308" t="s">
        <v>167</v>
      </c>
      <c r="AI31" s="308"/>
      <c r="AJ31" s="308"/>
      <c r="AK31" s="308"/>
      <c r="AL31" s="308" t="s">
        <v>168</v>
      </c>
      <c r="AM31" s="308"/>
      <c r="AN31" s="308"/>
      <c r="AO31" s="308"/>
      <c r="AP31" s="308" t="s">
        <v>169</v>
      </c>
      <c r="AQ31" s="308"/>
      <c r="AR31" s="308"/>
      <c r="AS31" s="308"/>
    </row>
    <row r="32" spans="1:45">
      <c r="A32" s="40"/>
      <c r="B32" s="42">
        <v>1</v>
      </c>
      <c r="C32" s="42">
        <v>2</v>
      </c>
      <c r="D32" s="42">
        <v>3</v>
      </c>
      <c r="E32" s="42">
        <v>4</v>
      </c>
      <c r="F32" s="42">
        <v>1</v>
      </c>
      <c r="G32" s="42">
        <v>2</v>
      </c>
      <c r="H32" s="42">
        <v>3</v>
      </c>
      <c r="I32" s="42">
        <v>4</v>
      </c>
      <c r="J32" s="42">
        <v>1</v>
      </c>
      <c r="K32" s="42">
        <v>2</v>
      </c>
      <c r="L32" s="42">
        <v>3</v>
      </c>
      <c r="M32" s="42">
        <v>4</v>
      </c>
      <c r="N32" s="42">
        <v>1</v>
      </c>
      <c r="O32" s="42">
        <v>2</v>
      </c>
      <c r="P32" s="42">
        <v>3</v>
      </c>
      <c r="Q32" s="42">
        <v>4</v>
      </c>
      <c r="R32" s="42">
        <v>1</v>
      </c>
      <c r="S32" s="42">
        <v>2</v>
      </c>
      <c r="T32" s="42">
        <v>3</v>
      </c>
      <c r="U32" s="42">
        <v>4</v>
      </c>
      <c r="V32" s="42">
        <v>1</v>
      </c>
      <c r="W32" s="42">
        <v>2</v>
      </c>
      <c r="X32" s="42">
        <v>3</v>
      </c>
      <c r="Y32" s="42">
        <v>4</v>
      </c>
      <c r="Z32" s="42">
        <v>1</v>
      </c>
      <c r="AA32" s="42">
        <v>2</v>
      </c>
      <c r="AB32" s="42">
        <v>3</v>
      </c>
      <c r="AC32" s="42">
        <v>4</v>
      </c>
      <c r="AD32" s="42">
        <v>1</v>
      </c>
      <c r="AE32" s="42">
        <v>2</v>
      </c>
      <c r="AF32" s="42">
        <v>3</v>
      </c>
      <c r="AG32" s="42">
        <v>4</v>
      </c>
      <c r="AH32" s="42">
        <v>1</v>
      </c>
      <c r="AI32" s="42">
        <v>2</v>
      </c>
      <c r="AJ32" s="42">
        <v>3</v>
      </c>
      <c r="AK32" s="42">
        <v>4</v>
      </c>
      <c r="AL32" s="42">
        <v>1</v>
      </c>
      <c r="AM32" s="42">
        <v>2</v>
      </c>
      <c r="AN32" s="42">
        <v>3</v>
      </c>
      <c r="AO32" s="42">
        <v>4</v>
      </c>
      <c r="AP32" s="42">
        <v>1</v>
      </c>
      <c r="AQ32" s="42">
        <v>2</v>
      </c>
      <c r="AR32" s="42">
        <v>3</v>
      </c>
      <c r="AS32" s="42">
        <v>4</v>
      </c>
    </row>
    <row r="33" spans="1:44">
      <c r="A33" s="40" t="s">
        <v>135</v>
      </c>
      <c r="B33" s="2"/>
      <c r="C33" s="8"/>
      <c r="D33" s="2"/>
      <c r="E33" s="3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>
      <c r="A34" s="40" t="s">
        <v>136</v>
      </c>
      <c r="B34" s="2"/>
      <c r="C34" s="8"/>
      <c r="D34" s="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>
      <c r="A35" s="40" t="s">
        <v>137</v>
      </c>
      <c r="B35" s="2"/>
      <c r="C35" s="2"/>
      <c r="D35" s="8"/>
      <c r="E35" s="8"/>
      <c r="F35" s="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>
      <c r="A36" s="40" t="s">
        <v>138</v>
      </c>
      <c r="B36" s="2"/>
      <c r="C36" s="2"/>
      <c r="D36" s="2"/>
      <c r="E36" s="2"/>
      <c r="F36" s="2"/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>
      <c r="A37" s="40" t="s">
        <v>139</v>
      </c>
      <c r="B37" s="2"/>
      <c r="C37" s="2"/>
      <c r="D37" s="2"/>
      <c r="E37" s="2"/>
      <c r="F37" s="2"/>
      <c r="G37" s="2"/>
      <c r="H37" s="43"/>
      <c r="I37" s="4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>
      <c r="A38" s="40" t="s">
        <v>140</v>
      </c>
      <c r="B38" s="2"/>
      <c r="C38" s="2"/>
      <c r="D38" s="2"/>
      <c r="E38" s="2"/>
      <c r="F38" s="2"/>
      <c r="G38" s="2"/>
      <c r="H38" s="2"/>
      <c r="I38" s="2"/>
      <c r="J38" s="8"/>
      <c r="K38" s="4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>
      <c r="A39" s="40" t="s">
        <v>141</v>
      </c>
      <c r="B39" s="2"/>
      <c r="C39" s="2"/>
      <c r="D39" s="2"/>
      <c r="E39" s="2"/>
      <c r="F39" s="2"/>
      <c r="G39" s="2"/>
      <c r="H39" s="2"/>
      <c r="I39" s="2"/>
      <c r="J39" s="2"/>
      <c r="K39" s="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>
      <c r="A40" s="40" t="s">
        <v>142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8"/>
      <c r="M40" s="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>
      <c r="A41" s="40" t="s">
        <v>143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>
      <c r="A42" s="40" t="s">
        <v>144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8"/>
      <c r="P42" s="8"/>
      <c r="Q42" s="8"/>
      <c r="R42" s="8"/>
      <c r="S42" s="8"/>
      <c r="T42" s="8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>
      <c r="A43" s="40" t="s">
        <v>148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43"/>
      <c r="Q43" s="2"/>
      <c r="R43" s="2"/>
      <c r="S43" s="2"/>
      <c r="T43" s="38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>
      <c r="A44" s="40" t="s">
        <v>149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>
      <c r="A45" s="40" t="s">
        <v>161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>
      <c r="A46" s="40" t="s">
        <v>162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8"/>
      <c r="AA46" s="8"/>
      <c r="AB46" s="8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>
      <c r="A47" s="40" t="s">
        <v>163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43"/>
      <c r="AC47" s="38"/>
      <c r="AD47" s="38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>
      <c r="A48" s="40" t="s">
        <v>164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43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>
      <c r="A49" s="40" t="s">
        <v>165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8"/>
      <c r="AE49" s="8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>
      <c r="A50" s="40" t="s">
        <v>166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43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>
      <c r="A51" s="40" t="s">
        <v>150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43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>
      <c r="A52" s="40" t="s">
        <v>151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  <c r="AR52" s="2"/>
    </row>
    <row r="53" spans="1:44">
      <c r="A53" s="40" t="s">
        <v>152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8"/>
      <c r="AJ53" s="8"/>
      <c r="AK53" s="8"/>
      <c r="AL53" s="8"/>
      <c r="AM53" s="2"/>
      <c r="AN53" s="2"/>
      <c r="AO53" s="2"/>
      <c r="AP53" s="2"/>
      <c r="AQ53" s="2"/>
      <c r="AR53" s="2"/>
    </row>
    <row r="54" spans="1:44">
      <c r="A54" s="40" t="s">
        <v>153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3"/>
      <c r="AN54" s="2"/>
      <c r="AO54" s="2"/>
      <c r="AP54" s="2"/>
      <c r="AQ54" s="2"/>
      <c r="AR54" s="2"/>
    </row>
    <row r="55" spans="1:44">
      <c r="A55" s="40" t="s">
        <v>154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8"/>
      <c r="AO55" s="2"/>
      <c r="AP55" s="2"/>
      <c r="AQ55" s="2"/>
      <c r="AR55" s="2"/>
    </row>
    <row r="56" spans="1:44">
      <c r="A56" s="40" t="s">
        <v>156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43"/>
      <c r="AP56" s="2"/>
      <c r="AQ56" s="2"/>
      <c r="AR56" s="2"/>
    </row>
    <row r="57" spans="1:44">
      <c r="A57" s="39" t="s">
        <v>158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8"/>
      <c r="AP57" s="8"/>
      <c r="AQ57" s="8"/>
      <c r="AR57" s="8"/>
    </row>
    <row r="58" spans="1:44">
      <c r="A58" s="40" t="s">
        <v>155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43"/>
    </row>
    <row r="59" spans="1:44">
      <c r="A59" s="4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</sheetData>
  <mergeCells count="22">
    <mergeCell ref="B4:E4"/>
    <mergeCell ref="R4:U4"/>
    <mergeCell ref="V4:Y4"/>
    <mergeCell ref="Z4:AC4"/>
    <mergeCell ref="AD4:AG4"/>
    <mergeCell ref="F4:I4"/>
    <mergeCell ref="J4:M4"/>
    <mergeCell ref="N4:Q4"/>
    <mergeCell ref="R31:U31"/>
    <mergeCell ref="V31:Y31"/>
    <mergeCell ref="Z31:AC31"/>
    <mergeCell ref="AD31:AG31"/>
    <mergeCell ref="B31:E31"/>
    <mergeCell ref="F31:I31"/>
    <mergeCell ref="J31:M31"/>
    <mergeCell ref="N31:Q31"/>
    <mergeCell ref="AH31:AK31"/>
    <mergeCell ref="AL31:AO31"/>
    <mergeCell ref="AP31:AS31"/>
    <mergeCell ref="AH4:AK4"/>
    <mergeCell ref="AL4:AO4"/>
    <mergeCell ref="AP4:AS4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40"/>
  <sheetViews>
    <sheetView zoomScale="85" workbookViewId="0">
      <selection activeCell="D37" sqref="D37"/>
    </sheetView>
  </sheetViews>
  <sheetFormatPr baseColWidth="10" defaultColWidth="7.42578125" defaultRowHeight="12.75"/>
  <cols>
    <col min="1" max="1" width="18.85546875" style="20" customWidth="1"/>
    <col min="2" max="3" width="7.42578125" style="20" customWidth="1"/>
    <col min="4" max="4" width="78.85546875" style="20" customWidth="1"/>
    <col min="5" max="18" width="7.28515625" style="20" customWidth="1"/>
    <col min="19" max="16384" width="7.42578125" style="20"/>
  </cols>
  <sheetData>
    <row r="2" spans="1:4" s="26" customFormat="1">
      <c r="A2" s="25" t="s">
        <v>92</v>
      </c>
    </row>
    <row r="4" spans="1:4">
      <c r="A4" s="21" t="s">
        <v>95</v>
      </c>
      <c r="B4" s="21">
        <v>2008</v>
      </c>
      <c r="C4" s="21">
        <v>2009</v>
      </c>
      <c r="D4" s="22" t="s">
        <v>61</v>
      </c>
    </row>
    <row r="5" spans="1:4">
      <c r="A5" s="23" t="s">
        <v>27</v>
      </c>
      <c r="B5" s="23">
        <v>234</v>
      </c>
      <c r="C5" s="23">
        <v>191</v>
      </c>
      <c r="D5" s="23" t="s">
        <v>107</v>
      </c>
    </row>
    <row r="6" spans="1:4">
      <c r="A6" s="23" t="s">
        <v>29</v>
      </c>
      <c r="B6" s="23">
        <v>3</v>
      </c>
      <c r="C6" s="23">
        <v>91</v>
      </c>
      <c r="D6" s="24" t="s">
        <v>94</v>
      </c>
    </row>
    <row r="7" spans="1:4">
      <c r="A7" s="23" t="s">
        <v>28</v>
      </c>
      <c r="B7" s="23">
        <v>5263</v>
      </c>
      <c r="C7" s="23">
        <v>5291</v>
      </c>
      <c r="D7" s="23" t="s">
        <v>108</v>
      </c>
    </row>
    <row r="8" spans="1:4">
      <c r="A8" s="21" t="s">
        <v>30</v>
      </c>
      <c r="B8" s="21">
        <f>SUM(B5:B7)</f>
        <v>5500</v>
      </c>
      <c r="C8" s="21">
        <f>SUM(C5:C7)</f>
        <v>5573</v>
      </c>
      <c r="D8" s="23" t="s">
        <v>93</v>
      </c>
    </row>
    <row r="9" spans="1:4" ht="38.25">
      <c r="A9" s="23" t="s">
        <v>31</v>
      </c>
      <c r="B9" s="23">
        <v>2198</v>
      </c>
      <c r="C9" s="23">
        <v>1975</v>
      </c>
      <c r="D9" s="23" t="s">
        <v>131</v>
      </c>
    </row>
    <row r="10" spans="1:4" ht="25.5">
      <c r="A10" s="23" t="s">
        <v>32</v>
      </c>
      <c r="B10" s="23">
        <v>28</v>
      </c>
      <c r="C10" s="23">
        <v>30</v>
      </c>
      <c r="D10" s="23" t="s">
        <v>109</v>
      </c>
    </row>
    <row r="11" spans="1:4">
      <c r="A11" s="23" t="s">
        <v>34</v>
      </c>
      <c r="B11" s="23">
        <v>311</v>
      </c>
      <c r="C11" s="23">
        <v>217</v>
      </c>
      <c r="D11" s="23" t="s">
        <v>101</v>
      </c>
    </row>
    <row r="12" spans="1:4" ht="25.5">
      <c r="A12" s="23" t="s">
        <v>33</v>
      </c>
      <c r="B12" s="23">
        <v>208</v>
      </c>
      <c r="C12" s="23">
        <v>156</v>
      </c>
      <c r="D12" s="23" t="s">
        <v>111</v>
      </c>
    </row>
    <row r="13" spans="1:4">
      <c r="A13" s="23" t="s">
        <v>35</v>
      </c>
      <c r="B13" s="23">
        <v>1018</v>
      </c>
      <c r="C13" s="23">
        <v>1067</v>
      </c>
      <c r="D13" s="24" t="s">
        <v>132</v>
      </c>
    </row>
    <row r="14" spans="1:4">
      <c r="A14" s="23" t="s">
        <v>14</v>
      </c>
      <c r="B14" s="23">
        <v>21</v>
      </c>
      <c r="C14" s="23">
        <v>25</v>
      </c>
      <c r="D14" s="27" t="s">
        <v>110</v>
      </c>
    </row>
    <row r="15" spans="1:4">
      <c r="A15" s="23" t="s">
        <v>36</v>
      </c>
      <c r="B15" s="23">
        <v>174</v>
      </c>
      <c r="C15" s="23">
        <v>186</v>
      </c>
      <c r="D15" s="27" t="s">
        <v>112</v>
      </c>
    </row>
    <row r="16" spans="1:4">
      <c r="A16" s="21" t="s">
        <v>37</v>
      </c>
      <c r="B16" s="21">
        <f>+B8-SUM(B9:B15)</f>
        <v>1542</v>
      </c>
      <c r="C16" s="21">
        <f>+C8-SUM(C9:C15)</f>
        <v>1917</v>
      </c>
      <c r="D16" s="23"/>
    </row>
    <row r="17" spans="1:4">
      <c r="A17" s="23" t="s">
        <v>38</v>
      </c>
      <c r="B17" s="23">
        <v>826</v>
      </c>
      <c r="C17" s="23">
        <v>501</v>
      </c>
      <c r="D17" s="24" t="s">
        <v>64</v>
      </c>
    </row>
    <row r="18" spans="1:4">
      <c r="A18" s="23" t="s">
        <v>39</v>
      </c>
      <c r="B18" s="23">
        <v>263</v>
      </c>
      <c r="C18" s="23">
        <v>176</v>
      </c>
      <c r="D18" s="24" t="s">
        <v>67</v>
      </c>
    </row>
    <row r="19" spans="1:4">
      <c r="A19" s="23" t="s">
        <v>42</v>
      </c>
      <c r="B19" s="23">
        <v>7</v>
      </c>
      <c r="C19" s="23">
        <v>3</v>
      </c>
      <c r="D19" s="24" t="s">
        <v>113</v>
      </c>
    </row>
    <row r="20" spans="1:4">
      <c r="A20" s="23" t="s">
        <v>40</v>
      </c>
      <c r="B20" s="23"/>
      <c r="C20" s="23">
        <v>1013</v>
      </c>
      <c r="D20" s="28" t="s">
        <v>114</v>
      </c>
    </row>
    <row r="21" spans="1:4">
      <c r="A21" s="23" t="s">
        <v>41</v>
      </c>
      <c r="B21" s="23">
        <v>388</v>
      </c>
      <c r="C21" s="23">
        <v>148</v>
      </c>
      <c r="D21" s="24" t="s">
        <v>66</v>
      </c>
    </row>
    <row r="22" spans="1:4">
      <c r="A22" s="21" t="s">
        <v>47</v>
      </c>
      <c r="B22" s="21">
        <f>SUM(B17:B21)</f>
        <v>1484</v>
      </c>
      <c r="C22" s="21">
        <f>SUM(C17:C21)</f>
        <v>1841</v>
      </c>
      <c r="D22" s="23"/>
    </row>
    <row r="23" spans="1:4">
      <c r="A23" s="23" t="s">
        <v>43</v>
      </c>
      <c r="B23" s="23">
        <v>1620</v>
      </c>
      <c r="C23" s="23">
        <v>1130</v>
      </c>
      <c r="D23" s="28" t="s">
        <v>115</v>
      </c>
    </row>
    <row r="24" spans="1:4">
      <c r="A24" s="23" t="s">
        <v>44</v>
      </c>
      <c r="B24" s="23">
        <v>498</v>
      </c>
      <c r="C24" s="23">
        <v>425</v>
      </c>
      <c r="D24" s="24" t="s">
        <v>116</v>
      </c>
    </row>
    <row r="25" spans="1:4">
      <c r="A25" s="23" t="s">
        <v>45</v>
      </c>
      <c r="B25" s="23">
        <v>347</v>
      </c>
      <c r="C25" s="23">
        <v>232</v>
      </c>
      <c r="D25" s="24" t="s">
        <v>65</v>
      </c>
    </row>
    <row r="26" spans="1:4">
      <c r="A26" s="21" t="s">
        <v>48</v>
      </c>
      <c r="B26" s="21">
        <f>SUM(B23:B25)</f>
        <v>2465</v>
      </c>
      <c r="C26" s="21">
        <f>SUM(C23:C25)</f>
        <v>1787</v>
      </c>
      <c r="D26" s="23"/>
    </row>
    <row r="27" spans="1:4">
      <c r="A27" s="21" t="s">
        <v>46</v>
      </c>
      <c r="B27" s="21">
        <f>B22-B26</f>
        <v>-981</v>
      </c>
      <c r="C27" s="21">
        <f>C22-C26</f>
        <v>54</v>
      </c>
      <c r="D27" s="23"/>
    </row>
    <row r="28" spans="1:4">
      <c r="A28" s="21" t="s">
        <v>49</v>
      </c>
      <c r="B28" s="21">
        <f>B16+B27</f>
        <v>561</v>
      </c>
      <c r="C28" s="21">
        <f>C16+C27</f>
        <v>1971</v>
      </c>
      <c r="D28" s="23"/>
    </row>
    <row r="29" spans="1:4">
      <c r="A29" s="23" t="s">
        <v>50</v>
      </c>
      <c r="B29" s="23">
        <v>8</v>
      </c>
      <c r="C29" s="23">
        <v>4</v>
      </c>
      <c r="D29" s="23" t="s">
        <v>63</v>
      </c>
    </row>
    <row r="30" spans="1:4">
      <c r="A30" s="23" t="s">
        <v>52</v>
      </c>
      <c r="B30" s="23">
        <v>375</v>
      </c>
      <c r="C30" s="23">
        <v>0</v>
      </c>
      <c r="D30" s="23" t="s">
        <v>63</v>
      </c>
    </row>
    <row r="31" spans="1:4">
      <c r="A31" s="23" t="s">
        <v>51</v>
      </c>
      <c r="B31" s="23">
        <v>431</v>
      </c>
      <c r="C31" s="23">
        <v>0</v>
      </c>
      <c r="D31" s="23" t="s">
        <v>63</v>
      </c>
    </row>
    <row r="32" spans="1:4">
      <c r="A32" s="23" t="s">
        <v>53</v>
      </c>
      <c r="B32" s="23">
        <f>SUM(B29:B31)</f>
        <v>814</v>
      </c>
      <c r="C32" s="23">
        <f>SUM(C29:C31)</f>
        <v>4</v>
      </c>
      <c r="D32" s="23" t="s">
        <v>63</v>
      </c>
    </row>
    <row r="33" spans="1:4">
      <c r="A33" s="23" t="s">
        <v>54</v>
      </c>
      <c r="B33" s="23">
        <v>35</v>
      </c>
      <c r="C33" s="23">
        <v>21</v>
      </c>
      <c r="D33" s="23" t="s">
        <v>63</v>
      </c>
    </row>
    <row r="34" spans="1:4">
      <c r="A34" s="23" t="s">
        <v>52</v>
      </c>
      <c r="B34" s="23">
        <v>5</v>
      </c>
      <c r="C34" s="23">
        <v>0</v>
      </c>
      <c r="D34" s="23" t="s">
        <v>63</v>
      </c>
    </row>
    <row r="35" spans="1:4" ht="25.5">
      <c r="A35" s="23" t="s">
        <v>55</v>
      </c>
      <c r="B35" s="23">
        <v>0</v>
      </c>
      <c r="C35" s="23">
        <v>158</v>
      </c>
      <c r="D35" s="24" t="s">
        <v>117</v>
      </c>
    </row>
    <row r="36" spans="1:4">
      <c r="A36" s="23" t="s">
        <v>56</v>
      </c>
      <c r="B36" s="23">
        <f>SUM(B33:B35)</f>
        <v>40</v>
      </c>
      <c r="C36" s="23">
        <f>SUM(C33:C35)</f>
        <v>179</v>
      </c>
      <c r="D36" s="23"/>
    </row>
    <row r="37" spans="1:4" ht="25.5">
      <c r="A37" s="21" t="s">
        <v>58</v>
      </c>
      <c r="B37" s="21">
        <f>B32-B36</f>
        <v>774</v>
      </c>
      <c r="C37" s="21">
        <f>C32-C36</f>
        <v>-175</v>
      </c>
      <c r="D37" s="23"/>
    </row>
    <row r="38" spans="1:4">
      <c r="A38" s="23" t="s">
        <v>57</v>
      </c>
      <c r="B38" s="23">
        <v>-179</v>
      </c>
      <c r="C38" s="23">
        <v>-111</v>
      </c>
      <c r="D38" s="24" t="s">
        <v>118</v>
      </c>
    </row>
    <row r="39" spans="1:4">
      <c r="A39" s="21" t="s">
        <v>59</v>
      </c>
      <c r="B39" s="21">
        <f>B16+B27+B37-B38</f>
        <v>1514</v>
      </c>
      <c r="C39" s="21">
        <f>C16+C27+C37-C38</f>
        <v>1907</v>
      </c>
      <c r="D39" s="23" t="s">
        <v>62</v>
      </c>
    </row>
    <row r="40" spans="1:4">
      <c r="A40" s="23" t="s">
        <v>60</v>
      </c>
      <c r="B40" s="23">
        <v>5020</v>
      </c>
      <c r="C40" s="23">
        <v>5179</v>
      </c>
      <c r="D40" s="2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zoomScale="80" zoomScaleNormal="80" workbookViewId="0">
      <selection activeCell="H26" sqref="H26"/>
    </sheetView>
  </sheetViews>
  <sheetFormatPr baseColWidth="10" defaultColWidth="7.42578125" defaultRowHeight="12.75"/>
  <cols>
    <col min="1" max="1" width="17.42578125" customWidth="1"/>
    <col min="2" max="3" width="7.42578125" customWidth="1"/>
    <col min="4" max="4" width="63.5703125" customWidth="1"/>
    <col min="5" max="5" width="3.5703125" customWidth="1"/>
    <col min="6" max="6" width="11" customWidth="1"/>
    <col min="7" max="7" width="3.28515625" customWidth="1"/>
    <col min="8" max="8" width="7.42578125" customWidth="1"/>
    <col min="9" max="9" width="1.42578125" customWidth="1"/>
    <col min="10" max="10" width="7.42578125" customWidth="1"/>
    <col min="11" max="11" width="2.85546875" customWidth="1"/>
    <col min="12" max="12" width="7.42578125" customWidth="1"/>
    <col min="13" max="13" width="3.5703125" customWidth="1"/>
    <col min="14" max="14" width="7.42578125" customWidth="1"/>
    <col min="15" max="15" width="3" customWidth="1"/>
    <col min="16" max="16" width="9.28515625" customWidth="1"/>
  </cols>
  <sheetData>
    <row r="1" spans="1:18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>
      <c r="A2" s="3" t="s">
        <v>127</v>
      </c>
    </row>
    <row r="3" spans="1:18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s="20" customFormat="1">
      <c r="A4" s="21"/>
      <c r="B4" s="21">
        <v>2008</v>
      </c>
      <c r="C4" s="21">
        <v>2009</v>
      </c>
      <c r="D4" s="22" t="s">
        <v>96</v>
      </c>
      <c r="E4" s="317" t="s">
        <v>26</v>
      </c>
      <c r="F4" s="318"/>
      <c r="G4" s="318"/>
      <c r="H4" s="318"/>
      <c r="I4" s="318"/>
      <c r="J4" s="318"/>
      <c r="K4" s="318"/>
      <c r="L4" s="318"/>
      <c r="M4" s="318"/>
    </row>
    <row r="5" spans="1:18" s="20" customFormat="1">
      <c r="A5" s="23" t="s">
        <v>1</v>
      </c>
      <c r="B5" s="23">
        <v>2</v>
      </c>
      <c r="C5" s="23">
        <v>0</v>
      </c>
      <c r="D5" s="23"/>
      <c r="E5" s="317" t="s">
        <v>24</v>
      </c>
      <c r="F5" s="318"/>
      <c r="G5" s="318"/>
      <c r="H5" s="318"/>
      <c r="I5" s="21"/>
      <c r="J5" s="318" t="s">
        <v>25</v>
      </c>
      <c r="K5" s="318"/>
      <c r="L5" s="318"/>
      <c r="M5" s="318"/>
    </row>
    <row r="6" spans="1:18" s="20" customFormat="1">
      <c r="A6" s="23" t="s">
        <v>0</v>
      </c>
      <c r="B6" s="23">
        <v>5243</v>
      </c>
      <c r="C6" s="23">
        <v>5476</v>
      </c>
      <c r="D6" s="24" t="s">
        <v>119</v>
      </c>
      <c r="E6" s="29">
        <v>1</v>
      </c>
      <c r="F6" s="315" t="s">
        <v>20</v>
      </c>
      <c r="G6" s="315"/>
      <c r="H6" s="23">
        <f>+C6+C7+C8+C9</f>
        <v>23353</v>
      </c>
      <c r="I6" s="23"/>
      <c r="J6" s="315" t="s">
        <v>13</v>
      </c>
      <c r="K6" s="315"/>
      <c r="L6" s="23">
        <f t="shared" ref="L6:L12" si="0">C20</f>
        <v>29430</v>
      </c>
      <c r="M6" s="23">
        <v>10</v>
      </c>
    </row>
    <row r="7" spans="1:18" s="20" customFormat="1">
      <c r="A7" s="23" t="s">
        <v>2</v>
      </c>
      <c r="B7" s="23">
        <v>15188</v>
      </c>
      <c r="C7" s="23">
        <v>17813</v>
      </c>
      <c r="D7" s="23" t="s">
        <v>97</v>
      </c>
      <c r="E7" s="29">
        <f t="shared" ref="E7:E14" si="1">E6+1</f>
        <v>2</v>
      </c>
      <c r="F7" s="315" t="s">
        <v>5</v>
      </c>
      <c r="G7" s="315"/>
      <c r="H7" s="23">
        <f t="shared" ref="H7:H14" si="2">C10</f>
        <v>3934</v>
      </c>
      <c r="I7" s="23"/>
      <c r="J7" s="315" t="s">
        <v>14</v>
      </c>
      <c r="K7" s="315"/>
      <c r="L7" s="23">
        <f t="shared" si="0"/>
        <v>307</v>
      </c>
      <c r="M7" s="23">
        <f t="shared" ref="M7:M12" si="3">M6+1</f>
        <v>11</v>
      </c>
    </row>
    <row r="8" spans="1:18" s="20" customFormat="1">
      <c r="A8" s="23" t="s">
        <v>3</v>
      </c>
      <c r="B8" s="23">
        <v>70</v>
      </c>
      <c r="C8" s="23">
        <v>64</v>
      </c>
      <c r="D8" s="45" t="s">
        <v>170</v>
      </c>
      <c r="E8" s="29">
        <f t="shared" si="1"/>
        <v>3</v>
      </c>
      <c r="F8" s="315" t="s">
        <v>6</v>
      </c>
      <c r="G8" s="315"/>
      <c r="H8" s="23">
        <f t="shared" si="2"/>
        <v>2307</v>
      </c>
      <c r="I8" s="23"/>
      <c r="J8" s="315" t="s">
        <v>15</v>
      </c>
      <c r="K8" s="315"/>
      <c r="L8" s="23">
        <f t="shared" si="0"/>
        <v>6432</v>
      </c>
      <c r="M8" s="23">
        <f t="shared" si="3"/>
        <v>12</v>
      </c>
    </row>
    <row r="9" spans="1:18" s="20" customFormat="1">
      <c r="A9" s="23" t="s">
        <v>4</v>
      </c>
      <c r="B9" s="23">
        <v>2001</v>
      </c>
      <c r="C9" s="23"/>
      <c r="D9" s="23"/>
      <c r="E9" s="29">
        <f t="shared" si="1"/>
        <v>4</v>
      </c>
      <c r="F9" s="315" t="s">
        <v>21</v>
      </c>
      <c r="G9" s="315"/>
      <c r="H9" s="23">
        <f t="shared" si="2"/>
        <v>2040</v>
      </c>
      <c r="I9" s="23"/>
      <c r="J9" s="315" t="s">
        <v>16</v>
      </c>
      <c r="K9" s="315"/>
      <c r="L9" s="23">
        <f t="shared" si="0"/>
        <v>910</v>
      </c>
      <c r="M9" s="23">
        <f t="shared" si="3"/>
        <v>13</v>
      </c>
      <c r="P9" s="296" t="s">
        <v>407</v>
      </c>
    </row>
    <row r="10" spans="1:18" s="20" customFormat="1">
      <c r="A10" s="23" t="s">
        <v>5</v>
      </c>
      <c r="B10" s="23">
        <v>4139</v>
      </c>
      <c r="C10" s="298">
        <v>3934</v>
      </c>
      <c r="D10" s="23" t="s">
        <v>98</v>
      </c>
      <c r="E10" s="29">
        <f t="shared" si="1"/>
        <v>5</v>
      </c>
      <c r="F10" s="315" t="s">
        <v>8</v>
      </c>
      <c r="G10" s="315"/>
      <c r="H10" s="23">
        <f t="shared" si="2"/>
        <v>221</v>
      </c>
      <c r="I10" s="23"/>
      <c r="J10" s="315" t="s">
        <v>17</v>
      </c>
      <c r="K10" s="315"/>
      <c r="L10" s="23">
        <f t="shared" si="0"/>
        <v>228</v>
      </c>
      <c r="M10" s="23">
        <f t="shared" si="3"/>
        <v>14</v>
      </c>
      <c r="P10" s="20">
        <f>C10</f>
        <v>3934</v>
      </c>
    </row>
    <row r="11" spans="1:18" s="20" customFormat="1">
      <c r="A11" s="23" t="s">
        <v>6</v>
      </c>
      <c r="B11" s="23">
        <v>2376</v>
      </c>
      <c r="C11" s="298">
        <v>2307</v>
      </c>
      <c r="D11" s="23" t="s">
        <v>98</v>
      </c>
      <c r="E11" s="29">
        <f t="shared" si="1"/>
        <v>6</v>
      </c>
      <c r="F11" s="315" t="s">
        <v>9</v>
      </c>
      <c r="G11" s="315"/>
      <c r="H11" s="23">
        <f t="shared" si="2"/>
        <v>290</v>
      </c>
      <c r="I11" s="23"/>
      <c r="J11" s="315" t="s">
        <v>18</v>
      </c>
      <c r="K11" s="315"/>
      <c r="L11" s="23">
        <f t="shared" si="0"/>
        <v>192</v>
      </c>
      <c r="M11" s="23">
        <f t="shared" si="3"/>
        <v>15</v>
      </c>
      <c r="P11" s="20">
        <f>C11</f>
        <v>2307</v>
      </c>
    </row>
    <row r="12" spans="1:18" s="20" customFormat="1">
      <c r="A12" s="23" t="s">
        <v>7</v>
      </c>
      <c r="B12" s="23">
        <v>2547</v>
      </c>
      <c r="C12" s="253">
        <v>2040</v>
      </c>
      <c r="D12" s="27" t="s">
        <v>120</v>
      </c>
      <c r="E12" s="29">
        <f t="shared" si="1"/>
        <v>7</v>
      </c>
      <c r="F12" s="315" t="s">
        <v>12</v>
      </c>
      <c r="G12" s="315"/>
      <c r="H12" s="23">
        <f t="shared" si="2"/>
        <v>236</v>
      </c>
      <c r="I12" s="23"/>
      <c r="J12" s="315" t="s">
        <v>19</v>
      </c>
      <c r="K12" s="315"/>
      <c r="L12" s="23">
        <f t="shared" si="0"/>
        <v>3881</v>
      </c>
      <c r="M12" s="23">
        <f t="shared" si="3"/>
        <v>16</v>
      </c>
      <c r="P12" s="299">
        <f>SUM(P10:P11)</f>
        <v>6241</v>
      </c>
      <c r="Q12" s="297">
        <v>0.5</v>
      </c>
      <c r="R12" s="20">
        <f>+P12*Q12</f>
        <v>3120.5</v>
      </c>
    </row>
    <row r="13" spans="1:18" s="20" customFormat="1">
      <c r="A13" s="23" t="s">
        <v>8</v>
      </c>
      <c r="B13" s="23">
        <v>234</v>
      </c>
      <c r="C13" s="23">
        <v>221</v>
      </c>
      <c r="D13" s="24" t="s">
        <v>121</v>
      </c>
      <c r="E13" s="29">
        <f t="shared" si="1"/>
        <v>8</v>
      </c>
      <c r="F13" s="315" t="s">
        <v>10</v>
      </c>
      <c r="G13" s="315"/>
      <c r="H13" s="23">
        <f t="shared" si="2"/>
        <v>3867</v>
      </c>
      <c r="I13" s="23"/>
      <c r="J13" s="315"/>
      <c r="K13" s="315"/>
      <c r="L13" s="23"/>
      <c r="M13" s="23"/>
    </row>
    <row r="14" spans="1:18" s="20" customFormat="1">
      <c r="A14" s="23" t="s">
        <v>9</v>
      </c>
      <c r="B14" s="23">
        <v>821</v>
      </c>
      <c r="C14" s="23">
        <v>290</v>
      </c>
      <c r="D14" s="28" t="s">
        <v>99</v>
      </c>
      <c r="E14" s="29">
        <f t="shared" si="1"/>
        <v>9</v>
      </c>
      <c r="F14" s="315" t="s">
        <v>11</v>
      </c>
      <c r="G14" s="315"/>
      <c r="H14" s="23">
        <f t="shared" si="2"/>
        <v>5132</v>
      </c>
      <c r="I14" s="23"/>
      <c r="J14" s="315"/>
      <c r="K14" s="315"/>
      <c r="L14" s="23"/>
      <c r="M14" s="23"/>
    </row>
    <row r="15" spans="1:18" s="20" customFormat="1">
      <c r="A15" s="23" t="s">
        <v>100</v>
      </c>
      <c r="B15" s="23">
        <v>282</v>
      </c>
      <c r="C15" s="23">
        <v>236</v>
      </c>
      <c r="D15" s="24" t="s">
        <v>122</v>
      </c>
      <c r="E15" s="30"/>
      <c r="F15" s="315"/>
      <c r="G15" s="315"/>
      <c r="H15" s="23"/>
      <c r="I15" s="23"/>
      <c r="J15" s="315"/>
      <c r="K15" s="315"/>
      <c r="L15" s="23"/>
      <c r="M15" s="23"/>
    </row>
    <row r="16" spans="1:18" s="20" customFormat="1">
      <c r="A16" s="23" t="s">
        <v>10</v>
      </c>
      <c r="B16" s="23">
        <v>3033</v>
      </c>
      <c r="C16" s="23">
        <v>3867</v>
      </c>
      <c r="D16" s="23"/>
      <c r="E16" s="31"/>
      <c r="F16" s="32" t="s">
        <v>22</v>
      </c>
      <c r="G16" s="33"/>
      <c r="H16" s="21">
        <f>SUM(H6:H15)</f>
        <v>41380</v>
      </c>
      <c r="I16" s="23"/>
      <c r="J16" s="316" t="s">
        <v>23</v>
      </c>
      <c r="K16" s="316"/>
      <c r="L16" s="21">
        <f>SUM(L6:L15)</f>
        <v>41380</v>
      </c>
      <c r="M16" s="23"/>
    </row>
    <row r="17" spans="1:10" s="20" customFormat="1">
      <c r="A17" s="23" t="s">
        <v>11</v>
      </c>
      <c r="B17" s="23">
        <v>4436</v>
      </c>
      <c r="C17" s="253">
        <v>5132</v>
      </c>
      <c r="D17" s="24" t="s">
        <v>123</v>
      </c>
    </row>
    <row r="18" spans="1:10" s="20" customFormat="1">
      <c r="A18" s="23"/>
      <c r="B18" s="23">
        <f>SUM(B5:B17)</f>
        <v>40372</v>
      </c>
      <c r="C18" s="23">
        <f>SUM(C5:C17)</f>
        <v>41380</v>
      </c>
      <c r="D18" s="23"/>
    </row>
    <row r="19" spans="1:10" s="20" customFormat="1">
      <c r="A19" s="23"/>
      <c r="B19" s="23"/>
      <c r="C19" s="23"/>
      <c r="D19" s="23"/>
    </row>
    <row r="20" spans="1:10" s="20" customFormat="1">
      <c r="A20" s="23" t="s">
        <v>13</v>
      </c>
      <c r="B20" s="23">
        <v>28715</v>
      </c>
      <c r="C20" s="23">
        <v>29430</v>
      </c>
      <c r="D20" s="23" t="s">
        <v>63</v>
      </c>
    </row>
    <row r="21" spans="1:10" s="20" customFormat="1">
      <c r="A21" s="23" t="s">
        <v>14</v>
      </c>
      <c r="B21" s="23">
        <v>203</v>
      </c>
      <c r="C21" s="23">
        <v>307</v>
      </c>
      <c r="D21" s="24" t="s">
        <v>124</v>
      </c>
    </row>
    <row r="22" spans="1:10" s="20" customFormat="1">
      <c r="A22" s="23" t="s">
        <v>102</v>
      </c>
      <c r="B22" s="23">
        <f>7471+617</f>
        <v>8088</v>
      </c>
      <c r="C22" s="23">
        <f>6016+416</f>
        <v>6432</v>
      </c>
      <c r="D22" s="23" t="s">
        <v>103</v>
      </c>
      <c r="F22" s="254">
        <v>6016</v>
      </c>
      <c r="H22" s="20">
        <v>416</v>
      </c>
      <c r="J22" s="252"/>
    </row>
    <row r="23" spans="1:10" s="20" customFormat="1">
      <c r="A23" s="23" t="s">
        <v>16</v>
      </c>
      <c r="B23" s="23">
        <f>715</f>
        <v>715</v>
      </c>
      <c r="C23" s="23">
        <v>910</v>
      </c>
      <c r="D23" s="23" t="s">
        <v>105</v>
      </c>
      <c r="F23" s="254">
        <v>910</v>
      </c>
    </row>
    <row r="24" spans="1:10" s="20" customFormat="1">
      <c r="A24" s="23" t="s">
        <v>104</v>
      </c>
      <c r="B24" s="23">
        <f>407-2</f>
        <v>405</v>
      </c>
      <c r="C24" s="23">
        <f>230-2</f>
        <v>228</v>
      </c>
      <c r="D24" s="23"/>
    </row>
    <row r="25" spans="1:10" s="20" customFormat="1" ht="25.5">
      <c r="A25" s="23" t="s">
        <v>18</v>
      </c>
      <c r="B25" s="23">
        <v>172</v>
      </c>
      <c r="C25" s="23">
        <v>192</v>
      </c>
      <c r="D25" s="24" t="s">
        <v>125</v>
      </c>
    </row>
    <row r="26" spans="1:10" s="20" customFormat="1">
      <c r="A26" s="23" t="s">
        <v>19</v>
      </c>
      <c r="B26" s="23">
        <v>2075</v>
      </c>
      <c r="C26" s="23">
        <v>3881</v>
      </c>
      <c r="D26" s="24" t="s">
        <v>126</v>
      </c>
    </row>
    <row r="27" spans="1:10" s="20" customFormat="1">
      <c r="A27" s="23"/>
      <c r="B27" s="23">
        <f>SUM(B20:B26)</f>
        <v>40373</v>
      </c>
      <c r="C27" s="23">
        <f>SUM(C20:C26)</f>
        <v>41380</v>
      </c>
      <c r="D27" s="23"/>
    </row>
    <row r="28" spans="1:10" s="20" customFormat="1">
      <c r="A28" s="23"/>
      <c r="B28" s="23"/>
      <c r="C28" s="23"/>
      <c r="D28" s="23"/>
    </row>
    <row r="29" spans="1:10" s="20" customFormat="1">
      <c r="A29" s="21"/>
      <c r="B29" s="21">
        <f>B4</f>
        <v>2008</v>
      </c>
      <c r="C29" s="21">
        <f>C4</f>
        <v>2009</v>
      </c>
      <c r="D29" s="22" t="s">
        <v>91</v>
      </c>
    </row>
    <row r="30" spans="1:10" s="20" customFormat="1">
      <c r="A30" s="23" t="s">
        <v>27</v>
      </c>
      <c r="B30" s="23">
        <v>234</v>
      </c>
      <c r="C30" s="23">
        <v>191</v>
      </c>
      <c r="D30" s="23"/>
    </row>
    <row r="31" spans="1:10" s="20" customFormat="1">
      <c r="A31" s="23" t="s">
        <v>29</v>
      </c>
      <c r="B31" s="23">
        <v>3</v>
      </c>
      <c r="C31" s="23">
        <v>91</v>
      </c>
      <c r="D31" s="23"/>
    </row>
    <row r="32" spans="1:10" s="20" customFormat="1">
      <c r="A32" s="23" t="s">
        <v>28</v>
      </c>
      <c r="B32" s="23">
        <v>5263</v>
      </c>
      <c r="C32" s="23">
        <v>5291</v>
      </c>
      <c r="D32" s="23"/>
    </row>
    <row r="33" spans="1:15" s="20" customFormat="1">
      <c r="A33" s="23" t="s">
        <v>30</v>
      </c>
      <c r="B33" s="23">
        <f>SUM(B30:B32)</f>
        <v>5500</v>
      </c>
      <c r="C33" s="23">
        <f>SUM(C30:C32)</f>
        <v>5573</v>
      </c>
      <c r="D33" s="23"/>
      <c r="G33" s="34"/>
      <c r="H33" s="313"/>
      <c r="I33" s="313"/>
      <c r="J33" s="35"/>
      <c r="K33" s="35"/>
      <c r="L33" s="313"/>
      <c r="M33" s="313"/>
      <c r="N33" s="35"/>
      <c r="O33" s="35"/>
    </row>
    <row r="34" spans="1:15" s="20" customFormat="1">
      <c r="A34" s="23" t="s">
        <v>31</v>
      </c>
      <c r="B34" s="23">
        <v>2198</v>
      </c>
      <c r="C34" s="23">
        <v>1975</v>
      </c>
      <c r="D34" s="23"/>
      <c r="G34" s="34"/>
      <c r="H34" s="313"/>
      <c r="I34" s="313"/>
      <c r="J34" s="35"/>
      <c r="K34" s="35"/>
      <c r="L34" s="313"/>
      <c r="M34" s="313"/>
      <c r="N34" s="35"/>
      <c r="O34" s="35"/>
    </row>
    <row r="35" spans="1:15" s="20" customFormat="1">
      <c r="A35" s="23" t="s">
        <v>32</v>
      </c>
      <c r="B35" s="23">
        <v>28</v>
      </c>
      <c r="C35" s="23">
        <v>30</v>
      </c>
      <c r="D35" s="23"/>
      <c r="G35" s="34"/>
      <c r="H35" s="313"/>
      <c r="I35" s="313"/>
      <c r="J35" s="35"/>
      <c r="K35" s="35"/>
      <c r="L35" s="313"/>
      <c r="M35" s="313"/>
      <c r="N35" s="35"/>
      <c r="O35" s="35"/>
    </row>
    <row r="36" spans="1:15" s="20" customFormat="1">
      <c r="A36" s="23" t="s">
        <v>34</v>
      </c>
      <c r="B36" s="23">
        <v>311</v>
      </c>
      <c r="C36" s="23">
        <v>217</v>
      </c>
      <c r="D36" s="23"/>
      <c r="G36" s="34"/>
      <c r="H36" s="313"/>
      <c r="I36" s="313"/>
      <c r="J36" s="35"/>
      <c r="K36" s="35"/>
      <c r="L36" s="313"/>
      <c r="M36" s="313"/>
      <c r="N36" s="35"/>
      <c r="O36" s="35"/>
    </row>
    <row r="37" spans="1:15" s="20" customFormat="1">
      <c r="A37" s="23" t="s">
        <v>33</v>
      </c>
      <c r="B37" s="23">
        <v>208</v>
      </c>
      <c r="C37" s="23">
        <v>156</v>
      </c>
      <c r="D37" s="23"/>
      <c r="G37" s="34"/>
      <c r="H37" s="313"/>
      <c r="I37" s="313"/>
      <c r="J37" s="35"/>
      <c r="K37" s="35"/>
      <c r="L37" s="313"/>
      <c r="M37" s="313"/>
      <c r="N37" s="35"/>
      <c r="O37" s="35"/>
    </row>
    <row r="38" spans="1:15" s="20" customFormat="1">
      <c r="A38" s="23" t="s">
        <v>35</v>
      </c>
      <c r="B38" s="23">
        <v>1018</v>
      </c>
      <c r="C38" s="23">
        <v>1067</v>
      </c>
      <c r="D38" s="23"/>
      <c r="G38" s="34"/>
      <c r="H38" s="313"/>
      <c r="I38" s="313"/>
      <c r="J38" s="35"/>
      <c r="K38" s="35"/>
      <c r="L38" s="313"/>
      <c r="M38" s="313"/>
      <c r="N38" s="35"/>
      <c r="O38" s="35"/>
    </row>
    <row r="39" spans="1:15" s="20" customFormat="1">
      <c r="A39" s="23" t="s">
        <v>14</v>
      </c>
      <c r="B39" s="23">
        <v>21</v>
      </c>
      <c r="C39" s="23">
        <v>25</v>
      </c>
      <c r="D39" s="23"/>
      <c r="G39" s="34"/>
      <c r="H39" s="313"/>
      <c r="I39" s="313"/>
      <c r="J39" s="35"/>
      <c r="K39" s="35"/>
      <c r="L39" s="313"/>
      <c r="M39" s="313"/>
      <c r="N39" s="35"/>
      <c r="O39" s="35"/>
    </row>
    <row r="40" spans="1:15" s="20" customFormat="1">
      <c r="A40" s="23" t="s">
        <v>36</v>
      </c>
      <c r="B40" s="23">
        <v>174</v>
      </c>
      <c r="C40" s="23">
        <v>186</v>
      </c>
      <c r="D40" s="23"/>
      <c r="G40" s="35"/>
      <c r="H40" s="313"/>
      <c r="I40" s="313"/>
      <c r="J40" s="35"/>
      <c r="K40" s="35"/>
      <c r="L40" s="313"/>
      <c r="M40" s="313"/>
      <c r="N40" s="35"/>
      <c r="O40" s="35"/>
    </row>
    <row r="41" spans="1:15" s="20" customFormat="1">
      <c r="A41" s="21" t="s">
        <v>37</v>
      </c>
      <c r="B41" s="21">
        <f>+B33-SUM(B34:B40)</f>
        <v>1542</v>
      </c>
      <c r="C41" s="21">
        <f>+C33-SUM(C34:C40)</f>
        <v>1917</v>
      </c>
      <c r="D41" s="23"/>
      <c r="G41" s="35"/>
      <c r="H41" s="36"/>
      <c r="I41" s="36"/>
      <c r="J41" s="36"/>
      <c r="K41" s="35"/>
      <c r="L41" s="314"/>
      <c r="M41" s="314"/>
      <c r="N41" s="36"/>
      <c r="O41" s="35"/>
    </row>
    <row r="42" spans="1:15" s="20" customFormat="1">
      <c r="A42" s="23" t="s">
        <v>38</v>
      </c>
      <c r="B42" s="23">
        <v>826</v>
      </c>
      <c r="C42" s="23">
        <v>501</v>
      </c>
      <c r="D42" s="23"/>
      <c r="G42" s="35"/>
      <c r="H42" s="35"/>
      <c r="I42" s="35"/>
      <c r="J42" s="35"/>
      <c r="K42" s="35"/>
      <c r="L42" s="35"/>
      <c r="M42" s="35"/>
      <c r="N42" s="35"/>
      <c r="O42" s="35"/>
    </row>
    <row r="43" spans="1:15" s="20" customFormat="1">
      <c r="A43" s="23" t="s">
        <v>39</v>
      </c>
      <c r="B43" s="23">
        <v>263</v>
      </c>
      <c r="C43" s="23">
        <v>176</v>
      </c>
      <c r="D43" s="23"/>
      <c r="G43" s="35"/>
      <c r="H43" s="35"/>
      <c r="I43" s="35"/>
      <c r="J43" s="35"/>
      <c r="K43" s="35"/>
      <c r="L43" s="35"/>
      <c r="M43" s="35"/>
      <c r="N43" s="35"/>
      <c r="O43" s="35"/>
    </row>
    <row r="44" spans="1:15" s="20" customFormat="1">
      <c r="A44" s="23" t="s">
        <v>42</v>
      </c>
      <c r="B44" s="23">
        <v>7</v>
      </c>
      <c r="C44" s="23">
        <v>3</v>
      </c>
      <c r="D44" s="23"/>
      <c r="G44" s="35"/>
      <c r="H44" s="35"/>
      <c r="I44" s="35"/>
      <c r="J44" s="35"/>
      <c r="K44" s="35"/>
      <c r="L44" s="35"/>
      <c r="M44" s="35"/>
      <c r="N44" s="35"/>
      <c r="O44" s="35"/>
    </row>
    <row r="45" spans="1:15" s="20" customFormat="1">
      <c r="A45" s="23" t="s">
        <v>40</v>
      </c>
      <c r="B45" s="23"/>
      <c r="C45" s="23">
        <v>1013</v>
      </c>
      <c r="D45" s="23"/>
    </row>
    <row r="46" spans="1:15" s="20" customFormat="1">
      <c r="A46" s="23" t="s">
        <v>41</v>
      </c>
      <c r="B46" s="23">
        <v>388</v>
      </c>
      <c r="C46" s="23">
        <v>148</v>
      </c>
      <c r="D46" s="23"/>
    </row>
    <row r="47" spans="1:15" s="20" customFormat="1">
      <c r="A47" s="21" t="s">
        <v>47</v>
      </c>
      <c r="B47" s="21">
        <f>SUM(B42:B46)</f>
        <v>1484</v>
      </c>
      <c r="C47" s="21">
        <f>SUM(C42:C46)</f>
        <v>1841</v>
      </c>
      <c r="D47" s="23"/>
    </row>
    <row r="48" spans="1:15" s="20" customFormat="1">
      <c r="A48" s="23" t="s">
        <v>43</v>
      </c>
      <c r="B48" s="23">
        <v>1620</v>
      </c>
      <c r="C48" s="23">
        <v>1130</v>
      </c>
      <c r="D48" s="23"/>
    </row>
    <row r="49" spans="1:4" s="20" customFormat="1">
      <c r="A49" s="23" t="s">
        <v>44</v>
      </c>
      <c r="B49" s="23">
        <v>498</v>
      </c>
      <c r="C49" s="23">
        <v>425</v>
      </c>
      <c r="D49" s="23"/>
    </row>
    <row r="50" spans="1:4" s="20" customFormat="1" ht="25.5">
      <c r="A50" s="23" t="s">
        <v>45</v>
      </c>
      <c r="B50" s="23">
        <v>347</v>
      </c>
      <c r="C50" s="23">
        <v>232</v>
      </c>
      <c r="D50" s="23"/>
    </row>
    <row r="51" spans="1:4" s="20" customFormat="1">
      <c r="A51" s="21" t="s">
        <v>48</v>
      </c>
      <c r="B51" s="21">
        <f>SUM(B48:B50)</f>
        <v>2465</v>
      </c>
      <c r="C51" s="21">
        <f>SUM(C48:C50)</f>
        <v>1787</v>
      </c>
      <c r="D51" s="23"/>
    </row>
    <row r="52" spans="1:4" s="20" customFormat="1">
      <c r="A52" s="21" t="s">
        <v>46</v>
      </c>
      <c r="B52" s="21">
        <f>B47-B51</f>
        <v>-981</v>
      </c>
      <c r="C52" s="21">
        <f>C47-C51</f>
        <v>54</v>
      </c>
      <c r="D52" s="23"/>
    </row>
    <row r="53" spans="1:4" s="20" customFormat="1">
      <c r="A53" s="23" t="s">
        <v>49</v>
      </c>
      <c r="B53" s="23">
        <f>B41+B52</f>
        <v>561</v>
      </c>
      <c r="C53" s="23">
        <f>C41+C52</f>
        <v>1971</v>
      </c>
      <c r="D53" s="23"/>
    </row>
    <row r="54" spans="1:4" s="20" customFormat="1">
      <c r="A54" s="23" t="s">
        <v>50</v>
      </c>
      <c r="B54" s="23">
        <v>8</v>
      </c>
      <c r="C54" s="23">
        <v>4</v>
      </c>
      <c r="D54" s="23"/>
    </row>
    <row r="55" spans="1:4" s="20" customFormat="1">
      <c r="A55" s="23" t="s">
        <v>52</v>
      </c>
      <c r="B55" s="23">
        <v>375</v>
      </c>
      <c r="C55" s="23">
        <v>0</v>
      </c>
      <c r="D55" s="23"/>
    </row>
    <row r="56" spans="1:4" s="20" customFormat="1">
      <c r="A56" s="23" t="s">
        <v>51</v>
      </c>
      <c r="B56" s="23">
        <v>431</v>
      </c>
      <c r="C56" s="23">
        <v>0</v>
      </c>
      <c r="D56" s="23"/>
    </row>
    <row r="57" spans="1:4" s="20" customFormat="1">
      <c r="A57" s="23" t="s">
        <v>53</v>
      </c>
      <c r="B57" s="23">
        <f>SUM(B54:B56)</f>
        <v>814</v>
      </c>
      <c r="C57" s="23">
        <f>SUM(C54:C56)</f>
        <v>4</v>
      </c>
      <c r="D57" s="23"/>
    </row>
    <row r="58" spans="1:4" s="20" customFormat="1">
      <c r="A58" s="23" t="s">
        <v>54</v>
      </c>
      <c r="B58" s="23">
        <v>35</v>
      </c>
      <c r="C58" s="23">
        <v>21</v>
      </c>
      <c r="D58" s="23"/>
    </row>
    <row r="59" spans="1:4" s="20" customFormat="1">
      <c r="A59" s="23" t="s">
        <v>52</v>
      </c>
      <c r="B59" s="23">
        <v>5</v>
      </c>
      <c r="C59" s="23">
        <v>0</v>
      </c>
      <c r="D59" s="23"/>
    </row>
    <row r="60" spans="1:4" s="20" customFormat="1">
      <c r="A60" s="23" t="s">
        <v>55</v>
      </c>
      <c r="B60" s="23">
        <v>0</v>
      </c>
      <c r="C60" s="23">
        <v>158</v>
      </c>
      <c r="D60" s="23"/>
    </row>
    <row r="61" spans="1:4" s="20" customFormat="1">
      <c r="A61" s="23" t="s">
        <v>56</v>
      </c>
      <c r="B61" s="23">
        <f>SUM(B58:B60)</f>
        <v>40</v>
      </c>
      <c r="C61" s="23">
        <f>SUM(C58:C60)</f>
        <v>179</v>
      </c>
      <c r="D61" s="23"/>
    </row>
    <row r="62" spans="1:4" s="20" customFormat="1" ht="25.5">
      <c r="A62" s="21" t="s">
        <v>58</v>
      </c>
      <c r="B62" s="21">
        <f>B57-B61</f>
        <v>774</v>
      </c>
      <c r="C62" s="21">
        <f>C57-C61</f>
        <v>-175</v>
      </c>
      <c r="D62" s="23"/>
    </row>
    <row r="63" spans="1:4" s="20" customFormat="1">
      <c r="A63" s="23" t="s">
        <v>57</v>
      </c>
      <c r="B63" s="23">
        <v>-179</v>
      </c>
      <c r="C63" s="23">
        <v>-111</v>
      </c>
      <c r="D63" s="23"/>
    </row>
    <row r="64" spans="1:4" s="20" customFormat="1">
      <c r="A64" s="21" t="s">
        <v>59</v>
      </c>
      <c r="B64" s="21">
        <f>B41+B52+B62-B63</f>
        <v>1514</v>
      </c>
      <c r="C64" s="21">
        <f>C41+C52+C62-C63</f>
        <v>1907</v>
      </c>
      <c r="D64" s="23"/>
    </row>
    <row r="65" spans="1:4" s="20" customFormat="1">
      <c r="A65" s="23" t="s">
        <v>60</v>
      </c>
      <c r="B65" s="23">
        <v>5020</v>
      </c>
      <c r="C65" s="23">
        <v>5179</v>
      </c>
      <c r="D65" s="23"/>
    </row>
    <row r="66" spans="1:4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41">
    <mergeCell ref="E4:M4"/>
    <mergeCell ref="E5:H5"/>
    <mergeCell ref="F11:G11"/>
    <mergeCell ref="J5:M5"/>
    <mergeCell ref="F7:G7"/>
    <mergeCell ref="F8:G8"/>
    <mergeCell ref="F9:G9"/>
    <mergeCell ref="J6:K6"/>
    <mergeCell ref="J7:K7"/>
    <mergeCell ref="J8:K8"/>
    <mergeCell ref="J9:K9"/>
    <mergeCell ref="J10:K10"/>
    <mergeCell ref="F6:G6"/>
    <mergeCell ref="F10:G10"/>
    <mergeCell ref="J16:K16"/>
    <mergeCell ref="J11:K11"/>
    <mergeCell ref="J12:K12"/>
    <mergeCell ref="J13:K13"/>
    <mergeCell ref="J14:K14"/>
    <mergeCell ref="F14:G14"/>
    <mergeCell ref="F15:G15"/>
    <mergeCell ref="F12:G12"/>
    <mergeCell ref="F13:G13"/>
    <mergeCell ref="J15:K15"/>
    <mergeCell ref="H35:I35"/>
    <mergeCell ref="L35:M35"/>
    <mergeCell ref="H36:I36"/>
    <mergeCell ref="L36:M36"/>
    <mergeCell ref="H33:I33"/>
    <mergeCell ref="L33:M33"/>
    <mergeCell ref="H34:I34"/>
    <mergeCell ref="L34:M34"/>
    <mergeCell ref="H37:I37"/>
    <mergeCell ref="L37:M37"/>
    <mergeCell ref="H40:I40"/>
    <mergeCell ref="L40:M40"/>
    <mergeCell ref="L41:M41"/>
    <mergeCell ref="H38:I38"/>
    <mergeCell ref="L38:M38"/>
    <mergeCell ref="H39:I39"/>
    <mergeCell ref="L39:M39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4:Q47"/>
  <sheetViews>
    <sheetView workbookViewId="0">
      <selection activeCell="N15" sqref="N15"/>
    </sheetView>
  </sheetViews>
  <sheetFormatPr baseColWidth="10" defaultRowHeight="12.75"/>
  <cols>
    <col min="7" max="7" width="8.7109375" customWidth="1"/>
    <col min="8" max="8" width="30.42578125" customWidth="1"/>
    <col min="9" max="9" width="13.5703125" customWidth="1"/>
    <col min="263" max="263" width="8.7109375" customWidth="1"/>
    <col min="264" max="264" width="30.42578125" customWidth="1"/>
    <col min="265" max="265" width="13.5703125" customWidth="1"/>
    <col min="519" max="519" width="8.7109375" customWidth="1"/>
    <col min="520" max="520" width="30.42578125" customWidth="1"/>
    <col min="521" max="521" width="13.5703125" customWidth="1"/>
    <col min="775" max="775" width="8.7109375" customWidth="1"/>
    <col min="776" max="776" width="30.42578125" customWidth="1"/>
    <col min="777" max="777" width="13.5703125" customWidth="1"/>
    <col min="1031" max="1031" width="8.7109375" customWidth="1"/>
    <col min="1032" max="1032" width="30.42578125" customWidth="1"/>
    <col min="1033" max="1033" width="13.5703125" customWidth="1"/>
    <col min="1287" max="1287" width="8.7109375" customWidth="1"/>
    <col min="1288" max="1288" width="30.42578125" customWidth="1"/>
    <col min="1289" max="1289" width="13.5703125" customWidth="1"/>
    <col min="1543" max="1543" width="8.7109375" customWidth="1"/>
    <col min="1544" max="1544" width="30.42578125" customWidth="1"/>
    <col min="1545" max="1545" width="13.5703125" customWidth="1"/>
    <col min="1799" max="1799" width="8.7109375" customWidth="1"/>
    <col min="1800" max="1800" width="30.42578125" customWidth="1"/>
    <col min="1801" max="1801" width="13.5703125" customWidth="1"/>
    <col min="2055" max="2055" width="8.7109375" customWidth="1"/>
    <col min="2056" max="2056" width="30.42578125" customWidth="1"/>
    <col min="2057" max="2057" width="13.5703125" customWidth="1"/>
    <col min="2311" max="2311" width="8.7109375" customWidth="1"/>
    <col min="2312" max="2312" width="30.42578125" customWidth="1"/>
    <col min="2313" max="2313" width="13.5703125" customWidth="1"/>
    <col min="2567" max="2567" width="8.7109375" customWidth="1"/>
    <col min="2568" max="2568" width="30.42578125" customWidth="1"/>
    <col min="2569" max="2569" width="13.5703125" customWidth="1"/>
    <col min="2823" max="2823" width="8.7109375" customWidth="1"/>
    <col min="2824" max="2824" width="30.42578125" customWidth="1"/>
    <col min="2825" max="2825" width="13.5703125" customWidth="1"/>
    <col min="3079" max="3079" width="8.7109375" customWidth="1"/>
    <col min="3080" max="3080" width="30.42578125" customWidth="1"/>
    <col min="3081" max="3081" width="13.5703125" customWidth="1"/>
    <col min="3335" max="3335" width="8.7109375" customWidth="1"/>
    <col min="3336" max="3336" width="30.42578125" customWidth="1"/>
    <col min="3337" max="3337" width="13.5703125" customWidth="1"/>
    <col min="3591" max="3591" width="8.7109375" customWidth="1"/>
    <col min="3592" max="3592" width="30.42578125" customWidth="1"/>
    <col min="3593" max="3593" width="13.5703125" customWidth="1"/>
    <col min="3847" max="3847" width="8.7109375" customWidth="1"/>
    <col min="3848" max="3848" width="30.42578125" customWidth="1"/>
    <col min="3849" max="3849" width="13.5703125" customWidth="1"/>
    <col min="4103" max="4103" width="8.7109375" customWidth="1"/>
    <col min="4104" max="4104" width="30.42578125" customWidth="1"/>
    <col min="4105" max="4105" width="13.5703125" customWidth="1"/>
    <col min="4359" max="4359" width="8.7109375" customWidth="1"/>
    <col min="4360" max="4360" width="30.42578125" customWidth="1"/>
    <col min="4361" max="4361" width="13.5703125" customWidth="1"/>
    <col min="4615" max="4615" width="8.7109375" customWidth="1"/>
    <col min="4616" max="4616" width="30.42578125" customWidth="1"/>
    <col min="4617" max="4617" width="13.5703125" customWidth="1"/>
    <col min="4871" max="4871" width="8.7109375" customWidth="1"/>
    <col min="4872" max="4872" width="30.42578125" customWidth="1"/>
    <col min="4873" max="4873" width="13.5703125" customWidth="1"/>
    <col min="5127" max="5127" width="8.7109375" customWidth="1"/>
    <col min="5128" max="5128" width="30.42578125" customWidth="1"/>
    <col min="5129" max="5129" width="13.5703125" customWidth="1"/>
    <col min="5383" max="5383" width="8.7109375" customWidth="1"/>
    <col min="5384" max="5384" width="30.42578125" customWidth="1"/>
    <col min="5385" max="5385" width="13.5703125" customWidth="1"/>
    <col min="5639" max="5639" width="8.7109375" customWidth="1"/>
    <col min="5640" max="5640" width="30.42578125" customWidth="1"/>
    <col min="5641" max="5641" width="13.5703125" customWidth="1"/>
    <col min="5895" max="5895" width="8.7109375" customWidth="1"/>
    <col min="5896" max="5896" width="30.42578125" customWidth="1"/>
    <col min="5897" max="5897" width="13.5703125" customWidth="1"/>
    <col min="6151" max="6151" width="8.7109375" customWidth="1"/>
    <col min="6152" max="6152" width="30.42578125" customWidth="1"/>
    <col min="6153" max="6153" width="13.5703125" customWidth="1"/>
    <col min="6407" max="6407" width="8.7109375" customWidth="1"/>
    <col min="6408" max="6408" width="30.42578125" customWidth="1"/>
    <col min="6409" max="6409" width="13.5703125" customWidth="1"/>
    <col min="6663" max="6663" width="8.7109375" customWidth="1"/>
    <col min="6664" max="6664" width="30.42578125" customWidth="1"/>
    <col min="6665" max="6665" width="13.5703125" customWidth="1"/>
    <col min="6919" max="6919" width="8.7109375" customWidth="1"/>
    <col min="6920" max="6920" width="30.42578125" customWidth="1"/>
    <col min="6921" max="6921" width="13.5703125" customWidth="1"/>
    <col min="7175" max="7175" width="8.7109375" customWidth="1"/>
    <col min="7176" max="7176" width="30.42578125" customWidth="1"/>
    <col min="7177" max="7177" width="13.5703125" customWidth="1"/>
    <col min="7431" max="7431" width="8.7109375" customWidth="1"/>
    <col min="7432" max="7432" width="30.42578125" customWidth="1"/>
    <col min="7433" max="7433" width="13.5703125" customWidth="1"/>
    <col min="7687" max="7687" width="8.7109375" customWidth="1"/>
    <col min="7688" max="7688" width="30.42578125" customWidth="1"/>
    <col min="7689" max="7689" width="13.5703125" customWidth="1"/>
    <col min="7943" max="7943" width="8.7109375" customWidth="1"/>
    <col min="7944" max="7944" width="30.42578125" customWidth="1"/>
    <col min="7945" max="7945" width="13.5703125" customWidth="1"/>
    <col min="8199" max="8199" width="8.7109375" customWidth="1"/>
    <col min="8200" max="8200" width="30.42578125" customWidth="1"/>
    <col min="8201" max="8201" width="13.5703125" customWidth="1"/>
    <col min="8455" max="8455" width="8.7109375" customWidth="1"/>
    <col min="8456" max="8456" width="30.42578125" customWidth="1"/>
    <col min="8457" max="8457" width="13.5703125" customWidth="1"/>
    <col min="8711" max="8711" width="8.7109375" customWidth="1"/>
    <col min="8712" max="8712" width="30.42578125" customWidth="1"/>
    <col min="8713" max="8713" width="13.5703125" customWidth="1"/>
    <col min="8967" max="8967" width="8.7109375" customWidth="1"/>
    <col min="8968" max="8968" width="30.42578125" customWidth="1"/>
    <col min="8969" max="8969" width="13.5703125" customWidth="1"/>
    <col min="9223" max="9223" width="8.7109375" customWidth="1"/>
    <col min="9224" max="9224" width="30.42578125" customWidth="1"/>
    <col min="9225" max="9225" width="13.5703125" customWidth="1"/>
    <col min="9479" max="9479" width="8.7109375" customWidth="1"/>
    <col min="9480" max="9480" width="30.42578125" customWidth="1"/>
    <col min="9481" max="9481" width="13.5703125" customWidth="1"/>
    <col min="9735" max="9735" width="8.7109375" customWidth="1"/>
    <col min="9736" max="9736" width="30.42578125" customWidth="1"/>
    <col min="9737" max="9737" width="13.5703125" customWidth="1"/>
    <col min="9991" max="9991" width="8.7109375" customWidth="1"/>
    <col min="9992" max="9992" width="30.42578125" customWidth="1"/>
    <col min="9993" max="9993" width="13.5703125" customWidth="1"/>
    <col min="10247" max="10247" width="8.7109375" customWidth="1"/>
    <col min="10248" max="10248" width="30.42578125" customWidth="1"/>
    <col min="10249" max="10249" width="13.5703125" customWidth="1"/>
    <col min="10503" max="10503" width="8.7109375" customWidth="1"/>
    <col min="10504" max="10504" width="30.42578125" customWidth="1"/>
    <col min="10505" max="10505" width="13.5703125" customWidth="1"/>
    <col min="10759" max="10759" width="8.7109375" customWidth="1"/>
    <col min="10760" max="10760" width="30.42578125" customWidth="1"/>
    <col min="10761" max="10761" width="13.5703125" customWidth="1"/>
    <col min="11015" max="11015" width="8.7109375" customWidth="1"/>
    <col min="11016" max="11016" width="30.42578125" customWidth="1"/>
    <col min="11017" max="11017" width="13.5703125" customWidth="1"/>
    <col min="11271" max="11271" width="8.7109375" customWidth="1"/>
    <col min="11272" max="11272" width="30.42578125" customWidth="1"/>
    <col min="11273" max="11273" width="13.5703125" customWidth="1"/>
    <col min="11527" max="11527" width="8.7109375" customWidth="1"/>
    <col min="11528" max="11528" width="30.42578125" customWidth="1"/>
    <col min="11529" max="11529" width="13.5703125" customWidth="1"/>
    <col min="11783" max="11783" width="8.7109375" customWidth="1"/>
    <col min="11784" max="11784" width="30.42578125" customWidth="1"/>
    <col min="11785" max="11785" width="13.5703125" customWidth="1"/>
    <col min="12039" max="12039" width="8.7109375" customWidth="1"/>
    <col min="12040" max="12040" width="30.42578125" customWidth="1"/>
    <col min="12041" max="12041" width="13.5703125" customWidth="1"/>
    <col min="12295" max="12295" width="8.7109375" customWidth="1"/>
    <col min="12296" max="12296" width="30.42578125" customWidth="1"/>
    <col min="12297" max="12297" width="13.5703125" customWidth="1"/>
    <col min="12551" max="12551" width="8.7109375" customWidth="1"/>
    <col min="12552" max="12552" width="30.42578125" customWidth="1"/>
    <col min="12553" max="12553" width="13.5703125" customWidth="1"/>
    <col min="12807" max="12807" width="8.7109375" customWidth="1"/>
    <col min="12808" max="12808" width="30.42578125" customWidth="1"/>
    <col min="12809" max="12809" width="13.5703125" customWidth="1"/>
    <col min="13063" max="13063" width="8.7109375" customWidth="1"/>
    <col min="13064" max="13064" width="30.42578125" customWidth="1"/>
    <col min="13065" max="13065" width="13.5703125" customWidth="1"/>
    <col min="13319" max="13319" width="8.7109375" customWidth="1"/>
    <col min="13320" max="13320" width="30.42578125" customWidth="1"/>
    <col min="13321" max="13321" width="13.5703125" customWidth="1"/>
    <col min="13575" max="13575" width="8.7109375" customWidth="1"/>
    <col min="13576" max="13576" width="30.42578125" customWidth="1"/>
    <col min="13577" max="13577" width="13.5703125" customWidth="1"/>
    <col min="13831" max="13831" width="8.7109375" customWidth="1"/>
    <col min="13832" max="13832" width="30.42578125" customWidth="1"/>
    <col min="13833" max="13833" width="13.5703125" customWidth="1"/>
    <col min="14087" max="14087" width="8.7109375" customWidth="1"/>
    <col min="14088" max="14088" width="30.42578125" customWidth="1"/>
    <col min="14089" max="14089" width="13.5703125" customWidth="1"/>
    <col min="14343" max="14343" width="8.7109375" customWidth="1"/>
    <col min="14344" max="14344" width="30.42578125" customWidth="1"/>
    <col min="14345" max="14345" width="13.5703125" customWidth="1"/>
    <col min="14599" max="14599" width="8.7109375" customWidth="1"/>
    <col min="14600" max="14600" width="30.42578125" customWidth="1"/>
    <col min="14601" max="14601" width="13.5703125" customWidth="1"/>
    <col min="14855" max="14855" width="8.7109375" customWidth="1"/>
    <col min="14856" max="14856" width="30.42578125" customWidth="1"/>
    <col min="14857" max="14857" width="13.5703125" customWidth="1"/>
    <col min="15111" max="15111" width="8.7109375" customWidth="1"/>
    <col min="15112" max="15112" width="30.42578125" customWidth="1"/>
    <col min="15113" max="15113" width="13.5703125" customWidth="1"/>
    <col min="15367" max="15367" width="8.7109375" customWidth="1"/>
    <col min="15368" max="15368" width="30.42578125" customWidth="1"/>
    <col min="15369" max="15369" width="13.5703125" customWidth="1"/>
    <col min="15623" max="15623" width="8.7109375" customWidth="1"/>
    <col min="15624" max="15624" width="30.42578125" customWidth="1"/>
    <col min="15625" max="15625" width="13.5703125" customWidth="1"/>
    <col min="15879" max="15879" width="8.7109375" customWidth="1"/>
    <col min="15880" max="15880" width="30.42578125" customWidth="1"/>
    <col min="15881" max="15881" width="13.5703125" customWidth="1"/>
    <col min="16135" max="16135" width="8.7109375" customWidth="1"/>
    <col min="16136" max="16136" width="30.42578125" customWidth="1"/>
    <col min="16137" max="16137" width="13.5703125" customWidth="1"/>
  </cols>
  <sheetData>
    <row r="4" spans="10:17">
      <c r="K4" s="47"/>
      <c r="L4" s="47"/>
      <c r="M4" s="47"/>
      <c r="N4" s="47"/>
      <c r="O4" s="47"/>
      <c r="P4" s="47"/>
      <c r="Q4" s="47"/>
    </row>
    <row r="5" spans="10:17">
      <c r="J5" s="47">
        <v>388745</v>
      </c>
      <c r="K5" s="47"/>
      <c r="L5" s="47">
        <f>J5-K5</f>
        <v>388745</v>
      </c>
      <c r="M5" s="47"/>
      <c r="N5" s="47"/>
      <c r="O5" s="47"/>
      <c r="P5" s="47"/>
      <c r="Q5" s="47"/>
    </row>
    <row r="6" spans="10:17">
      <c r="J6" s="47">
        <v>2263521</v>
      </c>
      <c r="K6" s="47">
        <v>865346</v>
      </c>
      <c r="L6" s="47">
        <f>J6-K6</f>
        <v>1398175</v>
      </c>
      <c r="M6" s="47"/>
      <c r="N6" s="47"/>
      <c r="O6" s="47"/>
      <c r="P6" s="47"/>
      <c r="Q6" s="47"/>
    </row>
    <row r="7" spans="10:17">
      <c r="J7" s="47">
        <v>762245</v>
      </c>
      <c r="K7" s="47"/>
      <c r="L7" s="47">
        <f>J7-K7</f>
        <v>762245</v>
      </c>
      <c r="M7" s="47"/>
      <c r="N7" s="47"/>
      <c r="O7" s="47"/>
      <c r="P7" s="47"/>
      <c r="Q7" s="47"/>
    </row>
    <row r="8" spans="10:17">
      <c r="J8" s="54">
        <f>SUM(J5:J7)</f>
        <v>3414511</v>
      </c>
      <c r="K8" s="54">
        <f>SUM(K5:K7)</f>
        <v>865346</v>
      </c>
      <c r="L8" s="54">
        <f>J8-K8</f>
        <v>2549165</v>
      </c>
      <c r="M8" s="47"/>
      <c r="N8" s="47"/>
      <c r="O8" s="47"/>
      <c r="P8" s="47"/>
      <c r="Q8" s="47"/>
    </row>
    <row r="9" spans="10:17">
      <c r="J9" s="47"/>
      <c r="K9" s="47"/>
      <c r="L9" s="47"/>
      <c r="M9" s="47"/>
      <c r="N9" s="47"/>
      <c r="O9" s="47"/>
      <c r="P9" s="47"/>
      <c r="Q9" s="47"/>
    </row>
    <row r="10" spans="10:17">
      <c r="J10" s="47">
        <v>470320</v>
      </c>
      <c r="K10" s="47"/>
      <c r="L10" s="47">
        <f>J10-K10</f>
        <v>470320</v>
      </c>
      <c r="M10" s="47"/>
      <c r="N10" s="47"/>
      <c r="O10" s="47"/>
      <c r="P10" s="47"/>
      <c r="Q10" s="47"/>
    </row>
    <row r="11" spans="10:17">
      <c r="J11" s="47">
        <v>205000</v>
      </c>
      <c r="K11" s="47">
        <v>369000</v>
      </c>
      <c r="L11" s="47">
        <f>J11-K11</f>
        <v>-164000</v>
      </c>
      <c r="M11" s="47"/>
      <c r="N11" s="47"/>
      <c r="O11" s="47"/>
      <c r="P11" s="47"/>
      <c r="Q11" s="47"/>
    </row>
    <row r="12" spans="10:17">
      <c r="J12" s="47">
        <v>914694</v>
      </c>
      <c r="K12" s="47"/>
      <c r="L12" s="47">
        <f>J12-K12</f>
        <v>914694</v>
      </c>
      <c r="M12" s="47"/>
      <c r="N12" s="47"/>
      <c r="O12" s="47"/>
      <c r="P12" s="47"/>
      <c r="Q12" s="47"/>
    </row>
    <row r="13" spans="10:17">
      <c r="K13" s="47"/>
      <c r="L13" s="47"/>
      <c r="M13" s="47"/>
      <c r="N13" s="47"/>
      <c r="O13" s="47"/>
      <c r="P13" s="47"/>
      <c r="Q13" s="47"/>
    </row>
    <row r="14" spans="10:17">
      <c r="K14" s="47"/>
      <c r="L14" s="47"/>
      <c r="M14" s="47"/>
      <c r="N14" s="47"/>
      <c r="O14" s="47"/>
      <c r="P14" s="47"/>
      <c r="Q14" s="47"/>
    </row>
    <row r="15" spans="10:17">
      <c r="J15" s="47">
        <v>212026</v>
      </c>
      <c r="K15" s="47">
        <v>212026</v>
      </c>
      <c r="L15" s="47">
        <f>J15-K15</f>
        <v>0</v>
      </c>
      <c r="M15" s="47"/>
      <c r="N15" s="47"/>
      <c r="O15" s="47"/>
      <c r="P15" s="47"/>
      <c r="Q15" s="47"/>
    </row>
    <row r="16" spans="10:17">
      <c r="J16" s="54">
        <f>SUM(J10:J15)</f>
        <v>1802040</v>
      </c>
      <c r="K16" s="54">
        <f>SUM(K10:K15)</f>
        <v>581026</v>
      </c>
      <c r="L16" s="54">
        <f>SUM(L10:L15)</f>
        <v>1221014</v>
      </c>
      <c r="M16" s="47"/>
      <c r="N16" s="47"/>
      <c r="O16" s="47"/>
      <c r="P16" s="47"/>
      <c r="Q16" s="47"/>
    </row>
    <row r="17" spans="8:17">
      <c r="J17" s="271">
        <f>J8+J16</f>
        <v>5216551</v>
      </c>
      <c r="K17" s="271">
        <f>K8+K16</f>
        <v>1446372</v>
      </c>
      <c r="L17" s="271">
        <f>L8+L16</f>
        <v>3770179</v>
      </c>
      <c r="M17" s="47"/>
      <c r="N17" s="47"/>
      <c r="O17" s="47"/>
      <c r="P17" s="47"/>
      <c r="Q17" s="47"/>
    </row>
    <row r="18" spans="8:17">
      <c r="K18" s="47"/>
      <c r="L18" s="47"/>
      <c r="M18" s="47"/>
      <c r="N18" s="47"/>
      <c r="O18" s="47"/>
      <c r="P18" s="47"/>
      <c r="Q18" s="47"/>
    </row>
    <row r="19" spans="8:17">
      <c r="K19" s="47"/>
      <c r="L19" s="47"/>
      <c r="M19" s="47"/>
      <c r="N19" s="47"/>
      <c r="O19" s="47"/>
      <c r="P19" s="47"/>
      <c r="Q19" s="47"/>
    </row>
    <row r="20" spans="8:17">
      <c r="K20" s="47"/>
      <c r="L20" s="47"/>
      <c r="M20" s="47"/>
      <c r="N20" s="47"/>
      <c r="O20" s="47"/>
      <c r="P20" s="47"/>
      <c r="Q20" s="47"/>
    </row>
    <row r="21" spans="8:17">
      <c r="H21" t="s">
        <v>439</v>
      </c>
      <c r="K21" s="47"/>
      <c r="L21" s="47"/>
      <c r="M21" s="47"/>
      <c r="N21" s="47"/>
      <c r="O21" s="47"/>
      <c r="P21" s="47"/>
      <c r="Q21" s="47"/>
    </row>
    <row r="23" spans="8:17">
      <c r="H23" t="s">
        <v>440</v>
      </c>
    </row>
    <row r="26" spans="8:17">
      <c r="I26" s="46" t="s">
        <v>441</v>
      </c>
      <c r="J26" s="47">
        <v>3970455</v>
      </c>
    </row>
    <row r="27" spans="8:17">
      <c r="I27" s="46" t="s">
        <v>442</v>
      </c>
      <c r="J27" s="47">
        <v>1223429</v>
      </c>
    </row>
    <row r="28" spans="8:17">
      <c r="I28" s="46" t="s">
        <v>443</v>
      </c>
      <c r="J28" s="47">
        <v>19902</v>
      </c>
    </row>
    <row r="29" spans="8:17">
      <c r="I29" s="47"/>
      <c r="J29" s="54">
        <f>SUM(J26:J28)</f>
        <v>5213786</v>
      </c>
    </row>
    <row r="30" spans="8:17">
      <c r="I30" s="272" t="s">
        <v>28</v>
      </c>
      <c r="J30" s="47">
        <f>51512+27174</f>
        <v>78686</v>
      </c>
    </row>
    <row r="31" spans="8:17">
      <c r="I31" s="47"/>
      <c r="J31" s="273">
        <f>SUM(J29:J30)</f>
        <v>5292472</v>
      </c>
    </row>
    <row r="32" spans="8:17">
      <c r="J32" s="47"/>
    </row>
    <row r="45" spans="1:1">
      <c r="A45" t="s">
        <v>444</v>
      </c>
    </row>
    <row r="46" spans="1:1">
      <c r="A46" t="s">
        <v>445</v>
      </c>
    </row>
    <row r="47" spans="1:1">
      <c r="A47" t="s">
        <v>446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62"/>
  <sheetViews>
    <sheetView showGridLines="0" topLeftCell="C1" zoomScale="85" workbookViewId="0">
      <selection activeCell="J18" sqref="J18"/>
    </sheetView>
  </sheetViews>
  <sheetFormatPr baseColWidth="10" defaultColWidth="9.140625" defaultRowHeight="12.75"/>
  <cols>
    <col min="1" max="1" width="3.42578125" customWidth="1"/>
    <col min="2" max="2" width="26.7109375" customWidth="1"/>
    <col min="3" max="3" width="15.5703125" bestFit="1" customWidth="1"/>
    <col min="4" max="4" width="4.42578125" customWidth="1"/>
    <col min="5" max="5" width="10" customWidth="1"/>
    <col min="6" max="7" width="11.140625" customWidth="1"/>
    <col min="8" max="8" width="6.42578125" customWidth="1"/>
    <col min="9" max="9" width="10.28515625" bestFit="1" customWidth="1"/>
    <col min="10" max="11" width="9.140625" customWidth="1"/>
    <col min="12" max="12" width="4.28515625" customWidth="1"/>
    <col min="13" max="13" width="11.140625" customWidth="1"/>
    <col min="14" max="14" width="8.140625" customWidth="1"/>
    <col min="15" max="15" width="24" bestFit="1" customWidth="1"/>
    <col min="16" max="16" width="11.85546875" bestFit="1" customWidth="1"/>
    <col min="17" max="17" width="9.85546875" customWidth="1"/>
  </cols>
  <sheetData>
    <row r="2" spans="2:18">
      <c r="B2" s="319" t="s">
        <v>180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O2" s="92"/>
      <c r="P2" s="90" t="s">
        <v>224</v>
      </c>
      <c r="Q2" s="83" t="s">
        <v>225</v>
      </c>
      <c r="R2" s="90" t="s">
        <v>226</v>
      </c>
    </row>
    <row r="3" spans="2:18">
      <c r="O3" s="92"/>
      <c r="P3" s="91" t="s">
        <v>227</v>
      </c>
      <c r="Q3" s="84" t="s">
        <v>227</v>
      </c>
      <c r="R3" s="91" t="s">
        <v>227</v>
      </c>
    </row>
    <row r="4" spans="2:18" s="3" customFormat="1">
      <c r="B4" s="46" t="s">
        <v>172</v>
      </c>
      <c r="C4" s="47">
        <v>4500000</v>
      </c>
      <c r="D4"/>
      <c r="E4"/>
      <c r="F4"/>
      <c r="G4"/>
      <c r="H4"/>
      <c r="I4"/>
      <c r="J4"/>
      <c r="K4"/>
      <c r="O4" s="85"/>
      <c r="P4" s="85"/>
      <c r="Q4" s="78"/>
      <c r="R4" s="89"/>
    </row>
    <row r="5" spans="2:18" s="3" customFormat="1">
      <c r="B5" s="46"/>
      <c r="C5" s="47"/>
      <c r="D5"/>
      <c r="E5"/>
      <c r="F5"/>
      <c r="G5"/>
      <c r="H5"/>
      <c r="I5"/>
      <c r="J5"/>
      <c r="K5"/>
      <c r="O5" s="79" t="s">
        <v>230</v>
      </c>
      <c r="P5" s="86">
        <f>M51/1000000</f>
        <v>56.225308000000005</v>
      </c>
      <c r="Q5" s="80">
        <f>M30/1000000</f>
        <v>52.277285630000009</v>
      </c>
      <c r="R5" s="86">
        <f>M9/1000000</f>
        <v>49.174285630000007</v>
      </c>
    </row>
    <row r="6" spans="2:18">
      <c r="B6" s="46"/>
      <c r="C6" s="48"/>
      <c r="E6" s="50" t="s">
        <v>184</v>
      </c>
      <c r="F6" s="50" t="s">
        <v>185</v>
      </c>
      <c r="G6" s="50" t="s">
        <v>181</v>
      </c>
      <c r="H6" s="64"/>
      <c r="I6" s="50" t="s">
        <v>186</v>
      </c>
      <c r="J6" s="50"/>
      <c r="K6" s="50" t="s">
        <v>173</v>
      </c>
      <c r="L6" s="64"/>
      <c r="M6" s="53" t="s">
        <v>177</v>
      </c>
      <c r="O6" s="79" t="s">
        <v>229</v>
      </c>
      <c r="P6" s="87"/>
      <c r="Q6" s="78"/>
      <c r="R6" s="87"/>
    </row>
    <row r="7" spans="2:18">
      <c r="B7" s="46"/>
      <c r="C7" s="48"/>
      <c r="E7" s="49"/>
      <c r="F7" s="49"/>
      <c r="G7" s="49"/>
      <c r="H7" s="51" t="s">
        <v>174</v>
      </c>
      <c r="I7" s="52">
        <f>C9+E9+F9+G9</f>
        <v>45199130.000000007</v>
      </c>
      <c r="J7" s="51" t="s">
        <v>175</v>
      </c>
      <c r="K7" s="47">
        <v>670000</v>
      </c>
      <c r="L7" s="47"/>
      <c r="M7" s="47"/>
      <c r="N7" s="47"/>
      <c r="O7" s="79"/>
      <c r="P7" s="86"/>
      <c r="Q7" s="86"/>
      <c r="R7" s="86"/>
    </row>
    <row r="8" spans="2:18">
      <c r="C8" s="48"/>
      <c r="F8" s="61"/>
      <c r="G8" s="61"/>
      <c r="I8" s="48">
        <v>5.0999999999999997E-2</v>
      </c>
      <c r="J8" s="51" t="s">
        <v>176</v>
      </c>
      <c r="K8" s="47">
        <v>1000000</v>
      </c>
      <c r="O8" s="79" t="s">
        <v>232</v>
      </c>
      <c r="P8" s="93">
        <f>M16/1000000</f>
        <v>-6.9080000000000057</v>
      </c>
      <c r="Q8" s="93">
        <f>P8</f>
        <v>-6.9080000000000057</v>
      </c>
      <c r="R8" s="93">
        <f>Q8</f>
        <v>-6.9080000000000057</v>
      </c>
    </row>
    <row r="9" spans="2:18">
      <c r="B9" s="46" t="s">
        <v>183</v>
      </c>
      <c r="C9" s="54">
        <f>C4*10</f>
        <v>45000000</v>
      </c>
      <c r="E9" s="62">
        <f>E30</f>
        <v>-3708870.0000000005</v>
      </c>
      <c r="F9" s="54">
        <f>F30</f>
        <v>6908000.0000000056</v>
      </c>
      <c r="G9" s="62">
        <v>-3000000</v>
      </c>
      <c r="H9" s="47"/>
      <c r="I9" s="54">
        <f>I7*I8</f>
        <v>2305155.6300000004</v>
      </c>
      <c r="J9" s="47"/>
      <c r="K9" s="54">
        <f>SUM(K7:K8)</f>
        <v>1670000</v>
      </c>
      <c r="M9" s="63">
        <f>I7+I9+K9</f>
        <v>49174285.63000001</v>
      </c>
      <c r="O9" s="79" t="s">
        <v>233</v>
      </c>
      <c r="P9" s="94">
        <f>SUM(P5:P8)</f>
        <v>49.317307999999997</v>
      </c>
      <c r="Q9" s="94">
        <f t="shared" ref="Q9:R9" si="0">SUM(Q5:Q8)</f>
        <v>45.36928563</v>
      </c>
      <c r="R9" s="94">
        <f t="shared" si="0"/>
        <v>42.266285629999999</v>
      </c>
    </row>
    <row r="10" spans="2:18">
      <c r="C10" s="47"/>
      <c r="O10" s="79"/>
      <c r="P10" s="93"/>
      <c r="Q10" s="93"/>
      <c r="R10" s="93"/>
    </row>
    <row r="11" spans="2:18" ht="13.5" thickBot="1">
      <c r="C11" s="47"/>
      <c r="O11" s="81" t="s">
        <v>228</v>
      </c>
      <c r="P11" s="87">
        <f>C4/1000000</f>
        <v>4.5</v>
      </c>
      <c r="Q11" s="78">
        <f>P11</f>
        <v>4.5</v>
      </c>
      <c r="R11" s="87">
        <f>Q11</f>
        <v>4.5</v>
      </c>
    </row>
    <row r="12" spans="2:18" ht="13.5" thickBot="1">
      <c r="B12" s="46" t="s">
        <v>178</v>
      </c>
      <c r="C12" s="55">
        <f>C4/M9</f>
        <v>9.1511242966683018E-2</v>
      </c>
      <c r="D12" s="3"/>
      <c r="E12" s="56"/>
      <c r="F12" s="56"/>
      <c r="G12" s="56"/>
      <c r="O12" s="79"/>
      <c r="P12" s="87"/>
      <c r="Q12" s="78"/>
      <c r="R12" s="87"/>
    </row>
    <row r="13" spans="2:18">
      <c r="O13" s="82" t="s">
        <v>231</v>
      </c>
      <c r="P13" s="88">
        <f>P11/P9</f>
        <v>9.1245856322895807E-2</v>
      </c>
      <c r="Q13" s="88">
        <f t="shared" ref="Q13" si="1">Q11/Q9</f>
        <v>9.9186044865216455E-2</v>
      </c>
      <c r="R13" s="88">
        <f>R11/R9</f>
        <v>0.10646783678587468</v>
      </c>
    </row>
    <row r="14" spans="2:18">
      <c r="B14" s="67"/>
      <c r="C14" s="68"/>
      <c r="D14" s="68"/>
      <c r="E14" s="68"/>
      <c r="F14" s="68"/>
      <c r="G14" s="68"/>
      <c r="H14" s="68"/>
      <c r="I14" s="68"/>
      <c r="J14" s="68"/>
      <c r="K14" s="68"/>
      <c r="O14" s="46"/>
      <c r="P14" s="46"/>
      <c r="Q14" s="46"/>
      <c r="R14" s="46"/>
    </row>
    <row r="15" spans="2:18">
      <c r="B15" s="3" t="s">
        <v>179</v>
      </c>
      <c r="O15" s="46"/>
      <c r="P15" s="46"/>
      <c r="Q15" s="46"/>
      <c r="R15" s="46"/>
    </row>
    <row r="16" spans="2:18">
      <c r="B16" s="46" t="s">
        <v>187</v>
      </c>
      <c r="D16" s="47"/>
      <c r="E16" s="47"/>
      <c r="F16" s="47"/>
      <c r="G16" s="47"/>
      <c r="M16" s="65">
        <f>-F9</f>
        <v>-6908000.0000000056</v>
      </c>
      <c r="O16" s="46"/>
      <c r="P16" s="46"/>
      <c r="Q16" s="46"/>
      <c r="R16" s="46"/>
    </row>
    <row r="17" spans="2:18">
      <c r="B17" s="46"/>
      <c r="D17" s="47"/>
      <c r="E17" s="47"/>
      <c r="F17" s="47"/>
      <c r="G17" s="47"/>
      <c r="M17" s="65"/>
      <c r="O17" s="92"/>
      <c r="P17" s="90" t="s">
        <v>240</v>
      </c>
      <c r="Q17" s="83" t="s">
        <v>242</v>
      </c>
      <c r="R17" s="90" t="s">
        <v>241</v>
      </c>
    </row>
    <row r="18" spans="2:18">
      <c r="B18" s="46" t="s">
        <v>189</v>
      </c>
      <c r="C18" s="47"/>
      <c r="D18" s="47"/>
      <c r="E18" s="47"/>
      <c r="F18" s="47"/>
      <c r="G18" s="47"/>
      <c r="M18" s="63">
        <f>M9+M16</f>
        <v>42266285.630000003</v>
      </c>
      <c r="O18" s="92"/>
      <c r="P18" s="91" t="s">
        <v>227</v>
      </c>
      <c r="Q18" s="84" t="s">
        <v>227</v>
      </c>
      <c r="R18" s="91" t="s">
        <v>227</v>
      </c>
    </row>
    <row r="19" spans="2:18" ht="13.5" thickBot="1">
      <c r="B19" s="46"/>
      <c r="C19" s="47"/>
      <c r="D19" s="47"/>
      <c r="E19" s="47"/>
      <c r="F19" s="47"/>
      <c r="G19" s="47"/>
      <c r="M19" s="47"/>
      <c r="O19" s="85"/>
      <c r="P19" s="85"/>
      <c r="Q19" s="78"/>
      <c r="R19" s="89"/>
    </row>
    <row r="20" spans="2:18" ht="13.5" thickBot="1">
      <c r="B20" s="66" t="s">
        <v>188</v>
      </c>
      <c r="C20" s="60">
        <f>C4/M18</f>
        <v>0.10646783678587467</v>
      </c>
      <c r="D20" s="47"/>
      <c r="E20" s="47"/>
      <c r="F20" s="47"/>
      <c r="G20" s="47"/>
      <c r="O20" s="79" t="s">
        <v>234</v>
      </c>
      <c r="P20" s="86">
        <f>P5</f>
        <v>56.225308000000005</v>
      </c>
      <c r="Q20" s="86">
        <f t="shared" ref="Q20:R20" si="2">Q5</f>
        <v>52.277285630000009</v>
      </c>
      <c r="R20" s="86">
        <f t="shared" si="2"/>
        <v>49.174285630000007</v>
      </c>
    </row>
    <row r="21" spans="2:18">
      <c r="B21" s="57"/>
      <c r="C21" s="58"/>
      <c r="D21" s="47"/>
      <c r="E21" s="47"/>
      <c r="F21" s="47"/>
      <c r="G21" s="47"/>
      <c r="O21" s="79" t="s">
        <v>235</v>
      </c>
      <c r="P21" s="87"/>
      <c r="Q21" s="78"/>
      <c r="R21" s="87"/>
    </row>
    <row r="22" spans="2:18">
      <c r="O22" s="79"/>
      <c r="P22" s="86"/>
      <c r="Q22" s="86"/>
      <c r="R22" s="86"/>
    </row>
    <row r="23" spans="2:18">
      <c r="B23" s="319" t="s">
        <v>171</v>
      </c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1"/>
      <c r="O23" s="79" t="s">
        <v>236</v>
      </c>
      <c r="P23" s="93">
        <f>P8</f>
        <v>-6.9080000000000057</v>
      </c>
      <c r="Q23" s="93">
        <f t="shared" ref="Q23:R23" si="3">Q8</f>
        <v>-6.9080000000000057</v>
      </c>
      <c r="R23" s="93">
        <f t="shared" si="3"/>
        <v>-6.9080000000000057</v>
      </c>
    </row>
    <row r="24" spans="2:18">
      <c r="O24" s="79" t="s">
        <v>237</v>
      </c>
      <c r="P24" s="94">
        <f>SUM(P20:P23)</f>
        <v>49.317307999999997</v>
      </c>
      <c r="Q24" s="94">
        <f t="shared" ref="Q24:R24" si="4">SUM(Q20:Q23)</f>
        <v>45.36928563</v>
      </c>
      <c r="R24" s="94">
        <f t="shared" si="4"/>
        <v>42.266285629999999</v>
      </c>
    </row>
    <row r="25" spans="2:18" s="3" customFormat="1">
      <c r="B25" s="46" t="s">
        <v>172</v>
      </c>
      <c r="C25" s="47">
        <f>C4</f>
        <v>4500000</v>
      </c>
      <c r="D25"/>
      <c r="E25"/>
      <c r="F25"/>
      <c r="G25"/>
      <c r="H25"/>
      <c r="I25"/>
      <c r="J25"/>
      <c r="K25"/>
      <c r="O25" s="79"/>
      <c r="P25" s="93"/>
      <c r="Q25" s="93"/>
      <c r="R25" s="93"/>
    </row>
    <row r="26" spans="2:18" s="3" customFormat="1">
      <c r="B26" s="46"/>
      <c r="C26" s="47"/>
      <c r="D26"/>
      <c r="E26"/>
      <c r="F26"/>
      <c r="G26"/>
      <c r="H26"/>
      <c r="I26"/>
      <c r="J26"/>
      <c r="K26"/>
      <c r="O26" s="81" t="s">
        <v>238</v>
      </c>
      <c r="P26" s="87">
        <f>P11</f>
        <v>4.5</v>
      </c>
      <c r="Q26" s="87">
        <f t="shared" ref="Q26:R26" si="5">Q11</f>
        <v>4.5</v>
      </c>
      <c r="R26" s="87">
        <f t="shared" si="5"/>
        <v>4.5</v>
      </c>
    </row>
    <row r="27" spans="2:18">
      <c r="B27" s="46"/>
      <c r="C27" s="48"/>
      <c r="E27" s="50" t="s">
        <v>184</v>
      </c>
      <c r="F27" s="50" t="s">
        <v>185</v>
      </c>
      <c r="G27" s="50" t="s">
        <v>181</v>
      </c>
      <c r="H27" s="64"/>
      <c r="I27" s="50" t="s">
        <v>186</v>
      </c>
      <c r="J27" s="50"/>
      <c r="K27" s="50" t="s">
        <v>173</v>
      </c>
      <c r="L27" s="64"/>
      <c r="M27" s="53" t="s">
        <v>177</v>
      </c>
      <c r="O27" s="79"/>
      <c r="P27" s="87"/>
      <c r="Q27" s="78"/>
      <c r="R27" s="87"/>
    </row>
    <row r="28" spans="2:18">
      <c r="B28" s="46"/>
      <c r="C28" s="48"/>
      <c r="E28" s="49"/>
      <c r="F28" s="49"/>
      <c r="G28" s="49"/>
      <c r="H28" s="51" t="s">
        <v>174</v>
      </c>
      <c r="I28" s="52">
        <f>C30+E30+F30+G30</f>
        <v>48199130.000000007</v>
      </c>
      <c r="J28" s="51" t="s">
        <v>175</v>
      </c>
      <c r="K28" s="47">
        <v>620000</v>
      </c>
      <c r="L28" s="47"/>
      <c r="M28" s="47"/>
      <c r="N28" s="47"/>
      <c r="O28" s="82" t="s">
        <v>239</v>
      </c>
      <c r="P28" s="88">
        <f>P26/P24</f>
        <v>9.1245856322895807E-2</v>
      </c>
      <c r="Q28" s="88">
        <f t="shared" ref="Q28:R28" si="6">Q26/Q24</f>
        <v>9.9186044865216455E-2</v>
      </c>
      <c r="R28" s="88">
        <f t="shared" si="6"/>
        <v>0.10646783678587468</v>
      </c>
    </row>
    <row r="29" spans="2:18">
      <c r="C29" s="48"/>
      <c r="F29" s="61"/>
      <c r="G29" s="61"/>
      <c r="I29" s="48">
        <v>5.0999999999999997E-2</v>
      </c>
      <c r="J29" s="51" t="s">
        <v>176</v>
      </c>
      <c r="K29" s="47">
        <v>1000000</v>
      </c>
      <c r="O29" s="3"/>
      <c r="P29" s="3"/>
      <c r="Q29" s="3"/>
      <c r="R29" s="3"/>
    </row>
    <row r="30" spans="2:18">
      <c r="B30" s="46" t="s">
        <v>183</v>
      </c>
      <c r="C30" s="54">
        <f>C9</f>
        <v>45000000</v>
      </c>
      <c r="E30" s="62">
        <f>-'BP 14 12 2010'!K102*1000</f>
        <v>-3708870.0000000005</v>
      </c>
      <c r="F30" s="54">
        <f>(('BP 14 12 2010'!L101-'BP 14 12 2010'!L88)*1000)-E30</f>
        <v>6908000.0000000056</v>
      </c>
      <c r="G30" s="54">
        <v>0</v>
      </c>
      <c r="H30" s="47"/>
      <c r="I30" s="54">
        <f>I28*I29</f>
        <v>2458155.6300000004</v>
      </c>
      <c r="J30" s="47"/>
      <c r="K30" s="54">
        <f>SUM(K28:K29)</f>
        <v>1620000</v>
      </c>
      <c r="M30" s="63">
        <f>I28+I30+K30</f>
        <v>52277285.63000001</v>
      </c>
      <c r="O30" s="3"/>
      <c r="P30" s="3"/>
      <c r="Q30" s="3"/>
      <c r="R30" s="3"/>
    </row>
    <row r="31" spans="2:18">
      <c r="C31" s="47"/>
    </row>
    <row r="32" spans="2:18" ht="13.5" thickBot="1">
      <c r="C32" s="47"/>
      <c r="O32" s="47"/>
    </row>
    <row r="33" spans="2:18" ht="13.5" thickBot="1">
      <c r="B33" s="46" t="s">
        <v>178</v>
      </c>
      <c r="C33" s="55">
        <f>C25/M30</f>
        <v>8.6079450104762437E-2</v>
      </c>
      <c r="D33" s="3"/>
      <c r="E33" s="56"/>
      <c r="F33" s="56"/>
      <c r="G33" s="56"/>
    </row>
    <row r="35" spans="2:18">
      <c r="B35" s="67"/>
      <c r="C35" s="68"/>
      <c r="D35" s="68"/>
      <c r="E35" s="68"/>
      <c r="F35" s="68"/>
      <c r="G35" s="68"/>
      <c r="H35" s="68"/>
      <c r="I35" s="68"/>
      <c r="J35" s="68"/>
      <c r="K35" s="68"/>
    </row>
    <row r="36" spans="2:18">
      <c r="B36" s="3" t="s">
        <v>179</v>
      </c>
    </row>
    <row r="37" spans="2:18">
      <c r="B37" s="46" t="s">
        <v>187</v>
      </c>
      <c r="D37" s="47"/>
      <c r="E37" s="47"/>
      <c r="F37" s="47"/>
      <c r="G37" s="47"/>
      <c r="M37" s="65">
        <f>-F30</f>
        <v>-6908000.0000000056</v>
      </c>
    </row>
    <row r="38" spans="2:18">
      <c r="B38" s="46"/>
      <c r="D38" s="47"/>
      <c r="E38" s="47"/>
      <c r="F38" s="47"/>
      <c r="G38" s="47"/>
      <c r="M38" s="65"/>
    </row>
    <row r="39" spans="2:18">
      <c r="B39" s="46" t="s">
        <v>189</v>
      </c>
      <c r="C39" s="47"/>
      <c r="D39" s="47"/>
      <c r="E39" s="47"/>
      <c r="F39" s="47"/>
      <c r="G39" s="47"/>
      <c r="M39" s="63">
        <f>M30+M37</f>
        <v>45369285.630000003</v>
      </c>
    </row>
    <row r="40" spans="2:18" ht="13.5" thickBot="1">
      <c r="B40" s="46"/>
      <c r="C40" s="47"/>
      <c r="D40" s="47"/>
      <c r="E40" s="47"/>
      <c r="F40" s="47"/>
      <c r="G40" s="47"/>
      <c r="M40" s="47"/>
    </row>
    <row r="41" spans="2:18" ht="13.5" thickBot="1">
      <c r="B41" s="66" t="s">
        <v>188</v>
      </c>
      <c r="C41" s="60">
        <f>C25/M39</f>
        <v>9.9186044865216441E-2</v>
      </c>
      <c r="D41" s="47"/>
      <c r="E41" s="47"/>
      <c r="F41" s="47"/>
      <c r="G41" s="47"/>
    </row>
    <row r="42" spans="2:18">
      <c r="B42" s="57"/>
      <c r="C42" s="47"/>
      <c r="D42" s="47"/>
      <c r="E42" s="47"/>
      <c r="F42" s="47"/>
      <c r="G42" s="47"/>
      <c r="M42" s="58"/>
    </row>
    <row r="43" spans="2:18">
      <c r="C43" s="47"/>
    </row>
    <row r="44" spans="2:18">
      <c r="B44" s="319" t="s">
        <v>182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1"/>
    </row>
    <row r="45" spans="2:18">
      <c r="B45" s="3"/>
      <c r="C45" s="59"/>
      <c r="D45" s="3"/>
      <c r="E45" s="3"/>
      <c r="F45" s="3"/>
      <c r="G45" s="3"/>
      <c r="H45" s="3"/>
      <c r="I45" s="3"/>
      <c r="J45" s="3"/>
      <c r="K45" s="3"/>
    </row>
    <row r="46" spans="2:18" s="3" customFormat="1">
      <c r="B46" s="46" t="s">
        <v>172</v>
      </c>
      <c r="C46" s="47">
        <f>C4</f>
        <v>4500000</v>
      </c>
      <c r="D46"/>
      <c r="E46"/>
      <c r="F46"/>
      <c r="G46"/>
      <c r="H46"/>
      <c r="I46"/>
      <c r="J46"/>
      <c r="K46"/>
      <c r="O46"/>
      <c r="P46"/>
      <c r="Q46"/>
      <c r="R46"/>
    </row>
    <row r="47" spans="2:18" s="3" customFormat="1">
      <c r="B47" s="46"/>
      <c r="C47" s="47"/>
      <c r="D47"/>
      <c r="E47"/>
      <c r="F47"/>
      <c r="G47"/>
      <c r="H47"/>
      <c r="I47"/>
      <c r="J47"/>
      <c r="K47"/>
      <c r="O47"/>
      <c r="P47"/>
      <c r="Q47"/>
      <c r="R47"/>
    </row>
    <row r="48" spans="2:18">
      <c r="B48" s="46"/>
      <c r="C48" s="48"/>
      <c r="E48" s="50" t="s">
        <v>184</v>
      </c>
      <c r="F48" s="50" t="s">
        <v>185</v>
      </c>
      <c r="G48" s="50" t="s">
        <v>181</v>
      </c>
      <c r="H48" s="64"/>
      <c r="I48" s="50" t="s">
        <v>186</v>
      </c>
      <c r="J48" s="50"/>
      <c r="K48" s="50" t="s">
        <v>173</v>
      </c>
      <c r="L48" s="64"/>
      <c r="M48" s="53" t="s">
        <v>177</v>
      </c>
    </row>
    <row r="49" spans="2:18">
      <c r="B49" s="46"/>
      <c r="C49" s="48"/>
      <c r="E49" s="49"/>
      <c r="F49" s="49"/>
      <c r="G49" s="49"/>
      <c r="H49" s="51" t="s">
        <v>174</v>
      </c>
      <c r="I49" s="52">
        <f>C51+E51+F51+G51</f>
        <v>51908000.000000007</v>
      </c>
      <c r="J49" s="51" t="s">
        <v>175</v>
      </c>
      <c r="K49" s="47">
        <v>670000</v>
      </c>
      <c r="L49" s="47"/>
      <c r="M49" s="47"/>
      <c r="N49" s="47"/>
    </row>
    <row r="50" spans="2:18">
      <c r="C50" s="48"/>
      <c r="F50" s="61"/>
      <c r="G50" s="61"/>
      <c r="I50" s="48">
        <v>5.0999999999999997E-2</v>
      </c>
      <c r="J50" s="51" t="s">
        <v>176</v>
      </c>
      <c r="K50" s="47">
        <v>1000000</v>
      </c>
      <c r="O50" s="3"/>
      <c r="P50" s="3"/>
      <c r="Q50" s="3"/>
      <c r="R50" s="3"/>
    </row>
    <row r="51" spans="2:18">
      <c r="B51" s="46" t="s">
        <v>183</v>
      </c>
      <c r="C51" s="54">
        <f>C9</f>
        <v>45000000</v>
      </c>
      <c r="E51" s="62">
        <v>0</v>
      </c>
      <c r="F51" s="54">
        <f>F30</f>
        <v>6908000.0000000056</v>
      </c>
      <c r="G51" s="62">
        <v>0</v>
      </c>
      <c r="H51" s="47"/>
      <c r="I51" s="54">
        <f>I49*I50</f>
        <v>2647308</v>
      </c>
      <c r="J51" s="47"/>
      <c r="K51" s="54">
        <f>SUM(K49:K50)</f>
        <v>1670000</v>
      </c>
      <c r="M51" s="63">
        <f>I49+I51+K51</f>
        <v>56225308.000000007</v>
      </c>
      <c r="O51" s="3"/>
      <c r="P51" s="3"/>
      <c r="Q51" s="3"/>
      <c r="R51" s="3"/>
    </row>
    <row r="52" spans="2:18">
      <c r="C52" s="47"/>
    </row>
    <row r="53" spans="2:18" ht="13.5" thickBot="1">
      <c r="C53" s="47"/>
      <c r="O53" s="47"/>
    </row>
    <row r="54" spans="2:18" ht="13.5" thickBot="1">
      <c r="B54" s="46" t="s">
        <v>178</v>
      </c>
      <c r="C54" s="55">
        <f>C46/M51</f>
        <v>8.003513293337583E-2</v>
      </c>
      <c r="D54" s="3"/>
      <c r="E54" s="56"/>
      <c r="F54" s="56"/>
      <c r="G54" s="56"/>
    </row>
    <row r="56" spans="2:18">
      <c r="B56" s="67"/>
      <c r="C56" s="68"/>
      <c r="D56" s="68"/>
      <c r="E56" s="68"/>
      <c r="F56" s="68"/>
      <c r="G56" s="68"/>
      <c r="H56" s="68"/>
      <c r="I56" s="68"/>
      <c r="J56" s="68"/>
      <c r="K56" s="68"/>
    </row>
    <row r="57" spans="2:18">
      <c r="B57" s="3" t="s">
        <v>179</v>
      </c>
    </row>
    <row r="58" spans="2:18">
      <c r="B58" s="46" t="s">
        <v>187</v>
      </c>
      <c r="D58" s="47"/>
      <c r="E58" s="47"/>
      <c r="F58" s="47"/>
      <c r="G58" s="47"/>
      <c r="M58" s="65">
        <f>-F51</f>
        <v>-6908000.0000000056</v>
      </c>
    </row>
    <row r="59" spans="2:18">
      <c r="B59" s="46"/>
      <c r="D59" s="47"/>
      <c r="E59" s="47"/>
      <c r="F59" s="47"/>
      <c r="G59" s="47"/>
      <c r="M59" s="65"/>
    </row>
    <row r="60" spans="2:18">
      <c r="B60" s="46" t="s">
        <v>189</v>
      </c>
      <c r="C60" s="47"/>
      <c r="D60" s="47"/>
      <c r="E60" s="47"/>
      <c r="F60" s="47"/>
      <c r="G60" s="47"/>
      <c r="M60" s="63">
        <f>M51+M58</f>
        <v>49317308</v>
      </c>
    </row>
    <row r="61" spans="2:18" ht="13.5" thickBot="1">
      <c r="B61" s="46"/>
      <c r="C61" s="47"/>
      <c r="D61" s="47"/>
      <c r="E61" s="47"/>
      <c r="F61" s="47"/>
      <c r="G61" s="47"/>
      <c r="M61" s="47"/>
    </row>
    <row r="62" spans="2:18" ht="13.5" thickBot="1">
      <c r="B62" s="66" t="s">
        <v>188</v>
      </c>
      <c r="C62" s="60">
        <f>C46/M60</f>
        <v>9.1245856322895807E-2</v>
      </c>
      <c r="D62" s="47"/>
      <c r="E62" s="47"/>
      <c r="F62" s="47"/>
      <c r="G62" s="47"/>
    </row>
  </sheetData>
  <mergeCells count="3">
    <mergeCell ref="B2:M2"/>
    <mergeCell ref="B23:M23"/>
    <mergeCell ref="B44:M44"/>
  </mergeCells>
  <pageMargins left="0.25" right="0.25" top="0.75" bottom="0.75" header="0.3" footer="0.3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BP 14 12 2010</vt:lpstr>
      <vt:lpstr>BP 14 simu</vt:lpstr>
      <vt:lpstr>BP 14 simu 140111</vt:lpstr>
      <vt:lpstr>Mécanique PV vendeur</vt:lpstr>
      <vt:lpstr>Agenda Vente MURE</vt:lpstr>
      <vt:lpstr>Exploit Mure</vt:lpstr>
      <vt:lpstr>Bil Mure (2)</vt:lpstr>
      <vt:lpstr>Bil détails</vt:lpstr>
      <vt:lpstr>Rentabilite synth</vt:lpstr>
      <vt:lpstr>tri actionnaires</vt:lpstr>
      <vt:lpstr>tri act. modifié</vt:lpstr>
      <vt:lpstr>BP extension</vt:lpstr>
      <vt:lpstr>Feuil1</vt:lpstr>
      <vt:lpstr>'BP 14 12 2010'!Zone_d_impression</vt:lpstr>
    </vt:vector>
  </TitlesOfParts>
  <Company>Physcience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evelyne</cp:lastModifiedBy>
  <cp:lastPrinted>2011-01-13T20:38:58Z</cp:lastPrinted>
  <dcterms:created xsi:type="dcterms:W3CDTF">2003-11-16T10:21:26Z</dcterms:created>
  <dcterms:modified xsi:type="dcterms:W3CDTF">2011-01-23T18:52:18Z</dcterms:modified>
</cp:coreProperties>
</file>