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5195" windowHeight="7935" activeTab="2"/>
  </bookViews>
  <sheets>
    <sheet name="Feuil1 (2)" sheetId="4" r:id="rId1"/>
    <sheet name="Revision 1" sheetId="1" r:id="rId2"/>
    <sheet name="Revision 2" sheetId="5" r:id="rId3"/>
    <sheet name="Feuil2" sheetId="2" r:id="rId4"/>
    <sheet name="Feuil3" sheetId="3" r:id="rId5"/>
  </sheets>
  <calcPr calcId="125725"/>
</workbook>
</file>

<file path=xl/calcChain.xml><?xml version="1.0" encoding="utf-8"?>
<calcChain xmlns="http://schemas.openxmlformats.org/spreadsheetml/2006/main">
  <c r="I8" i="5"/>
  <c r="F8"/>
  <c r="F42" s="1"/>
  <c r="F1" s="1"/>
  <c r="E8"/>
  <c r="F17"/>
  <c r="G17"/>
  <c r="H17"/>
  <c r="I17"/>
  <c r="C17"/>
  <c r="C15"/>
  <c r="F15"/>
  <c r="F18" s="1"/>
  <c r="F38" s="1"/>
  <c r="A54"/>
  <c r="A45"/>
  <c r="A40"/>
  <c r="K37"/>
  <c r="I37"/>
  <c r="H37"/>
  <c r="G37"/>
  <c r="F37"/>
  <c r="E37"/>
  <c r="D37"/>
  <c r="C37"/>
  <c r="B37"/>
  <c r="B44" s="1"/>
  <c r="L36"/>
  <c r="L35"/>
  <c r="A33"/>
  <c r="K31"/>
  <c r="K43" s="1"/>
  <c r="G31"/>
  <c r="G32" s="1"/>
  <c r="C31"/>
  <c r="C43" s="1"/>
  <c r="H30"/>
  <c r="H31" s="1"/>
  <c r="F30"/>
  <c r="F31" s="1"/>
  <c r="F43" s="1"/>
  <c r="E30"/>
  <c r="E31" s="1"/>
  <c r="D30"/>
  <c r="D31" s="1"/>
  <c r="D43" s="1"/>
  <c r="C30"/>
  <c r="B30"/>
  <c r="L29"/>
  <c r="L28"/>
  <c r="I28"/>
  <c r="I31" s="1"/>
  <c r="L27"/>
  <c r="L31" s="1"/>
  <c r="B27"/>
  <c r="A26"/>
  <c r="L25"/>
  <c r="F24"/>
  <c r="E24"/>
  <c r="D24"/>
  <c r="C24"/>
  <c r="L23"/>
  <c r="K23"/>
  <c r="L22"/>
  <c r="I42"/>
  <c r="I1" s="1"/>
  <c r="G22"/>
  <c r="D22"/>
  <c r="B22"/>
  <c r="B42" s="1"/>
  <c r="B1" s="1"/>
  <c r="L20"/>
  <c r="L41" s="1"/>
  <c r="K20"/>
  <c r="K41" s="1"/>
  <c r="I20"/>
  <c r="I41" s="1"/>
  <c r="H20"/>
  <c r="H41" s="1"/>
  <c r="G20"/>
  <c r="G41" s="1"/>
  <c r="F20"/>
  <c r="F41" s="1"/>
  <c r="E20"/>
  <c r="E41" s="1"/>
  <c r="D20"/>
  <c r="D41" s="1"/>
  <c r="C20"/>
  <c r="C41" s="1"/>
  <c r="B20"/>
  <c r="B41" s="1"/>
  <c r="A19"/>
  <c r="L17"/>
  <c r="L14"/>
  <c r="K14"/>
  <c r="I14"/>
  <c r="H14"/>
  <c r="G14"/>
  <c r="F14"/>
  <c r="E14"/>
  <c r="D14"/>
  <c r="C14"/>
  <c r="B14"/>
  <c r="A13"/>
  <c r="K12"/>
  <c r="K15" s="1"/>
  <c r="K18" s="1"/>
  <c r="K38" s="1"/>
  <c r="K39" s="1"/>
  <c r="J12"/>
  <c r="H12"/>
  <c r="G12"/>
  <c r="B12"/>
  <c r="B15" s="1"/>
  <c r="L11"/>
  <c r="L12" s="1"/>
  <c r="K9"/>
  <c r="L8"/>
  <c r="H8"/>
  <c r="D8"/>
  <c r="D17" s="1"/>
  <c r="B8"/>
  <c r="B17" s="1"/>
  <c r="K7"/>
  <c r="L6"/>
  <c r="G6"/>
  <c r="G8" s="1"/>
  <c r="G42" s="1"/>
  <c r="G1" s="1"/>
  <c r="E6"/>
  <c r="C6"/>
  <c r="C8" s="1"/>
  <c r="L5"/>
  <c r="A3"/>
  <c r="D1"/>
  <c r="E8" i="1"/>
  <c r="C12"/>
  <c r="D12"/>
  <c r="F12"/>
  <c r="G12"/>
  <c r="H12"/>
  <c r="I12"/>
  <c r="J12"/>
  <c r="K12"/>
  <c r="L12"/>
  <c r="M12"/>
  <c r="B12"/>
  <c r="C15"/>
  <c r="D15"/>
  <c r="E15"/>
  <c r="F15"/>
  <c r="G15"/>
  <c r="H15"/>
  <c r="I15"/>
  <c r="J15"/>
  <c r="L15"/>
  <c r="M15"/>
  <c r="B15"/>
  <c r="O37"/>
  <c r="G8"/>
  <c r="I8"/>
  <c r="J8"/>
  <c r="G18"/>
  <c r="G38" s="1"/>
  <c r="G39" s="1"/>
  <c r="G14"/>
  <c r="G20"/>
  <c r="G34"/>
  <c r="G41"/>
  <c r="G37"/>
  <c r="G30"/>
  <c r="G31"/>
  <c r="G43" s="1"/>
  <c r="G44" s="1"/>
  <c r="G22"/>
  <c r="G42" s="1"/>
  <c r="G1" s="1"/>
  <c r="G24"/>
  <c r="G32" s="1"/>
  <c r="A3" i="4"/>
  <c r="AF5"/>
  <c r="E6"/>
  <c r="H6"/>
  <c r="N6"/>
  <c r="N8" s="1"/>
  <c r="T6"/>
  <c r="AF6"/>
  <c r="AC7"/>
  <c r="B8"/>
  <c r="E8"/>
  <c r="H8"/>
  <c r="K8"/>
  <c r="Q8"/>
  <c r="T8"/>
  <c r="W8"/>
  <c r="Z8"/>
  <c r="AF8"/>
  <c r="AF7" s="1"/>
  <c r="AC9"/>
  <c r="AF11"/>
  <c r="AF14" s="1"/>
  <c r="AF17" s="1"/>
  <c r="AF37" s="1"/>
  <c r="AF38" s="1"/>
  <c r="A12"/>
  <c r="B13"/>
  <c r="B14"/>
  <c r="E14"/>
  <c r="H14"/>
  <c r="K14"/>
  <c r="Q14"/>
  <c r="T14"/>
  <c r="W14"/>
  <c r="Z14"/>
  <c r="AC14"/>
  <c r="B16"/>
  <c r="B17" s="1"/>
  <c r="B37" s="1"/>
  <c r="B38" s="1"/>
  <c r="H16"/>
  <c r="K16"/>
  <c r="AF16"/>
  <c r="E17"/>
  <c r="H17"/>
  <c r="K17"/>
  <c r="Q17"/>
  <c r="T17"/>
  <c r="W17"/>
  <c r="Z17"/>
  <c r="AC17"/>
  <c r="A18"/>
  <c r="B19"/>
  <c r="B21"/>
  <c r="E21"/>
  <c r="H21"/>
  <c r="K21"/>
  <c r="N21"/>
  <c r="Q21"/>
  <c r="T21"/>
  <c r="W21"/>
  <c r="Z21"/>
  <c r="AF21"/>
  <c r="AC22"/>
  <c r="AF22"/>
  <c r="E23"/>
  <c r="K23"/>
  <c r="N23"/>
  <c r="Q23"/>
  <c r="AF24"/>
  <c r="A25"/>
  <c r="B26"/>
  <c r="AF26"/>
  <c r="AF30" s="1"/>
  <c r="Z27"/>
  <c r="AF27"/>
  <c r="AF28"/>
  <c r="B29"/>
  <c r="B30" s="1"/>
  <c r="B31" s="1"/>
  <c r="E29"/>
  <c r="H29"/>
  <c r="H30" s="1"/>
  <c r="K29"/>
  <c r="N29"/>
  <c r="N30" s="1"/>
  <c r="Q29"/>
  <c r="W29"/>
  <c r="E30"/>
  <c r="E31" s="1"/>
  <c r="K30"/>
  <c r="K31" s="1"/>
  <c r="Q30"/>
  <c r="Q31" s="1"/>
  <c r="T30"/>
  <c r="W30"/>
  <c r="W31" s="1"/>
  <c r="Z30"/>
  <c r="AC30"/>
  <c r="AC31" s="1"/>
  <c r="T31"/>
  <c r="Z31"/>
  <c r="A32"/>
  <c r="B33"/>
  <c r="AF34"/>
  <c r="AF35" s="1"/>
  <c r="B36"/>
  <c r="E36"/>
  <c r="H36"/>
  <c r="K36"/>
  <c r="N36"/>
  <c r="Q36"/>
  <c r="T36"/>
  <c r="W36"/>
  <c r="Z36"/>
  <c r="AC36"/>
  <c r="E37"/>
  <c r="H37"/>
  <c r="H38" s="1"/>
  <c r="K37"/>
  <c r="Q37"/>
  <c r="T37"/>
  <c r="T38" s="1"/>
  <c r="W37"/>
  <c r="Z37"/>
  <c r="Z38" s="1"/>
  <c r="AC37"/>
  <c r="E38"/>
  <c r="K38"/>
  <c r="Q38"/>
  <c r="W38"/>
  <c r="AC38"/>
  <c r="A39"/>
  <c r="B40"/>
  <c r="B41"/>
  <c r="E41"/>
  <c r="H41"/>
  <c r="K41"/>
  <c r="Q41"/>
  <c r="T41"/>
  <c r="W41"/>
  <c r="Z41"/>
  <c r="E42"/>
  <c r="K42"/>
  <c r="Q42"/>
  <c r="T42"/>
  <c r="T43" s="1"/>
  <c r="W42"/>
  <c r="Z42"/>
  <c r="Z43" s="1"/>
  <c r="AC42"/>
  <c r="B43"/>
  <c r="E43"/>
  <c r="K43"/>
  <c r="Q43"/>
  <c r="W43"/>
  <c r="AC43"/>
  <c r="A44"/>
  <c r="A53"/>
  <c r="F20" i="1"/>
  <c r="F41"/>
  <c r="J20"/>
  <c r="J41"/>
  <c r="D34"/>
  <c r="F34"/>
  <c r="J34"/>
  <c r="L34"/>
  <c r="C20"/>
  <c r="C41" s="1"/>
  <c r="D20"/>
  <c r="D41" s="1"/>
  <c r="E20"/>
  <c r="E41" s="1"/>
  <c r="H20"/>
  <c r="H41" s="1"/>
  <c r="I20"/>
  <c r="I41" s="1"/>
  <c r="L20"/>
  <c r="L41" s="1"/>
  <c r="M20"/>
  <c r="M41" s="1"/>
  <c r="C14"/>
  <c r="D14"/>
  <c r="E14"/>
  <c r="F14"/>
  <c r="H14"/>
  <c r="I14"/>
  <c r="J14"/>
  <c r="L14"/>
  <c r="M14"/>
  <c r="E17"/>
  <c r="E37"/>
  <c r="M27"/>
  <c r="M28"/>
  <c r="M29"/>
  <c r="M31"/>
  <c r="M22"/>
  <c r="M23"/>
  <c r="M25"/>
  <c r="M32"/>
  <c r="M11"/>
  <c r="M17"/>
  <c r="M8"/>
  <c r="M6"/>
  <c r="M5"/>
  <c r="M35"/>
  <c r="A45"/>
  <c r="A40"/>
  <c r="A33"/>
  <c r="A26"/>
  <c r="A19"/>
  <c r="A13"/>
  <c r="A3"/>
  <c r="A54"/>
  <c r="M7"/>
  <c r="L31"/>
  <c r="L43" s="1"/>
  <c r="L37"/>
  <c r="L7"/>
  <c r="L18" s="1"/>
  <c r="L38" s="1"/>
  <c r="L39" s="1"/>
  <c r="L23"/>
  <c r="L32"/>
  <c r="L9"/>
  <c r="J22"/>
  <c r="J42" s="1"/>
  <c r="J1" s="1"/>
  <c r="J18"/>
  <c r="J38" s="1"/>
  <c r="J39" s="1"/>
  <c r="J37"/>
  <c r="J28"/>
  <c r="J31" s="1"/>
  <c r="I22"/>
  <c r="I42" s="1"/>
  <c r="I1" s="1"/>
  <c r="I37"/>
  <c r="I44" s="1"/>
  <c r="I30"/>
  <c r="I31"/>
  <c r="I32" s="1"/>
  <c r="I18"/>
  <c r="I38" s="1"/>
  <c r="I39" s="1"/>
  <c r="H22"/>
  <c r="H42" s="1"/>
  <c r="H1" s="1"/>
  <c r="H6"/>
  <c r="H8" s="1"/>
  <c r="H18" s="1"/>
  <c r="H38" s="1"/>
  <c r="H39" s="1"/>
  <c r="H37"/>
  <c r="H31"/>
  <c r="H32"/>
  <c r="H43"/>
  <c r="F30"/>
  <c r="F31" s="1"/>
  <c r="F22"/>
  <c r="F6"/>
  <c r="F8" s="1"/>
  <c r="F37"/>
  <c r="F24"/>
  <c r="D6"/>
  <c r="D8" s="1"/>
  <c r="C6"/>
  <c r="C8" s="1"/>
  <c r="C18" s="1"/>
  <c r="C38" s="1"/>
  <c r="C39" s="1"/>
  <c r="C22"/>
  <c r="E30"/>
  <c r="E31" s="1"/>
  <c r="E22"/>
  <c r="E1" s="1"/>
  <c r="E24"/>
  <c r="D30"/>
  <c r="D31"/>
  <c r="D43" s="1"/>
  <c r="D44" s="1"/>
  <c r="D37"/>
  <c r="D22"/>
  <c r="D42" s="1"/>
  <c r="D1" s="1"/>
  <c r="C30"/>
  <c r="C31" s="1"/>
  <c r="C37"/>
  <c r="C24"/>
  <c r="B14"/>
  <c r="B37"/>
  <c r="B44" s="1"/>
  <c r="B8"/>
  <c r="B17" s="1"/>
  <c r="B30"/>
  <c r="B31" s="1"/>
  <c r="B32" s="1"/>
  <c r="B27"/>
  <c r="B22"/>
  <c r="B42" s="1"/>
  <c r="B1" s="1"/>
  <c r="B20"/>
  <c r="B34"/>
  <c r="B41"/>
  <c r="M43"/>
  <c r="M18"/>
  <c r="M38" s="1"/>
  <c r="M39" s="1"/>
  <c r="I43"/>
  <c r="H44"/>
  <c r="M44"/>
  <c r="M36"/>
  <c r="F39" i="5" l="1"/>
  <c r="L15"/>
  <c r="L18" s="1"/>
  <c r="L38" s="1"/>
  <c r="L39" s="1"/>
  <c r="H15"/>
  <c r="H18" s="1"/>
  <c r="H38" s="1"/>
  <c r="H39" s="1"/>
  <c r="H42"/>
  <c r="H1" s="1"/>
  <c r="G43"/>
  <c r="G44" s="1"/>
  <c r="L7"/>
  <c r="I15"/>
  <c r="I38" s="1"/>
  <c r="I39" s="1"/>
  <c r="B31"/>
  <c r="B32" s="1"/>
  <c r="D44"/>
  <c r="E42"/>
  <c r="E1" s="1"/>
  <c r="E17"/>
  <c r="I43"/>
  <c r="I32"/>
  <c r="L43"/>
  <c r="L44" s="1"/>
  <c r="L32"/>
  <c r="E43"/>
  <c r="E32"/>
  <c r="H43"/>
  <c r="H32"/>
  <c r="B18"/>
  <c r="B38" s="1"/>
  <c r="B39" s="1"/>
  <c r="C44"/>
  <c r="F44"/>
  <c r="H44"/>
  <c r="K44"/>
  <c r="C18"/>
  <c r="C38" s="1"/>
  <c r="C39" s="1"/>
  <c r="E15"/>
  <c r="G15"/>
  <c r="G18" s="1"/>
  <c r="G38" s="1"/>
  <c r="G39" s="1"/>
  <c r="C42"/>
  <c r="C1" s="1"/>
  <c r="E44"/>
  <c r="I44"/>
  <c r="B34"/>
  <c r="E34"/>
  <c r="G34"/>
  <c r="I34"/>
  <c r="L34"/>
  <c r="D15"/>
  <c r="D18" s="1"/>
  <c r="D38" s="1"/>
  <c r="D39" s="1"/>
  <c r="C32"/>
  <c r="D32"/>
  <c r="F32"/>
  <c r="K32"/>
  <c r="C34"/>
  <c r="D34"/>
  <c r="F34"/>
  <c r="H34"/>
  <c r="K34"/>
  <c r="O37"/>
  <c r="E18" i="1"/>
  <c r="E38" s="1"/>
  <c r="E39" s="1"/>
  <c r="E43"/>
  <c r="E44" s="1"/>
  <c r="E32"/>
  <c r="F17"/>
  <c r="F43"/>
  <c r="F44" s="1"/>
  <c r="F32"/>
  <c r="J32"/>
  <c r="J43"/>
  <c r="J44" s="1"/>
  <c r="N14" i="4"/>
  <c r="N17" s="1"/>
  <c r="N37" s="1"/>
  <c r="N38" s="1"/>
  <c r="AI38" s="1"/>
  <c r="N16"/>
  <c r="N41"/>
  <c r="C43" i="1"/>
  <c r="C44" s="1"/>
  <c r="C32"/>
  <c r="D18"/>
  <c r="D38" s="1"/>
  <c r="D39" s="1"/>
  <c r="D17"/>
  <c r="N31" i="4"/>
  <c r="N42"/>
  <c r="N43" s="1"/>
  <c r="H31"/>
  <c r="H42"/>
  <c r="H43" s="1"/>
  <c r="AF31"/>
  <c r="AF42"/>
  <c r="AF43" s="1"/>
  <c r="C42" i="1"/>
  <c r="C1" s="1"/>
  <c r="F42"/>
  <c r="F1" s="1"/>
  <c r="L44"/>
  <c r="B18"/>
  <c r="B38" s="1"/>
  <c r="B39" s="1"/>
  <c r="D32"/>
  <c r="M34"/>
  <c r="H34"/>
  <c r="E34"/>
  <c r="C34"/>
  <c r="I34"/>
  <c r="E18" i="5" l="1"/>
  <c r="E38" s="1"/>
  <c r="E39" s="1"/>
  <c r="O39" s="1"/>
  <c r="F18" i="1"/>
  <c r="F38" s="1"/>
  <c r="F39" s="1"/>
  <c r="O39" s="1"/>
</calcChain>
</file>

<file path=xl/sharedStrings.xml><?xml version="1.0" encoding="utf-8"?>
<sst xmlns="http://schemas.openxmlformats.org/spreadsheetml/2006/main" count="500" uniqueCount="72">
  <si>
    <t>Revenus locatifs</t>
  </si>
  <si>
    <t>Ebit</t>
  </si>
  <si>
    <t>Res Fi</t>
  </si>
  <si>
    <t>res net</t>
  </si>
  <si>
    <t>amort</t>
  </si>
  <si>
    <t>charges</t>
  </si>
  <si>
    <t>Delta A</t>
  </si>
  <si>
    <t>Immo</t>
  </si>
  <si>
    <t>Clients</t>
  </si>
  <si>
    <t>Autres A</t>
  </si>
  <si>
    <t>Dispo</t>
  </si>
  <si>
    <t>Capropres</t>
  </si>
  <si>
    <t>defi</t>
  </si>
  <si>
    <t>fournisseurs</t>
  </si>
  <si>
    <t>autres P</t>
  </si>
  <si>
    <t>Total passif</t>
  </si>
  <si>
    <t>check</t>
  </si>
  <si>
    <t>Klép.</t>
  </si>
  <si>
    <t>Rev de cessions</t>
  </si>
  <si>
    <t>cours</t>
  </si>
  <si>
    <t>nbre titres</t>
  </si>
  <si>
    <t>capi</t>
  </si>
  <si>
    <t>Taux actual.app.</t>
  </si>
  <si>
    <t>cash flow d'exploit.</t>
  </si>
  <si>
    <t>FCF normatif</t>
  </si>
  <si>
    <t>Exploitation</t>
  </si>
  <si>
    <t>Bilans</t>
  </si>
  <si>
    <t>Delta bfr</t>
  </si>
  <si>
    <t>Invstmts</t>
  </si>
  <si>
    <t>Bêta</t>
  </si>
  <si>
    <t>ANR</t>
  </si>
  <si>
    <t>Amrt apparent(ans)</t>
  </si>
  <si>
    <t>Capi/ANR</t>
  </si>
  <si>
    <t>Fonc. Des Régions</t>
  </si>
  <si>
    <t>Icade</t>
  </si>
  <si>
    <t>Unibail Rodamco</t>
  </si>
  <si>
    <t>Gecina</t>
  </si>
  <si>
    <t>SILIC</t>
  </si>
  <si>
    <t>Mercyalis</t>
  </si>
  <si>
    <t>Hammerson</t>
  </si>
  <si>
    <t>British Land</t>
  </si>
  <si>
    <t>Land Securities</t>
  </si>
  <si>
    <t>1GBP=1,199€</t>
  </si>
  <si>
    <t>Moyenne bêta</t>
  </si>
  <si>
    <t>Comptes des foncières françaises</t>
  </si>
  <si>
    <t>Cr.LT</t>
  </si>
  <si>
    <t>TSR</t>
  </si>
  <si>
    <t>PR</t>
  </si>
  <si>
    <t>SFL</t>
  </si>
  <si>
    <t>CA</t>
  </si>
  <si>
    <t>Prod. Des act ordinaires</t>
  </si>
  <si>
    <t>Autres produits</t>
  </si>
  <si>
    <t>Résultat cess.</t>
  </si>
  <si>
    <t>Charges</t>
  </si>
  <si>
    <t>Amort</t>
  </si>
  <si>
    <t>EBIT</t>
  </si>
  <si>
    <t>Res fin</t>
  </si>
  <si>
    <t>Rés fi</t>
  </si>
  <si>
    <t>IS</t>
  </si>
  <si>
    <t>RN</t>
  </si>
  <si>
    <t>cash flow d'expl</t>
  </si>
  <si>
    <t>delta BFR</t>
  </si>
  <si>
    <t>Inv</t>
  </si>
  <si>
    <t>Bilan</t>
  </si>
  <si>
    <t>clients</t>
  </si>
  <si>
    <t>autres Actifs</t>
  </si>
  <si>
    <t>dispo</t>
  </si>
  <si>
    <t>Hammer-son</t>
  </si>
  <si>
    <t>=</t>
  </si>
  <si>
    <t>res net normatif</t>
  </si>
  <si>
    <t>Capitalisation</t>
  </si>
  <si>
    <t xml:space="preserve">Capitalisation 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</si>
</sst>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0.0"/>
    <numFmt numFmtId="165" formatCode="0.0000"/>
    <numFmt numFmtId="166" formatCode="0.000"/>
    <numFmt numFmtId="167" formatCode="0.0%"/>
  </numFmts>
  <fonts count="10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1" fontId="0" fillId="0" borderId="0" xfId="0" applyNumberFormat="1"/>
    <xf numFmtId="9" fontId="0" fillId="0" borderId="1" xfId="0" applyNumberFormat="1" applyBorder="1"/>
    <xf numFmtId="0" fontId="4" fillId="0" borderId="0" xfId="0" applyFont="1"/>
    <xf numFmtId="0" fontId="0" fillId="2" borderId="0" xfId="0" applyFill="1"/>
    <xf numFmtId="43" fontId="0" fillId="0" borderId="0" xfId="1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Fill="1"/>
    <xf numFmtId="14" fontId="0" fillId="0" borderId="0" xfId="0" applyNumberFormat="1"/>
    <xf numFmtId="2" fontId="0" fillId="0" borderId="0" xfId="0" applyNumberFormat="1"/>
    <xf numFmtId="1" fontId="4" fillId="0" borderId="0" xfId="0" applyNumberFormat="1" applyFont="1"/>
    <xf numFmtId="1" fontId="0" fillId="0" borderId="0" xfId="0" applyNumberFormat="1" applyFill="1"/>
    <xf numFmtId="1" fontId="4" fillId="0" borderId="0" xfId="0" applyNumberFormat="1" applyFont="1" applyFill="1"/>
    <xf numFmtId="0" fontId="5" fillId="0" borderId="0" xfId="0" applyFont="1"/>
    <xf numFmtId="164" fontId="6" fillId="0" borderId="0" xfId="0" applyNumberFormat="1" applyFont="1"/>
    <xf numFmtId="0" fontId="6" fillId="0" borderId="0" xfId="0" applyFont="1"/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right"/>
    </xf>
    <xf numFmtId="0" fontId="0" fillId="3" borderId="0" xfId="0" applyFill="1"/>
    <xf numFmtId="1" fontId="0" fillId="2" borderId="0" xfId="0" applyNumberFormat="1" applyFill="1"/>
    <xf numFmtId="0" fontId="4" fillId="2" borderId="0" xfId="0" applyFont="1" applyFill="1"/>
    <xf numFmtId="1" fontId="0" fillId="2" borderId="0" xfId="0" applyNumberFormat="1" applyFill="1" applyAlignment="1"/>
    <xf numFmtId="167" fontId="1" fillId="0" borderId="0" xfId="2" applyNumberFormat="1" applyFont="1"/>
    <xf numFmtId="9" fontId="1" fillId="0" borderId="0" xfId="2" applyFont="1"/>
    <xf numFmtId="164" fontId="5" fillId="0" borderId="0" xfId="2" applyNumberFormat="1" applyFont="1"/>
    <xf numFmtId="0" fontId="5" fillId="3" borderId="0" xfId="0" applyFont="1" applyFill="1"/>
    <xf numFmtId="164" fontId="5" fillId="0" borderId="0" xfId="0" applyNumberFormat="1" applyFont="1"/>
    <xf numFmtId="0" fontId="6" fillId="3" borderId="0" xfId="0" applyFont="1" applyFill="1"/>
    <xf numFmtId="43" fontId="1" fillId="0" borderId="0" xfId="1" applyFont="1"/>
    <xf numFmtId="9" fontId="0" fillId="0" borderId="0" xfId="0" applyNumberFormat="1" applyBorder="1"/>
    <xf numFmtId="0" fontId="3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/>
    <xf numFmtId="1" fontId="0" fillId="0" borderId="1" xfId="0" applyNumberFormat="1" applyBorder="1"/>
    <xf numFmtId="0" fontId="0" fillId="2" borderId="1" xfId="0" applyFill="1" applyBorder="1"/>
    <xf numFmtId="1" fontId="0" fillId="2" borderId="1" xfId="0" applyNumberFormat="1" applyFill="1" applyBorder="1"/>
    <xf numFmtId="1" fontId="0" fillId="2" borderId="1" xfId="0" applyNumberFormat="1" applyFill="1" applyBorder="1" applyAlignment="1"/>
    <xf numFmtId="0" fontId="0" fillId="0" borderId="1" xfId="0" applyFill="1" applyBorder="1"/>
    <xf numFmtId="1" fontId="4" fillId="0" borderId="1" xfId="0" applyNumberFormat="1" applyFont="1" applyFill="1" applyBorder="1"/>
    <xf numFmtId="0" fontId="0" fillId="4" borderId="1" xfId="0" applyFill="1" applyBorder="1"/>
    <xf numFmtId="0" fontId="4" fillId="0" borderId="1" xfId="0" applyFont="1" applyBorder="1"/>
    <xf numFmtId="1" fontId="0" fillId="0" borderId="1" xfId="0" applyNumberFormat="1" applyFill="1" applyBorder="1"/>
    <xf numFmtId="164" fontId="0" fillId="0" borderId="1" xfId="0" applyNumberFormat="1" applyBorder="1"/>
    <xf numFmtId="2" fontId="0" fillId="0" borderId="1" xfId="0" applyNumberFormat="1" applyBorder="1"/>
    <xf numFmtId="167" fontId="0" fillId="0" borderId="1" xfId="2" applyNumberFormat="1" applyFont="1" applyBorder="1"/>
    <xf numFmtId="9" fontId="0" fillId="0" borderId="1" xfId="2" applyFont="1" applyBorder="1"/>
    <xf numFmtId="9" fontId="1" fillId="0" borderId="1" xfId="2" applyFont="1" applyBorder="1"/>
    <xf numFmtId="0" fontId="5" fillId="0" borderId="1" xfId="0" applyFont="1" applyBorder="1"/>
    <xf numFmtId="164" fontId="5" fillId="0" borderId="1" xfId="2" applyNumberFormat="1" applyFont="1" applyBorder="1"/>
    <xf numFmtId="164" fontId="5" fillId="0" borderId="1" xfId="0" applyNumberFormat="1" applyFont="1" applyBorder="1"/>
    <xf numFmtId="164" fontId="6" fillId="0" borderId="1" xfId="0" applyNumberFormat="1" applyFont="1" applyBorder="1"/>
    <xf numFmtId="165" fontId="0" fillId="0" borderId="1" xfId="0" applyNumberFormat="1" applyBorder="1"/>
    <xf numFmtId="166" fontId="0" fillId="0" borderId="1" xfId="0" applyNumberFormat="1" applyBorder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0" fillId="5" borderId="0" xfId="0" applyFill="1"/>
    <xf numFmtId="0" fontId="7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4" fillId="5" borderId="1" xfId="0" applyFont="1" applyFill="1" applyBorder="1" applyAlignment="1">
      <alignment horizontal="right" vertical="center" wrapText="1"/>
    </xf>
    <xf numFmtId="9" fontId="0" fillId="5" borderId="1" xfId="2" applyFont="1" applyFill="1" applyBorder="1"/>
    <xf numFmtId="164" fontId="5" fillId="5" borderId="1" xfId="0" applyNumberFormat="1" applyFont="1" applyFill="1" applyBorder="1"/>
    <xf numFmtId="0" fontId="3" fillId="5" borderId="1" xfId="0" applyFont="1" applyFill="1" applyBorder="1" applyAlignment="1">
      <alignment horizontal="center" vertical="center" wrapText="1"/>
    </xf>
    <xf numFmtId="164" fontId="0" fillId="5" borderId="1" xfId="0" applyNumberFormat="1" applyFill="1" applyBorder="1"/>
    <xf numFmtId="165" fontId="0" fillId="5" borderId="1" xfId="0" applyNumberFormat="1" applyFill="1" applyBorder="1"/>
    <xf numFmtId="0" fontId="0" fillId="6" borderId="1" xfId="0" applyFill="1" applyBorder="1"/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1" fontId="4" fillId="0" borderId="0" xfId="0" applyNumberFormat="1" applyFont="1" applyBorder="1"/>
    <xf numFmtId="1" fontId="0" fillId="0" borderId="0" xfId="0" applyNumberFormat="1" applyBorder="1"/>
    <xf numFmtId="1" fontId="0" fillId="2" borderId="0" xfId="0" applyNumberFormat="1" applyFill="1" applyBorder="1"/>
    <xf numFmtId="1" fontId="4" fillId="0" borderId="0" xfId="0" applyNumberFormat="1" applyFont="1" applyFill="1" applyBorder="1"/>
    <xf numFmtId="0" fontId="4" fillId="0" borderId="0" xfId="0" applyFont="1" applyBorder="1" applyAlignment="1">
      <alignment horizontal="right" vertical="center" wrapText="1"/>
    </xf>
    <xf numFmtId="1" fontId="0" fillId="0" borderId="0" xfId="0" applyNumberFormat="1" applyFill="1" applyBorder="1"/>
    <xf numFmtId="2" fontId="0" fillId="0" borderId="0" xfId="0" applyNumberFormat="1" applyBorder="1"/>
    <xf numFmtId="164" fontId="0" fillId="0" borderId="0" xfId="0" applyNumberFormat="1" applyBorder="1"/>
    <xf numFmtId="164" fontId="5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166" fontId="0" fillId="0" borderId="0" xfId="0" applyNumberFormat="1" applyBorder="1"/>
    <xf numFmtId="0" fontId="9" fillId="0" borderId="0" xfId="0" applyFont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53"/>
  <sheetViews>
    <sheetView topLeftCell="I1" workbookViewId="0">
      <selection activeCell="N24" sqref="N24"/>
    </sheetView>
  </sheetViews>
  <sheetFormatPr baseColWidth="10" defaultColWidth="7.5703125" defaultRowHeight="12.75"/>
  <cols>
    <col min="1" max="1" width="17.28515625" customWidth="1"/>
    <col min="3" max="3" width="4.42578125" customWidth="1"/>
    <col min="4" max="4" width="22.42578125" customWidth="1"/>
    <col min="5" max="5" width="18" customWidth="1"/>
    <col min="6" max="6" width="3" customWidth="1"/>
    <col min="7" max="7" width="17.42578125" customWidth="1"/>
    <col min="8" max="8" width="9.85546875" bestFit="1" customWidth="1"/>
    <col min="9" max="9" width="4.42578125" customWidth="1"/>
    <col min="10" max="10" width="16.42578125" customWidth="1"/>
    <col min="11" max="11" width="16.85546875" customWidth="1"/>
    <col min="12" max="12" width="4.7109375" customWidth="1"/>
    <col min="13" max="13" width="16.140625" customWidth="1"/>
    <col min="14" max="14" width="11.28515625" customWidth="1"/>
    <col min="15" max="15" width="5.28515625" customWidth="1"/>
    <col min="16" max="16" width="16" customWidth="1"/>
    <col min="17" max="17" width="12.28515625" customWidth="1"/>
    <col min="18" max="18" width="4.42578125" customWidth="1"/>
    <col min="19" max="19" width="16.42578125" customWidth="1"/>
    <col min="21" max="21" width="3.7109375" customWidth="1"/>
    <col min="22" max="22" width="17.42578125" customWidth="1"/>
    <col min="23" max="23" width="10.7109375" customWidth="1"/>
    <col min="24" max="24" width="4.5703125" customWidth="1"/>
    <col min="25" max="25" width="16.5703125" customWidth="1"/>
    <col min="26" max="26" width="12.28515625" customWidth="1"/>
    <col min="27" max="27" width="3.85546875" customWidth="1"/>
    <col min="28" max="28" width="16" customWidth="1"/>
    <col min="29" max="29" width="12.140625" customWidth="1"/>
    <col min="30" max="30" width="4.28515625" customWidth="1"/>
    <col min="31" max="31" width="17.28515625" customWidth="1"/>
    <col min="32" max="32" width="15.85546875" customWidth="1"/>
    <col min="33" max="33" width="4" customWidth="1"/>
    <col min="34" max="34" width="18.42578125" customWidth="1"/>
    <col min="35" max="35" width="20.7109375" customWidth="1"/>
  </cols>
  <sheetData>
    <row r="1" spans="1:44">
      <c r="AE1" s="3" t="s">
        <v>42</v>
      </c>
    </row>
    <row r="2" spans="1:44">
      <c r="A2" s="72" t="s">
        <v>44</v>
      </c>
      <c r="B2" s="72"/>
      <c r="C2" s="72"/>
      <c r="E2">
        <v>2009</v>
      </c>
      <c r="G2" s="18" t="s">
        <v>45</v>
      </c>
      <c r="H2" s="2">
        <v>0.03</v>
      </c>
      <c r="J2" s="18" t="s">
        <v>46</v>
      </c>
      <c r="K2" s="2">
        <v>0.04</v>
      </c>
      <c r="M2" s="18" t="s">
        <v>47</v>
      </c>
      <c r="N2" s="2">
        <v>0.06</v>
      </c>
    </row>
    <row r="3" spans="1:44">
      <c r="A3" t="str">
        <f>REPT("-",3000)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AB3" s="10">
        <v>40267</v>
      </c>
      <c r="AE3" s="10">
        <v>40267</v>
      </c>
      <c r="AH3" s="10"/>
    </row>
    <row r="4" spans="1:44">
      <c r="A4" s="19" t="s">
        <v>25</v>
      </c>
      <c r="B4" s="20" t="s">
        <v>17</v>
      </c>
      <c r="C4" s="21"/>
      <c r="D4" s="19" t="s">
        <v>25</v>
      </c>
      <c r="E4" s="19" t="s">
        <v>33</v>
      </c>
      <c r="F4" s="21"/>
      <c r="G4" s="19" t="s">
        <v>25</v>
      </c>
      <c r="H4" s="19" t="s">
        <v>34</v>
      </c>
      <c r="I4" s="21"/>
      <c r="J4" s="19" t="s">
        <v>25</v>
      </c>
      <c r="K4" s="19" t="s">
        <v>35</v>
      </c>
      <c r="L4" s="21"/>
      <c r="M4" s="19" t="s">
        <v>25</v>
      </c>
      <c r="N4" s="19" t="s">
        <v>36</v>
      </c>
      <c r="O4" s="21"/>
      <c r="P4" s="19" t="s">
        <v>25</v>
      </c>
      <c r="Q4" s="19" t="s">
        <v>48</v>
      </c>
      <c r="R4" s="21"/>
      <c r="S4" s="19" t="s">
        <v>25</v>
      </c>
      <c r="T4" s="19" t="s">
        <v>37</v>
      </c>
      <c r="U4" s="21"/>
      <c r="V4" s="19" t="s">
        <v>25</v>
      </c>
      <c r="W4" s="19" t="s">
        <v>38</v>
      </c>
      <c r="X4" s="21"/>
      <c r="Y4" s="19" t="s">
        <v>25</v>
      </c>
      <c r="Z4" s="19" t="s">
        <v>39</v>
      </c>
      <c r="AA4" s="21"/>
      <c r="AB4" s="19" t="s">
        <v>25</v>
      </c>
      <c r="AC4" s="19" t="s">
        <v>40</v>
      </c>
      <c r="AD4" s="21"/>
      <c r="AE4" s="19" t="s">
        <v>25</v>
      </c>
      <c r="AF4" s="19" t="s">
        <v>41</v>
      </c>
      <c r="AG4" s="21"/>
      <c r="AH4" s="19"/>
      <c r="AI4" s="19"/>
    </row>
    <row r="5" spans="1:44">
      <c r="A5" t="s">
        <v>0</v>
      </c>
      <c r="B5">
        <v>895</v>
      </c>
      <c r="C5" s="21"/>
      <c r="D5" s="3" t="s">
        <v>0</v>
      </c>
      <c r="E5">
        <v>991</v>
      </c>
      <c r="F5" s="21"/>
      <c r="G5" t="s">
        <v>0</v>
      </c>
      <c r="H5">
        <v>1506</v>
      </c>
      <c r="I5" s="21"/>
      <c r="J5" t="s">
        <v>0</v>
      </c>
      <c r="K5">
        <v>1473</v>
      </c>
      <c r="L5" s="21"/>
      <c r="M5" t="s">
        <v>0</v>
      </c>
      <c r="N5">
        <v>647</v>
      </c>
      <c r="O5" s="21"/>
      <c r="P5" t="s">
        <v>0</v>
      </c>
      <c r="Q5">
        <v>183</v>
      </c>
      <c r="R5" s="21"/>
      <c r="S5" t="s">
        <v>0</v>
      </c>
      <c r="T5">
        <v>168</v>
      </c>
      <c r="U5" s="21"/>
      <c r="V5" t="s">
        <v>0</v>
      </c>
      <c r="W5">
        <v>134</v>
      </c>
      <c r="X5" s="21"/>
      <c r="Y5" t="s">
        <v>49</v>
      </c>
      <c r="Z5">
        <v>391</v>
      </c>
      <c r="AA5" s="21"/>
      <c r="AB5" t="s">
        <v>49</v>
      </c>
      <c r="AC5">
        <v>437</v>
      </c>
      <c r="AD5" s="21"/>
      <c r="AE5" t="s">
        <v>49</v>
      </c>
      <c r="AF5" s="12">
        <f>833.3*1.199</f>
        <v>999.12670000000003</v>
      </c>
      <c r="AG5" s="21"/>
    </row>
    <row r="6" spans="1:44">
      <c r="A6" t="s">
        <v>18</v>
      </c>
      <c r="B6">
        <v>87</v>
      </c>
      <c r="C6" s="21"/>
      <c r="D6" s="3" t="s">
        <v>50</v>
      </c>
      <c r="E6">
        <f>994-991</f>
        <v>3</v>
      </c>
      <c r="F6" s="21"/>
      <c r="G6" s="3" t="s">
        <v>51</v>
      </c>
      <c r="H6">
        <f>1518-H5+534</f>
        <v>546</v>
      </c>
      <c r="I6" s="21"/>
      <c r="J6" s="3" t="s">
        <v>51</v>
      </c>
      <c r="K6">
        <v>-40</v>
      </c>
      <c r="L6" s="21"/>
      <c r="M6" s="3" t="s">
        <v>51</v>
      </c>
      <c r="N6">
        <f>654-N5</f>
        <v>7</v>
      </c>
      <c r="O6" s="21"/>
      <c r="P6" s="3" t="s">
        <v>52</v>
      </c>
      <c r="Q6">
        <v>-14</v>
      </c>
      <c r="R6" s="21"/>
      <c r="S6" s="3" t="s">
        <v>52</v>
      </c>
      <c r="T6">
        <f>173-T5</f>
        <v>5</v>
      </c>
      <c r="U6" s="21"/>
      <c r="V6" s="3" t="s">
        <v>52</v>
      </c>
      <c r="W6">
        <v>0</v>
      </c>
      <c r="X6" s="21"/>
      <c r="Y6" s="3" t="s">
        <v>52</v>
      </c>
      <c r="Z6">
        <v>0</v>
      </c>
      <c r="AA6" s="21"/>
      <c r="AB6" s="3" t="s">
        <v>5</v>
      </c>
      <c r="AD6" s="21"/>
      <c r="AE6" s="3" t="s">
        <v>5</v>
      </c>
      <c r="AF6" s="1">
        <f>392.5*1.199</f>
        <v>470.60750000000002</v>
      </c>
      <c r="AG6" s="21"/>
      <c r="AH6" s="3"/>
    </row>
    <row r="7" spans="1:44" s="4" customFormat="1">
      <c r="A7" s="4" t="s">
        <v>5</v>
      </c>
      <c r="B7" s="22">
        <v>99</v>
      </c>
      <c r="C7" s="21"/>
      <c r="D7" s="23" t="s">
        <v>53</v>
      </c>
      <c r="F7" s="21"/>
      <c r="G7" s="4" t="s">
        <v>5</v>
      </c>
      <c r="I7" s="21"/>
      <c r="J7" s="4" t="s">
        <v>5</v>
      </c>
      <c r="K7" s="4">
        <v>216</v>
      </c>
      <c r="L7" s="21"/>
      <c r="M7" s="4" t="s">
        <v>5</v>
      </c>
      <c r="N7" s="4">
        <v>64</v>
      </c>
      <c r="O7" s="21"/>
      <c r="P7" s="4" t="s">
        <v>5</v>
      </c>
      <c r="Q7" s="4">
        <v>10</v>
      </c>
      <c r="R7" s="21"/>
      <c r="S7" s="4" t="s">
        <v>5</v>
      </c>
      <c r="T7" s="4">
        <v>7</v>
      </c>
      <c r="U7" s="21"/>
      <c r="V7" s="4" t="s">
        <v>5</v>
      </c>
      <c r="W7" s="4">
        <v>8</v>
      </c>
      <c r="X7" s="21"/>
      <c r="Y7" s="4" t="s">
        <v>5</v>
      </c>
      <c r="AA7" s="21"/>
      <c r="AB7" s="4" t="s">
        <v>4</v>
      </c>
      <c r="AC7" s="4">
        <f>AC5-AC8</f>
        <v>-957</v>
      </c>
      <c r="AD7" s="21"/>
      <c r="AE7" s="4" t="s">
        <v>4</v>
      </c>
      <c r="AF7" s="22">
        <f>AF5-AF6-AF8</f>
        <v>-842.89700000000016</v>
      </c>
      <c r="AG7" s="21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</row>
    <row r="8" spans="1:44" s="4" customFormat="1">
      <c r="A8" s="4" t="s">
        <v>4</v>
      </c>
      <c r="B8" s="24">
        <f>+B5+B6-B7-B9</f>
        <v>412</v>
      </c>
      <c r="C8" s="21"/>
      <c r="D8" s="23" t="s">
        <v>54</v>
      </c>
      <c r="E8" s="4">
        <f>+E5+E6-E9</f>
        <v>866</v>
      </c>
      <c r="F8" s="21"/>
      <c r="G8" s="4" t="s">
        <v>4</v>
      </c>
      <c r="H8" s="4">
        <f>H5+H6-H9</f>
        <v>1387</v>
      </c>
      <c r="I8" s="21"/>
      <c r="J8" s="4" t="s">
        <v>4</v>
      </c>
      <c r="K8" s="4">
        <f>K5+K6-K9</f>
        <v>2506</v>
      </c>
      <c r="L8" s="21"/>
      <c r="M8" s="4" t="s">
        <v>4</v>
      </c>
      <c r="N8" s="4">
        <f>N5+N6-N7+N9</f>
        <v>186</v>
      </c>
      <c r="O8" s="21"/>
      <c r="P8" s="4" t="s">
        <v>4</v>
      </c>
      <c r="Q8" s="4">
        <f>Q5+Q6-Q7-Q9</f>
        <v>400</v>
      </c>
      <c r="R8" s="21"/>
      <c r="S8" s="4" t="s">
        <v>4</v>
      </c>
      <c r="T8" s="4">
        <f>T5+T6-T7-T9</f>
        <v>83</v>
      </c>
      <c r="U8" s="21"/>
      <c r="V8" s="4" t="s">
        <v>4</v>
      </c>
      <c r="W8" s="4">
        <f>W5-W7-W9</f>
        <v>33</v>
      </c>
      <c r="X8" s="21"/>
      <c r="Y8" s="4" t="s">
        <v>4</v>
      </c>
      <c r="Z8" s="4">
        <f>Z5-Z9</f>
        <v>767</v>
      </c>
      <c r="AA8" s="21"/>
      <c r="AB8" s="9" t="s">
        <v>55</v>
      </c>
      <c r="AC8" s="9">
        <v>1394</v>
      </c>
      <c r="AD8" s="21"/>
      <c r="AE8" s="9" t="s">
        <v>55</v>
      </c>
      <c r="AF8" s="14">
        <f>1143.8*1.199</f>
        <v>1371.4162000000001</v>
      </c>
      <c r="AG8" s="21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</row>
    <row r="9" spans="1:44">
      <c r="A9" t="s">
        <v>1</v>
      </c>
      <c r="B9">
        <v>471</v>
      </c>
      <c r="C9" s="21"/>
      <c r="D9" s="3" t="s">
        <v>55</v>
      </c>
      <c r="E9">
        <v>128</v>
      </c>
      <c r="F9" s="21"/>
      <c r="G9" t="s">
        <v>1</v>
      </c>
      <c r="H9">
        <v>665</v>
      </c>
      <c r="I9" s="21"/>
      <c r="J9" t="s">
        <v>1</v>
      </c>
      <c r="K9">
        <v>-1073</v>
      </c>
      <c r="L9" s="21"/>
      <c r="M9" t="s">
        <v>1</v>
      </c>
      <c r="N9">
        <v>-404</v>
      </c>
      <c r="O9" s="21"/>
      <c r="P9" t="s">
        <v>1</v>
      </c>
      <c r="Q9">
        <v>-241</v>
      </c>
      <c r="R9" s="21"/>
      <c r="S9" t="s">
        <v>1</v>
      </c>
      <c r="T9">
        <v>83</v>
      </c>
      <c r="U9" s="21"/>
      <c r="V9" t="s">
        <v>1</v>
      </c>
      <c r="W9">
        <v>93</v>
      </c>
      <c r="X9" s="21"/>
      <c r="Y9" t="s">
        <v>1</v>
      </c>
      <c r="Z9">
        <v>-376</v>
      </c>
      <c r="AA9" s="21"/>
      <c r="AB9" t="s">
        <v>56</v>
      </c>
      <c r="AC9">
        <f>AC11+AC10</f>
        <v>1279</v>
      </c>
      <c r="AD9" s="21"/>
      <c r="AE9" t="s">
        <v>56</v>
      </c>
      <c r="AF9" s="12"/>
      <c r="AG9" s="21"/>
    </row>
    <row r="10" spans="1:44">
      <c r="A10" t="s">
        <v>2</v>
      </c>
      <c r="B10">
        <v>-284</v>
      </c>
      <c r="C10" s="21"/>
      <c r="D10" s="3" t="s">
        <v>57</v>
      </c>
      <c r="E10">
        <v>-372</v>
      </c>
      <c r="F10" s="21"/>
      <c r="G10" t="s">
        <v>2</v>
      </c>
      <c r="H10">
        <v>-106</v>
      </c>
      <c r="I10" s="21"/>
      <c r="J10" t="s">
        <v>2</v>
      </c>
      <c r="K10">
        <v>-283</v>
      </c>
      <c r="L10" s="21"/>
      <c r="M10" t="s">
        <v>2</v>
      </c>
      <c r="N10">
        <v>154</v>
      </c>
      <c r="O10" s="21"/>
      <c r="P10" t="s">
        <v>2</v>
      </c>
      <c r="Q10">
        <v>-26</v>
      </c>
      <c r="R10" s="21"/>
      <c r="S10" t="s">
        <v>2</v>
      </c>
      <c r="T10">
        <v>-38</v>
      </c>
      <c r="U10" s="21"/>
      <c r="V10" t="s">
        <v>2</v>
      </c>
      <c r="W10">
        <v>-1</v>
      </c>
      <c r="X10" s="21"/>
      <c r="Y10" t="s">
        <v>2</v>
      </c>
      <c r="Z10">
        <v>-143</v>
      </c>
      <c r="AA10" s="21"/>
      <c r="AB10" t="s">
        <v>58</v>
      </c>
      <c r="AC10">
        <v>13</v>
      </c>
      <c r="AD10" s="21"/>
      <c r="AE10" t="s">
        <v>58</v>
      </c>
      <c r="AF10" s="12"/>
      <c r="AG10" s="21"/>
    </row>
    <row r="11" spans="1:44">
      <c r="A11" t="s">
        <v>3</v>
      </c>
      <c r="B11">
        <v>208</v>
      </c>
      <c r="C11" s="21"/>
      <c r="D11" s="3" t="s">
        <v>59</v>
      </c>
      <c r="E11">
        <v>-464</v>
      </c>
      <c r="F11" s="21"/>
      <c r="G11" t="s">
        <v>3</v>
      </c>
      <c r="H11">
        <v>535</v>
      </c>
      <c r="I11" s="21"/>
      <c r="J11" t="s">
        <v>3</v>
      </c>
      <c r="K11">
        <v>-1567</v>
      </c>
      <c r="L11" s="21"/>
      <c r="M11" t="s">
        <v>3</v>
      </c>
      <c r="N11">
        <v>-774</v>
      </c>
      <c r="O11" s="21"/>
      <c r="P11" t="s">
        <v>3</v>
      </c>
      <c r="Q11">
        <v>-267</v>
      </c>
      <c r="R11" s="21"/>
      <c r="S11" t="s">
        <v>3</v>
      </c>
      <c r="T11">
        <v>45</v>
      </c>
      <c r="U11" s="21"/>
      <c r="V11" t="s">
        <v>3</v>
      </c>
      <c r="W11">
        <v>93</v>
      </c>
      <c r="X11" s="21"/>
      <c r="Y11" t="s">
        <v>3</v>
      </c>
      <c r="Z11">
        <v>-389</v>
      </c>
      <c r="AA11" s="21"/>
      <c r="AB11" t="s">
        <v>3</v>
      </c>
      <c r="AC11">
        <v>1266</v>
      </c>
      <c r="AD11" s="21"/>
      <c r="AE11" t="s">
        <v>3</v>
      </c>
      <c r="AF11" s="1">
        <f>1092.4*1.199</f>
        <v>1309.7876000000001</v>
      </c>
      <c r="AG11" s="21"/>
    </row>
    <row r="12" spans="1:44">
      <c r="A12" t="str">
        <f>REPT("-",3000)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12" s="21"/>
      <c r="F12" s="21"/>
      <c r="I12" s="21"/>
      <c r="L12" s="21"/>
      <c r="O12" s="21"/>
      <c r="R12" s="21"/>
      <c r="U12" s="21"/>
      <c r="X12" s="21"/>
      <c r="AA12" s="21"/>
      <c r="AD12" s="21"/>
      <c r="AG12" s="21"/>
    </row>
    <row r="13" spans="1:44">
      <c r="A13" s="19" t="s">
        <v>24</v>
      </c>
      <c r="B13" s="20" t="str">
        <f>B4</f>
        <v>Klép.</v>
      </c>
      <c r="C13" s="21"/>
      <c r="D13" s="19" t="s">
        <v>24</v>
      </c>
      <c r="E13" s="19" t="s">
        <v>33</v>
      </c>
      <c r="F13" s="21"/>
      <c r="G13" s="19" t="s">
        <v>24</v>
      </c>
      <c r="H13" s="19" t="s">
        <v>34</v>
      </c>
      <c r="I13" s="21"/>
      <c r="J13" s="19" t="s">
        <v>24</v>
      </c>
      <c r="K13" s="19" t="s">
        <v>35</v>
      </c>
      <c r="L13" s="21"/>
      <c r="M13" s="19" t="s">
        <v>24</v>
      </c>
      <c r="N13" s="19" t="s">
        <v>36</v>
      </c>
      <c r="O13" s="21"/>
      <c r="P13" s="19" t="s">
        <v>24</v>
      </c>
      <c r="Q13" s="19" t="s">
        <v>48</v>
      </c>
      <c r="R13" s="21"/>
      <c r="S13" s="19" t="s">
        <v>24</v>
      </c>
      <c r="T13" s="19" t="s">
        <v>37</v>
      </c>
      <c r="U13" s="21"/>
      <c r="V13" s="19" t="s">
        <v>24</v>
      </c>
      <c r="W13" s="19" t="s">
        <v>38</v>
      </c>
      <c r="X13" s="21"/>
      <c r="Y13" s="19" t="s">
        <v>24</v>
      </c>
      <c r="AA13" s="21"/>
      <c r="AB13" s="19" t="s">
        <v>24</v>
      </c>
      <c r="AC13" s="19" t="s">
        <v>40</v>
      </c>
      <c r="AD13" s="21"/>
      <c r="AE13" s="19" t="s">
        <v>24</v>
      </c>
      <c r="AF13" s="19" t="s">
        <v>41</v>
      </c>
      <c r="AG13" s="21"/>
    </row>
    <row r="14" spans="1:44">
      <c r="A14" t="s">
        <v>23</v>
      </c>
      <c r="B14" s="1">
        <f>B11+B8</f>
        <v>620</v>
      </c>
      <c r="C14" s="21"/>
      <c r="D14" s="3" t="s">
        <v>60</v>
      </c>
      <c r="E14">
        <f>E11+E8</f>
        <v>402</v>
      </c>
      <c r="F14" s="21"/>
      <c r="G14" t="s">
        <v>23</v>
      </c>
      <c r="H14">
        <f>H11+H8</f>
        <v>1922</v>
      </c>
      <c r="I14" s="21"/>
      <c r="J14" t="s">
        <v>23</v>
      </c>
      <c r="K14">
        <f>K11+K8</f>
        <v>939</v>
      </c>
      <c r="L14" s="21"/>
      <c r="M14" t="s">
        <v>23</v>
      </c>
      <c r="N14">
        <f>N11+N8</f>
        <v>-588</v>
      </c>
      <c r="O14" s="21"/>
      <c r="P14" t="s">
        <v>23</v>
      </c>
      <c r="Q14">
        <f>Q11+Q8</f>
        <v>133</v>
      </c>
      <c r="R14" s="21"/>
      <c r="S14" t="s">
        <v>23</v>
      </c>
      <c r="T14">
        <f>T11+T8</f>
        <v>128</v>
      </c>
      <c r="U14" s="21"/>
      <c r="V14" t="s">
        <v>23</v>
      </c>
      <c r="W14">
        <f>W11+W8</f>
        <v>126</v>
      </c>
      <c r="X14" s="21"/>
      <c r="Y14" t="s">
        <v>23</v>
      </c>
      <c r="Z14">
        <f>Z11+Z8</f>
        <v>378</v>
      </c>
      <c r="AA14" s="21"/>
      <c r="AB14" t="s">
        <v>23</v>
      </c>
      <c r="AC14">
        <f>AC11+AC7</f>
        <v>309</v>
      </c>
      <c r="AD14" s="21"/>
      <c r="AE14" t="s">
        <v>23</v>
      </c>
      <c r="AF14" s="1">
        <f>AF11+AF7</f>
        <v>466.89059999999995</v>
      </c>
      <c r="AG14" s="21"/>
    </row>
    <row r="15" spans="1:44">
      <c r="A15" t="s">
        <v>27</v>
      </c>
      <c r="B15">
        <v>0</v>
      </c>
      <c r="C15" s="21"/>
      <c r="D15" s="3" t="s">
        <v>61</v>
      </c>
      <c r="E15">
        <v>0</v>
      </c>
      <c r="F15" s="21"/>
      <c r="G15" t="s">
        <v>27</v>
      </c>
      <c r="H15">
        <v>0</v>
      </c>
      <c r="I15" s="21"/>
      <c r="J15" t="s">
        <v>27</v>
      </c>
      <c r="K15">
        <v>0</v>
      </c>
      <c r="L15" s="21"/>
      <c r="M15" t="s">
        <v>27</v>
      </c>
      <c r="N15">
        <v>0</v>
      </c>
      <c r="O15" s="21"/>
      <c r="P15" t="s">
        <v>27</v>
      </c>
      <c r="Q15">
        <v>0</v>
      </c>
      <c r="R15" s="21"/>
      <c r="S15" t="s">
        <v>27</v>
      </c>
      <c r="T15">
        <v>0</v>
      </c>
      <c r="U15" s="21"/>
      <c r="V15" t="s">
        <v>27</v>
      </c>
      <c r="W15">
        <v>-2</v>
      </c>
      <c r="X15" s="21"/>
      <c r="Y15" t="s">
        <v>27</v>
      </c>
      <c r="Z15">
        <v>0</v>
      </c>
      <c r="AA15" s="21"/>
      <c r="AB15" t="s">
        <v>27</v>
      </c>
      <c r="AC15">
        <v>0</v>
      </c>
      <c r="AD15" s="21"/>
      <c r="AE15" t="s">
        <v>27</v>
      </c>
      <c r="AF15" s="1">
        <v>0</v>
      </c>
      <c r="AG15" s="21"/>
    </row>
    <row r="16" spans="1:44">
      <c r="A16" t="s">
        <v>28</v>
      </c>
      <c r="B16" s="1">
        <f>-B8</f>
        <v>-412</v>
      </c>
      <c r="C16" s="21"/>
      <c r="D16" s="3" t="s">
        <v>62</v>
      </c>
      <c r="E16">
        <v>-866</v>
      </c>
      <c r="F16" s="21"/>
      <c r="G16" t="s">
        <v>28</v>
      </c>
      <c r="H16">
        <f>-H8</f>
        <v>-1387</v>
      </c>
      <c r="I16" s="21"/>
      <c r="J16" t="s">
        <v>28</v>
      </c>
      <c r="K16">
        <f>-K8</f>
        <v>-2506</v>
      </c>
      <c r="L16" s="21"/>
      <c r="M16" t="s">
        <v>28</v>
      </c>
      <c r="N16">
        <f>-N8</f>
        <v>-186</v>
      </c>
      <c r="O16" s="21"/>
      <c r="P16" t="s">
        <v>28</v>
      </c>
      <c r="Q16">
        <v>400</v>
      </c>
      <c r="R16" s="21"/>
      <c r="S16" t="s">
        <v>28</v>
      </c>
      <c r="T16">
        <v>83</v>
      </c>
      <c r="U16" s="21"/>
      <c r="V16" t="s">
        <v>28</v>
      </c>
      <c r="W16">
        <v>33</v>
      </c>
      <c r="X16" s="21"/>
      <c r="Y16" t="s">
        <v>28</v>
      </c>
      <c r="Z16">
        <v>767</v>
      </c>
      <c r="AA16" s="21"/>
      <c r="AB16" t="s">
        <v>28</v>
      </c>
      <c r="AC16">
        <v>-957</v>
      </c>
      <c r="AD16" s="21"/>
      <c r="AE16" t="s">
        <v>28</v>
      </c>
      <c r="AF16" s="1">
        <f>-843</f>
        <v>-843</v>
      </c>
      <c r="AG16" s="21"/>
    </row>
    <row r="17" spans="1:46">
      <c r="A17" t="s">
        <v>24</v>
      </c>
      <c r="B17" s="1">
        <f>B14+B15+B16</f>
        <v>208</v>
      </c>
      <c r="C17" s="21"/>
      <c r="D17" t="s">
        <v>24</v>
      </c>
      <c r="E17">
        <f>E14+E16+E15</f>
        <v>-464</v>
      </c>
      <c r="F17" s="21"/>
      <c r="G17" t="s">
        <v>24</v>
      </c>
      <c r="H17">
        <f>H14+H15+H16</f>
        <v>535</v>
      </c>
      <c r="I17" s="21"/>
      <c r="J17" t="s">
        <v>24</v>
      </c>
      <c r="K17">
        <f>K14+K16</f>
        <v>-1567</v>
      </c>
      <c r="L17" s="21"/>
      <c r="M17" t="s">
        <v>24</v>
      </c>
      <c r="N17">
        <f>N14+N15+N16</f>
        <v>-774</v>
      </c>
      <c r="O17" s="21"/>
      <c r="P17" t="s">
        <v>24</v>
      </c>
      <c r="Q17">
        <f>Q14-Q16</f>
        <v>-267</v>
      </c>
      <c r="R17" s="21"/>
      <c r="S17" t="s">
        <v>24</v>
      </c>
      <c r="T17">
        <f>T14-T16</f>
        <v>45</v>
      </c>
      <c r="U17" s="21"/>
      <c r="V17" t="s">
        <v>24</v>
      </c>
      <c r="W17">
        <f>W14-W15-W16</f>
        <v>95</v>
      </c>
      <c r="X17" s="21"/>
      <c r="Y17" t="s">
        <v>24</v>
      </c>
      <c r="Z17">
        <f>Z14-Z15-Z16</f>
        <v>-389</v>
      </c>
      <c r="AA17" s="21"/>
      <c r="AB17" t="s">
        <v>24</v>
      </c>
      <c r="AC17">
        <f>AC14-AC15-AC16</f>
        <v>1266</v>
      </c>
      <c r="AD17" s="21"/>
      <c r="AE17" t="s">
        <v>24</v>
      </c>
      <c r="AF17" s="1">
        <f>AF14-AF15-AF16</f>
        <v>1309.8905999999999</v>
      </c>
      <c r="AG17" s="21"/>
    </row>
    <row r="18" spans="1:46">
      <c r="A18" t="str">
        <f>REPT("-",3000)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18" s="21"/>
      <c r="F18" s="21"/>
      <c r="I18" s="21"/>
      <c r="L18" s="21"/>
      <c r="O18" s="21"/>
      <c r="R18" s="21"/>
      <c r="U18" s="21"/>
      <c r="X18" s="21"/>
      <c r="AA18" s="21"/>
      <c r="AD18" s="21"/>
      <c r="AG18" s="21"/>
    </row>
    <row r="19" spans="1:46">
      <c r="A19" s="19" t="s">
        <v>26</v>
      </c>
      <c r="B19" s="20" t="str">
        <f>B4</f>
        <v>Klép.</v>
      </c>
      <c r="C19" s="21"/>
      <c r="D19" s="19" t="s">
        <v>63</v>
      </c>
      <c r="E19" s="19" t="s">
        <v>33</v>
      </c>
      <c r="F19" s="21"/>
      <c r="G19" s="19" t="s">
        <v>26</v>
      </c>
      <c r="H19" s="19" t="s">
        <v>34</v>
      </c>
      <c r="I19" s="21"/>
      <c r="J19" s="19" t="s">
        <v>26</v>
      </c>
      <c r="K19" s="19" t="s">
        <v>35</v>
      </c>
      <c r="L19" s="21"/>
      <c r="M19" s="19" t="s">
        <v>26</v>
      </c>
      <c r="N19" s="19" t="s">
        <v>36</v>
      </c>
      <c r="O19" s="21"/>
      <c r="P19" s="19" t="s">
        <v>26</v>
      </c>
      <c r="Q19" s="19" t="s">
        <v>48</v>
      </c>
      <c r="R19" s="21"/>
      <c r="S19" s="19" t="s">
        <v>26</v>
      </c>
      <c r="T19" s="19" t="s">
        <v>37</v>
      </c>
      <c r="U19" s="21"/>
      <c r="V19" s="19" t="s">
        <v>26</v>
      </c>
      <c r="X19" s="21"/>
      <c r="Y19" s="19" t="s">
        <v>26</v>
      </c>
      <c r="AA19" s="21"/>
      <c r="AB19" s="19" t="s">
        <v>26</v>
      </c>
      <c r="AC19" s="19" t="s">
        <v>40</v>
      </c>
      <c r="AD19" s="21"/>
      <c r="AE19" s="19" t="s">
        <v>26</v>
      </c>
      <c r="AF19" s="19" t="s">
        <v>41</v>
      </c>
      <c r="AG19" s="21"/>
    </row>
    <row r="20" spans="1:46">
      <c r="A20" t="s">
        <v>6</v>
      </c>
      <c r="B20">
        <v>132</v>
      </c>
      <c r="C20" s="21"/>
      <c r="D20" s="3" t="s">
        <v>6</v>
      </c>
      <c r="E20">
        <v>0</v>
      </c>
      <c r="F20" s="21"/>
      <c r="G20" t="s">
        <v>6</v>
      </c>
      <c r="H20">
        <v>84</v>
      </c>
      <c r="I20" s="21"/>
      <c r="J20" t="s">
        <v>6</v>
      </c>
      <c r="K20">
        <v>220</v>
      </c>
      <c r="L20" s="21"/>
      <c r="M20" t="s">
        <v>6</v>
      </c>
      <c r="N20">
        <v>0</v>
      </c>
      <c r="O20" s="21"/>
      <c r="P20" t="s">
        <v>6</v>
      </c>
      <c r="Q20">
        <v>0</v>
      </c>
      <c r="R20" s="21"/>
      <c r="S20" t="s">
        <v>6</v>
      </c>
      <c r="T20">
        <v>0</v>
      </c>
      <c r="U20" s="21"/>
      <c r="V20" t="s">
        <v>6</v>
      </c>
      <c r="W20">
        <v>0</v>
      </c>
      <c r="X20" s="21"/>
      <c r="Y20" t="s">
        <v>6</v>
      </c>
      <c r="Z20">
        <v>0</v>
      </c>
      <c r="AA20" s="21"/>
      <c r="AB20" t="s">
        <v>6</v>
      </c>
      <c r="AC20">
        <v>0</v>
      </c>
      <c r="AD20" s="21"/>
      <c r="AE20" t="s">
        <v>6</v>
      </c>
      <c r="AG20" s="21"/>
    </row>
    <row r="21" spans="1:46">
      <c r="A21" t="s">
        <v>7</v>
      </c>
      <c r="B21">
        <f>11500+24+19+98</f>
        <v>11641</v>
      </c>
      <c r="C21" s="21"/>
      <c r="D21" s="3" t="s">
        <v>7</v>
      </c>
      <c r="E21" s="3">
        <f>156+158+11263</f>
        <v>11577</v>
      </c>
      <c r="F21" s="21"/>
      <c r="G21" t="s">
        <v>7</v>
      </c>
      <c r="H21">
        <f>17+139+3046+26</f>
        <v>3228</v>
      </c>
      <c r="I21" s="21"/>
      <c r="J21" t="s">
        <v>7</v>
      </c>
      <c r="K21">
        <f>197+186+20153</f>
        <v>20536</v>
      </c>
      <c r="L21" s="21"/>
      <c r="M21" t="s">
        <v>7</v>
      </c>
      <c r="N21">
        <f>3+74+10030</f>
        <v>10107</v>
      </c>
      <c r="O21" s="21"/>
      <c r="P21" t="s">
        <v>7</v>
      </c>
      <c r="Q21">
        <f>16+3117</f>
        <v>3133</v>
      </c>
      <c r="R21" s="21"/>
      <c r="S21" t="s">
        <v>7</v>
      </c>
      <c r="T21">
        <f>186+1817</f>
        <v>2003</v>
      </c>
      <c r="U21" s="21"/>
      <c r="V21" t="s">
        <v>7</v>
      </c>
      <c r="W21">
        <f>1+1573</f>
        <v>1574</v>
      </c>
      <c r="X21" s="21"/>
      <c r="Y21" t="s">
        <v>7</v>
      </c>
      <c r="Z21">
        <f>5773</f>
        <v>5773</v>
      </c>
      <c r="AA21" s="21"/>
      <c r="AB21" t="s">
        <v>7</v>
      </c>
      <c r="AC21">
        <v>6694</v>
      </c>
      <c r="AD21" s="21"/>
      <c r="AE21" t="s">
        <v>7</v>
      </c>
      <c r="AF21" s="12">
        <f>(8044.4+12.8)*1.199</f>
        <v>9660.5828000000001</v>
      </c>
      <c r="AG21" s="21"/>
    </row>
    <row r="22" spans="1:46">
      <c r="A22" t="s">
        <v>8</v>
      </c>
      <c r="B22">
        <v>92</v>
      </c>
      <c r="C22" s="21"/>
      <c r="D22" s="3" t="s">
        <v>64</v>
      </c>
      <c r="E22">
        <v>96</v>
      </c>
      <c r="F22" s="21"/>
      <c r="G22" t="s">
        <v>8</v>
      </c>
      <c r="H22">
        <v>578</v>
      </c>
      <c r="I22" s="21"/>
      <c r="J22" t="s">
        <v>8</v>
      </c>
      <c r="K22">
        <v>323</v>
      </c>
      <c r="L22" s="21"/>
      <c r="M22" t="s">
        <v>8</v>
      </c>
      <c r="N22">
        <v>65</v>
      </c>
      <c r="O22" s="21"/>
      <c r="P22" t="s">
        <v>8</v>
      </c>
      <c r="Q22">
        <v>25</v>
      </c>
      <c r="R22" s="21"/>
      <c r="S22" t="s">
        <v>8</v>
      </c>
      <c r="T22">
        <v>14</v>
      </c>
      <c r="U22" s="21"/>
      <c r="V22" t="s">
        <v>8</v>
      </c>
      <c r="W22">
        <v>6</v>
      </c>
      <c r="X22" s="21"/>
      <c r="Y22" t="s">
        <v>8</v>
      </c>
      <c r="Z22">
        <v>39</v>
      </c>
      <c r="AA22" s="21"/>
      <c r="AB22" t="s">
        <v>8</v>
      </c>
      <c r="AC22">
        <f>415-AC24</f>
        <v>117</v>
      </c>
      <c r="AD22" s="21"/>
      <c r="AE22" t="s">
        <v>8</v>
      </c>
      <c r="AF22" s="12">
        <f>334*1.199</f>
        <v>400.46600000000001</v>
      </c>
      <c r="AG22" s="21"/>
    </row>
    <row r="23" spans="1:46">
      <c r="A23" t="s">
        <v>9</v>
      </c>
      <c r="B23">
        <v>415</v>
      </c>
      <c r="C23" s="21"/>
      <c r="D23" s="3" t="s">
        <v>65</v>
      </c>
      <c r="E23" s="3">
        <f>1451+637</f>
        <v>2088</v>
      </c>
      <c r="F23" s="21"/>
      <c r="G23" t="s">
        <v>9</v>
      </c>
      <c r="H23">
        <v>1396</v>
      </c>
      <c r="I23" s="21"/>
      <c r="J23" t="s">
        <v>9</v>
      </c>
      <c r="K23">
        <f>937+595</f>
        <v>1532</v>
      </c>
      <c r="L23" s="21"/>
      <c r="M23" t="s">
        <v>9</v>
      </c>
      <c r="N23">
        <f>397+225</f>
        <v>622</v>
      </c>
      <c r="O23" s="21"/>
      <c r="P23" t="s">
        <v>9</v>
      </c>
      <c r="Q23">
        <f>91+1</f>
        <v>92</v>
      </c>
      <c r="R23" s="21"/>
      <c r="S23" t="s">
        <v>9</v>
      </c>
      <c r="T23">
        <v>13</v>
      </c>
      <c r="U23" s="21"/>
      <c r="V23" t="s">
        <v>9</v>
      </c>
      <c r="W23">
        <v>81</v>
      </c>
      <c r="X23" s="21"/>
      <c r="Y23" t="s">
        <v>9</v>
      </c>
      <c r="Z23">
        <v>75</v>
      </c>
      <c r="AA23" s="21"/>
      <c r="AB23" t="s">
        <v>9</v>
      </c>
      <c r="AD23" s="21"/>
      <c r="AE23" s="4" t="s">
        <v>9</v>
      </c>
      <c r="AF23" s="22">
        <v>3727</v>
      </c>
      <c r="AG23" s="21"/>
    </row>
    <row r="24" spans="1:46">
      <c r="A24" t="s">
        <v>10</v>
      </c>
      <c r="B24">
        <v>236</v>
      </c>
      <c r="C24" s="21"/>
      <c r="D24" s="3" t="s">
        <v>66</v>
      </c>
      <c r="E24">
        <v>192</v>
      </c>
      <c r="F24" s="21"/>
      <c r="G24" t="s">
        <v>10</v>
      </c>
      <c r="H24">
        <v>709</v>
      </c>
      <c r="I24" s="21"/>
      <c r="J24" t="s">
        <v>10</v>
      </c>
      <c r="K24">
        <v>69</v>
      </c>
      <c r="L24" s="21"/>
      <c r="M24" t="s">
        <v>10</v>
      </c>
      <c r="N24">
        <v>103</v>
      </c>
      <c r="O24" s="21"/>
      <c r="P24" t="s">
        <v>10</v>
      </c>
      <c r="Q24">
        <v>20</v>
      </c>
      <c r="R24" s="21"/>
      <c r="S24" t="s">
        <v>10</v>
      </c>
      <c r="T24">
        <v>7</v>
      </c>
      <c r="U24" s="21"/>
      <c r="V24" t="s">
        <v>10</v>
      </c>
      <c r="W24">
        <v>3</v>
      </c>
      <c r="X24" s="21"/>
      <c r="Y24" t="s">
        <v>10</v>
      </c>
      <c r="Z24">
        <v>203</v>
      </c>
      <c r="AA24" s="21"/>
      <c r="AB24" t="s">
        <v>10</v>
      </c>
      <c r="AC24">
        <v>298</v>
      </c>
      <c r="AD24" s="21"/>
      <c r="AE24" t="s">
        <v>10</v>
      </c>
      <c r="AF24" s="1">
        <f>159.4*1.199</f>
        <v>191.12060000000002</v>
      </c>
      <c r="AG24" s="21"/>
    </row>
    <row r="25" spans="1:46">
      <c r="A25" t="str">
        <f>REPT("-",3000)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25" s="21"/>
      <c r="F25" s="21"/>
      <c r="I25" s="21"/>
      <c r="L25" s="21"/>
      <c r="O25" s="21"/>
      <c r="R25" s="21"/>
      <c r="U25" s="21"/>
      <c r="X25" s="21"/>
      <c r="AA25" s="21"/>
      <c r="AD25" s="21"/>
      <c r="AG25" s="21"/>
    </row>
    <row r="26" spans="1:46">
      <c r="A26" t="s">
        <v>11</v>
      </c>
      <c r="B26">
        <f>3531+18</f>
        <v>3549</v>
      </c>
      <c r="C26" s="21"/>
      <c r="D26" t="s">
        <v>11</v>
      </c>
      <c r="E26">
        <v>4807</v>
      </c>
      <c r="F26" s="21"/>
      <c r="G26" t="s">
        <v>11</v>
      </c>
      <c r="H26">
        <v>1820</v>
      </c>
      <c r="I26" s="21"/>
      <c r="J26" t="s">
        <v>11</v>
      </c>
      <c r="K26">
        <v>12435</v>
      </c>
      <c r="L26" s="21"/>
      <c r="M26" t="s">
        <v>11</v>
      </c>
      <c r="N26">
        <v>5373</v>
      </c>
      <c r="O26" s="21"/>
      <c r="P26" t="s">
        <v>11</v>
      </c>
      <c r="Q26">
        <v>1891</v>
      </c>
      <c r="R26" s="21"/>
      <c r="S26" t="s">
        <v>11</v>
      </c>
      <c r="T26">
        <v>690</v>
      </c>
      <c r="U26" s="21"/>
      <c r="V26" t="s">
        <v>11</v>
      </c>
      <c r="W26">
        <v>1607</v>
      </c>
      <c r="X26" s="21"/>
      <c r="Y26" t="s">
        <v>11</v>
      </c>
      <c r="Z26">
        <v>3360</v>
      </c>
      <c r="AA26" s="21"/>
      <c r="AB26" t="s">
        <v>11</v>
      </c>
      <c r="AC26">
        <v>4676</v>
      </c>
      <c r="AD26" s="21"/>
      <c r="AE26" t="s">
        <v>11</v>
      </c>
      <c r="AF26" s="1">
        <f>5690*1.199</f>
        <v>6822.31</v>
      </c>
      <c r="AG26" s="21"/>
    </row>
    <row r="27" spans="1:46">
      <c r="A27" t="s">
        <v>12</v>
      </c>
      <c r="B27">
        <v>6808</v>
      </c>
      <c r="C27" s="21"/>
      <c r="D27" t="s">
        <v>12</v>
      </c>
      <c r="E27">
        <v>7125</v>
      </c>
      <c r="F27" s="21"/>
      <c r="G27" t="s">
        <v>12</v>
      </c>
      <c r="H27">
        <v>2421</v>
      </c>
      <c r="I27" s="21"/>
      <c r="J27" t="s">
        <v>12</v>
      </c>
      <c r="K27">
        <v>7167</v>
      </c>
      <c r="L27" s="21"/>
      <c r="M27" t="s">
        <v>12</v>
      </c>
      <c r="N27">
        <v>4253</v>
      </c>
      <c r="O27" s="21"/>
      <c r="P27" t="s">
        <v>12</v>
      </c>
      <c r="Q27">
        <v>1182</v>
      </c>
      <c r="R27" s="21"/>
      <c r="S27" t="s">
        <v>12</v>
      </c>
      <c r="T27">
        <v>1259</v>
      </c>
      <c r="U27" s="21"/>
      <c r="V27" t="s">
        <v>12</v>
      </c>
      <c r="W27">
        <v>29</v>
      </c>
      <c r="X27" s="21"/>
      <c r="Y27" t="s">
        <v>12</v>
      </c>
      <c r="Z27">
        <f>2533+70</f>
        <v>2603</v>
      </c>
      <c r="AA27" s="21"/>
      <c r="AB27" t="s">
        <v>12</v>
      </c>
      <c r="AC27">
        <v>1979</v>
      </c>
      <c r="AD27" s="21"/>
      <c r="AE27" t="s">
        <v>12</v>
      </c>
      <c r="AF27" s="1">
        <f>3216*1.199</f>
        <v>3855.9840000000004</v>
      </c>
      <c r="AG27" s="21"/>
    </row>
    <row r="28" spans="1:46" s="9" customFormat="1">
      <c r="A28" s="9" t="s">
        <v>13</v>
      </c>
      <c r="B28" s="9">
        <v>102</v>
      </c>
      <c r="C28" s="21"/>
      <c r="D28" s="9" t="s">
        <v>13</v>
      </c>
      <c r="E28" s="9">
        <v>69</v>
      </c>
      <c r="F28" s="21"/>
      <c r="G28" s="9" t="s">
        <v>13</v>
      </c>
      <c r="H28" s="9">
        <v>465</v>
      </c>
      <c r="I28" s="21"/>
      <c r="J28" s="9" t="s">
        <v>13</v>
      </c>
      <c r="K28" s="9">
        <v>94</v>
      </c>
      <c r="L28" s="21"/>
      <c r="M28" s="9" t="s">
        <v>13</v>
      </c>
      <c r="N28" s="9">
        <v>101</v>
      </c>
      <c r="O28" s="21"/>
      <c r="P28" s="9" t="s">
        <v>13</v>
      </c>
      <c r="Q28" s="9">
        <v>5</v>
      </c>
      <c r="R28" s="21"/>
      <c r="S28" s="9" t="s">
        <v>13</v>
      </c>
      <c r="T28" s="9">
        <v>9</v>
      </c>
      <c r="U28" s="21"/>
      <c r="V28" s="9" t="s">
        <v>13</v>
      </c>
      <c r="W28" s="9">
        <v>9</v>
      </c>
      <c r="X28" s="21"/>
      <c r="Y28" s="9" t="s">
        <v>13</v>
      </c>
      <c r="Z28" s="9">
        <v>66</v>
      </c>
      <c r="AA28" s="21"/>
      <c r="AB28" s="9" t="s">
        <v>13</v>
      </c>
      <c r="AD28" s="21"/>
      <c r="AE28" s="9" t="s">
        <v>13</v>
      </c>
      <c r="AF28" s="13">
        <f>818*1.199</f>
        <v>980.78200000000004</v>
      </c>
      <c r="AG28" s="21"/>
    </row>
    <row r="29" spans="1:46" s="4" customFormat="1">
      <c r="A29" s="4" t="s">
        <v>14</v>
      </c>
      <c r="B29" s="4">
        <f>1134+923</f>
        <v>2057</v>
      </c>
      <c r="C29" s="21"/>
      <c r="D29" s="4" t="s">
        <v>14</v>
      </c>
      <c r="E29" s="4">
        <f>1197+72+683</f>
        <v>1952</v>
      </c>
      <c r="F29" s="21"/>
      <c r="G29" s="4" t="s">
        <v>14</v>
      </c>
      <c r="H29" s="4">
        <f>758+85+446</f>
        <v>1289</v>
      </c>
      <c r="I29" s="21"/>
      <c r="J29" s="4" t="s">
        <v>14</v>
      </c>
      <c r="K29" s="4">
        <f>1642+1342</f>
        <v>2984</v>
      </c>
      <c r="L29" s="21"/>
      <c r="M29" s="4" t="s">
        <v>14</v>
      </c>
      <c r="N29" s="4">
        <f>325+176+669</f>
        <v>1170</v>
      </c>
      <c r="O29" s="21"/>
      <c r="P29" s="4" t="s">
        <v>14</v>
      </c>
      <c r="Q29" s="4">
        <f>132+60</f>
        <v>192</v>
      </c>
      <c r="R29" s="21"/>
      <c r="S29" s="4" t="s">
        <v>14</v>
      </c>
      <c r="T29" s="4">
        <v>78</v>
      </c>
      <c r="U29" s="21"/>
      <c r="V29" s="4" t="s">
        <v>14</v>
      </c>
      <c r="W29" s="4">
        <f>27-8</f>
        <v>19</v>
      </c>
      <c r="X29" s="21"/>
      <c r="Y29" s="4" t="s">
        <v>14</v>
      </c>
      <c r="Z29" s="4">
        <v>61</v>
      </c>
      <c r="AA29" s="21"/>
      <c r="AB29" s="4" t="s">
        <v>14</v>
      </c>
      <c r="AC29" s="4">
        <v>454</v>
      </c>
      <c r="AD29" s="21"/>
      <c r="AE29" s="9" t="s">
        <v>14</v>
      </c>
      <c r="AF29" s="13"/>
      <c r="AG29" s="21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</row>
    <row r="30" spans="1:46">
      <c r="A30" t="s">
        <v>15</v>
      </c>
      <c r="B30">
        <f>SUM(B26:B29)</f>
        <v>12516</v>
      </c>
      <c r="C30" s="21"/>
      <c r="D30" t="s">
        <v>15</v>
      </c>
      <c r="E30">
        <f>E26+E27+E28+E29</f>
        <v>13953</v>
      </c>
      <c r="F30" s="21"/>
      <c r="G30" t="s">
        <v>15</v>
      </c>
      <c r="H30">
        <f>H26+H27+H28+H29</f>
        <v>5995</v>
      </c>
      <c r="I30" s="21"/>
      <c r="J30" t="s">
        <v>15</v>
      </c>
      <c r="K30">
        <f>SUM(K26:K29)</f>
        <v>22680</v>
      </c>
      <c r="L30" s="21"/>
      <c r="M30" t="s">
        <v>15</v>
      </c>
      <c r="N30">
        <f>SUM(N26:N29)</f>
        <v>10897</v>
      </c>
      <c r="O30" s="21"/>
      <c r="P30" t="s">
        <v>15</v>
      </c>
      <c r="Q30">
        <f>Q26+Q27+Q28+Q29</f>
        <v>3270</v>
      </c>
      <c r="R30" s="21"/>
      <c r="S30" t="s">
        <v>15</v>
      </c>
      <c r="T30">
        <f>SUM(T26:T29)</f>
        <v>2036</v>
      </c>
      <c r="U30" s="21"/>
      <c r="V30" t="s">
        <v>15</v>
      </c>
      <c r="W30">
        <f>SUM(W26:W29)</f>
        <v>1664</v>
      </c>
      <c r="X30" s="21"/>
      <c r="Y30" t="s">
        <v>15</v>
      </c>
      <c r="Z30">
        <f>SUM(Z26:Z29)</f>
        <v>6090</v>
      </c>
      <c r="AA30" s="21"/>
      <c r="AB30" t="s">
        <v>15</v>
      </c>
      <c r="AC30">
        <f>SUM(AC26:AC29)</f>
        <v>7109</v>
      </c>
      <c r="AD30" s="21"/>
      <c r="AE30" t="s">
        <v>15</v>
      </c>
      <c r="AF30" s="1">
        <f>(AF26+AF27+AF28+AF29)*1.199</f>
        <v>13979.232124000002</v>
      </c>
      <c r="AG30" s="21"/>
    </row>
    <row r="31" spans="1:46">
      <c r="A31" t="s">
        <v>16</v>
      </c>
      <c r="B31">
        <f>B30-SUM(B20:B24)</f>
        <v>0</v>
      </c>
      <c r="C31" s="21"/>
      <c r="D31" t="s">
        <v>16</v>
      </c>
      <c r="E31">
        <f>E30-E20-E21-E22-E23-E24</f>
        <v>0</v>
      </c>
      <c r="F31" s="21"/>
      <c r="G31" t="s">
        <v>16</v>
      </c>
      <c r="H31">
        <f>H30-H20-H21-H22-H23-H24</f>
        <v>0</v>
      </c>
      <c r="I31" s="21"/>
      <c r="J31" t="s">
        <v>16</v>
      </c>
      <c r="K31">
        <f>K30-K20-K21-K22-K23-K24</f>
        <v>0</v>
      </c>
      <c r="L31" s="21"/>
      <c r="M31" t="s">
        <v>16</v>
      </c>
      <c r="N31">
        <f>N30-(N21+N22+N23+N24)</f>
        <v>0</v>
      </c>
      <c r="O31" s="21"/>
      <c r="P31" t="s">
        <v>16</v>
      </c>
      <c r="Q31">
        <f>Q30-Q21-Q22-Q23-Q24</f>
        <v>0</v>
      </c>
      <c r="R31" s="21"/>
      <c r="S31" t="s">
        <v>16</v>
      </c>
      <c r="T31">
        <f>T30-T21-T22-T23-T24</f>
        <v>-1</v>
      </c>
      <c r="U31" s="21"/>
      <c r="V31" t="s">
        <v>16</v>
      </c>
      <c r="W31">
        <f>W30-W20-W21-W22-W23-W24</f>
        <v>0</v>
      </c>
      <c r="X31" s="21"/>
      <c r="Y31" t="s">
        <v>16</v>
      </c>
      <c r="Z31">
        <f>Z30-Z21-Z22-Z23-Z24</f>
        <v>0</v>
      </c>
      <c r="AA31" s="21"/>
      <c r="AB31" t="s">
        <v>16</v>
      </c>
      <c r="AC31">
        <f>AC30-AC21-AC22-AC24</f>
        <v>0</v>
      </c>
      <c r="AD31" s="21"/>
      <c r="AE31" t="s">
        <v>16</v>
      </c>
      <c r="AF31" s="1">
        <f>AF30-AF21-AF22-AF23-AF24</f>
        <v>6.2724000001878721E-2</v>
      </c>
      <c r="AG31" s="21"/>
    </row>
    <row r="32" spans="1:46">
      <c r="A32" t="str">
        <f>REPT("-",3000)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32" s="21"/>
      <c r="F32" s="21"/>
      <c r="I32" s="21"/>
      <c r="L32" s="21"/>
      <c r="O32" s="21"/>
      <c r="R32" s="21"/>
      <c r="U32" s="21"/>
      <c r="X32" s="21"/>
      <c r="AA32" s="21"/>
      <c r="AD32" s="21"/>
      <c r="AG32" s="21"/>
    </row>
    <row r="33" spans="1:35">
      <c r="B33" s="20" t="str">
        <f>B19</f>
        <v>Klép.</v>
      </c>
      <c r="C33" s="21"/>
      <c r="E33" s="19" t="s">
        <v>33</v>
      </c>
      <c r="F33" s="21"/>
      <c r="H33" s="19" t="s">
        <v>34</v>
      </c>
      <c r="I33" s="21"/>
      <c r="K33" s="19" t="s">
        <v>35</v>
      </c>
      <c r="L33" s="21"/>
      <c r="N33" s="19" t="s">
        <v>36</v>
      </c>
      <c r="O33" s="21"/>
      <c r="Q33" s="19" t="s">
        <v>48</v>
      </c>
      <c r="R33" s="21"/>
      <c r="U33" s="21"/>
      <c r="X33" s="21"/>
      <c r="AA33" s="21"/>
      <c r="AD33" s="21"/>
      <c r="AF33" s="19" t="s">
        <v>41</v>
      </c>
      <c r="AG33" s="21"/>
    </row>
    <row r="34" spans="1:35">
      <c r="A34" t="s">
        <v>19</v>
      </c>
      <c r="B34">
        <v>22.2</v>
      </c>
      <c r="C34" s="21"/>
      <c r="D34" t="s">
        <v>19</v>
      </c>
      <c r="E34" s="6">
        <v>72.3</v>
      </c>
      <c r="F34" s="21"/>
      <c r="G34" t="s">
        <v>19</v>
      </c>
      <c r="H34">
        <v>73.959999999999994</v>
      </c>
      <c r="I34" s="21"/>
      <c r="J34" s="3" t="s">
        <v>19</v>
      </c>
      <c r="K34">
        <v>150.55000000000001</v>
      </c>
      <c r="L34" s="21"/>
      <c r="M34" s="3" t="s">
        <v>19</v>
      </c>
      <c r="N34">
        <v>80.790000000000006</v>
      </c>
      <c r="O34" s="21"/>
      <c r="P34" s="3" t="s">
        <v>19</v>
      </c>
      <c r="Q34">
        <v>31.75</v>
      </c>
      <c r="R34" s="21"/>
      <c r="S34" s="3" t="s">
        <v>19</v>
      </c>
      <c r="T34">
        <v>88.28</v>
      </c>
      <c r="U34" s="21"/>
      <c r="V34" s="3" t="s">
        <v>19</v>
      </c>
      <c r="W34">
        <v>25.3</v>
      </c>
      <c r="X34" s="21"/>
      <c r="Y34" s="3" t="s">
        <v>19</v>
      </c>
      <c r="Z34">
        <v>4.3099999999999996</v>
      </c>
      <c r="AA34" s="21"/>
      <c r="AB34" s="3" t="s">
        <v>19</v>
      </c>
      <c r="AC34">
        <v>5.65</v>
      </c>
      <c r="AD34" s="21"/>
      <c r="AE34" s="3" t="s">
        <v>19</v>
      </c>
      <c r="AF34" s="11">
        <f>11.222*1.199</f>
        <v>13.455178</v>
      </c>
      <c r="AG34" s="21"/>
      <c r="AH34" s="3"/>
    </row>
    <row r="35" spans="1:35">
      <c r="A35" t="s">
        <v>20</v>
      </c>
      <c r="B35">
        <v>190</v>
      </c>
      <c r="C35" s="21"/>
      <c r="D35" t="s">
        <v>20</v>
      </c>
      <c r="E35">
        <v>54</v>
      </c>
      <c r="F35" s="21"/>
      <c r="G35" t="s">
        <v>20</v>
      </c>
      <c r="H35">
        <v>52</v>
      </c>
      <c r="I35" s="21"/>
      <c r="J35" t="s">
        <v>20</v>
      </c>
      <c r="K35">
        <v>91</v>
      </c>
      <c r="L35" s="21"/>
      <c r="M35" t="s">
        <v>20</v>
      </c>
      <c r="N35">
        <v>63</v>
      </c>
      <c r="O35" s="21"/>
      <c r="P35" t="s">
        <v>20</v>
      </c>
      <c r="Q35">
        <v>47</v>
      </c>
      <c r="R35" s="21"/>
      <c r="S35" t="s">
        <v>20</v>
      </c>
      <c r="T35">
        <v>17</v>
      </c>
      <c r="U35" s="21"/>
      <c r="V35" t="s">
        <v>20</v>
      </c>
      <c r="W35">
        <v>92</v>
      </c>
      <c r="X35" s="21"/>
      <c r="Y35" t="s">
        <v>20</v>
      </c>
      <c r="Z35">
        <v>708</v>
      </c>
      <c r="AA35" s="21"/>
      <c r="AB35" t="s">
        <v>20</v>
      </c>
      <c r="AC35">
        <v>875</v>
      </c>
      <c r="AD35" s="21"/>
      <c r="AE35" s="4" t="s">
        <v>20</v>
      </c>
      <c r="AF35" s="22">
        <f>AF36/AF34</f>
        <v>428.60822799965933</v>
      </c>
      <c r="AG35" s="21"/>
      <c r="AH35" s="9"/>
    </row>
    <row r="36" spans="1:35">
      <c r="A36" t="s">
        <v>21</v>
      </c>
      <c r="B36">
        <f>B34*B35</f>
        <v>4218</v>
      </c>
      <c r="C36" s="21"/>
      <c r="D36" t="s">
        <v>21</v>
      </c>
      <c r="E36" s="6">
        <f>E34*E35</f>
        <v>3904.2</v>
      </c>
      <c r="F36" s="21"/>
      <c r="G36" t="s">
        <v>21</v>
      </c>
      <c r="H36">
        <f>H34*H35</f>
        <v>3845.9199999999996</v>
      </c>
      <c r="I36" s="21"/>
      <c r="J36" t="s">
        <v>21</v>
      </c>
      <c r="K36">
        <f>K34*K35</f>
        <v>13700.050000000001</v>
      </c>
      <c r="L36" s="21"/>
      <c r="M36" t="s">
        <v>21</v>
      </c>
      <c r="N36">
        <f>N34*N35</f>
        <v>5089.7700000000004</v>
      </c>
      <c r="O36" s="21"/>
      <c r="P36" t="s">
        <v>21</v>
      </c>
      <c r="Q36">
        <f>Q34*Q35</f>
        <v>1492.25</v>
      </c>
      <c r="R36" s="21"/>
      <c r="S36" t="s">
        <v>21</v>
      </c>
      <c r="T36">
        <f>T34*T35</f>
        <v>1500.76</v>
      </c>
      <c r="U36" s="21"/>
      <c r="V36" t="s">
        <v>21</v>
      </c>
      <c r="W36">
        <f>W34*W35</f>
        <v>2327.6</v>
      </c>
      <c r="X36" s="21"/>
      <c r="Y36" t="s">
        <v>21</v>
      </c>
      <c r="Z36">
        <f>Z34*Z35</f>
        <v>3051.4799999999996</v>
      </c>
      <c r="AA36" s="21"/>
      <c r="AB36" t="s">
        <v>21</v>
      </c>
      <c r="AC36">
        <f>AC34*AC35</f>
        <v>4943.75</v>
      </c>
      <c r="AD36" s="21"/>
      <c r="AE36" t="s">
        <v>21</v>
      </c>
      <c r="AF36" s="1">
        <v>5767</v>
      </c>
      <c r="AG36" s="21"/>
    </row>
    <row r="37" spans="1:35">
      <c r="A37" t="s">
        <v>22</v>
      </c>
      <c r="B37" s="25">
        <f>(B17+B36*$H$2)/B36</f>
        <v>7.9312470365101931E-2</v>
      </c>
      <c r="C37" s="21"/>
      <c r="D37" t="s">
        <v>22</v>
      </c>
      <c r="E37" s="26">
        <f>(E17+E36*$H$2)/E36</f>
        <v>-8.8846370575277916E-2</v>
      </c>
      <c r="F37" s="21"/>
      <c r="G37" t="s">
        <v>22</v>
      </c>
      <c r="H37" s="26">
        <f>(H17+H36*$H$2)/H36</f>
        <v>0.16910845779423392</v>
      </c>
      <c r="I37" s="21"/>
      <c r="J37" t="s">
        <v>22</v>
      </c>
      <c r="K37" s="26">
        <f>(K17+K36*$H$2)/K36</f>
        <v>-8.4379144601662029E-2</v>
      </c>
      <c r="L37" s="21"/>
      <c r="M37" t="s">
        <v>22</v>
      </c>
      <c r="N37" s="26">
        <f>(N17+N36*$H$2)/N36</f>
        <v>-0.12206973989001467</v>
      </c>
      <c r="O37" s="21"/>
      <c r="P37" t="s">
        <v>22</v>
      </c>
      <c r="Q37" s="26">
        <f>(Q17+Q36*$H$2)/Q36</f>
        <v>-0.14892444295526891</v>
      </c>
      <c r="R37" s="21"/>
      <c r="S37" t="s">
        <v>22</v>
      </c>
      <c r="T37" s="26">
        <f>(T17+T36*$H$2)/T36</f>
        <v>5.9984807697433293E-2</v>
      </c>
      <c r="U37" s="21"/>
      <c r="V37" t="s">
        <v>22</v>
      </c>
      <c r="W37" s="26">
        <f>(W17+W36*$H$2)/W36</f>
        <v>7.0814572950678806E-2</v>
      </c>
      <c r="X37" s="21"/>
      <c r="Y37" t="s">
        <v>22</v>
      </c>
      <c r="Z37" s="26">
        <f>(Z17+Z36*$H$2)/Z36</f>
        <v>-9.7479124883663018E-2</v>
      </c>
      <c r="AA37" s="21"/>
      <c r="AB37" t="s">
        <v>22</v>
      </c>
      <c r="AC37" s="26">
        <f>(AC17+AC36*$K$2)/AC36</f>
        <v>0.29608091024020228</v>
      </c>
      <c r="AD37" s="21"/>
      <c r="AE37" t="s">
        <v>22</v>
      </c>
      <c r="AF37" s="6">
        <f>(AF17+AF36*$H$2)/AF36</f>
        <v>0.25713552973816539</v>
      </c>
      <c r="AG37" s="21"/>
    </row>
    <row r="38" spans="1:35" s="17" customFormat="1">
      <c r="A38" s="15" t="s">
        <v>29</v>
      </c>
      <c r="B38" s="27">
        <f>(B37-$K$2)/$N$2</f>
        <v>0.65520783941836558</v>
      </c>
      <c r="C38" s="28"/>
      <c r="D38" s="15" t="s">
        <v>29</v>
      </c>
      <c r="E38" s="29">
        <f>(E37-$K$2)/$N$2</f>
        <v>-2.1474395095879655</v>
      </c>
      <c r="F38" s="30"/>
      <c r="G38" s="15" t="s">
        <v>29</v>
      </c>
      <c r="H38" s="29">
        <f>(H37-$K$2)/$N$2</f>
        <v>2.1518076299038986</v>
      </c>
      <c r="I38" s="30"/>
      <c r="J38" s="15" t="s">
        <v>29</v>
      </c>
      <c r="K38" s="29">
        <f>(K37-$K$2)/$N$2</f>
        <v>-2.0729857433610337</v>
      </c>
      <c r="L38" s="30"/>
      <c r="M38" s="15" t="s">
        <v>29</v>
      </c>
      <c r="N38" s="16">
        <f>(N37-$K$2)/$N$2</f>
        <v>-2.7011623315002447</v>
      </c>
      <c r="O38" s="30"/>
      <c r="P38" s="15" t="s">
        <v>29</v>
      </c>
      <c r="Q38" s="29">
        <f>(Q37-$K$2)/$N$2</f>
        <v>-3.1487407159211487</v>
      </c>
      <c r="R38" s="30"/>
      <c r="S38" s="15" t="s">
        <v>29</v>
      </c>
      <c r="T38" s="29">
        <f>(T37-$K$2)/$N$2</f>
        <v>0.33308012829055489</v>
      </c>
      <c r="U38" s="30"/>
      <c r="V38" s="15" t="s">
        <v>29</v>
      </c>
      <c r="W38" s="29">
        <f>(W37-$K$2)/$N$2</f>
        <v>0.51357621584464674</v>
      </c>
      <c r="X38" s="30"/>
      <c r="Y38" s="15" t="s">
        <v>29</v>
      </c>
      <c r="Z38" s="29">
        <f>(Z37-$K$2)/$N$2</f>
        <v>-2.2913187480610504</v>
      </c>
      <c r="AA38" s="30"/>
      <c r="AB38" s="15" t="s">
        <v>29</v>
      </c>
      <c r="AC38" s="29">
        <f>(AC37-$K$2)/$N$2</f>
        <v>4.2680151706700382</v>
      </c>
      <c r="AD38" s="30"/>
      <c r="AE38" s="15" t="s">
        <v>29</v>
      </c>
      <c r="AF38" s="16">
        <f>(AF37-$K$2)/$N$2</f>
        <v>3.6189254956360899</v>
      </c>
      <c r="AG38" s="30"/>
      <c r="AH38" s="15" t="s">
        <v>43</v>
      </c>
      <c r="AI38" s="16">
        <f>(B38+E38+H38+K38+N38+Q38+T38+W38+Z38+AC38+AF38)/11</f>
        <v>-7.4639506242531753E-2</v>
      </c>
    </row>
    <row r="39" spans="1:35">
      <c r="A39" t="str">
        <f>REPT("-",3000)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39" s="21"/>
      <c r="E39" s="31"/>
      <c r="F39" s="21"/>
      <c r="I39" s="21"/>
      <c r="L39" s="21"/>
      <c r="O39" s="21"/>
      <c r="R39" s="21"/>
      <c r="U39" s="21"/>
      <c r="X39" s="21"/>
      <c r="AA39" s="21"/>
      <c r="AD39" s="21"/>
      <c r="AG39" s="21"/>
    </row>
    <row r="40" spans="1:35">
      <c r="B40" s="20" t="str">
        <f>B19</f>
        <v>Klép.</v>
      </c>
      <c r="C40" s="21"/>
      <c r="E40" s="19" t="s">
        <v>33</v>
      </c>
      <c r="F40" s="21"/>
      <c r="H40" s="19" t="s">
        <v>34</v>
      </c>
      <c r="I40" s="21"/>
      <c r="L40" s="21"/>
      <c r="O40" s="21"/>
      <c r="R40" s="21"/>
      <c r="U40" s="21"/>
      <c r="X40" s="21"/>
      <c r="AA40" s="21"/>
      <c r="AD40" s="21"/>
      <c r="AG40" s="21"/>
    </row>
    <row r="41" spans="1:35">
      <c r="A41" t="s">
        <v>31</v>
      </c>
      <c r="B41" s="1">
        <f>B21/B8</f>
        <v>28.25485436893204</v>
      </c>
      <c r="C41" s="21"/>
      <c r="D41" t="s">
        <v>31</v>
      </c>
      <c r="E41" s="1">
        <f>E21/E8</f>
        <v>13.368360277136258</v>
      </c>
      <c r="F41" s="21"/>
      <c r="G41" t="s">
        <v>31</v>
      </c>
      <c r="H41" s="6">
        <f>H21/H8</f>
        <v>2.3273251622206201</v>
      </c>
      <c r="I41" s="21"/>
      <c r="J41" s="3" t="s">
        <v>31</v>
      </c>
      <c r="K41" s="6">
        <f>K21/K8</f>
        <v>8.1947326416600159</v>
      </c>
      <c r="L41" s="21"/>
      <c r="M41" s="3" t="s">
        <v>31</v>
      </c>
      <c r="N41" s="1">
        <f>N21/N8</f>
        <v>54.338709677419352</v>
      </c>
      <c r="O41" s="21"/>
      <c r="P41" s="3" t="s">
        <v>31</v>
      </c>
      <c r="Q41" s="6">
        <f>Q21/Q8</f>
        <v>7.8324999999999996</v>
      </c>
      <c r="R41" s="21"/>
      <c r="S41" s="3" t="s">
        <v>31</v>
      </c>
      <c r="T41" s="6">
        <f>T21/T8</f>
        <v>24.132530120481928</v>
      </c>
      <c r="U41" s="21"/>
      <c r="V41" s="3" t="s">
        <v>31</v>
      </c>
      <c r="W41" s="6">
        <f>W21/W8</f>
        <v>47.696969696969695</v>
      </c>
      <c r="X41" s="21"/>
      <c r="Y41" s="3" t="s">
        <v>31</v>
      </c>
      <c r="Z41" s="6">
        <f>Z21/Z8</f>
        <v>7.5267275097783575</v>
      </c>
      <c r="AA41" s="21"/>
      <c r="AB41" s="3" t="s">
        <v>31</v>
      </c>
      <c r="AD41" s="21"/>
      <c r="AE41" s="3" t="s">
        <v>31</v>
      </c>
      <c r="AG41" s="21"/>
    </row>
    <row r="42" spans="1:35">
      <c r="A42" t="s">
        <v>30</v>
      </c>
      <c r="B42">
        <v>5320</v>
      </c>
      <c r="C42" s="21"/>
      <c r="D42" t="s">
        <v>30</v>
      </c>
      <c r="E42">
        <f>E30-E27</f>
        <v>6828</v>
      </c>
      <c r="F42" s="21"/>
      <c r="G42" t="s">
        <v>30</v>
      </c>
      <c r="H42">
        <f>H30-H27</f>
        <v>3574</v>
      </c>
      <c r="I42" s="21"/>
      <c r="J42" t="s">
        <v>30</v>
      </c>
      <c r="K42">
        <f>K30-K27</f>
        <v>15513</v>
      </c>
      <c r="L42" s="21"/>
      <c r="M42" t="s">
        <v>30</v>
      </c>
      <c r="N42">
        <f>N30-N27</f>
        <v>6644</v>
      </c>
      <c r="O42" s="21"/>
      <c r="P42" t="s">
        <v>30</v>
      </c>
      <c r="Q42">
        <f>Q30-Q27</f>
        <v>2088</v>
      </c>
      <c r="R42" s="21"/>
      <c r="S42" t="s">
        <v>30</v>
      </c>
      <c r="T42">
        <f>T30-T27</f>
        <v>777</v>
      </c>
      <c r="U42" s="21"/>
      <c r="V42" t="s">
        <v>30</v>
      </c>
      <c r="W42">
        <f>W30-W27</f>
        <v>1635</v>
      </c>
      <c r="X42" s="21"/>
      <c r="Y42" t="s">
        <v>30</v>
      </c>
      <c r="Z42">
        <f>Z30-Z27</f>
        <v>3487</v>
      </c>
      <c r="AA42" s="21"/>
      <c r="AB42" t="s">
        <v>30</v>
      </c>
      <c r="AC42">
        <f>AC30-AC27</f>
        <v>5130</v>
      </c>
      <c r="AD42" s="21"/>
      <c r="AE42" t="s">
        <v>30</v>
      </c>
      <c r="AF42" s="1">
        <f>AF30-AF27</f>
        <v>10123.248124000002</v>
      </c>
      <c r="AG42" s="21"/>
    </row>
    <row r="43" spans="1:35">
      <c r="A43" t="s">
        <v>32</v>
      </c>
      <c r="B43">
        <f>B36/B42</f>
        <v>0.79285714285714282</v>
      </c>
      <c r="C43" s="21"/>
      <c r="D43" t="s">
        <v>32</v>
      </c>
      <c r="E43" s="7">
        <f>E36/E42</f>
        <v>0.57179261862917397</v>
      </c>
      <c r="F43" s="21"/>
      <c r="G43" t="s">
        <v>32</v>
      </c>
      <c r="H43" s="7">
        <f>H36/H42</f>
        <v>1.076082820369334</v>
      </c>
      <c r="I43" s="21"/>
      <c r="J43" t="s">
        <v>32</v>
      </c>
      <c r="K43" s="7">
        <f>K36/K42</f>
        <v>0.8831335009347</v>
      </c>
      <c r="L43" s="21"/>
      <c r="M43" t="s">
        <v>32</v>
      </c>
      <c r="N43" s="7">
        <f>N36/N42</f>
        <v>0.76607013847080074</v>
      </c>
      <c r="O43" s="21"/>
      <c r="P43" t="s">
        <v>32</v>
      </c>
      <c r="Q43" s="8">
        <f>Q36/Q42</f>
        <v>0.71467911877394641</v>
      </c>
      <c r="R43" s="21"/>
      <c r="S43" t="s">
        <v>32</v>
      </c>
      <c r="T43">
        <f>T36/T42</f>
        <v>1.9314800514800514</v>
      </c>
      <c r="U43" s="21"/>
      <c r="V43" t="s">
        <v>32</v>
      </c>
      <c r="W43" s="7">
        <f>W36/W42</f>
        <v>1.4236085626911315</v>
      </c>
      <c r="X43" s="21"/>
      <c r="Y43" t="s">
        <v>32</v>
      </c>
      <c r="Z43" s="7">
        <f>Z36/Z42</f>
        <v>0.87510180671063942</v>
      </c>
      <c r="AA43" s="21"/>
      <c r="AB43" t="s">
        <v>32</v>
      </c>
      <c r="AC43" s="7">
        <f>AC36/AC42</f>
        <v>0.96369395711500971</v>
      </c>
      <c r="AD43" s="21"/>
      <c r="AE43" t="s">
        <v>32</v>
      </c>
      <c r="AF43" s="8">
        <f>AF36/AF42</f>
        <v>0.5696788154710648</v>
      </c>
      <c r="AG43" s="21"/>
    </row>
    <row r="44" spans="1:35">
      <c r="A44" t="str">
        <f>REPT("-",3000)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44" s="9"/>
    </row>
    <row r="53" spans="1:1">
      <c r="A53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mergeCells count="1">
    <mergeCell ref="A2:C2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54"/>
  <sheetViews>
    <sheetView topLeftCell="A19" workbookViewId="0">
      <selection activeCell="A39" sqref="A39"/>
    </sheetView>
  </sheetViews>
  <sheetFormatPr baseColWidth="10" defaultColWidth="7.5703125" defaultRowHeight="12.75"/>
  <cols>
    <col min="1" max="1" width="17.28515625" customWidth="1"/>
    <col min="2" max="10" width="10.28515625" customWidth="1"/>
    <col min="11" max="11" width="3" style="62" customWidth="1"/>
    <col min="12" max="13" width="10.28515625" customWidth="1"/>
    <col min="14" max="14" width="18.42578125" customWidth="1"/>
    <col min="15" max="15" width="20.7109375" customWidth="1"/>
  </cols>
  <sheetData>
    <row r="1" spans="1:24">
      <c r="B1" s="1">
        <f>B42</f>
        <v>28.25485436893204</v>
      </c>
      <c r="C1" s="1">
        <f t="shared" ref="C1:J1" si="0">C42</f>
        <v>27.829326923076923</v>
      </c>
      <c r="D1" s="1">
        <f t="shared" si="0"/>
        <v>3.6392333709131903</v>
      </c>
      <c r="E1" s="1">
        <f t="shared" si="0"/>
        <v>0</v>
      </c>
      <c r="F1" s="1">
        <f t="shared" si="0"/>
        <v>10.168008048289739</v>
      </c>
      <c r="G1" s="1">
        <f t="shared" si="0"/>
        <v>7.8324999999999996</v>
      </c>
      <c r="H1" s="1">
        <f t="shared" si="0"/>
        <v>24.132530120481928</v>
      </c>
      <c r="I1" s="1">
        <f t="shared" si="0"/>
        <v>47.696969696969695</v>
      </c>
      <c r="J1" s="1">
        <f t="shared" si="0"/>
        <v>7.5267275097783575</v>
      </c>
      <c r="M1" s="3" t="s">
        <v>42</v>
      </c>
    </row>
    <row r="2" spans="1:24">
      <c r="A2" s="72"/>
      <c r="B2" s="72"/>
      <c r="C2">
        <v>2009</v>
      </c>
      <c r="D2" s="2">
        <v>0.03</v>
      </c>
      <c r="E2" s="2">
        <v>0.04</v>
      </c>
      <c r="F2" s="2">
        <v>0.06</v>
      </c>
      <c r="G2" s="32"/>
    </row>
    <row r="3" spans="1:24">
      <c r="A3" t="str">
        <f>REPT("-",3000)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N3" s="10"/>
    </row>
    <row r="4" spans="1:24" s="57" customFormat="1" ht="22.5">
      <c r="A4" s="55" t="s">
        <v>25</v>
      </c>
      <c r="B4" s="55" t="s">
        <v>17</v>
      </c>
      <c r="C4" s="55" t="s">
        <v>33</v>
      </c>
      <c r="D4" s="55" t="s">
        <v>34</v>
      </c>
      <c r="E4" s="55" t="s">
        <v>35</v>
      </c>
      <c r="F4" s="55" t="s">
        <v>36</v>
      </c>
      <c r="G4" s="55" t="s">
        <v>48</v>
      </c>
      <c r="H4" s="55" t="s">
        <v>37</v>
      </c>
      <c r="I4" s="55" t="s">
        <v>38</v>
      </c>
      <c r="J4" s="55" t="s">
        <v>67</v>
      </c>
      <c r="K4" s="63"/>
      <c r="L4" s="55" t="s">
        <v>40</v>
      </c>
      <c r="M4" s="55" t="s">
        <v>41</v>
      </c>
      <c r="N4" s="56"/>
      <c r="O4" s="56"/>
    </row>
    <row r="5" spans="1:24">
      <c r="A5" s="18" t="s">
        <v>0</v>
      </c>
      <c r="B5" s="18">
        <v>895</v>
      </c>
      <c r="C5" s="18">
        <v>991</v>
      </c>
      <c r="D5" s="18">
        <v>1506</v>
      </c>
      <c r="E5" s="18">
        <v>1473</v>
      </c>
      <c r="F5" s="18">
        <v>647</v>
      </c>
      <c r="G5" s="18">
        <v>183</v>
      </c>
      <c r="H5" s="18">
        <v>168</v>
      </c>
      <c r="I5" s="18">
        <v>134</v>
      </c>
      <c r="J5" s="18">
        <v>391</v>
      </c>
      <c r="K5" s="64"/>
      <c r="L5" s="18">
        <v>437</v>
      </c>
      <c r="M5" s="34">
        <f>833.3*1.199</f>
        <v>999.12670000000003</v>
      </c>
    </row>
    <row r="6" spans="1:24">
      <c r="A6" s="18" t="s">
        <v>18</v>
      </c>
      <c r="B6" s="18">
        <v>87</v>
      </c>
      <c r="C6" s="18">
        <f>994-991</f>
        <v>3</v>
      </c>
      <c r="D6" s="18">
        <f>1518-D5+534</f>
        <v>546</v>
      </c>
      <c r="E6" s="18"/>
      <c r="F6" s="18">
        <f>654-F5</f>
        <v>7</v>
      </c>
      <c r="G6" s="18">
        <v>-14</v>
      </c>
      <c r="H6" s="18">
        <f>173-H5</f>
        <v>5</v>
      </c>
      <c r="I6" s="18">
        <v>0</v>
      </c>
      <c r="J6" s="18">
        <v>0</v>
      </c>
      <c r="K6" s="64"/>
      <c r="L6" s="18"/>
      <c r="M6" s="35">
        <f>392.5*1.199</f>
        <v>470.60750000000002</v>
      </c>
      <c r="N6" s="3"/>
    </row>
    <row r="7" spans="1:24" s="4" customFormat="1">
      <c r="A7" s="36" t="s">
        <v>5</v>
      </c>
      <c r="B7" s="37">
        <v>99</v>
      </c>
      <c r="C7" s="36">
        <v>450</v>
      </c>
      <c r="D7" s="36">
        <v>500</v>
      </c>
      <c r="E7" s="36"/>
      <c r="F7" s="36">
        <v>64</v>
      </c>
      <c r="G7" s="36">
        <v>10</v>
      </c>
      <c r="H7" s="36">
        <v>7</v>
      </c>
      <c r="I7" s="36">
        <v>8</v>
      </c>
      <c r="J7" s="36"/>
      <c r="K7" s="64"/>
      <c r="L7" s="36">
        <f>L5-L8</f>
        <v>-957</v>
      </c>
      <c r="M7" s="37">
        <f>M5-M6-M8</f>
        <v>-842.89700000000016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s="4" customFormat="1">
      <c r="A8" s="36" t="s">
        <v>4</v>
      </c>
      <c r="B8" s="38">
        <f>+B5+B6-B7-B9</f>
        <v>412</v>
      </c>
      <c r="C8" s="38">
        <f t="shared" ref="C8:J8" si="1">+C5+C6-C7-C9</f>
        <v>416</v>
      </c>
      <c r="D8" s="38">
        <f t="shared" si="1"/>
        <v>887</v>
      </c>
      <c r="E8" s="38">
        <f>E22/28</f>
        <v>733.42857142857144</v>
      </c>
      <c r="F8" s="38">
        <f t="shared" si="1"/>
        <v>994</v>
      </c>
      <c r="G8" s="38">
        <f t="shared" si="1"/>
        <v>400</v>
      </c>
      <c r="H8" s="38">
        <f t="shared" si="1"/>
        <v>83</v>
      </c>
      <c r="I8" s="38">
        <f t="shared" si="1"/>
        <v>33</v>
      </c>
      <c r="J8" s="38">
        <f t="shared" si="1"/>
        <v>767</v>
      </c>
      <c r="K8" s="64"/>
      <c r="L8" s="39">
        <v>1394</v>
      </c>
      <c r="M8" s="40">
        <f>1143.8*1.199</f>
        <v>1371.4162000000001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>
      <c r="A9" s="18" t="s">
        <v>1</v>
      </c>
      <c r="B9" s="18">
        <v>471</v>
      </c>
      <c r="C9" s="18">
        <v>128</v>
      </c>
      <c r="D9" s="18">
        <v>665</v>
      </c>
      <c r="E9" s="18">
        <v>-1073</v>
      </c>
      <c r="F9" s="18">
        <v>-404</v>
      </c>
      <c r="G9" s="18">
        <v>-241</v>
      </c>
      <c r="H9" s="18">
        <v>83</v>
      </c>
      <c r="I9" s="18">
        <v>93</v>
      </c>
      <c r="J9" s="18">
        <v>-376</v>
      </c>
      <c r="K9" s="64"/>
      <c r="L9" s="18">
        <f>L11+L10</f>
        <v>1279</v>
      </c>
      <c r="M9" s="34"/>
    </row>
    <row r="10" spans="1:24">
      <c r="A10" s="18" t="s">
        <v>2</v>
      </c>
      <c r="B10" s="18">
        <v>-284</v>
      </c>
      <c r="C10" s="18">
        <v>-372</v>
      </c>
      <c r="D10" s="18">
        <v>-106</v>
      </c>
      <c r="E10" s="18">
        <v>-283</v>
      </c>
      <c r="F10" s="18">
        <v>154</v>
      </c>
      <c r="G10" s="18">
        <v>-26</v>
      </c>
      <c r="H10" s="18">
        <v>-38</v>
      </c>
      <c r="I10" s="18">
        <v>-1</v>
      </c>
      <c r="J10" s="18">
        <v>-143</v>
      </c>
      <c r="K10" s="64"/>
      <c r="L10" s="18">
        <v>13</v>
      </c>
      <c r="M10" s="34"/>
    </row>
    <row r="11" spans="1:24">
      <c r="A11" s="18" t="s">
        <v>3</v>
      </c>
      <c r="B11" s="18">
        <v>208</v>
      </c>
      <c r="C11" s="41">
        <v>-464</v>
      </c>
      <c r="D11" s="18">
        <v>535</v>
      </c>
      <c r="E11" s="41">
        <v>-1567</v>
      </c>
      <c r="F11" s="41">
        <v>-774</v>
      </c>
      <c r="G11" s="41">
        <v>-267</v>
      </c>
      <c r="H11" s="18">
        <v>45</v>
      </c>
      <c r="I11" s="18">
        <v>93</v>
      </c>
      <c r="J11" s="41">
        <v>-389</v>
      </c>
      <c r="K11" s="64"/>
      <c r="L11" s="18">
        <v>1266</v>
      </c>
      <c r="M11" s="35">
        <f>1092.4*1.199</f>
        <v>1309.7876000000001</v>
      </c>
    </row>
    <row r="12" spans="1:24">
      <c r="A12" s="39" t="s">
        <v>69</v>
      </c>
      <c r="B12" s="18">
        <f>B11</f>
        <v>208</v>
      </c>
      <c r="C12" s="18">
        <f t="shared" ref="C12:M12" si="2">C11</f>
        <v>-464</v>
      </c>
      <c r="D12" s="18">
        <f t="shared" si="2"/>
        <v>535</v>
      </c>
      <c r="E12" s="71">
        <v>1300</v>
      </c>
      <c r="F12" s="18">
        <f t="shared" si="2"/>
        <v>-774</v>
      </c>
      <c r="G12" s="18">
        <f t="shared" si="2"/>
        <v>-267</v>
      </c>
      <c r="H12" s="18">
        <f t="shared" si="2"/>
        <v>45</v>
      </c>
      <c r="I12" s="18">
        <f t="shared" si="2"/>
        <v>93</v>
      </c>
      <c r="J12" s="18">
        <f t="shared" si="2"/>
        <v>-389</v>
      </c>
      <c r="K12" s="18">
        <f t="shared" si="2"/>
        <v>0</v>
      </c>
      <c r="L12" s="18">
        <f t="shared" si="2"/>
        <v>1266</v>
      </c>
      <c r="M12" s="18">
        <f t="shared" si="2"/>
        <v>1309.7876000000001</v>
      </c>
    </row>
    <row r="13" spans="1:24">
      <c r="A13" t="str">
        <f>REPT("-",3000)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14" spans="1:24" s="58" customFormat="1" ht="22.5">
      <c r="A14" s="55" t="s">
        <v>24</v>
      </c>
      <c r="B14" s="55" t="str">
        <f>B4</f>
        <v>Klép.</v>
      </c>
      <c r="C14" s="55" t="str">
        <f t="shared" ref="C14:M14" si="3">C4</f>
        <v>Fonc. Des Régions</v>
      </c>
      <c r="D14" s="55" t="str">
        <f t="shared" si="3"/>
        <v>Icade</v>
      </c>
      <c r="E14" s="55" t="str">
        <f t="shared" si="3"/>
        <v>Unibail Rodamco</v>
      </c>
      <c r="F14" s="55" t="str">
        <f t="shared" si="3"/>
        <v>Gecina</v>
      </c>
      <c r="G14" s="55" t="str">
        <f t="shared" si="3"/>
        <v>SFL</v>
      </c>
      <c r="H14" s="55" t="str">
        <f t="shared" si="3"/>
        <v>SILIC</v>
      </c>
      <c r="I14" s="55" t="str">
        <f t="shared" si="3"/>
        <v>Mercyalis</v>
      </c>
      <c r="J14" s="55" t="str">
        <f t="shared" si="3"/>
        <v>Hammer-son</v>
      </c>
      <c r="K14" s="63"/>
      <c r="L14" s="55" t="str">
        <f t="shared" si="3"/>
        <v>British Land</v>
      </c>
      <c r="M14" s="55" t="str">
        <f t="shared" si="3"/>
        <v>Land Securities</v>
      </c>
    </row>
    <row r="15" spans="1:24">
      <c r="A15" s="18" t="s">
        <v>23</v>
      </c>
      <c r="B15" s="35">
        <f>B12+B8</f>
        <v>620</v>
      </c>
      <c r="C15" s="35">
        <f t="shared" ref="C15:M15" si="4">C12+C8</f>
        <v>-48</v>
      </c>
      <c r="D15" s="35">
        <f t="shared" si="4"/>
        <v>1422</v>
      </c>
      <c r="E15" s="35">
        <f t="shared" si="4"/>
        <v>2033.4285714285716</v>
      </c>
      <c r="F15" s="35">
        <f t="shared" si="4"/>
        <v>220</v>
      </c>
      <c r="G15" s="35">
        <f t="shared" si="4"/>
        <v>133</v>
      </c>
      <c r="H15" s="35">
        <f t="shared" si="4"/>
        <v>128</v>
      </c>
      <c r="I15" s="35">
        <f t="shared" si="4"/>
        <v>126</v>
      </c>
      <c r="J15" s="35">
        <f t="shared" si="4"/>
        <v>378</v>
      </c>
      <c r="K15" s="35"/>
      <c r="L15" s="35">
        <f t="shared" si="4"/>
        <v>2660</v>
      </c>
      <c r="M15" s="35">
        <f t="shared" si="4"/>
        <v>2681.2038000000002</v>
      </c>
    </row>
    <row r="16" spans="1:24">
      <c r="A16" s="18" t="s">
        <v>27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-2</v>
      </c>
      <c r="J16" s="18">
        <v>0</v>
      </c>
      <c r="K16" s="64"/>
      <c r="L16" s="18">
        <v>0</v>
      </c>
      <c r="M16" s="35">
        <v>0</v>
      </c>
    </row>
    <row r="17" spans="1:26">
      <c r="A17" s="18" t="s">
        <v>28</v>
      </c>
      <c r="B17" s="35">
        <f>-B8</f>
        <v>-412</v>
      </c>
      <c r="C17" s="18">
        <v>-866</v>
      </c>
      <c r="D17" s="18">
        <f>-D8</f>
        <v>-887</v>
      </c>
      <c r="E17" s="18">
        <f>-E8</f>
        <v>-733.42857142857144</v>
      </c>
      <c r="F17" s="18">
        <f>-F8</f>
        <v>-994</v>
      </c>
      <c r="G17" s="18">
        <v>400</v>
      </c>
      <c r="H17" s="18">
        <v>83</v>
      </c>
      <c r="I17" s="18">
        <v>33</v>
      </c>
      <c r="J17" s="18">
        <v>767</v>
      </c>
      <c r="K17" s="64"/>
      <c r="L17" s="18">
        <v>-957</v>
      </c>
      <c r="M17" s="35">
        <f>-843</f>
        <v>-843</v>
      </c>
    </row>
    <row r="18" spans="1:26">
      <c r="A18" s="18" t="s">
        <v>24</v>
      </c>
      <c r="B18" s="35">
        <f>B15+B16+B17</f>
        <v>208</v>
      </c>
      <c r="C18" s="18">
        <f>C15+C17+C16</f>
        <v>-914</v>
      </c>
      <c r="D18" s="18">
        <f>D15+D16+D17</f>
        <v>535</v>
      </c>
      <c r="E18" s="18">
        <f>E15+E17</f>
        <v>1300</v>
      </c>
      <c r="F18" s="18">
        <f>F15+F16+F17</f>
        <v>-774</v>
      </c>
      <c r="G18" s="18">
        <f>G15-G17</f>
        <v>-267</v>
      </c>
      <c r="H18" s="18">
        <f>H15-H17</f>
        <v>45</v>
      </c>
      <c r="I18" s="18">
        <f>I15-I16-I17</f>
        <v>95</v>
      </c>
      <c r="J18" s="18">
        <f>J15-J16-J17</f>
        <v>-389</v>
      </c>
      <c r="K18" s="64"/>
      <c r="L18" s="18">
        <f>L15-L16-L17</f>
        <v>3617</v>
      </c>
      <c r="M18" s="35">
        <f>M15-M16-M17</f>
        <v>3524.2038000000002</v>
      </c>
    </row>
    <row r="19" spans="1:26">
      <c r="A19" t="str">
        <f>REPT("-",3000)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0" spans="1:26" s="58" customFormat="1" ht="22.5">
      <c r="A20" s="55" t="s">
        <v>26</v>
      </c>
      <c r="B20" s="55" t="str">
        <f>B4</f>
        <v>Klép.</v>
      </c>
      <c r="C20" s="55" t="str">
        <f t="shared" ref="C20:M20" si="5">C4</f>
        <v>Fonc. Des Régions</v>
      </c>
      <c r="D20" s="55" t="str">
        <f t="shared" si="5"/>
        <v>Icade</v>
      </c>
      <c r="E20" s="55" t="str">
        <f t="shared" si="5"/>
        <v>Unibail Rodamco</v>
      </c>
      <c r="F20" s="55" t="str">
        <f t="shared" si="5"/>
        <v>Gecina</v>
      </c>
      <c r="G20" s="55" t="str">
        <f t="shared" si="5"/>
        <v>SFL</v>
      </c>
      <c r="H20" s="55" t="str">
        <f t="shared" si="5"/>
        <v>SILIC</v>
      </c>
      <c r="I20" s="55" t="str">
        <f t="shared" si="5"/>
        <v>Mercyalis</v>
      </c>
      <c r="J20" s="55" t="str">
        <f t="shared" si="5"/>
        <v>Hammer-son</v>
      </c>
      <c r="K20" s="63"/>
      <c r="L20" s="55" t="str">
        <f t="shared" si="5"/>
        <v>British Land</v>
      </c>
      <c r="M20" s="55" t="str">
        <f t="shared" si="5"/>
        <v>Land Securities</v>
      </c>
    </row>
    <row r="21" spans="1:26">
      <c r="A21" s="61" t="s">
        <v>6</v>
      </c>
      <c r="B21" s="59">
        <v>132</v>
      </c>
      <c r="C21" s="59">
        <v>0</v>
      </c>
      <c r="D21" s="59">
        <v>84</v>
      </c>
      <c r="E21" s="59">
        <v>220</v>
      </c>
      <c r="F21" s="59">
        <v>0</v>
      </c>
      <c r="G21" s="60">
        <v>0</v>
      </c>
      <c r="H21" s="59">
        <v>0</v>
      </c>
      <c r="I21" s="59">
        <v>0</v>
      </c>
      <c r="J21" s="59">
        <v>0</v>
      </c>
      <c r="K21" s="65"/>
      <c r="L21" s="59">
        <v>0</v>
      </c>
      <c r="M21" s="59"/>
    </row>
    <row r="22" spans="1:26">
      <c r="A22" s="18" t="s">
        <v>7</v>
      </c>
      <c r="B22" s="18">
        <f>11500+24+19+98</f>
        <v>11641</v>
      </c>
      <c r="C22" s="42">
        <f>156+158+11263</f>
        <v>11577</v>
      </c>
      <c r="D22" s="18">
        <f>17+139+3046+26</f>
        <v>3228</v>
      </c>
      <c r="E22" s="18">
        <f>197+186+20153</f>
        <v>20536</v>
      </c>
      <c r="F22" s="18">
        <f>3+74+10030</f>
        <v>10107</v>
      </c>
      <c r="G22" s="18">
        <f>16+3117</f>
        <v>3133</v>
      </c>
      <c r="H22" s="18">
        <f>186+1817</f>
        <v>2003</v>
      </c>
      <c r="I22" s="18">
        <f>1+1573</f>
        <v>1574</v>
      </c>
      <c r="J22" s="18">
        <f>5773</f>
        <v>5773</v>
      </c>
      <c r="K22" s="64"/>
      <c r="L22" s="18">
        <v>6694</v>
      </c>
      <c r="M22" s="34">
        <f>(8044.4+12.8)*1.199</f>
        <v>9660.5828000000001</v>
      </c>
    </row>
    <row r="23" spans="1:26">
      <c r="A23" s="18" t="s">
        <v>8</v>
      </c>
      <c r="B23" s="18">
        <v>92</v>
      </c>
      <c r="C23" s="18">
        <v>96</v>
      </c>
      <c r="D23" s="18">
        <v>578</v>
      </c>
      <c r="E23" s="18">
        <v>323</v>
      </c>
      <c r="F23" s="18">
        <v>65</v>
      </c>
      <c r="G23" s="18">
        <v>25</v>
      </c>
      <c r="H23" s="18">
        <v>14</v>
      </c>
      <c r="I23" s="18">
        <v>6</v>
      </c>
      <c r="J23" s="18">
        <v>39</v>
      </c>
      <c r="K23" s="64"/>
      <c r="L23" s="18">
        <f>415-L25</f>
        <v>117</v>
      </c>
      <c r="M23" s="34">
        <f>334*1.199</f>
        <v>400.46600000000001</v>
      </c>
    </row>
    <row r="24" spans="1:26">
      <c r="A24" s="18" t="s">
        <v>9</v>
      </c>
      <c r="B24" s="18">
        <v>415</v>
      </c>
      <c r="C24" s="42">
        <f>1451+637</f>
        <v>2088</v>
      </c>
      <c r="D24" s="18">
        <v>1396</v>
      </c>
      <c r="E24" s="18">
        <f>937+595</f>
        <v>1532</v>
      </c>
      <c r="F24" s="18">
        <f>397+225</f>
        <v>622</v>
      </c>
      <c r="G24" s="18">
        <f>91+1</f>
        <v>92</v>
      </c>
      <c r="H24" s="18">
        <v>13</v>
      </c>
      <c r="I24" s="18">
        <v>81</v>
      </c>
      <c r="J24" s="18">
        <v>75</v>
      </c>
      <c r="K24" s="64"/>
      <c r="L24" s="18"/>
      <c r="M24" s="37">
        <v>3727</v>
      </c>
    </row>
    <row r="25" spans="1:26">
      <c r="A25" s="18" t="s">
        <v>10</v>
      </c>
      <c r="B25" s="18">
        <v>236</v>
      </c>
      <c r="C25" s="18">
        <v>192</v>
      </c>
      <c r="D25" s="18">
        <v>709</v>
      </c>
      <c r="E25" s="18">
        <v>69</v>
      </c>
      <c r="F25" s="18">
        <v>103</v>
      </c>
      <c r="G25" s="18">
        <v>20</v>
      </c>
      <c r="H25" s="18">
        <v>7</v>
      </c>
      <c r="I25" s="18">
        <v>3</v>
      </c>
      <c r="J25" s="18">
        <v>203</v>
      </c>
      <c r="K25" s="64"/>
      <c r="L25" s="18">
        <v>298</v>
      </c>
      <c r="M25" s="35">
        <f>159.4*1.199</f>
        <v>191.12060000000002</v>
      </c>
    </row>
    <row r="26" spans="1:26">
      <c r="A26" t="str">
        <f>REPT("-",3000)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7" spans="1:26">
      <c r="A27" s="18" t="s">
        <v>11</v>
      </c>
      <c r="B27" s="18">
        <f>3531+18</f>
        <v>3549</v>
      </c>
      <c r="C27" s="18">
        <v>4807</v>
      </c>
      <c r="D27" s="18">
        <v>1820</v>
      </c>
      <c r="E27" s="18">
        <v>12435</v>
      </c>
      <c r="F27" s="18">
        <v>5373</v>
      </c>
      <c r="G27" s="18">
        <v>1891</v>
      </c>
      <c r="H27" s="18">
        <v>690</v>
      </c>
      <c r="I27" s="18">
        <v>1607</v>
      </c>
      <c r="J27" s="18">
        <v>3360</v>
      </c>
      <c r="K27" s="64"/>
      <c r="L27" s="18">
        <v>4676</v>
      </c>
      <c r="M27" s="35">
        <f>5690*1.199</f>
        <v>6822.31</v>
      </c>
    </row>
    <row r="28" spans="1:26">
      <c r="A28" s="18" t="s">
        <v>12</v>
      </c>
      <c r="B28" s="18">
        <v>6808</v>
      </c>
      <c r="C28" s="18">
        <v>7125</v>
      </c>
      <c r="D28" s="18">
        <v>2421</v>
      </c>
      <c r="E28" s="18">
        <v>7167</v>
      </c>
      <c r="F28" s="18">
        <v>4253</v>
      </c>
      <c r="G28" s="18">
        <v>1182</v>
      </c>
      <c r="H28" s="18">
        <v>1259</v>
      </c>
      <c r="I28" s="18">
        <v>29</v>
      </c>
      <c r="J28" s="18">
        <f>2533+70</f>
        <v>2603</v>
      </c>
      <c r="K28" s="64"/>
      <c r="L28" s="18">
        <v>1979</v>
      </c>
      <c r="M28" s="35">
        <f>3216*1.199</f>
        <v>3855.9840000000004</v>
      </c>
    </row>
    <row r="29" spans="1:26" s="9" customFormat="1">
      <c r="A29" s="39" t="s">
        <v>13</v>
      </c>
      <c r="B29" s="39">
        <v>102</v>
      </c>
      <c r="C29" s="39">
        <v>69</v>
      </c>
      <c r="D29" s="39">
        <v>465</v>
      </c>
      <c r="E29" s="39">
        <v>94</v>
      </c>
      <c r="F29" s="39">
        <v>101</v>
      </c>
      <c r="G29" s="39">
        <v>5</v>
      </c>
      <c r="H29" s="39">
        <v>9</v>
      </c>
      <c r="I29" s="39">
        <v>9</v>
      </c>
      <c r="J29" s="39">
        <v>66</v>
      </c>
      <c r="K29" s="64"/>
      <c r="L29" s="39"/>
      <c r="M29" s="43">
        <f>818*1.199</f>
        <v>980.78200000000004</v>
      </c>
    </row>
    <row r="30" spans="1:26" s="4" customFormat="1">
      <c r="A30" s="36" t="s">
        <v>14</v>
      </c>
      <c r="B30" s="36">
        <f>1134+923</f>
        <v>2057</v>
      </c>
      <c r="C30" s="36">
        <f>1197+72+683</f>
        <v>1952</v>
      </c>
      <c r="D30" s="36">
        <f>758+85+446</f>
        <v>1289</v>
      </c>
      <c r="E30" s="36">
        <f>1642+1342</f>
        <v>2984</v>
      </c>
      <c r="F30" s="36">
        <f>325+176+669</f>
        <v>1170</v>
      </c>
      <c r="G30" s="36">
        <f>132+60</f>
        <v>192</v>
      </c>
      <c r="H30" s="36">
        <v>78</v>
      </c>
      <c r="I30" s="36">
        <f>27-8</f>
        <v>19</v>
      </c>
      <c r="J30" s="36">
        <v>61</v>
      </c>
      <c r="K30" s="64"/>
      <c r="L30" s="36">
        <v>454</v>
      </c>
      <c r="M30" s="43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>
      <c r="A31" s="18" t="s">
        <v>15</v>
      </c>
      <c r="B31" s="18">
        <f>SUM(B27:B30)</f>
        <v>12516</v>
      </c>
      <c r="C31" s="18">
        <f>C27+C28+C29+C30</f>
        <v>13953</v>
      </c>
      <c r="D31" s="18">
        <f>D27+D28+D29+D30</f>
        <v>5995</v>
      </c>
      <c r="E31" s="18">
        <f t="shared" ref="E31:L31" si="6">SUM(E27:E30)</f>
        <v>22680</v>
      </c>
      <c r="F31" s="18">
        <f t="shared" si="6"/>
        <v>10897</v>
      </c>
      <c r="G31" s="18">
        <f>G27+G28+G29+G30</f>
        <v>3270</v>
      </c>
      <c r="H31" s="18">
        <f t="shared" si="6"/>
        <v>2036</v>
      </c>
      <c r="I31" s="18">
        <f t="shared" si="6"/>
        <v>1664</v>
      </c>
      <c r="J31" s="18">
        <f t="shared" si="6"/>
        <v>6090</v>
      </c>
      <c r="K31" s="64"/>
      <c r="L31" s="18">
        <f t="shared" si="6"/>
        <v>7109</v>
      </c>
      <c r="M31" s="35">
        <f>(M27+M28+M29+M30)*1.199</f>
        <v>13979.232124000002</v>
      </c>
    </row>
    <row r="32" spans="1:26">
      <c r="A32" s="18" t="s">
        <v>16</v>
      </c>
      <c r="B32" s="18">
        <f>B31-SUM(B21:B25)</f>
        <v>0</v>
      </c>
      <c r="C32" s="18">
        <f>C31-C21-C22-C23-C24-C25</f>
        <v>0</v>
      </c>
      <c r="D32" s="18">
        <f>D31-D21-D22-D23-D24-D25</f>
        <v>0</v>
      </c>
      <c r="E32" s="18">
        <f>E31-E21-E22-E23-E24-E25</f>
        <v>0</v>
      </c>
      <c r="F32" s="18">
        <f>F31-(F22+F23+F24+F25)</f>
        <v>0</v>
      </c>
      <c r="G32" s="18">
        <f>G31-G22-G23-G24-G25</f>
        <v>0</v>
      </c>
      <c r="H32" s="18">
        <f>H31-H22-H23-H24-H25</f>
        <v>-1</v>
      </c>
      <c r="I32" s="18">
        <f>I31-I21-I22-I23-I24-I25</f>
        <v>0</v>
      </c>
      <c r="J32" s="18">
        <f>J31-J22-J23-J24-J25</f>
        <v>0</v>
      </c>
      <c r="K32" s="64"/>
      <c r="L32" s="18">
        <f>L31-L22-L23-L25</f>
        <v>0</v>
      </c>
      <c r="M32" s="35">
        <f>M31-M22-M23-M24-M25</f>
        <v>6.2724000001878721E-2</v>
      </c>
    </row>
    <row r="33" spans="1:15">
      <c r="A33" t="str">
        <f>REPT("-",3000)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4" spans="1:15" s="58" customFormat="1" ht="22.5">
      <c r="A34" s="55"/>
      <c r="B34" s="55" t="str">
        <f>B20</f>
        <v>Klép.</v>
      </c>
      <c r="C34" s="55" t="str">
        <f t="shared" ref="C34:M34" si="7">C20</f>
        <v>Fonc. Des Régions</v>
      </c>
      <c r="D34" s="55" t="str">
        <f t="shared" si="7"/>
        <v>Icade</v>
      </c>
      <c r="E34" s="55" t="str">
        <f t="shared" si="7"/>
        <v>Unibail Rodamco</v>
      </c>
      <c r="F34" s="55" t="str">
        <f t="shared" si="7"/>
        <v>Gecina</v>
      </c>
      <c r="G34" s="55" t="str">
        <f t="shared" si="7"/>
        <v>SFL</v>
      </c>
      <c r="H34" s="55" t="str">
        <f t="shared" si="7"/>
        <v>SILIC</v>
      </c>
      <c r="I34" s="55" t="str">
        <f t="shared" si="7"/>
        <v>Mercyalis</v>
      </c>
      <c r="J34" s="55" t="str">
        <f t="shared" si="7"/>
        <v>Hammer-son</v>
      </c>
      <c r="K34" s="63"/>
      <c r="L34" s="55" t="str">
        <f t="shared" si="7"/>
        <v>British Land</v>
      </c>
      <c r="M34" s="55" t="str">
        <f t="shared" si="7"/>
        <v>Land Securities</v>
      </c>
    </row>
    <row r="35" spans="1:15">
      <c r="A35" s="18" t="s">
        <v>19</v>
      </c>
      <c r="B35" s="18">
        <v>22.2</v>
      </c>
      <c r="C35" s="44">
        <v>72.3</v>
      </c>
      <c r="D35" s="18">
        <v>73.959999999999994</v>
      </c>
      <c r="E35" s="18">
        <v>150.55000000000001</v>
      </c>
      <c r="F35" s="18">
        <v>80.790000000000006</v>
      </c>
      <c r="G35" s="18">
        <v>31.75</v>
      </c>
      <c r="H35" s="18">
        <v>88.28</v>
      </c>
      <c r="I35" s="18">
        <v>25.3</v>
      </c>
      <c r="J35" s="18">
        <v>4.3099999999999996</v>
      </c>
      <c r="K35" s="64"/>
      <c r="L35" s="18">
        <v>5.65</v>
      </c>
      <c r="M35" s="45">
        <f>11.222*1.199</f>
        <v>13.455178</v>
      </c>
      <c r="N35" s="3"/>
    </row>
    <row r="36" spans="1:15">
      <c r="A36" s="18" t="s">
        <v>20</v>
      </c>
      <c r="B36" s="18">
        <v>190</v>
      </c>
      <c r="C36" s="18">
        <v>54</v>
      </c>
      <c r="D36" s="18">
        <v>52</v>
      </c>
      <c r="E36" s="18">
        <v>91</v>
      </c>
      <c r="F36" s="18">
        <v>63</v>
      </c>
      <c r="G36" s="18">
        <v>47</v>
      </c>
      <c r="H36" s="18">
        <v>17</v>
      </c>
      <c r="I36" s="18">
        <v>92</v>
      </c>
      <c r="J36" s="18">
        <v>708</v>
      </c>
      <c r="K36" s="64"/>
      <c r="L36" s="18">
        <v>875</v>
      </c>
      <c r="M36" s="37">
        <f>M37/M35</f>
        <v>428.60822799965933</v>
      </c>
      <c r="N36" s="9"/>
    </row>
    <row r="37" spans="1:15">
      <c r="A37" s="18" t="s">
        <v>70</v>
      </c>
      <c r="B37" s="18">
        <f t="shared" ref="B37:L37" si="8">B35*B36</f>
        <v>4218</v>
      </c>
      <c r="C37" s="44">
        <f t="shared" si="8"/>
        <v>3904.2</v>
      </c>
      <c r="D37" s="18">
        <f t="shared" si="8"/>
        <v>3845.9199999999996</v>
      </c>
      <c r="E37" s="18">
        <f t="shared" si="8"/>
        <v>13700.050000000001</v>
      </c>
      <c r="F37" s="18">
        <f t="shared" si="8"/>
        <v>5089.7700000000004</v>
      </c>
      <c r="G37" s="18">
        <f>G35*G36</f>
        <v>1492.25</v>
      </c>
      <c r="H37" s="18">
        <f t="shared" si="8"/>
        <v>1500.76</v>
      </c>
      <c r="I37" s="18">
        <f t="shared" si="8"/>
        <v>2327.6</v>
      </c>
      <c r="J37" s="18">
        <f t="shared" si="8"/>
        <v>3051.4799999999996</v>
      </c>
      <c r="K37" s="64"/>
      <c r="L37" s="18">
        <f t="shared" si="8"/>
        <v>4943.75</v>
      </c>
      <c r="M37" s="35">
        <v>5767</v>
      </c>
      <c r="N37" t="s">
        <v>68</v>
      </c>
      <c r="O37">
        <f>SUM(B37:M37)</f>
        <v>49840.78</v>
      </c>
    </row>
    <row r="38" spans="1:15">
      <c r="A38" s="18" t="s">
        <v>22</v>
      </c>
      <c r="B38" s="46">
        <f t="shared" ref="B38:J38" si="9">(B18+B37*$D$2)/B37</f>
        <v>7.9312470365101931E-2</v>
      </c>
      <c r="C38" s="47">
        <f t="shared" si="9"/>
        <v>-0.20410685927975003</v>
      </c>
      <c r="D38" s="47">
        <f t="shared" si="9"/>
        <v>0.16910845779423392</v>
      </c>
      <c r="E38" s="47">
        <f t="shared" si="9"/>
        <v>0.12489016463443564</v>
      </c>
      <c r="F38" s="47">
        <f t="shared" si="9"/>
        <v>-0.12206973989001467</v>
      </c>
      <c r="G38" s="48">
        <f>(G18+G37*$H$2)/G37</f>
        <v>-0.17892444295526888</v>
      </c>
      <c r="H38" s="47">
        <f t="shared" si="9"/>
        <v>5.9984807697433293E-2</v>
      </c>
      <c r="I38" s="47">
        <f t="shared" si="9"/>
        <v>7.0814572950678806E-2</v>
      </c>
      <c r="J38" s="47">
        <f t="shared" si="9"/>
        <v>-9.7479124883663018E-2</v>
      </c>
      <c r="K38" s="66"/>
      <c r="L38" s="47">
        <f>(L18+L37*$E$2)/L37</f>
        <v>0.77163084702907714</v>
      </c>
      <c r="M38" s="44">
        <f>(M18+M37*$D$2)/M37</f>
        <v>0.64109828333622343</v>
      </c>
    </row>
    <row r="39" spans="1:15" s="17" customFormat="1">
      <c r="A39" s="49" t="s">
        <v>29</v>
      </c>
      <c r="B39" s="50">
        <f t="shared" ref="B39:M39" si="10">(B38-$E$2)/$F$2</f>
        <v>0.65520783941836558</v>
      </c>
      <c r="C39" s="51">
        <f t="shared" si="10"/>
        <v>-4.068447654662501</v>
      </c>
      <c r="D39" s="51">
        <f t="shared" si="10"/>
        <v>2.1518076299038986</v>
      </c>
      <c r="E39" s="51">
        <f t="shared" si="10"/>
        <v>1.4148360772405939</v>
      </c>
      <c r="F39" s="52">
        <f t="shared" si="10"/>
        <v>-2.7011623315002447</v>
      </c>
      <c r="G39" s="52">
        <f t="shared" si="10"/>
        <v>-3.6487407159211482</v>
      </c>
      <c r="H39" s="51">
        <f t="shared" si="10"/>
        <v>0.33308012829055489</v>
      </c>
      <c r="I39" s="51">
        <f t="shared" si="10"/>
        <v>0.51357621584464674</v>
      </c>
      <c r="J39" s="51">
        <f t="shared" si="10"/>
        <v>-2.2913187480610504</v>
      </c>
      <c r="K39" s="67"/>
      <c r="L39" s="51">
        <f t="shared" si="10"/>
        <v>12.193847450484618</v>
      </c>
      <c r="M39" s="51">
        <f t="shared" si="10"/>
        <v>10.01830472227039</v>
      </c>
      <c r="N39" s="15" t="s">
        <v>43</v>
      </c>
      <c r="O39" s="16" t="e">
        <f>(B39+C39+D39+E39+F39+#REF!+H39+I39+J39+L39+M39)/11</f>
        <v>#REF!</v>
      </c>
    </row>
    <row r="40" spans="1:15">
      <c r="A40" t="str">
        <f>REPT("-",3000)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40" s="5"/>
    </row>
    <row r="41" spans="1:15" ht="25.5">
      <c r="A41" s="33"/>
      <c r="B41" s="33" t="str">
        <f>B20</f>
        <v>Klép.</v>
      </c>
      <c r="C41" s="33" t="str">
        <f t="shared" ref="C41:M41" si="11">C20</f>
        <v>Fonc. Des Régions</v>
      </c>
      <c r="D41" s="33" t="str">
        <f t="shared" si="11"/>
        <v>Icade</v>
      </c>
      <c r="E41" s="33" t="str">
        <f t="shared" si="11"/>
        <v>Unibail Rodamco</v>
      </c>
      <c r="F41" s="33" t="str">
        <f t="shared" si="11"/>
        <v>Gecina</v>
      </c>
      <c r="G41" s="33" t="str">
        <f t="shared" si="11"/>
        <v>SFL</v>
      </c>
      <c r="H41" s="33" t="str">
        <f t="shared" si="11"/>
        <v>SILIC</v>
      </c>
      <c r="I41" s="33" t="str">
        <f t="shared" si="11"/>
        <v>Mercyalis</v>
      </c>
      <c r="J41" s="33" t="str">
        <f t="shared" si="11"/>
        <v>Hammer-son</v>
      </c>
      <c r="K41" s="68"/>
      <c r="L41" s="33" t="str">
        <f t="shared" si="11"/>
        <v>British Land</v>
      </c>
      <c r="M41" s="33" t="str">
        <f t="shared" si="11"/>
        <v>Land Securities</v>
      </c>
    </row>
    <row r="42" spans="1:15">
      <c r="A42" s="18" t="s">
        <v>31</v>
      </c>
      <c r="B42" s="35">
        <f t="shared" ref="B42:J42" si="12">B22/B8</f>
        <v>28.25485436893204</v>
      </c>
      <c r="C42" s="35">
        <f t="shared" si="12"/>
        <v>27.829326923076923</v>
      </c>
      <c r="D42" s="44">
        <f t="shared" si="12"/>
        <v>3.6392333709131903</v>
      </c>
      <c r="E42" s="44"/>
      <c r="F42" s="35">
        <f t="shared" si="12"/>
        <v>10.168008048289739</v>
      </c>
      <c r="G42" s="44">
        <f>G22/G8</f>
        <v>7.8324999999999996</v>
      </c>
      <c r="H42" s="44">
        <f t="shared" si="12"/>
        <v>24.132530120481928</v>
      </c>
      <c r="I42" s="44">
        <f t="shared" si="12"/>
        <v>47.696969696969695</v>
      </c>
      <c r="J42" s="44">
        <f t="shared" si="12"/>
        <v>7.5267275097783575</v>
      </c>
      <c r="K42" s="69"/>
      <c r="L42" s="18"/>
      <c r="M42" s="18"/>
    </row>
    <row r="43" spans="1:15">
      <c r="A43" s="18" t="s">
        <v>30</v>
      </c>
      <c r="B43" s="18">
        <v>5320</v>
      </c>
      <c r="C43" s="18">
        <f t="shared" ref="C43:M43" si="13">C31-C28</f>
        <v>6828</v>
      </c>
      <c r="D43" s="18">
        <f t="shared" si="13"/>
        <v>3574</v>
      </c>
      <c r="E43" s="18">
        <f t="shared" si="13"/>
        <v>15513</v>
      </c>
      <c r="F43" s="18">
        <f t="shared" si="13"/>
        <v>6644</v>
      </c>
      <c r="G43" s="18">
        <f>G31-G28</f>
        <v>2088</v>
      </c>
      <c r="H43" s="18">
        <f t="shared" si="13"/>
        <v>777</v>
      </c>
      <c r="I43" s="18">
        <f t="shared" si="13"/>
        <v>1635</v>
      </c>
      <c r="J43" s="18">
        <f t="shared" si="13"/>
        <v>3487</v>
      </c>
      <c r="K43" s="64"/>
      <c r="L43" s="18">
        <f t="shared" si="13"/>
        <v>5130</v>
      </c>
      <c r="M43" s="35">
        <f t="shared" si="13"/>
        <v>10123.248124000002</v>
      </c>
    </row>
    <row r="44" spans="1:15">
      <c r="A44" s="18" t="s">
        <v>32</v>
      </c>
      <c r="B44" s="18">
        <f t="shared" ref="B44:M44" si="14">B37/B43</f>
        <v>0.79285714285714282</v>
      </c>
      <c r="C44" s="53">
        <f t="shared" si="14"/>
        <v>0.57179261862917397</v>
      </c>
      <c r="D44" s="53">
        <f t="shared" si="14"/>
        <v>1.076082820369334</v>
      </c>
      <c r="E44" s="53">
        <f t="shared" si="14"/>
        <v>0.8831335009347</v>
      </c>
      <c r="F44" s="53">
        <f t="shared" si="14"/>
        <v>0.76607013847080074</v>
      </c>
      <c r="G44" s="54">
        <f>G37/G43</f>
        <v>0.71467911877394641</v>
      </c>
      <c r="H44" s="18">
        <f t="shared" si="14"/>
        <v>1.9314800514800514</v>
      </c>
      <c r="I44" s="53">
        <f t="shared" si="14"/>
        <v>1.4236085626911315</v>
      </c>
      <c r="J44" s="53">
        <f t="shared" si="14"/>
        <v>0.87510180671063942</v>
      </c>
      <c r="K44" s="70"/>
      <c r="L44" s="53">
        <f t="shared" si="14"/>
        <v>0.96369395711500971</v>
      </c>
      <c r="M44" s="54">
        <f t="shared" si="14"/>
        <v>0.5696788154710648</v>
      </c>
    </row>
    <row r="45" spans="1:15">
      <c r="A45" t="str">
        <f>REPT("-",3000)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54" spans="1:1">
      <c r="A54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mergeCells count="1">
    <mergeCell ref="A2:B2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54"/>
  <sheetViews>
    <sheetView tabSelected="1" topLeftCell="A25" workbookViewId="0">
      <selection activeCell="G39" sqref="G39"/>
    </sheetView>
  </sheetViews>
  <sheetFormatPr baseColWidth="10" defaultColWidth="7.5703125" defaultRowHeight="12.75"/>
  <cols>
    <col min="1" max="1" width="17.28515625" customWidth="1"/>
    <col min="2" max="9" width="10.28515625" customWidth="1"/>
    <col min="10" max="10" width="3" style="62" customWidth="1"/>
    <col min="11" max="12" width="10.28515625" customWidth="1"/>
    <col min="13" max="13" width="4.28515625" customWidth="1"/>
    <col min="14" max="14" width="18.42578125" customWidth="1"/>
    <col min="15" max="15" width="20.7109375" customWidth="1"/>
  </cols>
  <sheetData>
    <row r="1" spans="1:24">
      <c r="B1" s="1">
        <f>B42</f>
        <v>28.25485436893204</v>
      </c>
      <c r="C1" s="1">
        <f t="shared" ref="C1:I1" si="0">C42</f>
        <v>29.65625</v>
      </c>
      <c r="D1" s="1">
        <f t="shared" si="0"/>
        <v>25</v>
      </c>
      <c r="E1" s="1">
        <f t="shared" si="0"/>
        <v>40.55913978494624</v>
      </c>
      <c r="F1" s="1">
        <f t="shared" si="0"/>
        <v>26.731249999999999</v>
      </c>
      <c r="G1" s="1">
        <f t="shared" si="0"/>
        <v>24.132530120481928</v>
      </c>
      <c r="H1" s="1">
        <f t="shared" si="0"/>
        <v>34.060606060606062</v>
      </c>
      <c r="I1" s="1">
        <f t="shared" si="0"/>
        <v>28</v>
      </c>
      <c r="L1" s="3" t="s">
        <v>42</v>
      </c>
      <c r="M1" s="3"/>
    </row>
    <row r="2" spans="1:24">
      <c r="A2" s="72"/>
      <c r="B2" s="72"/>
      <c r="E2">
        <v>2009</v>
      </c>
      <c r="F2" s="2">
        <v>0.03</v>
      </c>
      <c r="G2" s="2">
        <v>0.04</v>
      </c>
      <c r="H2" s="2">
        <v>0.06</v>
      </c>
    </row>
    <row r="3" spans="1:24">
      <c r="A3" t="str">
        <f>REPT("-",3000)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N3" s="10"/>
    </row>
    <row r="4" spans="1:24" s="57" customFormat="1" ht="22.5">
      <c r="A4" s="55" t="s">
        <v>25</v>
      </c>
      <c r="B4" s="55" t="s">
        <v>17</v>
      </c>
      <c r="C4" s="55" t="s">
        <v>33</v>
      </c>
      <c r="D4" s="55" t="s">
        <v>35</v>
      </c>
      <c r="E4" s="55" t="s">
        <v>36</v>
      </c>
      <c r="F4" s="55" t="s">
        <v>48</v>
      </c>
      <c r="G4" s="55" t="s">
        <v>37</v>
      </c>
      <c r="H4" s="55" t="s">
        <v>38</v>
      </c>
      <c r="I4" s="55" t="s">
        <v>67</v>
      </c>
      <c r="J4" s="63"/>
      <c r="K4" s="55" t="s">
        <v>40</v>
      </c>
      <c r="L4" s="55" t="s">
        <v>41</v>
      </c>
      <c r="M4" s="73"/>
      <c r="N4" s="56"/>
      <c r="O4" s="56"/>
    </row>
    <row r="5" spans="1:24">
      <c r="A5" s="18" t="s">
        <v>0</v>
      </c>
      <c r="B5" s="18">
        <v>895</v>
      </c>
      <c r="C5" s="18">
        <v>991</v>
      </c>
      <c r="D5" s="18">
        <v>1473</v>
      </c>
      <c r="E5" s="18">
        <v>647</v>
      </c>
      <c r="F5" s="18">
        <v>183</v>
      </c>
      <c r="G5" s="18">
        <v>168</v>
      </c>
      <c r="H5" s="18">
        <v>134</v>
      </c>
      <c r="I5" s="18">
        <v>391</v>
      </c>
      <c r="J5" s="64"/>
      <c r="K5" s="18">
        <v>437</v>
      </c>
      <c r="L5" s="34">
        <f>833.3*1.199</f>
        <v>999.12670000000003</v>
      </c>
      <c r="M5" s="74"/>
    </row>
    <row r="6" spans="1:24">
      <c r="A6" s="18" t="s">
        <v>18</v>
      </c>
      <c r="B6" s="18">
        <v>87</v>
      </c>
      <c r="C6" s="18">
        <f>994-991</f>
        <v>3</v>
      </c>
      <c r="D6" s="18"/>
      <c r="E6" s="18">
        <f>654-E5</f>
        <v>7</v>
      </c>
      <c r="F6" s="18">
        <v>-14</v>
      </c>
      <c r="G6" s="18">
        <f>173-G5</f>
        <v>5</v>
      </c>
      <c r="H6" s="18">
        <v>0</v>
      </c>
      <c r="I6" s="18">
        <v>0</v>
      </c>
      <c r="J6" s="64"/>
      <c r="K6" s="18"/>
      <c r="L6" s="35">
        <f>392.5*1.199</f>
        <v>470.60750000000002</v>
      </c>
      <c r="M6" s="75"/>
      <c r="N6" s="3"/>
    </row>
    <row r="7" spans="1:24" s="4" customFormat="1">
      <c r="A7" s="36" t="s">
        <v>5</v>
      </c>
      <c r="B7" s="37">
        <v>99</v>
      </c>
      <c r="C7" s="36">
        <v>450</v>
      </c>
      <c r="D7" s="36"/>
      <c r="E7" s="36">
        <v>64</v>
      </c>
      <c r="F7" s="36">
        <v>90</v>
      </c>
      <c r="G7" s="36">
        <v>7</v>
      </c>
      <c r="H7" s="36">
        <v>8</v>
      </c>
      <c r="I7" s="36"/>
      <c r="J7" s="64"/>
      <c r="K7" s="36">
        <f>K5-K8</f>
        <v>-957</v>
      </c>
      <c r="L7" s="37">
        <f>L5-L6-L8</f>
        <v>-842.89700000000016</v>
      </c>
      <c r="M7" s="76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s="4" customFormat="1">
      <c r="A8" s="36" t="s">
        <v>4</v>
      </c>
      <c r="B8" s="38">
        <f>+B5+B6-B7-B9</f>
        <v>412</v>
      </c>
      <c r="C8" s="38">
        <f t="shared" ref="C8:H8" si="1">+C5+C6-C7-C9</f>
        <v>416</v>
      </c>
      <c r="D8" s="38">
        <f>D22/28</f>
        <v>733.42857142857144</v>
      </c>
      <c r="E8" s="38">
        <f>E5+E6-E7+E9</f>
        <v>186</v>
      </c>
      <c r="F8" s="38">
        <f>F5+F6-F7-F9</f>
        <v>320</v>
      </c>
      <c r="G8" s="38">
        <f t="shared" si="1"/>
        <v>83</v>
      </c>
      <c r="H8" s="38">
        <f t="shared" si="1"/>
        <v>33</v>
      </c>
      <c r="I8" s="38">
        <f>I22/28</f>
        <v>192.14285714285714</v>
      </c>
      <c r="J8" s="64"/>
      <c r="K8" s="39">
        <v>1394</v>
      </c>
      <c r="L8" s="40">
        <f>1143.8*1.199</f>
        <v>1371.4162000000001</v>
      </c>
      <c r="M8" s="77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>
      <c r="A9" s="18" t="s">
        <v>1</v>
      </c>
      <c r="B9" s="18">
        <v>471</v>
      </c>
      <c r="C9" s="18">
        <v>128</v>
      </c>
      <c r="D9" s="18">
        <v>-1073</v>
      </c>
      <c r="E9" s="18">
        <v>-404</v>
      </c>
      <c r="F9" s="18">
        <v>-241</v>
      </c>
      <c r="G9" s="18">
        <v>83</v>
      </c>
      <c r="H9" s="18">
        <v>93</v>
      </c>
      <c r="I9" s="18">
        <v>-376</v>
      </c>
      <c r="J9" s="64"/>
      <c r="K9" s="18">
        <f>K11+K10</f>
        <v>1279</v>
      </c>
      <c r="L9" s="34"/>
      <c r="M9" s="74"/>
    </row>
    <row r="10" spans="1:24">
      <c r="A10" s="18" t="s">
        <v>2</v>
      </c>
      <c r="B10" s="18">
        <v>-284</v>
      </c>
      <c r="C10" s="18">
        <v>-372</v>
      </c>
      <c r="D10" s="18">
        <v>-283</v>
      </c>
      <c r="E10" s="18">
        <v>154</v>
      </c>
      <c r="F10" s="18">
        <v>-26</v>
      </c>
      <c r="G10" s="18">
        <v>-38</v>
      </c>
      <c r="H10" s="18">
        <v>-1</v>
      </c>
      <c r="I10" s="18">
        <v>-143</v>
      </c>
      <c r="J10" s="64"/>
      <c r="K10" s="18">
        <v>13</v>
      </c>
      <c r="L10" s="34"/>
      <c r="M10" s="74"/>
    </row>
    <row r="11" spans="1:24">
      <c r="A11" s="18" t="s">
        <v>3</v>
      </c>
      <c r="B11" s="18">
        <v>208</v>
      </c>
      <c r="C11" s="41">
        <v>-464</v>
      </c>
      <c r="D11" s="41">
        <v>-1567</v>
      </c>
      <c r="E11" s="41">
        <v>-774</v>
      </c>
      <c r="F11" s="41">
        <v>-267</v>
      </c>
      <c r="G11" s="18">
        <v>45</v>
      </c>
      <c r="H11" s="18">
        <v>93</v>
      </c>
      <c r="I11" s="41">
        <v>-389</v>
      </c>
      <c r="J11" s="64"/>
      <c r="K11" s="18">
        <v>1266</v>
      </c>
      <c r="L11" s="35">
        <f>1092.4*1.199</f>
        <v>1309.7876000000001</v>
      </c>
      <c r="M11" s="75"/>
    </row>
    <row r="12" spans="1:24">
      <c r="A12" s="39" t="s">
        <v>69</v>
      </c>
      <c r="B12" s="18">
        <f>B11</f>
        <v>208</v>
      </c>
      <c r="C12" s="71">
        <v>200</v>
      </c>
      <c r="D12" s="71">
        <v>1300</v>
      </c>
      <c r="E12" s="71">
        <v>400</v>
      </c>
      <c r="F12" s="71">
        <v>150</v>
      </c>
      <c r="G12" s="18">
        <f t="shared" ref="G12:L12" si="2">G11</f>
        <v>45</v>
      </c>
      <c r="H12" s="18">
        <f t="shared" si="2"/>
        <v>93</v>
      </c>
      <c r="I12" s="71">
        <v>250</v>
      </c>
      <c r="J12" s="18">
        <f t="shared" si="2"/>
        <v>0</v>
      </c>
      <c r="K12" s="18">
        <f t="shared" si="2"/>
        <v>1266</v>
      </c>
      <c r="L12" s="35">
        <f t="shared" si="2"/>
        <v>1309.7876000000001</v>
      </c>
      <c r="M12" s="75"/>
    </row>
    <row r="13" spans="1:24">
      <c r="A13" t="str">
        <f>REPT("-",3000)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14" spans="1:24" s="58" customFormat="1" ht="22.5">
      <c r="A14" s="55" t="s">
        <v>24</v>
      </c>
      <c r="B14" s="55" t="str">
        <f>B4</f>
        <v>Klép.</v>
      </c>
      <c r="C14" s="55" t="str">
        <f t="shared" ref="C14:L14" si="3">C4</f>
        <v>Fonc. Des Régions</v>
      </c>
      <c r="D14" s="55" t="str">
        <f t="shared" si="3"/>
        <v>Unibail Rodamco</v>
      </c>
      <c r="E14" s="55" t="str">
        <f t="shared" si="3"/>
        <v>Gecina</v>
      </c>
      <c r="F14" s="55" t="str">
        <f t="shared" si="3"/>
        <v>SFL</v>
      </c>
      <c r="G14" s="55" t="str">
        <f t="shared" si="3"/>
        <v>SILIC</v>
      </c>
      <c r="H14" s="55" t="str">
        <f t="shared" si="3"/>
        <v>Mercyalis</v>
      </c>
      <c r="I14" s="55" t="str">
        <f t="shared" si="3"/>
        <v>Hammer-son</v>
      </c>
      <c r="J14" s="63"/>
      <c r="K14" s="55" t="str">
        <f t="shared" si="3"/>
        <v>British Land</v>
      </c>
      <c r="L14" s="55" t="str">
        <f t="shared" si="3"/>
        <v>Land Securities</v>
      </c>
      <c r="M14" s="73"/>
    </row>
    <row r="15" spans="1:24">
      <c r="A15" s="18" t="s">
        <v>23</v>
      </c>
      <c r="B15" s="35">
        <f>B12+B8</f>
        <v>620</v>
      </c>
      <c r="C15" s="35">
        <f>C12+C8</f>
        <v>616</v>
      </c>
      <c r="D15" s="35">
        <f t="shared" ref="D15:L15" si="4">D12+D8</f>
        <v>2033.4285714285716</v>
      </c>
      <c r="E15" s="35">
        <f t="shared" si="4"/>
        <v>586</v>
      </c>
      <c r="F15" s="35">
        <f>F12+F8</f>
        <v>470</v>
      </c>
      <c r="G15" s="35">
        <f t="shared" si="4"/>
        <v>128</v>
      </c>
      <c r="H15" s="35">
        <f t="shared" si="4"/>
        <v>126</v>
      </c>
      <c r="I15" s="35">
        <f t="shared" si="4"/>
        <v>442.14285714285711</v>
      </c>
      <c r="J15" s="35"/>
      <c r="K15" s="35">
        <f t="shared" si="4"/>
        <v>2660</v>
      </c>
      <c r="L15" s="35">
        <f t="shared" si="4"/>
        <v>2681.2038000000002</v>
      </c>
      <c r="M15" s="75"/>
    </row>
    <row r="16" spans="1:24">
      <c r="A16" s="18" t="s">
        <v>27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-2</v>
      </c>
      <c r="I16" s="18">
        <v>0</v>
      </c>
      <c r="J16" s="64"/>
      <c r="K16" s="18">
        <v>0</v>
      </c>
      <c r="L16" s="35">
        <v>0</v>
      </c>
      <c r="M16" s="75"/>
    </row>
    <row r="17" spans="1:26">
      <c r="A17" s="18" t="s">
        <v>28</v>
      </c>
      <c r="B17" s="35">
        <f>-B8</f>
        <v>-412</v>
      </c>
      <c r="C17" s="35">
        <f>-C8</f>
        <v>-416</v>
      </c>
      <c r="D17" s="35">
        <f>-D8</f>
        <v>-733.42857142857144</v>
      </c>
      <c r="E17" s="18">
        <f>-E8</f>
        <v>-186</v>
      </c>
      <c r="F17" s="35">
        <f>F8</f>
        <v>320</v>
      </c>
      <c r="G17" s="35">
        <f>G8</f>
        <v>83</v>
      </c>
      <c r="H17" s="35">
        <f>H8</f>
        <v>33</v>
      </c>
      <c r="I17" s="35">
        <f t="shared" ref="I17" si="5">-I8</f>
        <v>-192.14285714285714</v>
      </c>
      <c r="J17" s="64"/>
      <c r="K17" s="18">
        <v>-957</v>
      </c>
      <c r="L17" s="35">
        <f>-843</f>
        <v>-843</v>
      </c>
      <c r="M17" s="75"/>
    </row>
    <row r="18" spans="1:26">
      <c r="A18" s="18" t="s">
        <v>24</v>
      </c>
      <c r="B18" s="35">
        <f>B15+B16+B17</f>
        <v>208</v>
      </c>
      <c r="C18" s="18">
        <f>C15+C17+C16</f>
        <v>200</v>
      </c>
      <c r="D18" s="18">
        <f>D15+D17</f>
        <v>1300</v>
      </c>
      <c r="E18" s="18">
        <f>E15+E16+E17</f>
        <v>400</v>
      </c>
      <c r="F18" s="18">
        <f>F15-F17</f>
        <v>150</v>
      </c>
      <c r="G18" s="18">
        <f>G15-G17</f>
        <v>45</v>
      </c>
      <c r="H18" s="18">
        <f>H15-H16-H17</f>
        <v>95</v>
      </c>
      <c r="I18" s="18">
        <v>250</v>
      </c>
      <c r="J18" s="64"/>
      <c r="K18" s="18">
        <f>K15-K16-K17</f>
        <v>3617</v>
      </c>
      <c r="L18" s="35">
        <f>L15-L16-L17</f>
        <v>3524.2038000000002</v>
      </c>
      <c r="M18" s="75"/>
    </row>
    <row r="19" spans="1:26">
      <c r="A19" t="str">
        <f>REPT("-",3000)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0" spans="1:26" s="58" customFormat="1" ht="22.5">
      <c r="A20" s="55" t="s">
        <v>26</v>
      </c>
      <c r="B20" s="55" t="str">
        <f>B4</f>
        <v>Klép.</v>
      </c>
      <c r="C20" s="55" t="str">
        <f t="shared" ref="C20:L20" si="6">C4</f>
        <v>Fonc. Des Régions</v>
      </c>
      <c r="D20" s="55" t="str">
        <f t="shared" si="6"/>
        <v>Unibail Rodamco</v>
      </c>
      <c r="E20" s="55" t="str">
        <f t="shared" si="6"/>
        <v>Gecina</v>
      </c>
      <c r="F20" s="55" t="str">
        <f t="shared" si="6"/>
        <v>SFL</v>
      </c>
      <c r="G20" s="55" t="str">
        <f t="shared" si="6"/>
        <v>SILIC</v>
      </c>
      <c r="H20" s="55" t="str">
        <f t="shared" si="6"/>
        <v>Mercyalis</v>
      </c>
      <c r="I20" s="55" t="str">
        <f t="shared" si="6"/>
        <v>Hammer-son</v>
      </c>
      <c r="J20" s="63"/>
      <c r="K20" s="55" t="str">
        <f t="shared" si="6"/>
        <v>British Land</v>
      </c>
      <c r="L20" s="55" t="str">
        <f t="shared" si="6"/>
        <v>Land Securities</v>
      </c>
      <c r="M20" s="73"/>
    </row>
    <row r="21" spans="1:26">
      <c r="A21" s="61" t="s">
        <v>6</v>
      </c>
      <c r="B21" s="59">
        <v>132</v>
      </c>
      <c r="C21" s="59">
        <v>0</v>
      </c>
      <c r="D21" s="59">
        <v>220</v>
      </c>
      <c r="E21" s="59">
        <v>0</v>
      </c>
      <c r="F21" s="60">
        <v>0</v>
      </c>
      <c r="G21" s="59">
        <v>0</v>
      </c>
      <c r="H21" s="59">
        <v>0</v>
      </c>
      <c r="I21" s="59">
        <v>0</v>
      </c>
      <c r="J21" s="65"/>
      <c r="K21" s="59">
        <v>0</v>
      </c>
      <c r="L21" s="59"/>
      <c r="M21" s="78"/>
    </row>
    <row r="22" spans="1:26">
      <c r="A22" s="18" t="s">
        <v>7</v>
      </c>
      <c r="B22" s="18">
        <f>11500+24+19+98</f>
        <v>11641</v>
      </c>
      <c r="C22" s="42">
        <v>12337</v>
      </c>
      <c r="D22" s="18">
        <f>197+186+20153</f>
        <v>20536</v>
      </c>
      <c r="E22" s="18">
        <v>7544</v>
      </c>
      <c r="F22" s="18">
        <v>8554</v>
      </c>
      <c r="G22" s="18">
        <f>186+1817</f>
        <v>2003</v>
      </c>
      <c r="H22" s="18">
        <v>1124</v>
      </c>
      <c r="I22" s="18">
        <v>5380</v>
      </c>
      <c r="J22" s="64"/>
      <c r="K22" s="18">
        <v>6694</v>
      </c>
      <c r="L22" s="34">
        <f>(8044.4+12.8)*1.199</f>
        <v>9660.5828000000001</v>
      </c>
      <c r="M22" s="74"/>
    </row>
    <row r="23" spans="1:26">
      <c r="A23" s="18" t="s">
        <v>8</v>
      </c>
      <c r="B23" s="18">
        <v>92</v>
      </c>
      <c r="C23" s="18">
        <v>96</v>
      </c>
      <c r="D23" s="18">
        <v>323</v>
      </c>
      <c r="E23" s="18">
        <v>65</v>
      </c>
      <c r="F23" s="18">
        <v>25</v>
      </c>
      <c r="G23" s="18">
        <v>14</v>
      </c>
      <c r="H23" s="18">
        <v>6</v>
      </c>
      <c r="I23" s="18">
        <v>39</v>
      </c>
      <c r="J23" s="64"/>
      <c r="K23" s="18">
        <f>415-K25</f>
        <v>117</v>
      </c>
      <c r="L23" s="34">
        <f>334*1.199</f>
        <v>400.46600000000001</v>
      </c>
      <c r="M23" s="74"/>
    </row>
    <row r="24" spans="1:26">
      <c r="A24" s="18" t="s">
        <v>9</v>
      </c>
      <c r="B24" s="18">
        <v>415</v>
      </c>
      <c r="C24" s="42">
        <f>1451+637</f>
        <v>2088</v>
      </c>
      <c r="D24" s="18">
        <f>937+595</f>
        <v>1532</v>
      </c>
      <c r="E24" s="18">
        <f>397+225</f>
        <v>622</v>
      </c>
      <c r="F24" s="18">
        <f>91+1</f>
        <v>92</v>
      </c>
      <c r="G24" s="18">
        <v>13</v>
      </c>
      <c r="H24" s="18">
        <v>81</v>
      </c>
      <c r="I24" s="18">
        <v>75</v>
      </c>
      <c r="J24" s="64"/>
      <c r="K24" s="18"/>
      <c r="L24" s="37">
        <v>3727</v>
      </c>
      <c r="M24" s="76"/>
    </row>
    <row r="25" spans="1:26">
      <c r="A25" s="18" t="s">
        <v>10</v>
      </c>
      <c r="B25" s="18">
        <v>236</v>
      </c>
      <c r="C25" s="18">
        <v>192</v>
      </c>
      <c r="D25" s="18">
        <v>69</v>
      </c>
      <c r="E25" s="18">
        <v>103</v>
      </c>
      <c r="F25" s="18">
        <v>20</v>
      </c>
      <c r="G25" s="18">
        <v>7</v>
      </c>
      <c r="H25" s="18">
        <v>3</v>
      </c>
      <c r="I25" s="18">
        <v>203</v>
      </c>
      <c r="J25" s="64"/>
      <c r="K25" s="18">
        <v>298</v>
      </c>
      <c r="L25" s="35">
        <f>159.4*1.199</f>
        <v>191.12060000000002</v>
      </c>
      <c r="M25" s="75"/>
    </row>
    <row r="26" spans="1:26">
      <c r="A26" t="str">
        <f>REPT("-",3000)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7" spans="1:26">
      <c r="A27" s="18" t="s">
        <v>11</v>
      </c>
      <c r="B27" s="18">
        <f>3531+18</f>
        <v>3549</v>
      </c>
      <c r="C27" s="18">
        <v>4807</v>
      </c>
      <c r="D27" s="18">
        <v>12435</v>
      </c>
      <c r="E27" s="18">
        <v>5373</v>
      </c>
      <c r="F27" s="18">
        <v>1891</v>
      </c>
      <c r="G27" s="18">
        <v>690</v>
      </c>
      <c r="H27" s="18">
        <v>1607</v>
      </c>
      <c r="I27" s="18">
        <v>3360</v>
      </c>
      <c r="J27" s="64"/>
      <c r="K27" s="18">
        <v>4676</v>
      </c>
      <c r="L27" s="35">
        <f>5690*1.199</f>
        <v>6822.31</v>
      </c>
      <c r="M27" s="75"/>
    </row>
    <row r="28" spans="1:26">
      <c r="A28" s="18" t="s">
        <v>12</v>
      </c>
      <c r="B28" s="18">
        <v>6808</v>
      </c>
      <c r="C28" s="18">
        <v>7125</v>
      </c>
      <c r="D28" s="18">
        <v>7167</v>
      </c>
      <c r="E28" s="18">
        <v>4253</v>
      </c>
      <c r="F28" s="18">
        <v>1182</v>
      </c>
      <c r="G28" s="18">
        <v>1259</v>
      </c>
      <c r="H28" s="18">
        <v>29</v>
      </c>
      <c r="I28" s="18">
        <f>2533+70</f>
        <v>2603</v>
      </c>
      <c r="J28" s="64"/>
      <c r="K28" s="18">
        <v>1979</v>
      </c>
      <c r="L28" s="35">
        <f>3216*1.199</f>
        <v>3855.9840000000004</v>
      </c>
      <c r="M28" s="75"/>
    </row>
    <row r="29" spans="1:26" s="9" customFormat="1">
      <c r="A29" s="39" t="s">
        <v>13</v>
      </c>
      <c r="B29" s="39">
        <v>102</v>
      </c>
      <c r="C29" s="39">
        <v>69</v>
      </c>
      <c r="D29" s="39">
        <v>94</v>
      </c>
      <c r="E29" s="39">
        <v>101</v>
      </c>
      <c r="F29" s="39">
        <v>5</v>
      </c>
      <c r="G29" s="39">
        <v>9</v>
      </c>
      <c r="H29" s="39">
        <v>9</v>
      </c>
      <c r="I29" s="39">
        <v>66</v>
      </c>
      <c r="J29" s="64"/>
      <c r="K29" s="39"/>
      <c r="L29" s="43">
        <f>818*1.199</f>
        <v>980.78200000000004</v>
      </c>
      <c r="M29" s="79"/>
    </row>
    <row r="30" spans="1:26" s="4" customFormat="1">
      <c r="A30" s="36" t="s">
        <v>14</v>
      </c>
      <c r="B30" s="36">
        <f>1134+923</f>
        <v>2057</v>
      </c>
      <c r="C30" s="36">
        <f>1197+72+683</f>
        <v>1952</v>
      </c>
      <c r="D30" s="36">
        <f>1642+1342</f>
        <v>2984</v>
      </c>
      <c r="E30" s="36">
        <f>325+176+669</f>
        <v>1170</v>
      </c>
      <c r="F30" s="36">
        <f>132+60</f>
        <v>192</v>
      </c>
      <c r="G30" s="36">
        <v>78</v>
      </c>
      <c r="H30" s="36">
        <f>27-8</f>
        <v>19</v>
      </c>
      <c r="I30" s="36">
        <v>61</v>
      </c>
      <c r="J30" s="64"/>
      <c r="K30" s="36">
        <v>454</v>
      </c>
      <c r="L30" s="43"/>
      <c r="M30" s="7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>
      <c r="A31" s="18" t="s">
        <v>15</v>
      </c>
      <c r="B31" s="18">
        <f>SUM(B27:B30)</f>
        <v>12516</v>
      </c>
      <c r="C31" s="18">
        <f>C27+C28+C29+C30</f>
        <v>13953</v>
      </c>
      <c r="D31" s="18">
        <f t="shared" ref="D31:K31" si="7">SUM(D27:D30)</f>
        <v>22680</v>
      </c>
      <c r="E31" s="18">
        <f t="shared" si="7"/>
        <v>10897</v>
      </c>
      <c r="F31" s="18">
        <f>F27+F28+F29+F30</f>
        <v>3270</v>
      </c>
      <c r="G31" s="18">
        <f t="shared" si="7"/>
        <v>2036</v>
      </c>
      <c r="H31" s="18">
        <f t="shared" si="7"/>
        <v>1664</v>
      </c>
      <c r="I31" s="18">
        <f t="shared" si="7"/>
        <v>6090</v>
      </c>
      <c r="J31" s="64"/>
      <c r="K31" s="18">
        <f t="shared" si="7"/>
        <v>7109</v>
      </c>
      <c r="L31" s="35">
        <f>(L27+L28+L29+L30)*1.199</f>
        <v>13979.232124000002</v>
      </c>
      <c r="M31" s="75"/>
    </row>
    <row r="32" spans="1:26">
      <c r="A32" s="18" t="s">
        <v>16</v>
      </c>
      <c r="B32" s="18">
        <f>B31-SUM(B21:B25)</f>
        <v>0</v>
      </c>
      <c r="C32" s="18">
        <f>C31-C21-C22-C23-C24-C25</f>
        <v>-760</v>
      </c>
      <c r="D32" s="18">
        <f>D31-D21-D22-D23-D24-D25</f>
        <v>0</v>
      </c>
      <c r="E32" s="18">
        <f>E31-(E22+E23+E24+E25)</f>
        <v>2563</v>
      </c>
      <c r="F32" s="18">
        <f>F31-F22-F23-F24-F25</f>
        <v>-5421</v>
      </c>
      <c r="G32" s="18">
        <f>G31-G22-G23-G24-G25</f>
        <v>-1</v>
      </c>
      <c r="H32" s="18">
        <f>H31-H21-H22-H23-H24-H25</f>
        <v>450</v>
      </c>
      <c r="I32" s="18">
        <f>I31-I22-I23-I24-I25</f>
        <v>393</v>
      </c>
      <c r="J32" s="64"/>
      <c r="K32" s="18">
        <f>K31-K22-K23-K25</f>
        <v>0</v>
      </c>
      <c r="L32" s="35">
        <f>L31-L22-L23-L24-L25</f>
        <v>6.2724000001878721E-2</v>
      </c>
      <c r="M32" s="75"/>
    </row>
    <row r="33" spans="1:15">
      <c r="A33" t="str">
        <f>REPT("-",3000)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4" spans="1:15" s="58" customFormat="1" ht="22.5">
      <c r="A34" s="55"/>
      <c r="B34" s="55" t="str">
        <f>B20</f>
        <v>Klép.</v>
      </c>
      <c r="C34" s="55" t="str">
        <f t="shared" ref="C34:L34" si="8">C20</f>
        <v>Fonc. Des Régions</v>
      </c>
      <c r="D34" s="55" t="str">
        <f t="shared" si="8"/>
        <v>Unibail Rodamco</v>
      </c>
      <c r="E34" s="55" t="str">
        <f t="shared" si="8"/>
        <v>Gecina</v>
      </c>
      <c r="F34" s="55" t="str">
        <f t="shared" si="8"/>
        <v>SFL</v>
      </c>
      <c r="G34" s="55" t="str">
        <f t="shared" si="8"/>
        <v>SILIC</v>
      </c>
      <c r="H34" s="55" t="str">
        <f t="shared" si="8"/>
        <v>Mercyalis</v>
      </c>
      <c r="I34" s="55" t="str">
        <f t="shared" si="8"/>
        <v>Hammer-son</v>
      </c>
      <c r="J34" s="63"/>
      <c r="K34" s="55" t="str">
        <f t="shared" si="8"/>
        <v>British Land</v>
      </c>
      <c r="L34" s="55" t="str">
        <f t="shared" si="8"/>
        <v>Land Securities</v>
      </c>
      <c r="M34" s="73"/>
    </row>
    <row r="35" spans="1:15">
      <c r="A35" s="18" t="s">
        <v>19</v>
      </c>
      <c r="B35" s="18">
        <v>22.2</v>
      </c>
      <c r="C35" s="44">
        <v>72.3</v>
      </c>
      <c r="D35" s="18">
        <v>150.55000000000001</v>
      </c>
      <c r="E35" s="18">
        <v>80.790000000000006</v>
      </c>
      <c r="F35" s="18">
        <v>31.75</v>
      </c>
      <c r="G35" s="18">
        <v>88.28</v>
      </c>
      <c r="H35" s="18">
        <v>25.3</v>
      </c>
      <c r="I35" s="18">
        <v>4.3099999999999996</v>
      </c>
      <c r="J35" s="64"/>
      <c r="K35" s="18">
        <v>5.65</v>
      </c>
      <c r="L35" s="45">
        <f>11.222*1.199</f>
        <v>13.455178</v>
      </c>
      <c r="M35" s="80"/>
      <c r="N35" s="3"/>
    </row>
    <row r="36" spans="1:15">
      <c r="A36" s="18" t="s">
        <v>20</v>
      </c>
      <c r="B36" s="18">
        <v>190</v>
      </c>
      <c r="C36" s="18">
        <v>54</v>
      </c>
      <c r="D36" s="18">
        <v>91</v>
      </c>
      <c r="E36" s="18">
        <v>63</v>
      </c>
      <c r="F36" s="18">
        <v>47</v>
      </c>
      <c r="G36" s="18">
        <v>17</v>
      </c>
      <c r="H36" s="18">
        <v>92</v>
      </c>
      <c r="I36" s="18">
        <v>708</v>
      </c>
      <c r="J36" s="64"/>
      <c r="K36" s="18">
        <v>875</v>
      </c>
      <c r="L36" s="37">
        <f>L37/L35</f>
        <v>428.60822799965933</v>
      </c>
      <c r="M36" s="76"/>
      <c r="N36" s="9"/>
    </row>
    <row r="37" spans="1:15">
      <c r="A37" s="18" t="s">
        <v>70</v>
      </c>
      <c r="B37" s="18">
        <f t="shared" ref="B37:K37" si="9">B35*B36</f>
        <v>4218</v>
      </c>
      <c r="C37" s="44">
        <f t="shared" si="9"/>
        <v>3904.2</v>
      </c>
      <c r="D37" s="18">
        <f t="shared" si="9"/>
        <v>13700.050000000001</v>
      </c>
      <c r="E37" s="18">
        <f t="shared" si="9"/>
        <v>5089.7700000000004</v>
      </c>
      <c r="F37" s="18">
        <f>F35*F36</f>
        <v>1492.25</v>
      </c>
      <c r="G37" s="18">
        <f t="shared" si="9"/>
        <v>1500.76</v>
      </c>
      <c r="H37" s="18">
        <f t="shared" si="9"/>
        <v>2327.6</v>
      </c>
      <c r="I37" s="18">
        <f t="shared" si="9"/>
        <v>3051.4799999999996</v>
      </c>
      <c r="J37" s="64"/>
      <c r="K37" s="18">
        <f t="shared" si="9"/>
        <v>4943.75</v>
      </c>
      <c r="L37" s="35">
        <v>5767</v>
      </c>
      <c r="M37" s="75"/>
      <c r="N37" s="86" t="s">
        <v>71</v>
      </c>
      <c r="O37" s="86">
        <f>SUM(B37:L37)</f>
        <v>45994.86</v>
      </c>
    </row>
    <row r="38" spans="1:15">
      <c r="A38" s="18" t="s">
        <v>22</v>
      </c>
      <c r="B38" s="46">
        <f t="shared" ref="B38:I38" si="10">(B18+B37*$F$2)/B37</f>
        <v>7.9312470365101931E-2</v>
      </c>
      <c r="C38" s="47">
        <f t="shared" si="10"/>
        <v>8.1226883868654273E-2</v>
      </c>
      <c r="D38" s="47">
        <f t="shared" si="10"/>
        <v>0.12489016463443564</v>
      </c>
      <c r="E38" s="47">
        <f t="shared" si="10"/>
        <v>0.10858901286305667</v>
      </c>
      <c r="F38" s="48">
        <f t="shared" si="10"/>
        <v>0.13051934997487016</v>
      </c>
      <c r="G38" s="47">
        <f t="shared" si="10"/>
        <v>5.9984807697433293E-2</v>
      </c>
      <c r="H38" s="47">
        <f t="shared" si="10"/>
        <v>7.0814572950678806E-2</v>
      </c>
      <c r="I38" s="47">
        <f t="shared" si="10"/>
        <v>0.11192745815145438</v>
      </c>
      <c r="J38" s="66"/>
      <c r="K38" s="47">
        <f>(K18+K37*$G$2)/K37</f>
        <v>0.77163084702907714</v>
      </c>
      <c r="L38" s="44">
        <f>(L18+L37*$F$2)/L37</f>
        <v>0.64109828333622343</v>
      </c>
      <c r="M38" s="81"/>
    </row>
    <row r="39" spans="1:15" s="17" customFormat="1">
      <c r="A39" s="49" t="s">
        <v>29</v>
      </c>
      <c r="B39" s="50">
        <f t="shared" ref="B39:I39" si="11">(B38-$G$2)/$H$2</f>
        <v>0.65520783941836558</v>
      </c>
      <c r="C39" s="51">
        <f t="shared" si="11"/>
        <v>0.68711473114423793</v>
      </c>
      <c r="D39" s="51">
        <f t="shared" si="11"/>
        <v>1.4148360772405939</v>
      </c>
      <c r="E39" s="52">
        <f t="shared" si="11"/>
        <v>1.1431502143842778</v>
      </c>
      <c r="F39" s="52">
        <f t="shared" si="11"/>
        <v>1.5086558329145026</v>
      </c>
      <c r="G39" s="51">
        <f t="shared" si="11"/>
        <v>0.33308012829055489</v>
      </c>
      <c r="H39" s="51">
        <f t="shared" si="11"/>
        <v>0.51357621584464674</v>
      </c>
      <c r="I39" s="51">
        <f t="shared" si="11"/>
        <v>1.1987909691909062</v>
      </c>
      <c r="J39" s="67"/>
      <c r="K39" s="51">
        <f>(K38-$G$2)/$H$2</f>
        <v>12.193847450484618</v>
      </c>
      <c r="L39" s="51">
        <f>(L38-$G$2)/$H$2</f>
        <v>10.01830472227039</v>
      </c>
      <c r="M39" s="82"/>
      <c r="N39" s="15" t="s">
        <v>43</v>
      </c>
      <c r="O39" s="16">
        <f>AVERAGE(B39:I39)</f>
        <v>0.93180150105351067</v>
      </c>
    </row>
    <row r="40" spans="1:15">
      <c r="A40" t="str">
        <f>REPT("-",3000)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40" s="5"/>
    </row>
    <row r="41" spans="1:15" ht="25.5">
      <c r="A41" s="33"/>
      <c r="B41" s="33" t="str">
        <f>B20</f>
        <v>Klép.</v>
      </c>
      <c r="C41" s="33" t="str">
        <f t="shared" ref="C41:L41" si="12">C20</f>
        <v>Fonc. Des Régions</v>
      </c>
      <c r="D41" s="33" t="str">
        <f t="shared" si="12"/>
        <v>Unibail Rodamco</v>
      </c>
      <c r="E41" s="33" t="str">
        <f t="shared" si="12"/>
        <v>Gecina</v>
      </c>
      <c r="F41" s="33" t="str">
        <f t="shared" si="12"/>
        <v>SFL</v>
      </c>
      <c r="G41" s="33" t="str">
        <f t="shared" si="12"/>
        <v>SILIC</v>
      </c>
      <c r="H41" s="33" t="str">
        <f t="shared" si="12"/>
        <v>Mercyalis</v>
      </c>
      <c r="I41" s="33" t="str">
        <f t="shared" si="12"/>
        <v>Hammer-son</v>
      </c>
      <c r="J41" s="68"/>
      <c r="K41" s="33" t="str">
        <f t="shared" si="12"/>
        <v>British Land</v>
      </c>
      <c r="L41" s="33" t="str">
        <f t="shared" si="12"/>
        <v>Land Securities</v>
      </c>
      <c r="M41" s="83"/>
    </row>
    <row r="42" spans="1:15">
      <c r="A42" s="18" t="s">
        <v>31</v>
      </c>
      <c r="B42" s="35">
        <f t="shared" ref="B42:I42" si="13">B22/B8</f>
        <v>28.25485436893204</v>
      </c>
      <c r="C42" s="35">
        <f t="shared" si="13"/>
        <v>29.65625</v>
      </c>
      <c r="D42" s="35">
        <v>25</v>
      </c>
      <c r="E42" s="35">
        <f t="shared" si="13"/>
        <v>40.55913978494624</v>
      </c>
      <c r="F42" s="35">
        <f>F22/F8</f>
        <v>26.731249999999999</v>
      </c>
      <c r="G42" s="35">
        <f t="shared" si="13"/>
        <v>24.132530120481928</v>
      </c>
      <c r="H42" s="35">
        <f t="shared" si="13"/>
        <v>34.060606060606062</v>
      </c>
      <c r="I42" s="35">
        <f t="shared" si="13"/>
        <v>28</v>
      </c>
      <c r="J42" s="69"/>
      <c r="K42" s="18"/>
      <c r="L42" s="18"/>
      <c r="M42" s="84"/>
    </row>
    <row r="43" spans="1:15">
      <c r="A43" s="18" t="s">
        <v>30</v>
      </c>
      <c r="B43" s="18">
        <v>5320</v>
      </c>
      <c r="C43" s="18">
        <f t="shared" ref="C43:L43" si="14">C31-C28</f>
        <v>6828</v>
      </c>
      <c r="D43" s="18">
        <f t="shared" si="14"/>
        <v>15513</v>
      </c>
      <c r="E43" s="18">
        <f t="shared" si="14"/>
        <v>6644</v>
      </c>
      <c r="F43" s="18">
        <f>F31-F28</f>
        <v>2088</v>
      </c>
      <c r="G43" s="18">
        <f t="shared" si="14"/>
        <v>777</v>
      </c>
      <c r="H43" s="18">
        <f t="shared" si="14"/>
        <v>1635</v>
      </c>
      <c r="I43" s="18">
        <f t="shared" si="14"/>
        <v>3487</v>
      </c>
      <c r="J43" s="64"/>
      <c r="K43" s="18">
        <f t="shared" si="14"/>
        <v>5130</v>
      </c>
      <c r="L43" s="35">
        <f t="shared" si="14"/>
        <v>10123.248124000002</v>
      </c>
      <c r="M43" s="75"/>
    </row>
    <row r="44" spans="1:15">
      <c r="A44" s="18" t="s">
        <v>32</v>
      </c>
      <c r="B44" s="18">
        <f t="shared" ref="B44:L44" si="15">B37/B43</f>
        <v>0.79285714285714282</v>
      </c>
      <c r="C44" s="53">
        <f t="shared" si="15"/>
        <v>0.57179261862917397</v>
      </c>
      <c r="D44" s="53">
        <f t="shared" si="15"/>
        <v>0.8831335009347</v>
      </c>
      <c r="E44" s="53">
        <f t="shared" si="15"/>
        <v>0.76607013847080074</v>
      </c>
      <c r="F44" s="54">
        <f>F37/F43</f>
        <v>0.71467911877394641</v>
      </c>
      <c r="G44" s="18">
        <f t="shared" si="15"/>
        <v>1.9314800514800514</v>
      </c>
      <c r="H44" s="53">
        <f t="shared" si="15"/>
        <v>1.4236085626911315</v>
      </c>
      <c r="I44" s="53">
        <f t="shared" si="15"/>
        <v>0.87510180671063942</v>
      </c>
      <c r="J44" s="70"/>
      <c r="K44" s="53">
        <f t="shared" si="15"/>
        <v>0.96369395711500971</v>
      </c>
      <c r="L44" s="54">
        <f t="shared" si="15"/>
        <v>0.5696788154710648</v>
      </c>
      <c r="M44" s="85"/>
    </row>
    <row r="45" spans="1:15">
      <c r="A45" t="str">
        <f>REPT("-",3000)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54" spans="1:1">
      <c r="A54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mergeCells count="1">
    <mergeCell ref="A2:B2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Feuil1 (2)</vt:lpstr>
      <vt:lpstr>Revision 1</vt:lpstr>
      <vt:lpstr>Revision 2</vt:lpstr>
      <vt:lpstr>Feuil2</vt:lpstr>
      <vt:lpstr>Feuil3</vt:lpstr>
    </vt:vector>
  </TitlesOfParts>
  <Company>Physcience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Nathalie</cp:lastModifiedBy>
  <dcterms:created xsi:type="dcterms:W3CDTF">2003-07-24T12:58:33Z</dcterms:created>
  <dcterms:modified xsi:type="dcterms:W3CDTF">2010-08-20T07:48:09Z</dcterms:modified>
</cp:coreProperties>
</file>