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480" windowHeight="11640"/>
  </bookViews>
  <sheets>
    <sheet name="Retraitements" sheetId="1" r:id="rId1"/>
  </sheets>
  <definedNames>
    <definedName name="_xlnm.Print_Area" localSheetId="0">Retraitements!$A$1:$R$75</definedName>
  </definedNames>
  <calcPr calcId="114210"/>
</workbook>
</file>

<file path=xl/calcChain.xml><?xml version="1.0" encoding="utf-8"?>
<calcChain xmlns="http://schemas.openxmlformats.org/spreadsheetml/2006/main">
  <c r="P56" i="1"/>
  <c r="O56"/>
  <c r="N56"/>
  <c r="M56"/>
  <c r="L56"/>
  <c r="P55"/>
  <c r="O55"/>
  <c r="N55"/>
  <c r="M55"/>
  <c r="L55"/>
  <c r="P54"/>
  <c r="O54"/>
  <c r="N54"/>
  <c r="M54"/>
  <c r="L54"/>
  <c r="P53"/>
  <c r="O53"/>
  <c r="N53"/>
  <c r="M53"/>
  <c r="L53"/>
  <c r="P52"/>
  <c r="O52"/>
  <c r="N52"/>
  <c r="M52"/>
  <c r="L52"/>
  <c r="P51"/>
  <c r="O51"/>
  <c r="N51"/>
  <c r="M51"/>
  <c r="L51"/>
  <c r="P50"/>
  <c r="O50"/>
  <c r="N50"/>
  <c r="M50"/>
  <c r="L50"/>
  <c r="P49"/>
  <c r="O49"/>
  <c r="N49"/>
  <c r="M49"/>
  <c r="L49"/>
  <c r="P48"/>
  <c r="O48"/>
  <c r="N48"/>
  <c r="M48"/>
  <c r="L48"/>
  <c r="P47"/>
  <c r="O47"/>
  <c r="N47"/>
  <c r="M47"/>
  <c r="L47"/>
  <c r="P46"/>
  <c r="O46"/>
  <c r="N46"/>
  <c r="M46"/>
  <c r="L46"/>
  <c r="P45"/>
  <c r="O45"/>
  <c r="N45"/>
  <c r="M45"/>
  <c r="L45"/>
  <c r="P44"/>
  <c r="O44"/>
  <c r="N44"/>
  <c r="M44"/>
  <c r="L44"/>
  <c r="P43"/>
  <c r="O43"/>
  <c r="N43"/>
  <c r="M43"/>
  <c r="L43"/>
  <c r="P42"/>
  <c r="O42"/>
  <c r="N42"/>
  <c r="M42"/>
  <c r="L42"/>
  <c r="P41"/>
  <c r="O41"/>
  <c r="N41"/>
  <c r="M41"/>
  <c r="L41"/>
  <c r="P40"/>
  <c r="O40"/>
  <c r="N40"/>
  <c r="M40"/>
  <c r="L40"/>
  <c r="P39"/>
  <c r="O39"/>
  <c r="N39"/>
  <c r="M39"/>
  <c r="L39"/>
  <c r="P38"/>
  <c r="O38"/>
  <c r="N38"/>
  <c r="M38"/>
  <c r="L38"/>
  <c r="P37"/>
  <c r="O37"/>
  <c r="N37"/>
  <c r="M37"/>
  <c r="L37"/>
  <c r="P33"/>
  <c r="O33"/>
  <c r="N33"/>
  <c r="M33"/>
  <c r="L33"/>
  <c r="P32"/>
  <c r="O32"/>
  <c r="N32"/>
  <c r="M32"/>
  <c r="L32"/>
  <c r="P31"/>
  <c r="O31"/>
  <c r="N31"/>
  <c r="M31"/>
  <c r="L31"/>
  <c r="P30"/>
  <c r="O30"/>
  <c r="N30"/>
  <c r="M30"/>
  <c r="L30"/>
  <c r="P25"/>
  <c r="O25"/>
  <c r="N25"/>
  <c r="M25"/>
  <c r="L25"/>
  <c r="P24"/>
  <c r="O24"/>
  <c r="N24"/>
  <c r="M24"/>
  <c r="L24"/>
  <c r="P23"/>
  <c r="O23"/>
  <c r="N23"/>
  <c r="M23"/>
  <c r="L23"/>
  <c r="P22"/>
  <c r="O22"/>
  <c r="N22"/>
  <c r="M22"/>
  <c r="L22"/>
  <c r="P21"/>
  <c r="O21"/>
  <c r="N21"/>
  <c r="M21"/>
  <c r="L21"/>
  <c r="P16"/>
  <c r="O16"/>
  <c r="N16"/>
  <c r="M16"/>
  <c r="L16"/>
  <c r="P15"/>
  <c r="O15"/>
  <c r="N15"/>
  <c r="M15"/>
  <c r="L15"/>
  <c r="P14"/>
  <c r="O14"/>
  <c r="N14"/>
  <c r="M14"/>
  <c r="L14"/>
  <c r="P10"/>
  <c r="O10"/>
  <c r="N10"/>
  <c r="M10"/>
  <c r="L10"/>
  <c r="P9"/>
  <c r="O9"/>
  <c r="N9"/>
  <c r="M9"/>
  <c r="L9"/>
  <c r="P8"/>
  <c r="O8"/>
  <c r="N8"/>
  <c r="M8"/>
  <c r="L8"/>
  <c r="P7"/>
  <c r="O7"/>
  <c r="N7"/>
  <c r="M7"/>
  <c r="L7"/>
  <c r="P6"/>
  <c r="O6"/>
  <c r="N6"/>
  <c r="M6"/>
  <c r="L6"/>
  <c r="F72"/>
  <c r="E74"/>
  <c r="E73"/>
  <c r="E71"/>
  <c r="E70"/>
  <c r="G69"/>
  <c r="E69"/>
  <c r="F68"/>
  <c r="E68"/>
  <c r="G67"/>
  <c r="F67"/>
  <c r="E67"/>
  <c r="Q81"/>
  <c r="Q80"/>
  <c r="Q79"/>
  <c r="J74"/>
  <c r="J73"/>
  <c r="J72"/>
  <c r="J71"/>
  <c r="J70"/>
  <c r="J69"/>
  <c r="J68"/>
  <c r="J67"/>
  <c r="P58"/>
  <c r="O58"/>
  <c r="N58"/>
  <c r="M58"/>
  <c r="L58"/>
  <c r="I58"/>
  <c r="H58"/>
  <c r="G58"/>
  <c r="F58"/>
  <c r="E58"/>
  <c r="P34"/>
  <c r="O34"/>
  <c r="N34"/>
  <c r="M34"/>
  <c r="L34"/>
  <c r="I34"/>
  <c r="H34"/>
  <c r="G34"/>
  <c r="F34"/>
  <c r="E34"/>
  <c r="P26"/>
  <c r="O26"/>
  <c r="N26"/>
  <c r="M26"/>
  <c r="L26"/>
  <c r="I26"/>
  <c r="H26"/>
  <c r="G26"/>
  <c r="F26"/>
  <c r="E26"/>
  <c r="P17"/>
  <c r="O17"/>
  <c r="N17"/>
  <c r="M17"/>
  <c r="L17"/>
  <c r="I17"/>
  <c r="H17"/>
  <c r="G17"/>
  <c r="F17"/>
  <c r="E17"/>
  <c r="Q16"/>
  <c r="Q15"/>
  <c r="Q14"/>
  <c r="Q17"/>
  <c r="Q25"/>
  <c r="Q24"/>
  <c r="Q23"/>
  <c r="Q22"/>
  <c r="Q21"/>
  <c r="Q26"/>
  <c r="Q33"/>
  <c r="Q32"/>
  <c r="Q31"/>
  <c r="Q30"/>
  <c r="Q34"/>
  <c r="Q61"/>
  <c r="Q60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J61"/>
  <c r="J60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58"/>
  <c r="J33"/>
  <c r="J32"/>
  <c r="J31"/>
  <c r="J30"/>
  <c r="J34"/>
  <c r="J25"/>
  <c r="J24"/>
  <c r="J23"/>
  <c r="J22"/>
  <c r="J21"/>
  <c r="J26"/>
  <c r="J16"/>
  <c r="J15"/>
  <c r="J14"/>
  <c r="J17"/>
  <c r="Q10"/>
  <c r="Q9"/>
  <c r="Q8"/>
  <c r="Q7"/>
  <c r="Q6"/>
  <c r="J10"/>
  <c r="J9"/>
  <c r="J8"/>
  <c r="J7"/>
  <c r="J6"/>
  <c r="J11"/>
  <c r="Q11"/>
  <c r="P11"/>
  <c r="O11"/>
  <c r="N11"/>
  <c r="M11"/>
  <c r="L11"/>
  <c r="I11"/>
  <c r="H11"/>
  <c r="G11"/>
  <c r="F11"/>
  <c r="E11"/>
  <c r="E18"/>
  <c r="E27"/>
  <c r="E59"/>
  <c r="Q58"/>
  <c r="M18"/>
  <c r="O18"/>
  <c r="Q18"/>
  <c r="L18"/>
  <c r="L27"/>
  <c r="L59"/>
  <c r="N18"/>
  <c r="N27"/>
  <c r="N59"/>
  <c r="P18"/>
  <c r="P27"/>
  <c r="P59"/>
  <c r="M27"/>
  <c r="O27"/>
  <c r="O59"/>
  <c r="Q27"/>
  <c r="Q59"/>
  <c r="M59"/>
  <c r="E65"/>
  <c r="E62"/>
  <c r="G18"/>
  <c r="I18"/>
  <c r="F18"/>
  <c r="F27"/>
  <c r="F59"/>
  <c r="H18"/>
  <c r="H27"/>
  <c r="H59"/>
  <c r="J18"/>
  <c r="J27"/>
  <c r="J59"/>
  <c r="J62"/>
  <c r="G27"/>
  <c r="G59"/>
  <c r="I27"/>
  <c r="I59"/>
  <c r="Q62"/>
  <c r="Q82"/>
  <c r="N82"/>
  <c r="N62"/>
  <c r="P82"/>
  <c r="P62"/>
  <c r="L82"/>
  <c r="L62"/>
  <c r="M62"/>
  <c r="M82"/>
  <c r="O62"/>
  <c r="O82"/>
  <c r="I65"/>
  <c r="I75"/>
  <c r="I62"/>
  <c r="F65"/>
  <c r="F75"/>
  <c r="F62"/>
  <c r="E75"/>
  <c r="H65"/>
  <c r="H75"/>
  <c r="H62"/>
  <c r="G65"/>
  <c r="G75"/>
  <c r="G62"/>
  <c r="J65"/>
  <c r="J75"/>
</calcChain>
</file>

<file path=xl/comments1.xml><?xml version="1.0" encoding="utf-8"?>
<comments xmlns="http://schemas.openxmlformats.org/spreadsheetml/2006/main">
  <authors>
    <author xml:space="preserve"> </author>
  </authors>
  <commentList>
    <comment ref="E67" authorId="0">
      <text>
        <r>
          <rPr>
            <b/>
            <sz val="8"/>
            <color indexed="81"/>
            <rFont val="Tahoma"/>
            <family val="2"/>
          </rPr>
          <t>Bruno Gosset - Janvier a Mars 2010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Salaire Janvier £22677 moins prevu £14000
Salaire Fevrier £5767
Salaire Mars £5767
(charges patronales incluses)</t>
        </r>
      </text>
    </comment>
    <comment ref="F67" authorId="0">
      <text>
        <r>
          <rPr>
            <b/>
            <sz val="8"/>
            <color indexed="81"/>
            <rFont val="Tahoma"/>
            <family val="2"/>
          </rPr>
          <t>Caroline Lambert.
Salaire cumulatif fin Juin £34718
+ €500 par mois de frais de consultant (€6000 pa)</t>
        </r>
      </text>
    </comment>
    <comment ref="G67" authorId="0">
      <text>
        <r>
          <rPr>
            <b/>
            <sz val="8"/>
            <color indexed="81"/>
            <rFont val="Tahoma"/>
            <family val="2"/>
          </rPr>
          <t xml:space="preserve">Salaire annuel Mme Estienne £12000
Salaire annuel Mr Jean estienne £12000
Salaire annuel Valerie Hassett £7200
</t>
        </r>
      </text>
    </comment>
    <comment ref="F68" authorId="0">
      <text>
        <r>
          <rPr>
            <b/>
            <sz val="8"/>
            <color indexed="81"/>
            <rFont val="Tahoma"/>
            <family val="2"/>
          </rPr>
          <t>Caroline Lambert.
+ 33% des frais de deplacement = £2738
+ 50% des frais divers = £2256</t>
        </r>
      </text>
    </comment>
    <comment ref="E69" authorId="0">
      <text>
        <r>
          <rPr>
            <b/>
            <sz val="8"/>
            <color indexed="81"/>
            <rFont val="Tahoma"/>
            <family val="2"/>
          </rPr>
          <t xml:space="preserve"> Frais de deplacment par voiture = moyenant £1400 par mois x 12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69" authorId="0">
      <text>
        <r>
          <rPr>
            <b/>
            <sz val="8"/>
            <color indexed="81"/>
            <rFont val="Tahoma"/>
            <family val="2"/>
          </rPr>
          <t xml:space="preserve">Frais de voiture de Valerie Hassett moyenant £750 par mois  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72" authorId="0">
      <text>
        <r>
          <rPr>
            <b/>
            <sz val="8"/>
            <color indexed="81"/>
            <rFont val="Tahoma"/>
            <family val="2"/>
          </rPr>
          <t xml:space="preserve">Gammes Country Life/Desert Essence + 2 minoretaires demarrant au 1 Avril 2010. Ajouter une estimation de 3 mois
</t>
        </r>
      </text>
    </comment>
    <comment ref="E73" authorId="0">
      <text>
        <r>
          <rPr>
            <b/>
            <sz val="8"/>
            <color indexed="81"/>
            <rFont val="Tahoma"/>
            <family val="2"/>
          </rPr>
          <t>4 commerciaux supplementaires a partir du 1 Septembre. Pas rentable pendant au moins les 3 premiers mois d'embauche.
€25k CA minimum exigé de chaque personne avec MB de 62%. A ce niveau de CA, chaque commercial cout a peu pres 35% du CA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74" authorId="0">
      <text>
        <r>
          <rPr>
            <b/>
            <sz val="8"/>
            <color indexed="81"/>
            <rFont val="Tahoma"/>
            <family val="2"/>
          </rPr>
          <t>Penalités sur le remboursement des 2 credits Barclays - restructuration de la HSBC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<sst xmlns="http://schemas.openxmlformats.org/spreadsheetml/2006/main" count="133" uniqueCount="97">
  <si>
    <t>GROUPE NATURAL DISTRIBUTION</t>
  </si>
  <si>
    <t>CREDIT CARD EXPENSES</t>
  </si>
  <si>
    <t>monthly</t>
  </si>
  <si>
    <t>£/euro =</t>
  </si>
  <si>
    <t>Ajustements</t>
  </si>
  <si>
    <t>total</t>
  </si>
  <si>
    <t>Sante</t>
  </si>
  <si>
    <t>Wisdom</t>
  </si>
  <si>
    <t>"Holdings"</t>
  </si>
  <si>
    <t>"Properties"</t>
  </si>
  <si>
    <t>a la</t>
  </si>
  <si>
    <t>Consolidé</t>
  </si>
  <si>
    <t>Valerie Hassett</t>
  </si>
  <si>
    <t>January</t>
  </si>
  <si>
    <t>Verte</t>
  </si>
  <si>
    <t>of Nature</t>
  </si>
  <si>
    <t>Unit E</t>
  </si>
  <si>
    <t>consolidation</t>
  </si>
  <si>
    <t>February</t>
  </si>
  <si>
    <t>March</t>
  </si>
  <si>
    <t>Vente de produits</t>
  </si>
  <si>
    <t>April</t>
  </si>
  <si>
    <t>Distribution</t>
  </si>
  <si>
    <t>May</t>
  </si>
  <si>
    <t>Remises</t>
  </si>
  <si>
    <t>June</t>
  </si>
  <si>
    <t>Autres revenus</t>
  </si>
  <si>
    <t>Loyer</t>
  </si>
  <si>
    <t>Mme Estienne</t>
  </si>
  <si>
    <t>CHIFFRE D'AFFAIRE TOTAL</t>
  </si>
  <si>
    <t>COUTS DE REVIENT</t>
  </si>
  <si>
    <t>Achat de produits</t>
  </si>
  <si>
    <t>Transport et douane</t>
  </si>
  <si>
    <t>Etiquettes et boites</t>
  </si>
  <si>
    <t>Mr Jean Estienne</t>
  </si>
  <si>
    <t>MARGE BRUTE</t>
  </si>
  <si>
    <t>FRAIS DE VENTE ET DISTRIBUTION</t>
  </si>
  <si>
    <t>Frais de distribution et emballage</t>
  </si>
  <si>
    <t>Force de vente (France)</t>
  </si>
  <si>
    <t>Salaires export et force de vente Angleterre</t>
  </si>
  <si>
    <t>Personnel entrepot</t>
  </si>
  <si>
    <t>Bruno Gosset</t>
  </si>
  <si>
    <t>Commissions</t>
  </si>
  <si>
    <t>MARGE D'EXPLOITATION</t>
  </si>
  <si>
    <t>MARKETING</t>
  </si>
  <si>
    <t>Salaires et charges sociales</t>
  </si>
  <si>
    <t>Prospectus et catalogues</t>
  </si>
  <si>
    <t>Total</t>
  </si>
  <si>
    <t>Promotion et frais de developpement</t>
  </si>
  <si>
    <t>Marketing et salons</t>
  </si>
  <si>
    <t>FRAIS DE GESTION</t>
  </si>
  <si>
    <t>Frais de gestion de La Holdings</t>
  </si>
  <si>
    <t>Recrutement et formation</t>
  </si>
  <si>
    <t>Frais de deplacement et de voitures</t>
  </si>
  <si>
    <t>Telephone et fax</t>
  </si>
  <si>
    <t>Frais de representation et d'hote</t>
  </si>
  <si>
    <t>Imprimerie, papeterie et affranchissement</t>
  </si>
  <si>
    <t>Abonnements</t>
  </si>
  <si>
    <t>Frais d'informatique</t>
  </si>
  <si>
    <t>Frais generaux</t>
  </si>
  <si>
    <t>Reparations</t>
  </si>
  <si>
    <t>Assurances</t>
  </si>
  <si>
    <t>Loyer et charges du batiment</t>
  </si>
  <si>
    <t>Electricite et gaz</t>
  </si>
  <si>
    <t>Financement d'equipement</t>
  </si>
  <si>
    <t>Frais bancaires et interet</t>
  </si>
  <si>
    <t>Frais professionel, conseil et audit</t>
  </si>
  <si>
    <t>Amortissement</t>
  </si>
  <si>
    <t>Impayes</t>
  </si>
  <si>
    <t>Differences monetaires</t>
  </si>
  <si>
    <t>FRAIS DE GESTION TOTAL</t>
  </si>
  <si>
    <t>BENEFICES NET</t>
  </si>
  <si>
    <t>DIVIDENDES RECUS</t>
  </si>
  <si>
    <t>DIVIDENDES VERSES</t>
  </si>
  <si>
    <t>BENEFICES APRES DIVIDENDES (AVANT IMPOTS)</t>
  </si>
  <si>
    <t>BENEFICES NET PREVUS</t>
  </si>
  <si>
    <t>(1) Salaires de famille (plus charges patronales)</t>
  </si>
  <si>
    <t>(2) Frais de deplacement/resto/location personnels</t>
  </si>
  <si>
    <t>estimation</t>
  </si>
  <si>
    <t>(3) Frais de voiture de la famille</t>
  </si>
  <si>
    <t>(5) Location de batiment sur-chargé (estimé)</t>
  </si>
  <si>
    <t>(6) Introduction des gammes Country Life / Desert Essence</t>
  </si>
  <si>
    <t>(7) Investissement force de vente Pharma</t>
  </si>
  <si>
    <t>(8) Penalité de remboursement de credit</t>
  </si>
  <si>
    <t>BENEFICES DE BASE</t>
  </si>
  <si>
    <t>2010 PREVISIONEL</t>
  </si>
  <si>
    <t>2010 REVISION</t>
  </si>
  <si>
    <t>AJUSTEMENTS DES COMPTES DE RESULTATS</t>
  </si>
  <si>
    <t>personal/</t>
  </si>
  <si>
    <t>avoidable</t>
  </si>
  <si>
    <t xml:space="preserve"> Units 3&amp;4</t>
  </si>
  <si>
    <t>AUSSI A RAJOUTER A L'EBIT</t>
  </si>
  <si>
    <t>Frais financiers</t>
  </si>
  <si>
    <t>Interets bancaires</t>
  </si>
  <si>
    <t>EBIT</t>
  </si>
  <si>
    <t>Interets bancaires - hypotheque</t>
  </si>
  <si>
    <t>(4) 6 semaines de loyer manquant au nouveau batiment</t>
  </si>
</sst>
</file>

<file path=xl/styles.xml><?xml version="1.0" encoding="utf-8"?>
<styleSheet xmlns="http://schemas.openxmlformats.org/spreadsheetml/2006/main">
  <numFmts count="2">
    <numFmt numFmtId="164" formatCode="\€#,##0.0;\(\€#,##0.0\)"/>
    <numFmt numFmtId="165" formatCode="\€#,##0;\(\€#,##0\)"/>
  </numFmts>
  <fonts count="11">
    <font>
      <sz val="11"/>
      <color theme="1"/>
      <name val="Calibri"/>
      <family val="2"/>
      <scheme val="minor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164" fontId="2" fillId="0" borderId="0" xfId="0" applyNumberFormat="1" applyFont="1"/>
    <xf numFmtId="164" fontId="2" fillId="2" borderId="0" xfId="0" applyNumberFormat="1" applyFont="1" applyFill="1"/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0" xfId="0" applyFont="1" applyFill="1"/>
    <xf numFmtId="164" fontId="4" fillId="2" borderId="0" xfId="0" applyNumberFormat="1" applyFont="1" applyFill="1"/>
    <xf numFmtId="0" fontId="5" fillId="0" borderId="0" xfId="0" applyFont="1"/>
    <xf numFmtId="165" fontId="2" fillId="0" borderId="0" xfId="0" applyNumberFormat="1" applyFont="1"/>
    <xf numFmtId="165" fontId="2" fillId="2" borderId="0" xfId="0" applyNumberFormat="1" applyFont="1" applyFill="1"/>
    <xf numFmtId="0" fontId="1" fillId="2" borderId="0" xfId="0" applyFont="1" applyFill="1"/>
    <xf numFmtId="0" fontId="6" fillId="0" borderId="0" xfId="0" applyFont="1"/>
    <xf numFmtId="164" fontId="6" fillId="2" borderId="0" xfId="0" applyNumberFormat="1" applyFont="1" applyFill="1"/>
    <xf numFmtId="164" fontId="9" fillId="0" borderId="0" xfId="0" applyNumberFormat="1" applyFont="1" applyFill="1"/>
    <xf numFmtId="164" fontId="9" fillId="0" borderId="0" xfId="0" applyNumberFormat="1" applyFont="1"/>
    <xf numFmtId="0" fontId="0" fillId="0" borderId="0" xfId="0" applyFont="1"/>
    <xf numFmtId="164" fontId="10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58</xdr:row>
      <xdr:rowOff>74612</xdr:rowOff>
    </xdr:from>
    <xdr:to>
      <xdr:col>19</xdr:col>
      <xdr:colOff>49213</xdr:colOff>
      <xdr:row>74</xdr:row>
      <xdr:rowOff>123825</xdr:rowOff>
    </xdr:to>
    <xdr:sp macro="" textlink="">
      <xdr:nvSpPr>
        <xdr:cNvPr id="4" name="Freeform 3"/>
        <xdr:cNvSpPr/>
      </xdr:nvSpPr>
      <xdr:spPr>
        <a:xfrm>
          <a:off x="6924675" y="9532937"/>
          <a:ext cx="4973638" cy="2735263"/>
        </a:xfrm>
        <a:custGeom>
          <a:avLst/>
          <a:gdLst>
            <a:gd name="connsiteX0" fmla="*/ 0 w 4973638"/>
            <a:gd name="connsiteY0" fmla="*/ 2735263 h 2735263"/>
            <a:gd name="connsiteX1" fmla="*/ 4352925 w 4973638"/>
            <a:gd name="connsiteY1" fmla="*/ 449263 h 2735263"/>
            <a:gd name="connsiteX2" fmla="*/ 3724275 w 4973638"/>
            <a:gd name="connsiteY2" fmla="*/ 39688 h 273526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973638" h="2735263">
              <a:moveTo>
                <a:pt x="0" y="2735263"/>
              </a:moveTo>
              <a:cubicBezTo>
                <a:pt x="1866106" y="1816894"/>
                <a:pt x="3732212" y="898526"/>
                <a:pt x="4352925" y="449263"/>
              </a:cubicBezTo>
              <a:cubicBezTo>
                <a:pt x="4973638" y="0"/>
                <a:pt x="4348956" y="19844"/>
                <a:pt x="3724275" y="39688"/>
              </a:cubicBezTo>
            </a:path>
          </a:pathLst>
        </a:cu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2"/>
  <sheetViews>
    <sheetView tabSelected="1" workbookViewId="0"/>
  </sheetViews>
  <sheetFormatPr baseColWidth="10" defaultColWidth="9.140625" defaultRowHeight="12.75"/>
  <cols>
    <col min="1" max="1" width="9.140625" style="2"/>
    <col min="2" max="2" width="14.42578125" style="2" customWidth="1"/>
    <col min="3" max="3" width="11.140625" style="2" customWidth="1"/>
    <col min="4" max="4" width="13.140625" style="2" customWidth="1"/>
    <col min="5" max="6" width="8.85546875" style="2" customWidth="1"/>
    <col min="7" max="8" width="9.140625" style="2"/>
    <col min="9" max="9" width="10" style="2" customWidth="1"/>
    <col min="10" max="10" width="9.140625" style="2"/>
    <col min="11" max="11" width="2.140625" style="2" customWidth="1"/>
    <col min="12" max="13" width="8.85546875" style="2" customWidth="1"/>
    <col min="14" max="15" width="9.140625" style="2"/>
    <col min="16" max="16" width="9.140625" style="2" customWidth="1"/>
    <col min="17" max="16384" width="9.140625" style="2"/>
  </cols>
  <sheetData>
    <row r="1" spans="1:24" ht="18">
      <c r="A1" s="1" t="s">
        <v>0</v>
      </c>
      <c r="E1" s="3"/>
      <c r="F1" s="15" t="s">
        <v>85</v>
      </c>
      <c r="G1" s="3"/>
      <c r="H1" s="3"/>
      <c r="I1" s="3"/>
      <c r="J1" s="3"/>
      <c r="L1" s="3"/>
      <c r="M1" s="15" t="s">
        <v>86</v>
      </c>
      <c r="N1" s="3"/>
      <c r="O1" s="3"/>
      <c r="P1" s="3"/>
      <c r="Q1" s="3"/>
      <c r="S1" s="2" t="s">
        <v>1</v>
      </c>
      <c r="V1" s="4" t="s">
        <v>2</v>
      </c>
      <c r="W1" s="4"/>
      <c r="X1" s="4" t="s">
        <v>88</v>
      </c>
    </row>
    <row r="2" spans="1:24">
      <c r="E2" s="2" t="s">
        <v>3</v>
      </c>
      <c r="F2" s="2">
        <v>1.171085460035882</v>
      </c>
      <c r="I2" s="8" t="s">
        <v>4</v>
      </c>
      <c r="J2" s="3"/>
      <c r="P2" s="8" t="s">
        <v>4</v>
      </c>
      <c r="Q2" s="3"/>
      <c r="V2" s="4" t="s">
        <v>5</v>
      </c>
      <c r="W2" s="4"/>
      <c r="X2" s="4" t="s">
        <v>89</v>
      </c>
    </row>
    <row r="3" spans="1:24">
      <c r="E3" s="4" t="s">
        <v>6</v>
      </c>
      <c r="F3" s="4" t="s">
        <v>7</v>
      </c>
      <c r="G3" s="4" t="s">
        <v>8</v>
      </c>
      <c r="H3" s="4" t="s">
        <v>9</v>
      </c>
      <c r="I3" s="9" t="s">
        <v>10</v>
      </c>
      <c r="J3" s="5" t="s">
        <v>11</v>
      </c>
      <c r="K3" s="4"/>
      <c r="L3" s="4" t="s">
        <v>6</v>
      </c>
      <c r="M3" s="4" t="s">
        <v>7</v>
      </c>
      <c r="N3" s="4" t="s">
        <v>8</v>
      </c>
      <c r="O3" s="4" t="s">
        <v>9</v>
      </c>
      <c r="P3" s="9" t="s">
        <v>10</v>
      </c>
      <c r="Q3" s="5" t="s">
        <v>11</v>
      </c>
      <c r="S3" s="2" t="s">
        <v>12</v>
      </c>
      <c r="U3" s="2" t="s">
        <v>13</v>
      </c>
      <c r="V3" s="13">
        <v>4868</v>
      </c>
      <c r="W3" s="13"/>
      <c r="X3" s="13"/>
    </row>
    <row r="4" spans="1:24">
      <c r="E4" s="4" t="s">
        <v>14</v>
      </c>
      <c r="F4" s="4" t="s">
        <v>15</v>
      </c>
      <c r="G4" s="4" t="s">
        <v>16</v>
      </c>
      <c r="H4" s="4" t="s">
        <v>90</v>
      </c>
      <c r="I4" s="9" t="s">
        <v>17</v>
      </c>
      <c r="J4" s="5"/>
      <c r="K4" s="4"/>
      <c r="L4" s="4" t="s">
        <v>14</v>
      </c>
      <c r="M4" s="4" t="s">
        <v>15</v>
      </c>
      <c r="N4" s="4" t="s">
        <v>16</v>
      </c>
      <c r="O4" s="4" t="s">
        <v>90</v>
      </c>
      <c r="P4" s="9" t="s">
        <v>17</v>
      </c>
      <c r="Q4" s="5"/>
      <c r="U4" s="2" t="s">
        <v>18</v>
      </c>
      <c r="V4" s="13">
        <v>4301</v>
      </c>
      <c r="W4" s="13"/>
      <c r="X4" s="13">
        <v>38.11</v>
      </c>
    </row>
    <row r="5" spans="1:24">
      <c r="J5" s="3"/>
      <c r="Q5" s="3"/>
      <c r="U5" s="2" t="s">
        <v>19</v>
      </c>
      <c r="V5" s="13">
        <v>4266</v>
      </c>
      <c r="W5" s="13"/>
      <c r="X5" s="13">
        <v>349.90999999999997</v>
      </c>
    </row>
    <row r="6" spans="1:24">
      <c r="A6" s="2" t="s">
        <v>20</v>
      </c>
      <c r="E6" s="6">
        <v>16721.29667360424</v>
      </c>
      <c r="F6" s="6">
        <v>1480.9141750674958</v>
      </c>
      <c r="G6" s="6">
        <v>0</v>
      </c>
      <c r="H6" s="6">
        <v>0</v>
      </c>
      <c r="I6" s="6"/>
      <c r="J6" s="7">
        <f>SUM(E6:I6)</f>
        <v>18202.210848671737</v>
      </c>
      <c r="K6" s="6"/>
      <c r="L6" s="21">
        <f>E6+25*4*3</f>
        <v>17021.29667360424</v>
      </c>
      <c r="M6" s="21">
        <f>F6+15*3*1.15</f>
        <v>1532.6641750674958</v>
      </c>
      <c r="N6" s="21">
        <f t="shared" ref="N6:P8" si="0">G6</f>
        <v>0</v>
      </c>
      <c r="O6" s="21">
        <f t="shared" si="0"/>
        <v>0</v>
      </c>
      <c r="P6" s="21">
        <f t="shared" si="0"/>
        <v>0</v>
      </c>
      <c r="Q6" s="7">
        <f>SUM(L6:P6)</f>
        <v>18553.960848671737</v>
      </c>
      <c r="U6" s="2" t="s">
        <v>21</v>
      </c>
      <c r="V6" s="13">
        <v>5878</v>
      </c>
      <c r="W6" s="13"/>
      <c r="X6" s="13">
        <v>1926.56</v>
      </c>
    </row>
    <row r="7" spans="1:24">
      <c r="A7" s="2" t="s">
        <v>22</v>
      </c>
      <c r="E7" s="6">
        <v>0</v>
      </c>
      <c r="F7" s="6">
        <v>0</v>
      </c>
      <c r="G7" s="6">
        <v>0</v>
      </c>
      <c r="H7" s="6">
        <v>0</v>
      </c>
      <c r="I7" s="6"/>
      <c r="J7" s="7">
        <f>SUM(E7:I7)</f>
        <v>0</v>
      </c>
      <c r="K7" s="6"/>
      <c r="L7" s="21">
        <f t="shared" ref="L7:M10" si="1">E7</f>
        <v>0</v>
      </c>
      <c r="M7" s="21">
        <f t="shared" si="1"/>
        <v>0</v>
      </c>
      <c r="N7" s="21">
        <f t="shared" si="0"/>
        <v>0</v>
      </c>
      <c r="O7" s="21">
        <f t="shared" si="0"/>
        <v>0</v>
      </c>
      <c r="P7" s="21">
        <f t="shared" si="0"/>
        <v>0</v>
      </c>
      <c r="Q7" s="7">
        <f>SUM(L7:P7)</f>
        <v>0</v>
      </c>
      <c r="U7" s="2" t="s">
        <v>23</v>
      </c>
      <c r="V7" s="13">
        <v>6829</v>
      </c>
      <c r="W7" s="13"/>
      <c r="X7" s="13">
        <v>3599.4974999999999</v>
      </c>
    </row>
    <row r="8" spans="1:24">
      <c r="A8" s="2" t="s">
        <v>24</v>
      </c>
      <c r="E8" s="6">
        <v>-37.007957550659576</v>
      </c>
      <c r="F8" s="6">
        <v>0</v>
      </c>
      <c r="G8" s="6">
        <v>0</v>
      </c>
      <c r="H8" s="6">
        <v>0</v>
      </c>
      <c r="I8" s="6"/>
      <c r="J8" s="7">
        <f>SUM(E8:I8)</f>
        <v>-37.007957550659576</v>
      </c>
      <c r="K8" s="6"/>
      <c r="L8" s="21">
        <f t="shared" si="1"/>
        <v>-37.007957550659576</v>
      </c>
      <c r="M8" s="21">
        <f t="shared" si="1"/>
        <v>0</v>
      </c>
      <c r="N8" s="21">
        <f t="shared" si="0"/>
        <v>0</v>
      </c>
      <c r="O8" s="21">
        <f t="shared" si="0"/>
        <v>0</v>
      </c>
      <c r="P8" s="21">
        <f t="shared" si="0"/>
        <v>0</v>
      </c>
      <c r="Q8" s="7">
        <f>SUM(L8:P8)</f>
        <v>-37.007957550659576</v>
      </c>
      <c r="U8" s="2" t="s">
        <v>25</v>
      </c>
      <c r="V8" s="13">
        <v>1561</v>
      </c>
      <c r="W8" s="13"/>
      <c r="X8" s="13"/>
    </row>
    <row r="9" spans="1:24">
      <c r="A9" s="2" t="s">
        <v>26</v>
      </c>
      <c r="E9" s="6">
        <v>0</v>
      </c>
      <c r="F9" s="6">
        <v>-5.7660000000000003E-3</v>
      </c>
      <c r="G9" s="6">
        <v>197.79999999999998</v>
      </c>
      <c r="H9" s="6">
        <v>0</v>
      </c>
      <c r="I9" s="6">
        <v>-197.8</v>
      </c>
      <c r="J9" s="7">
        <f>SUM(E9:I9)</f>
        <v>-5.7660000000225864E-3</v>
      </c>
      <c r="K9" s="6"/>
      <c r="L9" s="21">
        <f t="shared" si="1"/>
        <v>0</v>
      </c>
      <c r="M9" s="21">
        <f t="shared" si="1"/>
        <v>-5.7660000000000003E-3</v>
      </c>
      <c r="N9" s="21">
        <f>G9-31.3</f>
        <v>166.49999999999997</v>
      </c>
      <c r="O9" s="21">
        <f>H9</f>
        <v>0</v>
      </c>
      <c r="P9" s="21">
        <f>I9+31.3</f>
        <v>-166.5</v>
      </c>
      <c r="Q9" s="7">
        <f>SUM(L9:P9)</f>
        <v>-5.7660000000225864E-3</v>
      </c>
      <c r="V9" s="14">
        <v>27703</v>
      </c>
      <c r="W9" s="13"/>
      <c r="X9" s="14">
        <v>5914.0774999999994</v>
      </c>
    </row>
    <row r="10" spans="1:24">
      <c r="A10" s="2" t="s">
        <v>27</v>
      </c>
      <c r="E10" s="6">
        <v>0</v>
      </c>
      <c r="F10" s="6">
        <v>0</v>
      </c>
      <c r="G10" s="6">
        <v>172.5</v>
      </c>
      <c r="H10" s="6">
        <v>38.5</v>
      </c>
      <c r="I10" s="6">
        <v>-172.5</v>
      </c>
      <c r="J10" s="7">
        <f>SUM(E10:I10)</f>
        <v>38.5</v>
      </c>
      <c r="K10" s="6"/>
      <c r="L10" s="21">
        <f t="shared" si="1"/>
        <v>0</v>
      </c>
      <c r="M10" s="21">
        <f t="shared" si="1"/>
        <v>0</v>
      </c>
      <c r="N10" s="21">
        <f>G10-40</f>
        <v>132.5</v>
      </c>
      <c r="O10" s="21">
        <f>H10+6.2-8</f>
        <v>36.700000000000003</v>
      </c>
      <c r="P10" s="21">
        <f>I10+40</f>
        <v>-132.5</v>
      </c>
      <c r="Q10" s="7">
        <f>SUM(L10:P10)</f>
        <v>36.699999999999989</v>
      </c>
      <c r="S10" s="2" t="s">
        <v>28</v>
      </c>
      <c r="U10" s="2" t="s">
        <v>13</v>
      </c>
      <c r="V10" s="13">
        <v>3691</v>
      </c>
      <c r="W10" s="13"/>
      <c r="X10" s="13">
        <v>2762.9700000000003</v>
      </c>
    </row>
    <row r="11" spans="1:24">
      <c r="A11" s="2" t="s">
        <v>29</v>
      </c>
      <c r="E11" s="7">
        <f t="shared" ref="E11:J11" si="2">SUM(E6:E10)</f>
        <v>16684.288716053579</v>
      </c>
      <c r="F11" s="7">
        <f t="shared" si="2"/>
        <v>1480.9084090674958</v>
      </c>
      <c r="G11" s="7">
        <f t="shared" si="2"/>
        <v>370.29999999999995</v>
      </c>
      <c r="H11" s="7">
        <f t="shared" si="2"/>
        <v>38.5</v>
      </c>
      <c r="I11" s="7">
        <f t="shared" si="2"/>
        <v>-370.3</v>
      </c>
      <c r="J11" s="7">
        <f t="shared" si="2"/>
        <v>18203.697125121078</v>
      </c>
      <c r="K11" s="6"/>
      <c r="L11" s="7">
        <f t="shared" ref="L11:Q11" si="3">SUM(L6:L10)</f>
        <v>16984.288716053579</v>
      </c>
      <c r="M11" s="7">
        <f t="shared" si="3"/>
        <v>1532.6584090674958</v>
      </c>
      <c r="N11" s="7">
        <f t="shared" si="3"/>
        <v>299</v>
      </c>
      <c r="O11" s="7">
        <f t="shared" si="3"/>
        <v>36.700000000000003</v>
      </c>
      <c r="P11" s="7">
        <f t="shared" si="3"/>
        <v>-299</v>
      </c>
      <c r="Q11" s="7">
        <f t="shared" si="3"/>
        <v>18553.647125121079</v>
      </c>
      <c r="U11" s="2" t="s">
        <v>18</v>
      </c>
      <c r="V11" s="13">
        <v>5674</v>
      </c>
      <c r="W11" s="13"/>
      <c r="X11" s="13">
        <v>3714.3899999999994</v>
      </c>
    </row>
    <row r="12" spans="1:24">
      <c r="E12" s="6"/>
      <c r="F12" s="6"/>
      <c r="G12" s="6"/>
      <c r="H12" s="6"/>
      <c r="I12" s="6"/>
      <c r="J12" s="7"/>
      <c r="K12" s="6"/>
      <c r="L12" s="6"/>
      <c r="M12" s="6"/>
      <c r="N12" s="6"/>
      <c r="O12" s="6"/>
      <c r="P12" s="6"/>
      <c r="Q12" s="7"/>
      <c r="U12" s="2" t="s">
        <v>19</v>
      </c>
      <c r="V12" s="13">
        <v>1947</v>
      </c>
      <c r="W12" s="13"/>
      <c r="X12" s="13">
        <v>178.54000000000002</v>
      </c>
    </row>
    <row r="13" spans="1:24">
      <c r="A13" s="2" t="s">
        <v>30</v>
      </c>
      <c r="E13" s="6"/>
      <c r="F13" s="6"/>
      <c r="G13" s="6"/>
      <c r="H13" s="6"/>
      <c r="I13" s="6"/>
      <c r="J13" s="7"/>
      <c r="K13" s="6"/>
      <c r="L13" s="6"/>
      <c r="M13" s="6"/>
      <c r="N13" s="6"/>
      <c r="O13" s="6"/>
      <c r="P13" s="6"/>
      <c r="Q13" s="7"/>
      <c r="U13" s="2" t="s">
        <v>21</v>
      </c>
      <c r="V13" s="13">
        <v>6238</v>
      </c>
      <c r="W13" s="13"/>
      <c r="X13" s="13">
        <v>423.5</v>
      </c>
    </row>
    <row r="14" spans="1:24">
      <c r="A14" s="2" t="s">
        <v>31</v>
      </c>
      <c r="E14" s="6">
        <v>6349.0106199805386</v>
      </c>
      <c r="F14" s="6">
        <v>647.99202116427944</v>
      </c>
      <c r="G14" s="6">
        <v>0</v>
      </c>
      <c r="H14" s="6">
        <v>0</v>
      </c>
      <c r="I14" s="6"/>
      <c r="J14" s="7">
        <f>SUM(E14:I14)</f>
        <v>6997.002641144818</v>
      </c>
      <c r="K14" s="6"/>
      <c r="L14" s="21">
        <f>E14+25*4*3*38%</f>
        <v>6463.0106199805386</v>
      </c>
      <c r="M14" s="21">
        <f>F14+15*3*65%*1.15</f>
        <v>681.62952116427948</v>
      </c>
      <c r="N14" s="21">
        <f t="shared" ref="N14:P16" si="4">G14</f>
        <v>0</v>
      </c>
      <c r="O14" s="21">
        <f t="shared" si="4"/>
        <v>0</v>
      </c>
      <c r="P14" s="21">
        <f t="shared" si="4"/>
        <v>0</v>
      </c>
      <c r="Q14" s="7">
        <f>SUM(L14:P14)</f>
        <v>7144.6401411448178</v>
      </c>
      <c r="U14" s="2" t="s">
        <v>23</v>
      </c>
      <c r="V14" s="13">
        <v>2908</v>
      </c>
      <c r="W14" s="13"/>
      <c r="X14" s="13">
        <v>995.67000000000007</v>
      </c>
    </row>
    <row r="15" spans="1:24">
      <c r="A15" s="2" t="s">
        <v>32</v>
      </c>
      <c r="E15" s="6">
        <v>543.13762690682586</v>
      </c>
      <c r="F15" s="6">
        <v>147.97385357524701</v>
      </c>
      <c r="G15" s="6">
        <v>0</v>
      </c>
      <c r="H15" s="6">
        <v>0</v>
      </c>
      <c r="I15" s="6"/>
      <c r="J15" s="7">
        <f>SUM(E15:I15)</f>
        <v>691.11148048207292</v>
      </c>
      <c r="K15" s="6"/>
      <c r="L15" s="21">
        <f>E15</f>
        <v>543.13762690682586</v>
      </c>
      <c r="M15" s="21">
        <f>F15</f>
        <v>147.97385357524701</v>
      </c>
      <c r="N15" s="21">
        <f t="shared" si="4"/>
        <v>0</v>
      </c>
      <c r="O15" s="21">
        <f t="shared" si="4"/>
        <v>0</v>
      </c>
      <c r="P15" s="21">
        <f t="shared" si="4"/>
        <v>0</v>
      </c>
      <c r="Q15" s="7">
        <f>SUM(L15:P15)</f>
        <v>691.11148048207292</v>
      </c>
      <c r="U15" s="2" t="s">
        <v>25</v>
      </c>
      <c r="V15" s="13">
        <v>3695</v>
      </c>
      <c r="W15" s="13"/>
      <c r="X15" s="13"/>
    </row>
    <row r="16" spans="1:24">
      <c r="A16" s="2" t="s">
        <v>33</v>
      </c>
      <c r="E16" s="6">
        <v>408.31624285882742</v>
      </c>
      <c r="F16" s="6">
        <v>32.608363445185923</v>
      </c>
      <c r="G16" s="6">
        <v>0</v>
      </c>
      <c r="H16" s="6">
        <v>0</v>
      </c>
      <c r="I16" s="6"/>
      <c r="J16" s="7">
        <f>SUM(E16:I16)</f>
        <v>440.92460630401337</v>
      </c>
      <c r="K16" s="6"/>
      <c r="L16" s="21">
        <f>E16</f>
        <v>408.31624285882742</v>
      </c>
      <c r="M16" s="21">
        <f>F16</f>
        <v>32.608363445185923</v>
      </c>
      <c r="N16" s="21">
        <f t="shared" si="4"/>
        <v>0</v>
      </c>
      <c r="O16" s="21">
        <f t="shared" si="4"/>
        <v>0</v>
      </c>
      <c r="P16" s="21">
        <f t="shared" si="4"/>
        <v>0</v>
      </c>
      <c r="Q16" s="7">
        <f>SUM(L16:P16)</f>
        <v>440.92460630401337</v>
      </c>
      <c r="V16" s="14">
        <v>24153</v>
      </c>
      <c r="W16" s="13"/>
      <c r="X16" s="14">
        <v>8075.07</v>
      </c>
    </row>
    <row r="17" spans="1:24">
      <c r="E17" s="7">
        <f t="shared" ref="E17:J17" si="5">SUM(E14:E16)</f>
        <v>7300.4644897461922</v>
      </c>
      <c r="F17" s="7">
        <f t="shared" si="5"/>
        <v>828.57423818471239</v>
      </c>
      <c r="G17" s="7">
        <f t="shared" si="5"/>
        <v>0</v>
      </c>
      <c r="H17" s="7">
        <f t="shared" si="5"/>
        <v>0</v>
      </c>
      <c r="I17" s="7">
        <f t="shared" si="5"/>
        <v>0</v>
      </c>
      <c r="J17" s="7">
        <f t="shared" si="5"/>
        <v>8129.0387279309043</v>
      </c>
      <c r="K17" s="6"/>
      <c r="L17" s="7">
        <f t="shared" ref="L17:Q17" si="6">SUM(L14:L16)</f>
        <v>7414.4644897461922</v>
      </c>
      <c r="M17" s="7">
        <f t="shared" si="6"/>
        <v>862.21173818471243</v>
      </c>
      <c r="N17" s="7">
        <f t="shared" si="6"/>
        <v>0</v>
      </c>
      <c r="O17" s="7">
        <f t="shared" si="6"/>
        <v>0</v>
      </c>
      <c r="P17" s="7">
        <f t="shared" si="6"/>
        <v>0</v>
      </c>
      <c r="Q17" s="7">
        <f t="shared" si="6"/>
        <v>8276.6762279309041</v>
      </c>
      <c r="S17" s="2" t="s">
        <v>34</v>
      </c>
      <c r="U17" s="2" t="s">
        <v>13</v>
      </c>
      <c r="V17" s="13">
        <v>-599</v>
      </c>
      <c r="W17" s="13"/>
      <c r="X17" s="13">
        <v>257</v>
      </c>
    </row>
    <row r="18" spans="1:24">
      <c r="A18" s="2" t="s">
        <v>35</v>
      </c>
      <c r="E18" s="7">
        <f t="shared" ref="E18:J18" si="7">E11-E17</f>
        <v>9383.824226307388</v>
      </c>
      <c r="F18" s="7">
        <f t="shared" si="7"/>
        <v>652.33417088278338</v>
      </c>
      <c r="G18" s="7">
        <f t="shared" si="7"/>
        <v>370.29999999999995</v>
      </c>
      <c r="H18" s="7">
        <f t="shared" si="7"/>
        <v>38.5</v>
      </c>
      <c r="I18" s="7">
        <f t="shared" si="7"/>
        <v>-370.3</v>
      </c>
      <c r="J18" s="7">
        <f t="shared" si="7"/>
        <v>10074.658397190175</v>
      </c>
      <c r="K18" s="6"/>
      <c r="L18" s="7">
        <f t="shared" ref="L18:Q18" si="8">L11-L17</f>
        <v>9569.824226307388</v>
      </c>
      <c r="M18" s="7">
        <f t="shared" si="8"/>
        <v>670.44667088278334</v>
      </c>
      <c r="N18" s="7">
        <f t="shared" si="8"/>
        <v>299</v>
      </c>
      <c r="O18" s="7">
        <f t="shared" si="8"/>
        <v>36.700000000000003</v>
      </c>
      <c r="P18" s="7">
        <f t="shared" si="8"/>
        <v>-299</v>
      </c>
      <c r="Q18" s="7">
        <f t="shared" si="8"/>
        <v>10276.970897190175</v>
      </c>
      <c r="U18" s="2" t="s">
        <v>18</v>
      </c>
      <c r="V18" s="13">
        <v>4535</v>
      </c>
      <c r="W18" s="13"/>
      <c r="X18" s="13">
        <v>584.56000000000006</v>
      </c>
    </row>
    <row r="19" spans="1:24">
      <c r="E19" s="6"/>
      <c r="F19" s="6"/>
      <c r="G19" s="6"/>
      <c r="H19" s="6"/>
      <c r="I19" s="6"/>
      <c r="J19" s="7"/>
      <c r="K19" s="6"/>
      <c r="L19" s="6"/>
      <c r="M19" s="6"/>
      <c r="N19" s="6"/>
      <c r="O19" s="6"/>
      <c r="P19" s="6"/>
      <c r="Q19" s="7"/>
      <c r="U19" s="2" t="s">
        <v>19</v>
      </c>
      <c r="V19" s="13">
        <v>1825</v>
      </c>
      <c r="W19" s="13"/>
      <c r="X19" s="13">
        <v>495.69</v>
      </c>
    </row>
    <row r="20" spans="1:24">
      <c r="A20" s="2" t="s">
        <v>36</v>
      </c>
      <c r="E20" s="6"/>
      <c r="F20" s="6"/>
      <c r="G20" s="6"/>
      <c r="H20" s="6"/>
      <c r="I20" s="6"/>
      <c r="J20" s="7"/>
      <c r="K20" s="6"/>
      <c r="L20" s="6"/>
      <c r="M20" s="6"/>
      <c r="N20" s="6"/>
      <c r="O20" s="6"/>
      <c r="P20" s="6"/>
      <c r="Q20" s="7"/>
      <c r="U20" s="2" t="s">
        <v>21</v>
      </c>
      <c r="V20" s="13">
        <v>4413</v>
      </c>
      <c r="W20" s="13"/>
      <c r="X20" s="13">
        <v>1321.15</v>
      </c>
    </row>
    <row r="21" spans="1:24">
      <c r="A21" s="2" t="s">
        <v>37</v>
      </c>
      <c r="E21" s="6">
        <v>557.57989974993109</v>
      </c>
      <c r="F21" s="6">
        <v>46.062784177023794</v>
      </c>
      <c r="G21" s="6">
        <v>0</v>
      </c>
      <c r="H21" s="6">
        <v>0</v>
      </c>
      <c r="I21" s="6"/>
      <c r="J21" s="7">
        <f>SUM(E21:I21)</f>
        <v>603.64268392695487</v>
      </c>
      <c r="K21" s="6"/>
      <c r="L21" s="21">
        <f>E21</f>
        <v>557.57989974993109</v>
      </c>
      <c r="M21" s="21">
        <f>F21</f>
        <v>46.062784177023794</v>
      </c>
      <c r="N21" s="21">
        <f>G21</f>
        <v>0</v>
      </c>
      <c r="O21" s="21">
        <f>H21</f>
        <v>0</v>
      </c>
      <c r="P21" s="21">
        <f>I21</f>
        <v>0</v>
      </c>
      <c r="Q21" s="7">
        <f>SUM(L21:P21)</f>
        <v>603.64268392695487</v>
      </c>
      <c r="U21" s="2" t="s">
        <v>23</v>
      </c>
      <c r="V21" s="13">
        <v>1786</v>
      </c>
      <c r="W21" s="13"/>
      <c r="X21" s="13">
        <v>1203.74</v>
      </c>
    </row>
    <row r="22" spans="1:24">
      <c r="A22" s="2" t="s">
        <v>38</v>
      </c>
      <c r="E22" s="6">
        <v>3052.3596665039863</v>
      </c>
      <c r="F22" s="6">
        <v>111.56750274292067</v>
      </c>
      <c r="G22" s="6">
        <v>0</v>
      </c>
      <c r="H22" s="6">
        <v>0</v>
      </c>
      <c r="I22" s="6"/>
      <c r="J22" s="7">
        <f>SUM(E22:I22)</f>
        <v>3163.9271692469069</v>
      </c>
      <c r="K22" s="6"/>
      <c r="L22" s="21">
        <f>E22+(25*3*4*35%)</f>
        <v>3157.3596665039863</v>
      </c>
      <c r="M22" s="21">
        <f>F22-44.2-5.6</f>
        <v>61.767502742920662</v>
      </c>
      <c r="N22" s="21">
        <f t="shared" ref="N22:P25" si="9">G22</f>
        <v>0</v>
      </c>
      <c r="O22" s="21">
        <f t="shared" si="9"/>
        <v>0</v>
      </c>
      <c r="P22" s="21">
        <f t="shared" si="9"/>
        <v>0</v>
      </c>
      <c r="Q22" s="7">
        <f>SUM(L22:P22)</f>
        <v>3219.1271692469068</v>
      </c>
      <c r="U22" s="2" t="s">
        <v>25</v>
      </c>
      <c r="V22" s="13">
        <v>4917</v>
      </c>
      <c r="W22" s="13"/>
      <c r="X22" s="13">
        <v>1974.43</v>
      </c>
    </row>
    <row r="23" spans="1:24">
      <c r="A23" s="2" t="s">
        <v>39</v>
      </c>
      <c r="E23" s="6">
        <v>120.09029228843201</v>
      </c>
      <c r="F23" s="6">
        <v>175.2271835251282</v>
      </c>
      <c r="G23" s="6">
        <v>0</v>
      </c>
      <c r="H23" s="6">
        <v>0</v>
      </c>
      <c r="I23" s="6"/>
      <c r="J23" s="7">
        <f>SUM(E23:I23)</f>
        <v>295.31747581356024</v>
      </c>
      <c r="K23" s="6"/>
      <c r="L23" s="21">
        <f>E23</f>
        <v>120.09029228843201</v>
      </c>
      <c r="M23" s="21">
        <f>F23+0.5*3*1.15</f>
        <v>176.95218352512819</v>
      </c>
      <c r="N23" s="21">
        <f t="shared" si="9"/>
        <v>0</v>
      </c>
      <c r="O23" s="21">
        <f t="shared" si="9"/>
        <v>0</v>
      </c>
      <c r="P23" s="21">
        <f t="shared" si="9"/>
        <v>0</v>
      </c>
      <c r="Q23" s="7">
        <f>SUM(L23:P23)</f>
        <v>297.0424758135602</v>
      </c>
      <c r="V23" s="14">
        <v>16877</v>
      </c>
      <c r="W23" s="13"/>
      <c r="X23" s="14">
        <v>5836.5700000000006</v>
      </c>
    </row>
    <row r="24" spans="1:24">
      <c r="A24" s="2" t="s">
        <v>40</v>
      </c>
      <c r="E24" s="6">
        <v>329.83728803766803</v>
      </c>
      <c r="F24" s="6">
        <v>0</v>
      </c>
      <c r="G24" s="6">
        <v>0</v>
      </c>
      <c r="H24" s="6">
        <v>0</v>
      </c>
      <c r="I24" s="6"/>
      <c r="J24" s="7">
        <f>SUM(E24:I24)</f>
        <v>329.83728803766803</v>
      </c>
      <c r="K24" s="6"/>
      <c r="L24" s="21">
        <f>E24</f>
        <v>329.83728803766803</v>
      </c>
      <c r="M24" s="21">
        <f>F24</f>
        <v>0</v>
      </c>
      <c r="N24" s="21">
        <f t="shared" si="9"/>
        <v>0</v>
      </c>
      <c r="O24" s="21">
        <f t="shared" si="9"/>
        <v>0</v>
      </c>
      <c r="P24" s="21">
        <f t="shared" si="9"/>
        <v>0</v>
      </c>
      <c r="Q24" s="7">
        <f>SUM(L24:P24)</f>
        <v>329.83728803766803</v>
      </c>
      <c r="S24" s="2" t="s">
        <v>41</v>
      </c>
      <c r="U24" s="2" t="s">
        <v>13</v>
      </c>
      <c r="V24" s="13">
        <v>2386</v>
      </c>
      <c r="W24" s="13"/>
      <c r="X24" s="13">
        <v>769.15499999999997</v>
      </c>
    </row>
    <row r="25" spans="1:24">
      <c r="A25" s="2" t="s">
        <v>42</v>
      </c>
      <c r="E25" s="6">
        <v>163.87582227686721</v>
      </c>
      <c r="F25" s="6">
        <v>88.537509302266486</v>
      </c>
      <c r="G25" s="6">
        <v>0</v>
      </c>
      <c r="H25" s="6">
        <v>0</v>
      </c>
      <c r="I25" s="6"/>
      <c r="J25" s="7">
        <f>SUM(E25:I25)</f>
        <v>252.41333157913368</v>
      </c>
      <c r="K25" s="6"/>
      <c r="L25" s="21">
        <f>E25</f>
        <v>163.87582227686721</v>
      </c>
      <c r="M25" s="21">
        <f>F25+(1.05+0.5)*3*1.15</f>
        <v>93.885009302266482</v>
      </c>
      <c r="N25" s="21">
        <f t="shared" si="9"/>
        <v>0</v>
      </c>
      <c r="O25" s="21">
        <f t="shared" si="9"/>
        <v>0</v>
      </c>
      <c r="P25" s="21">
        <f t="shared" si="9"/>
        <v>0</v>
      </c>
      <c r="Q25" s="7">
        <f>SUM(L25:P25)</f>
        <v>257.76083157913371</v>
      </c>
      <c r="U25" s="2" t="s">
        <v>18</v>
      </c>
      <c r="V25" s="13">
        <v>1586</v>
      </c>
      <c r="W25" s="13"/>
      <c r="X25" s="13">
        <v>1291.0600000000002</v>
      </c>
    </row>
    <row r="26" spans="1:24">
      <c r="E26" s="7">
        <f t="shared" ref="E26:J26" si="10">SUM(E21:E25)</f>
        <v>4223.7429688568845</v>
      </c>
      <c r="F26" s="7">
        <f t="shared" si="10"/>
        <v>421.39497974733911</v>
      </c>
      <c r="G26" s="7">
        <f t="shared" si="10"/>
        <v>0</v>
      </c>
      <c r="H26" s="7">
        <f t="shared" si="10"/>
        <v>0</v>
      </c>
      <c r="I26" s="7">
        <f t="shared" si="10"/>
        <v>0</v>
      </c>
      <c r="J26" s="7">
        <f t="shared" si="10"/>
        <v>4645.1379486042242</v>
      </c>
      <c r="K26" s="6"/>
      <c r="L26" s="7">
        <f t="shared" ref="L26:Q26" si="11">SUM(L21:L25)</f>
        <v>4328.7429688568845</v>
      </c>
      <c r="M26" s="7">
        <f t="shared" si="11"/>
        <v>378.66747974733914</v>
      </c>
      <c r="N26" s="7">
        <f t="shared" si="11"/>
        <v>0</v>
      </c>
      <c r="O26" s="7">
        <f t="shared" si="11"/>
        <v>0</v>
      </c>
      <c r="P26" s="7">
        <f t="shared" si="11"/>
        <v>0</v>
      </c>
      <c r="Q26" s="7">
        <f t="shared" si="11"/>
        <v>4707.4104486042243</v>
      </c>
      <c r="U26" s="2" t="s">
        <v>19</v>
      </c>
      <c r="V26" s="13">
        <v>0</v>
      </c>
      <c r="W26" s="13"/>
      <c r="X26" s="13"/>
    </row>
    <row r="27" spans="1:24">
      <c r="A27" s="2" t="s">
        <v>43</v>
      </c>
      <c r="E27" s="7">
        <f t="shared" ref="E27:J27" si="12">E18-E26</f>
        <v>5160.0812574505035</v>
      </c>
      <c r="F27" s="7">
        <f t="shared" si="12"/>
        <v>230.93919113544428</v>
      </c>
      <c r="G27" s="7">
        <f t="shared" si="12"/>
        <v>370.29999999999995</v>
      </c>
      <c r="H27" s="7">
        <f t="shared" si="12"/>
        <v>38.5</v>
      </c>
      <c r="I27" s="7">
        <f t="shared" si="12"/>
        <v>-370.3</v>
      </c>
      <c r="J27" s="7">
        <f t="shared" si="12"/>
        <v>5429.5204485859504</v>
      </c>
      <c r="K27" s="6"/>
      <c r="L27" s="7">
        <f t="shared" ref="L27:Q27" si="13">L18-L26</f>
        <v>5241.0812574505035</v>
      </c>
      <c r="M27" s="7">
        <f t="shared" si="13"/>
        <v>291.77919113544419</v>
      </c>
      <c r="N27" s="7">
        <f t="shared" si="13"/>
        <v>299</v>
      </c>
      <c r="O27" s="7">
        <f t="shared" si="13"/>
        <v>36.700000000000003</v>
      </c>
      <c r="P27" s="7">
        <f t="shared" si="13"/>
        <v>-299</v>
      </c>
      <c r="Q27" s="7">
        <f t="shared" si="13"/>
        <v>5569.5604485859503</v>
      </c>
      <c r="U27" s="2" t="s">
        <v>21</v>
      </c>
      <c r="V27" s="13">
        <v>0</v>
      </c>
      <c r="W27" s="13"/>
      <c r="X27" s="13"/>
    </row>
    <row r="28" spans="1:24">
      <c r="E28" s="6"/>
      <c r="F28" s="6"/>
      <c r="G28" s="6"/>
      <c r="H28" s="6"/>
      <c r="I28" s="6"/>
      <c r="J28" s="7"/>
      <c r="K28" s="6"/>
      <c r="L28" s="6"/>
      <c r="M28" s="6"/>
      <c r="N28" s="6"/>
      <c r="O28" s="6"/>
      <c r="P28" s="6"/>
      <c r="Q28" s="7"/>
      <c r="U28" s="2" t="s">
        <v>23</v>
      </c>
      <c r="V28" s="13">
        <v>0</v>
      </c>
      <c r="W28" s="13"/>
      <c r="X28" s="13"/>
    </row>
    <row r="29" spans="1:24">
      <c r="A29" s="2" t="s">
        <v>44</v>
      </c>
      <c r="E29" s="6"/>
      <c r="F29" s="6"/>
      <c r="G29" s="6"/>
      <c r="H29" s="6"/>
      <c r="I29" s="6"/>
      <c r="J29" s="7"/>
      <c r="K29" s="6"/>
      <c r="L29" s="6"/>
      <c r="M29" s="6"/>
      <c r="N29" s="6"/>
      <c r="O29" s="6"/>
      <c r="P29" s="6"/>
      <c r="Q29" s="7"/>
      <c r="U29" s="2" t="s">
        <v>25</v>
      </c>
      <c r="V29" s="13">
        <v>0</v>
      </c>
      <c r="W29" s="13"/>
      <c r="X29" s="13"/>
    </row>
    <row r="30" spans="1:24">
      <c r="A30" s="2" t="s">
        <v>45</v>
      </c>
      <c r="E30" s="6">
        <v>338.80194900000009</v>
      </c>
      <c r="F30" s="6">
        <v>0</v>
      </c>
      <c r="G30" s="6">
        <v>0</v>
      </c>
      <c r="H30" s="6">
        <v>0</v>
      </c>
      <c r="I30" s="6"/>
      <c r="J30" s="7">
        <f>SUM(E30:I30)</f>
        <v>338.80194900000009</v>
      </c>
      <c r="K30" s="6"/>
      <c r="L30" s="21">
        <f>E30-20</f>
        <v>318.80194900000009</v>
      </c>
      <c r="M30" s="21">
        <f t="shared" ref="M30:P33" si="14">F30</f>
        <v>0</v>
      </c>
      <c r="N30" s="21">
        <f t="shared" si="14"/>
        <v>0</v>
      </c>
      <c r="O30" s="21">
        <f t="shared" si="14"/>
        <v>0</v>
      </c>
      <c r="P30" s="21">
        <f t="shared" si="14"/>
        <v>0</v>
      </c>
      <c r="Q30" s="7">
        <f>SUM(L30:P30)</f>
        <v>318.80194900000009</v>
      </c>
      <c r="V30" s="14">
        <v>3972</v>
      </c>
      <c r="W30" s="13"/>
      <c r="X30" s="14">
        <v>2060.2150000000001</v>
      </c>
    </row>
    <row r="31" spans="1:24">
      <c r="A31" s="2" t="s">
        <v>46</v>
      </c>
      <c r="E31" s="6">
        <v>126.51602547982623</v>
      </c>
      <c r="F31" s="6">
        <v>3.8377648140963609</v>
      </c>
      <c r="G31" s="6">
        <v>0</v>
      </c>
      <c r="H31" s="6">
        <v>0</v>
      </c>
      <c r="I31" s="6"/>
      <c r="J31" s="7">
        <f>SUM(E31:I31)</f>
        <v>130.3537902939226</v>
      </c>
      <c r="K31" s="6"/>
      <c r="L31" s="21">
        <f>E31</f>
        <v>126.51602547982623</v>
      </c>
      <c r="M31" s="21">
        <f t="shared" si="14"/>
        <v>3.8377648140963609</v>
      </c>
      <c r="N31" s="21">
        <f t="shared" si="14"/>
        <v>0</v>
      </c>
      <c r="O31" s="21">
        <f t="shared" si="14"/>
        <v>0</v>
      </c>
      <c r="P31" s="21">
        <f t="shared" si="14"/>
        <v>0</v>
      </c>
      <c r="Q31" s="7">
        <f>SUM(L31:P31)</f>
        <v>130.3537902939226</v>
      </c>
      <c r="S31" s="2" t="s">
        <v>47</v>
      </c>
      <c r="V31" s="14">
        <v>72705</v>
      </c>
      <c r="W31" s="13"/>
      <c r="X31" s="14">
        <v>21885.932499999999</v>
      </c>
    </row>
    <row r="32" spans="1:24">
      <c r="A32" s="2" t="s">
        <v>48</v>
      </c>
      <c r="E32" s="6">
        <v>772.57261946822632</v>
      </c>
      <c r="F32" s="6">
        <v>2.639042082203555</v>
      </c>
      <c r="G32" s="6">
        <v>0</v>
      </c>
      <c r="H32" s="6">
        <v>0</v>
      </c>
      <c r="I32" s="6"/>
      <c r="J32" s="7">
        <f>SUM(E32:I32)</f>
        <v>775.21166155042988</v>
      </c>
      <c r="K32" s="6"/>
      <c r="L32" s="21">
        <f>E32</f>
        <v>772.57261946822632</v>
      </c>
      <c r="M32" s="21">
        <f t="shared" si="14"/>
        <v>2.639042082203555</v>
      </c>
      <c r="N32" s="21">
        <f t="shared" si="14"/>
        <v>0</v>
      </c>
      <c r="O32" s="21">
        <f t="shared" si="14"/>
        <v>0</v>
      </c>
      <c r="P32" s="21">
        <f t="shared" si="14"/>
        <v>0</v>
      </c>
      <c r="Q32" s="7">
        <f>SUM(L32:P32)</f>
        <v>775.21166155042988</v>
      </c>
    </row>
    <row r="33" spans="1:17">
      <c r="A33" s="2" t="s">
        <v>49</v>
      </c>
      <c r="E33" s="6">
        <v>311.1280021</v>
      </c>
      <c r="F33" s="6">
        <v>43.586929753485379</v>
      </c>
      <c r="G33" s="6">
        <v>0</v>
      </c>
      <c r="H33" s="6">
        <v>0</v>
      </c>
      <c r="I33" s="6"/>
      <c r="J33" s="7">
        <f>SUM(E33:I33)</f>
        <v>354.71493185348538</v>
      </c>
      <c r="K33" s="6"/>
      <c r="L33" s="21">
        <f>E33</f>
        <v>311.1280021</v>
      </c>
      <c r="M33" s="21">
        <f t="shared" si="14"/>
        <v>43.586929753485379</v>
      </c>
      <c r="N33" s="21">
        <f t="shared" si="14"/>
        <v>0</v>
      </c>
      <c r="O33" s="21">
        <f t="shared" si="14"/>
        <v>0</v>
      </c>
      <c r="P33" s="21">
        <f t="shared" si="14"/>
        <v>0</v>
      </c>
      <c r="Q33" s="7">
        <f>SUM(L33:P33)</f>
        <v>354.71493185348538</v>
      </c>
    </row>
    <row r="34" spans="1:17">
      <c r="E34" s="7">
        <f t="shared" ref="E34:J34" si="15">SUM(E30:E33)</f>
        <v>1549.0185960480526</v>
      </c>
      <c r="F34" s="7">
        <f t="shared" si="15"/>
        <v>50.063736649785298</v>
      </c>
      <c r="G34" s="7">
        <f t="shared" si="15"/>
        <v>0</v>
      </c>
      <c r="H34" s="7">
        <f t="shared" si="15"/>
        <v>0</v>
      </c>
      <c r="I34" s="7">
        <f t="shared" si="15"/>
        <v>0</v>
      </c>
      <c r="J34" s="7">
        <f t="shared" si="15"/>
        <v>1599.082332697838</v>
      </c>
      <c r="K34" s="6"/>
      <c r="L34" s="7">
        <f t="shared" ref="L34:Q34" si="16">SUM(L30:L33)</f>
        <v>1529.0185960480526</v>
      </c>
      <c r="M34" s="7">
        <f t="shared" si="16"/>
        <v>50.063736649785298</v>
      </c>
      <c r="N34" s="7">
        <f t="shared" si="16"/>
        <v>0</v>
      </c>
      <c r="O34" s="7">
        <f t="shared" si="16"/>
        <v>0</v>
      </c>
      <c r="P34" s="7">
        <f t="shared" si="16"/>
        <v>0</v>
      </c>
      <c r="Q34" s="7">
        <f t="shared" si="16"/>
        <v>1579.082332697838</v>
      </c>
    </row>
    <row r="35" spans="1:17">
      <c r="E35" s="6"/>
      <c r="F35" s="6"/>
      <c r="G35" s="6"/>
      <c r="H35" s="6"/>
      <c r="I35" s="6"/>
      <c r="J35" s="7"/>
      <c r="K35" s="6"/>
      <c r="L35" s="6"/>
      <c r="M35" s="6"/>
      <c r="N35" s="6"/>
      <c r="O35" s="6"/>
      <c r="P35" s="6"/>
      <c r="Q35" s="7"/>
    </row>
    <row r="36" spans="1:17">
      <c r="A36" s="2" t="s">
        <v>50</v>
      </c>
      <c r="E36" s="6"/>
      <c r="F36" s="6"/>
      <c r="G36" s="6"/>
      <c r="H36" s="6"/>
      <c r="I36" s="6"/>
      <c r="J36" s="7"/>
      <c r="K36" s="6"/>
      <c r="L36" s="6"/>
      <c r="M36" s="6"/>
      <c r="N36" s="6"/>
      <c r="O36" s="6"/>
      <c r="P36" s="6"/>
      <c r="Q36" s="7"/>
    </row>
    <row r="37" spans="1:17">
      <c r="A37" s="2" t="s">
        <v>45</v>
      </c>
      <c r="E37" s="6">
        <v>536.05940232559999</v>
      </c>
      <c r="F37" s="6">
        <v>0</v>
      </c>
      <c r="G37" s="6">
        <v>138.22999999999999</v>
      </c>
      <c r="H37" s="6">
        <v>0</v>
      </c>
      <c r="I37" s="6"/>
      <c r="J37" s="7">
        <f t="shared" ref="J37:J56" si="17">SUM(E37:I37)</f>
        <v>674.28940232560001</v>
      </c>
      <c r="K37" s="6"/>
      <c r="L37" s="21">
        <f t="shared" ref="L37:N56" si="18">E37</f>
        <v>536.05940232559999</v>
      </c>
      <c r="M37" s="21">
        <f t="shared" si="18"/>
        <v>0</v>
      </c>
      <c r="N37" s="21">
        <f>G37-37.7</f>
        <v>100.52999999999999</v>
      </c>
      <c r="O37" s="21">
        <f t="shared" ref="O37:P56" si="19">H37</f>
        <v>0</v>
      </c>
      <c r="P37" s="21">
        <f t="shared" si="19"/>
        <v>0</v>
      </c>
      <c r="Q37" s="7">
        <f t="shared" ref="Q37:Q56" si="20">SUM(L37:P37)</f>
        <v>636.58940232559996</v>
      </c>
    </row>
    <row r="38" spans="1:17">
      <c r="A38" s="2" t="s">
        <v>51</v>
      </c>
      <c r="E38" s="6">
        <v>197.85320576666663</v>
      </c>
      <c r="F38" s="6">
        <v>0</v>
      </c>
      <c r="G38" s="6">
        <v>0</v>
      </c>
      <c r="H38" s="6">
        <v>0</v>
      </c>
      <c r="I38" s="6">
        <v>-197.8</v>
      </c>
      <c r="J38" s="7">
        <f t="shared" si="17"/>
        <v>5.3205766666621912E-2</v>
      </c>
      <c r="K38" s="6"/>
      <c r="L38" s="21">
        <f>E38-31.3</f>
        <v>166.55320576666662</v>
      </c>
      <c r="M38" s="21">
        <f t="shared" si="18"/>
        <v>0</v>
      </c>
      <c r="N38" s="21">
        <f t="shared" si="18"/>
        <v>0</v>
      </c>
      <c r="O38" s="21">
        <f t="shared" si="19"/>
        <v>0</v>
      </c>
      <c r="P38" s="21">
        <f>I38+31.3</f>
        <v>-166.5</v>
      </c>
      <c r="Q38" s="7">
        <f t="shared" si="20"/>
        <v>5.3205766666621912E-2</v>
      </c>
    </row>
    <row r="39" spans="1:17">
      <c r="A39" s="2" t="s">
        <v>52</v>
      </c>
      <c r="E39" s="6">
        <v>41.569946853333327</v>
      </c>
      <c r="F39" s="6">
        <v>2.8727600000000004</v>
      </c>
      <c r="G39" s="6">
        <v>0</v>
      </c>
      <c r="H39" s="6">
        <v>0</v>
      </c>
      <c r="I39" s="6"/>
      <c r="J39" s="7">
        <f t="shared" si="17"/>
        <v>44.442706853333327</v>
      </c>
      <c r="K39" s="6"/>
      <c r="L39" s="21">
        <f t="shared" si="18"/>
        <v>41.569946853333327</v>
      </c>
      <c r="M39" s="21">
        <f t="shared" si="18"/>
        <v>2.8727600000000004</v>
      </c>
      <c r="N39" s="21">
        <f t="shared" si="18"/>
        <v>0</v>
      </c>
      <c r="O39" s="21">
        <f t="shared" si="19"/>
        <v>0</v>
      </c>
      <c r="P39" s="21">
        <f t="shared" si="19"/>
        <v>0</v>
      </c>
      <c r="Q39" s="7">
        <f t="shared" si="20"/>
        <v>44.442706853333327</v>
      </c>
    </row>
    <row r="40" spans="1:17">
      <c r="A40" s="2" t="s">
        <v>53</v>
      </c>
      <c r="E40" s="6">
        <v>132.75268032875002</v>
      </c>
      <c r="F40" s="6">
        <v>33.292408858420472</v>
      </c>
      <c r="G40" s="6">
        <v>6.8999999999999995</v>
      </c>
      <c r="H40" s="6">
        <v>0</v>
      </c>
      <c r="I40" s="6"/>
      <c r="J40" s="7">
        <f t="shared" si="17"/>
        <v>172.94508918717051</v>
      </c>
      <c r="K40" s="6"/>
      <c r="L40" s="21">
        <f>E40-19.3-43.8</f>
        <v>69.652680328750023</v>
      </c>
      <c r="M40" s="21">
        <f t="shared" si="18"/>
        <v>33.292408858420472</v>
      </c>
      <c r="N40" s="21">
        <f>G40-6.9</f>
        <v>0</v>
      </c>
      <c r="O40" s="21">
        <f t="shared" si="19"/>
        <v>0</v>
      </c>
      <c r="P40" s="21">
        <f t="shared" si="19"/>
        <v>0</v>
      </c>
      <c r="Q40" s="7">
        <f t="shared" si="20"/>
        <v>102.9450891871705</v>
      </c>
    </row>
    <row r="41" spans="1:17">
      <c r="A41" s="2" t="s">
        <v>54</v>
      </c>
      <c r="E41" s="6">
        <v>42.174767293750001</v>
      </c>
      <c r="F41" s="6">
        <v>1.1086495625726525</v>
      </c>
      <c r="G41" s="6">
        <v>0</v>
      </c>
      <c r="H41" s="6">
        <v>0</v>
      </c>
      <c r="I41" s="6"/>
      <c r="J41" s="7">
        <f t="shared" si="17"/>
        <v>43.283416856322653</v>
      </c>
      <c r="K41" s="6"/>
      <c r="L41" s="21">
        <f t="shared" si="18"/>
        <v>42.174767293750001</v>
      </c>
      <c r="M41" s="21">
        <f t="shared" si="18"/>
        <v>1.1086495625726525</v>
      </c>
      <c r="N41" s="21">
        <f t="shared" si="18"/>
        <v>0</v>
      </c>
      <c r="O41" s="21">
        <f t="shared" si="19"/>
        <v>0</v>
      </c>
      <c r="P41" s="21">
        <f t="shared" si="19"/>
        <v>0</v>
      </c>
      <c r="Q41" s="7">
        <f t="shared" si="20"/>
        <v>43.283416856322653</v>
      </c>
    </row>
    <row r="42" spans="1:17">
      <c r="A42" s="2" t="s">
        <v>55</v>
      </c>
      <c r="E42" s="6">
        <v>44.83641580375</v>
      </c>
      <c r="F42" s="6">
        <v>2.2643698026527606</v>
      </c>
      <c r="G42" s="6">
        <v>0</v>
      </c>
      <c r="H42" s="6">
        <v>0</v>
      </c>
      <c r="I42" s="6"/>
      <c r="J42" s="7">
        <f t="shared" si="17"/>
        <v>47.100785606402759</v>
      </c>
      <c r="K42" s="6"/>
      <c r="L42" s="21">
        <f t="shared" si="18"/>
        <v>44.83641580375</v>
      </c>
      <c r="M42" s="21">
        <f t="shared" si="18"/>
        <v>2.2643698026527606</v>
      </c>
      <c r="N42" s="21">
        <f t="shared" si="18"/>
        <v>0</v>
      </c>
      <c r="O42" s="21">
        <f t="shared" si="19"/>
        <v>0</v>
      </c>
      <c r="P42" s="21">
        <f t="shared" si="19"/>
        <v>0</v>
      </c>
      <c r="Q42" s="7">
        <f t="shared" si="20"/>
        <v>47.100785606402759</v>
      </c>
    </row>
    <row r="43" spans="1:17">
      <c r="A43" s="2" t="s">
        <v>56</v>
      </c>
      <c r="E43" s="6">
        <v>90.710719715833335</v>
      </c>
      <c r="F43" s="6">
        <v>2.2271112420367776</v>
      </c>
      <c r="G43" s="6">
        <v>0</v>
      </c>
      <c r="H43" s="6">
        <v>0</v>
      </c>
      <c r="I43" s="6"/>
      <c r="J43" s="7">
        <f t="shared" si="17"/>
        <v>92.937830957870119</v>
      </c>
      <c r="K43" s="6"/>
      <c r="L43" s="21">
        <f t="shared" si="18"/>
        <v>90.710719715833335</v>
      </c>
      <c r="M43" s="21">
        <f t="shared" si="18"/>
        <v>2.2271112420367776</v>
      </c>
      <c r="N43" s="21">
        <f t="shared" si="18"/>
        <v>0</v>
      </c>
      <c r="O43" s="21">
        <f t="shared" si="19"/>
        <v>0</v>
      </c>
      <c r="P43" s="21">
        <f t="shared" si="19"/>
        <v>0</v>
      </c>
      <c r="Q43" s="7">
        <f t="shared" si="20"/>
        <v>92.937830957870119</v>
      </c>
    </row>
    <row r="44" spans="1:17">
      <c r="A44" s="2" t="s">
        <v>57</v>
      </c>
      <c r="E44" s="6">
        <v>10.983690446250002</v>
      </c>
      <c r="F44" s="6">
        <v>-3.4992205663056278E-4</v>
      </c>
      <c r="G44" s="6">
        <v>0</v>
      </c>
      <c r="H44" s="6">
        <v>0</v>
      </c>
      <c r="I44" s="6"/>
      <c r="J44" s="7">
        <f t="shared" si="17"/>
        <v>10.983340524193371</v>
      </c>
      <c r="K44" s="6"/>
      <c r="L44" s="21">
        <f t="shared" si="18"/>
        <v>10.983690446250002</v>
      </c>
      <c r="M44" s="21">
        <f t="shared" si="18"/>
        <v>-3.4992205663056278E-4</v>
      </c>
      <c r="N44" s="21">
        <f t="shared" si="18"/>
        <v>0</v>
      </c>
      <c r="O44" s="21">
        <f t="shared" si="19"/>
        <v>0</v>
      </c>
      <c r="P44" s="21">
        <f t="shared" si="19"/>
        <v>0</v>
      </c>
      <c r="Q44" s="7">
        <f t="shared" si="20"/>
        <v>10.983340524193371</v>
      </c>
    </row>
    <row r="45" spans="1:17">
      <c r="A45" s="2" t="s">
        <v>58</v>
      </c>
      <c r="E45" s="6">
        <v>28.481559900000001</v>
      </c>
      <c r="F45" s="6">
        <v>0</v>
      </c>
      <c r="G45" s="6">
        <v>0</v>
      </c>
      <c r="H45" s="6">
        <v>0</v>
      </c>
      <c r="I45" s="6"/>
      <c r="J45" s="7">
        <f t="shared" si="17"/>
        <v>28.481559900000001</v>
      </c>
      <c r="K45" s="6"/>
      <c r="L45" s="21">
        <f t="shared" si="18"/>
        <v>28.481559900000001</v>
      </c>
      <c r="M45" s="21">
        <f t="shared" si="18"/>
        <v>0</v>
      </c>
      <c r="N45" s="21">
        <f t="shared" si="18"/>
        <v>0</v>
      </c>
      <c r="O45" s="21">
        <f t="shared" si="19"/>
        <v>0</v>
      </c>
      <c r="P45" s="21">
        <f t="shared" si="19"/>
        <v>0</v>
      </c>
      <c r="Q45" s="7">
        <f t="shared" si="20"/>
        <v>28.481559900000001</v>
      </c>
    </row>
    <row r="46" spans="1:17">
      <c r="A46" s="2" t="s">
        <v>59</v>
      </c>
      <c r="E46" s="6">
        <v>13.756978795833337</v>
      </c>
      <c r="F46" s="6">
        <v>0.32337329999999997</v>
      </c>
      <c r="G46" s="6">
        <v>0.57499999999999996</v>
      </c>
      <c r="H46" s="6">
        <v>0</v>
      </c>
      <c r="I46" s="6"/>
      <c r="J46" s="7">
        <f t="shared" si="17"/>
        <v>14.655352095833337</v>
      </c>
      <c r="K46" s="6"/>
      <c r="L46" s="21">
        <f t="shared" si="18"/>
        <v>13.756978795833337</v>
      </c>
      <c r="M46" s="21">
        <f t="shared" si="18"/>
        <v>0.32337329999999997</v>
      </c>
      <c r="N46" s="21">
        <f t="shared" si="18"/>
        <v>0.57499999999999996</v>
      </c>
      <c r="O46" s="21">
        <f t="shared" si="19"/>
        <v>0</v>
      </c>
      <c r="P46" s="21">
        <f t="shared" si="19"/>
        <v>0</v>
      </c>
      <c r="Q46" s="7">
        <f t="shared" si="20"/>
        <v>14.655352095833337</v>
      </c>
    </row>
    <row r="47" spans="1:17">
      <c r="A47" s="2" t="s">
        <v>60</v>
      </c>
      <c r="E47" s="6">
        <v>26.816213304999994</v>
      </c>
      <c r="F47" s="6">
        <v>0</v>
      </c>
      <c r="G47" s="6">
        <v>0</v>
      </c>
      <c r="H47" s="6">
        <v>0</v>
      </c>
      <c r="I47" s="6"/>
      <c r="J47" s="7">
        <f t="shared" si="17"/>
        <v>26.816213304999994</v>
      </c>
      <c r="K47" s="6"/>
      <c r="L47" s="21">
        <f t="shared" si="18"/>
        <v>26.816213304999994</v>
      </c>
      <c r="M47" s="21">
        <f t="shared" si="18"/>
        <v>0</v>
      </c>
      <c r="N47" s="21">
        <f t="shared" si="18"/>
        <v>0</v>
      </c>
      <c r="O47" s="21">
        <f t="shared" si="19"/>
        <v>0</v>
      </c>
      <c r="P47" s="21">
        <f t="shared" si="19"/>
        <v>0</v>
      </c>
      <c r="Q47" s="7">
        <f t="shared" si="20"/>
        <v>26.816213304999994</v>
      </c>
    </row>
    <row r="48" spans="1:17">
      <c r="A48" s="2" t="s">
        <v>61</v>
      </c>
      <c r="E48" s="6">
        <v>38.700612316975764</v>
      </c>
      <c r="F48" s="6">
        <v>0.14363800000000002</v>
      </c>
      <c r="G48" s="6">
        <v>0.69</v>
      </c>
      <c r="H48" s="6">
        <v>0</v>
      </c>
      <c r="I48" s="6"/>
      <c r="J48" s="7">
        <f t="shared" si="17"/>
        <v>39.534250316975765</v>
      </c>
      <c r="K48" s="6"/>
      <c r="L48" s="21">
        <f t="shared" si="18"/>
        <v>38.700612316975764</v>
      </c>
      <c r="M48" s="21">
        <f t="shared" si="18"/>
        <v>0.14363800000000002</v>
      </c>
      <c r="N48" s="21">
        <f t="shared" si="18"/>
        <v>0.69</v>
      </c>
      <c r="O48" s="21">
        <f t="shared" si="19"/>
        <v>0</v>
      </c>
      <c r="P48" s="21">
        <f t="shared" si="19"/>
        <v>0</v>
      </c>
      <c r="Q48" s="7">
        <f t="shared" si="20"/>
        <v>39.534250316975765</v>
      </c>
    </row>
    <row r="49" spans="1:17">
      <c r="A49" s="2" t="s">
        <v>62</v>
      </c>
      <c r="E49" s="6">
        <v>312.1952253171666</v>
      </c>
      <c r="F49" s="6">
        <v>0</v>
      </c>
      <c r="G49" s="6">
        <v>0</v>
      </c>
      <c r="H49" s="6">
        <v>0</v>
      </c>
      <c r="I49" s="6">
        <v>-172.5</v>
      </c>
      <c r="J49" s="7">
        <f t="shared" si="17"/>
        <v>139.6952253171666</v>
      </c>
      <c r="K49" s="6"/>
      <c r="L49" s="21">
        <f>E49+6.2-40-8</f>
        <v>270.39522531716659</v>
      </c>
      <c r="M49" s="21">
        <f t="shared" si="18"/>
        <v>0</v>
      </c>
      <c r="N49" s="21">
        <f t="shared" si="18"/>
        <v>0</v>
      </c>
      <c r="O49" s="21">
        <f t="shared" si="19"/>
        <v>0</v>
      </c>
      <c r="P49" s="21">
        <f>I49+40</f>
        <v>-132.5</v>
      </c>
      <c r="Q49" s="7">
        <f t="shared" si="20"/>
        <v>137.89522531716659</v>
      </c>
    </row>
    <row r="50" spans="1:17">
      <c r="A50" s="2" t="s">
        <v>63</v>
      </c>
      <c r="E50" s="6">
        <v>25.030665599999999</v>
      </c>
      <c r="F50" s="6">
        <v>0</v>
      </c>
      <c r="G50" s="6">
        <v>0</v>
      </c>
      <c r="H50" s="6">
        <v>0</v>
      </c>
      <c r="I50" s="6"/>
      <c r="J50" s="7">
        <f t="shared" si="17"/>
        <v>25.030665599999999</v>
      </c>
      <c r="K50" s="6"/>
      <c r="L50" s="21">
        <f t="shared" si="18"/>
        <v>25.030665599999999</v>
      </c>
      <c r="M50" s="21">
        <f t="shared" si="18"/>
        <v>0</v>
      </c>
      <c r="N50" s="21">
        <f t="shared" si="18"/>
        <v>0</v>
      </c>
      <c r="O50" s="21">
        <f t="shared" si="19"/>
        <v>0</v>
      </c>
      <c r="P50" s="21">
        <f t="shared" si="19"/>
        <v>0</v>
      </c>
      <c r="Q50" s="7">
        <f t="shared" si="20"/>
        <v>25.030665599999999</v>
      </c>
    </row>
    <row r="51" spans="1:17">
      <c r="A51" s="2" t="s">
        <v>64</v>
      </c>
      <c r="E51" s="6">
        <v>55.960076311666668</v>
      </c>
      <c r="F51" s="6">
        <v>0</v>
      </c>
      <c r="G51" s="6">
        <v>0</v>
      </c>
      <c r="H51" s="6">
        <v>0</v>
      </c>
      <c r="I51" s="6"/>
      <c r="J51" s="7">
        <f t="shared" si="17"/>
        <v>55.960076311666668</v>
      </c>
      <c r="K51" s="6"/>
      <c r="L51" s="21">
        <f t="shared" si="18"/>
        <v>55.960076311666668</v>
      </c>
      <c r="M51" s="21">
        <f t="shared" si="18"/>
        <v>0</v>
      </c>
      <c r="N51" s="21">
        <f t="shared" si="18"/>
        <v>0</v>
      </c>
      <c r="O51" s="21">
        <f t="shared" si="19"/>
        <v>0</v>
      </c>
      <c r="P51" s="21">
        <f t="shared" si="19"/>
        <v>0</v>
      </c>
      <c r="Q51" s="7">
        <f t="shared" si="20"/>
        <v>55.960076311666668</v>
      </c>
    </row>
    <row r="52" spans="1:17">
      <c r="A52" s="2" t="s">
        <v>65</v>
      </c>
      <c r="E52" s="6">
        <v>129.06624311305691</v>
      </c>
      <c r="F52" s="6">
        <v>13.799401207712588</v>
      </c>
      <c r="G52" s="6">
        <v>63.94</v>
      </c>
      <c r="H52" s="6">
        <v>9.4</v>
      </c>
      <c r="I52" s="6"/>
      <c r="J52" s="7">
        <f t="shared" si="17"/>
        <v>216.20564432076949</v>
      </c>
      <c r="K52" s="6"/>
      <c r="L52" s="21">
        <f t="shared" si="18"/>
        <v>129.06624311305691</v>
      </c>
      <c r="M52" s="21">
        <f t="shared" si="18"/>
        <v>13.799401207712588</v>
      </c>
      <c r="N52" s="21">
        <f>G52-31.3</f>
        <v>32.64</v>
      </c>
      <c r="O52" s="21">
        <f t="shared" si="19"/>
        <v>9.4</v>
      </c>
      <c r="P52" s="21">
        <f t="shared" si="19"/>
        <v>0</v>
      </c>
      <c r="Q52" s="7">
        <f t="shared" si="20"/>
        <v>184.90564432076948</v>
      </c>
    </row>
    <row r="53" spans="1:17">
      <c r="A53" s="2" t="s">
        <v>66</v>
      </c>
      <c r="E53" s="6">
        <v>164.91040812066669</v>
      </c>
      <c r="F53" s="6">
        <v>25.924547486460881</v>
      </c>
      <c r="G53" s="6">
        <v>11.845000000000001</v>
      </c>
      <c r="H53" s="6">
        <v>1</v>
      </c>
      <c r="I53" s="6"/>
      <c r="J53" s="7">
        <f t="shared" si="17"/>
        <v>203.67995560712757</v>
      </c>
      <c r="K53" s="6"/>
      <c r="L53" s="21">
        <f>E53-6*1.15</f>
        <v>158.01040812066668</v>
      </c>
      <c r="M53" s="21">
        <f t="shared" si="18"/>
        <v>25.924547486460881</v>
      </c>
      <c r="N53" s="21">
        <f t="shared" si="18"/>
        <v>11.845000000000001</v>
      </c>
      <c r="O53" s="21">
        <f t="shared" si="19"/>
        <v>1</v>
      </c>
      <c r="P53" s="21">
        <f t="shared" si="19"/>
        <v>0</v>
      </c>
      <c r="Q53" s="7">
        <f t="shared" si="20"/>
        <v>196.77995560712756</v>
      </c>
    </row>
    <row r="54" spans="1:17">
      <c r="A54" s="2" t="s">
        <v>67</v>
      </c>
      <c r="E54" s="6">
        <v>74.362306724999982</v>
      </c>
      <c r="F54" s="6">
        <v>0</v>
      </c>
      <c r="G54" s="6">
        <v>0</v>
      </c>
      <c r="H54" s="6">
        <v>0</v>
      </c>
      <c r="I54" s="6"/>
      <c r="J54" s="7">
        <f t="shared" si="17"/>
        <v>74.362306724999982</v>
      </c>
      <c r="K54" s="6"/>
      <c r="L54" s="21">
        <f t="shared" si="18"/>
        <v>74.362306724999982</v>
      </c>
      <c r="M54" s="21">
        <f t="shared" si="18"/>
        <v>0</v>
      </c>
      <c r="N54" s="21">
        <f t="shared" si="18"/>
        <v>0</v>
      </c>
      <c r="O54" s="21">
        <f t="shared" si="19"/>
        <v>0</v>
      </c>
      <c r="P54" s="21">
        <f t="shared" si="19"/>
        <v>0</v>
      </c>
      <c r="Q54" s="7">
        <f t="shared" si="20"/>
        <v>74.362306724999982</v>
      </c>
    </row>
    <row r="55" spans="1:17">
      <c r="A55" s="2" t="s">
        <v>68</v>
      </c>
      <c r="E55" s="6">
        <v>29.113133554270345</v>
      </c>
      <c r="F55" s="6">
        <v>4.18032</v>
      </c>
      <c r="G55" s="6">
        <v>0</v>
      </c>
      <c r="H55" s="6">
        <v>0</v>
      </c>
      <c r="I55" s="6"/>
      <c r="J55" s="7">
        <f t="shared" si="17"/>
        <v>33.293453554270343</v>
      </c>
      <c r="K55" s="6"/>
      <c r="L55" s="21">
        <f t="shared" si="18"/>
        <v>29.113133554270345</v>
      </c>
      <c r="M55" s="21">
        <f t="shared" si="18"/>
        <v>4.18032</v>
      </c>
      <c r="N55" s="21">
        <f t="shared" si="18"/>
        <v>0</v>
      </c>
      <c r="O55" s="21">
        <f t="shared" si="19"/>
        <v>0</v>
      </c>
      <c r="P55" s="21">
        <f t="shared" si="19"/>
        <v>0</v>
      </c>
      <c r="Q55" s="7">
        <f t="shared" si="20"/>
        <v>33.293453554270343</v>
      </c>
    </row>
    <row r="56" spans="1:17">
      <c r="A56" s="2" t="s">
        <v>69</v>
      </c>
      <c r="E56" s="6">
        <v>58.512467242837936</v>
      </c>
      <c r="F56" s="6">
        <v>35.185291104321848</v>
      </c>
      <c r="G56" s="6">
        <v>0</v>
      </c>
      <c r="H56" s="6">
        <v>0</v>
      </c>
      <c r="I56" s="6"/>
      <c r="J56" s="7">
        <f t="shared" si="17"/>
        <v>93.697758347159777</v>
      </c>
      <c r="K56" s="6"/>
      <c r="L56" s="21">
        <f t="shared" si="18"/>
        <v>58.512467242837936</v>
      </c>
      <c r="M56" s="21">
        <f t="shared" si="18"/>
        <v>35.185291104321848</v>
      </c>
      <c r="N56" s="21">
        <f t="shared" si="18"/>
        <v>0</v>
      </c>
      <c r="O56" s="21">
        <f t="shared" si="19"/>
        <v>0</v>
      </c>
      <c r="P56" s="21">
        <f t="shared" si="19"/>
        <v>0</v>
      </c>
      <c r="Q56" s="7">
        <f t="shared" si="20"/>
        <v>93.697758347159777</v>
      </c>
    </row>
    <row r="57" spans="1:17">
      <c r="E57" s="6"/>
      <c r="F57" s="6"/>
      <c r="G57" s="6"/>
      <c r="H57" s="6"/>
      <c r="I57" s="6"/>
      <c r="J57" s="7"/>
      <c r="K57" s="6"/>
      <c r="L57" s="6"/>
      <c r="M57" s="6"/>
      <c r="N57" s="6"/>
      <c r="O57" s="6"/>
      <c r="P57" s="6"/>
      <c r="Q57" s="7"/>
    </row>
    <row r="58" spans="1:17">
      <c r="A58" s="2" t="s">
        <v>70</v>
      </c>
      <c r="E58" s="7">
        <f t="shared" ref="E58:J58" si="21">SUM(E37:E56)</f>
        <v>2053.8467188364079</v>
      </c>
      <c r="F58" s="7">
        <f t="shared" si="21"/>
        <v>121.32152064212134</v>
      </c>
      <c r="G58" s="7">
        <f t="shared" si="21"/>
        <v>222.17999999999998</v>
      </c>
      <c r="H58" s="7">
        <f t="shared" si="21"/>
        <v>10.4</v>
      </c>
      <c r="I58" s="7">
        <f t="shared" si="21"/>
        <v>-370.3</v>
      </c>
      <c r="J58" s="7">
        <f t="shared" si="21"/>
        <v>2037.4482394785293</v>
      </c>
      <c r="K58" s="6"/>
      <c r="L58" s="7">
        <f t="shared" ref="L58:Q58" si="22">SUM(L37:L56)</f>
        <v>1910.7467188364078</v>
      </c>
      <c r="M58" s="7">
        <f t="shared" si="22"/>
        <v>121.32152064212134</v>
      </c>
      <c r="N58" s="7">
        <f t="shared" si="22"/>
        <v>146.28</v>
      </c>
      <c r="O58" s="7">
        <f t="shared" si="22"/>
        <v>10.4</v>
      </c>
      <c r="P58" s="7">
        <f t="shared" si="22"/>
        <v>-299</v>
      </c>
      <c r="Q58" s="7">
        <f t="shared" si="22"/>
        <v>1889.7482394785288</v>
      </c>
    </row>
    <row r="59" spans="1:17" ht="15">
      <c r="A59" s="10" t="s">
        <v>71</v>
      </c>
      <c r="B59" s="10"/>
      <c r="C59" s="10"/>
      <c r="D59" s="10"/>
      <c r="E59" s="11">
        <f t="shared" ref="E59:J59" si="23">E27-E34-E58</f>
        <v>1557.2159425660429</v>
      </c>
      <c r="F59" s="11">
        <f t="shared" si="23"/>
        <v>59.553933843537621</v>
      </c>
      <c r="G59" s="11">
        <f t="shared" si="23"/>
        <v>148.11999999999998</v>
      </c>
      <c r="H59" s="11">
        <f t="shared" si="23"/>
        <v>28.1</v>
      </c>
      <c r="I59" s="11">
        <f t="shared" si="23"/>
        <v>0</v>
      </c>
      <c r="J59" s="11">
        <f t="shared" si="23"/>
        <v>1792.9898764095831</v>
      </c>
      <c r="K59" s="6"/>
      <c r="L59" s="11">
        <f t="shared" ref="L59:Q59" si="24">L27-L34-L58</f>
        <v>1801.3159425660431</v>
      </c>
      <c r="M59" s="11">
        <f t="shared" si="24"/>
        <v>120.39393384353754</v>
      </c>
      <c r="N59" s="11">
        <f t="shared" si="24"/>
        <v>152.72</v>
      </c>
      <c r="O59" s="11">
        <f t="shared" si="24"/>
        <v>26.300000000000004</v>
      </c>
      <c r="P59" s="11">
        <f t="shared" si="24"/>
        <v>0</v>
      </c>
      <c r="Q59" s="11">
        <f t="shared" si="24"/>
        <v>2100.7298764095835</v>
      </c>
    </row>
    <row r="60" spans="1:17">
      <c r="A60" s="2" t="s">
        <v>72</v>
      </c>
      <c r="E60" s="6"/>
      <c r="F60" s="6"/>
      <c r="G60" s="6">
        <v>212.74999999999997</v>
      </c>
      <c r="H60" s="6"/>
      <c r="I60" s="6"/>
      <c r="J60" s="7">
        <f>SUM(E60:I60)</f>
        <v>212.74999999999997</v>
      </c>
      <c r="K60" s="6"/>
      <c r="L60" s="6"/>
      <c r="M60" s="6"/>
      <c r="N60" s="6">
        <v>185</v>
      </c>
      <c r="O60" s="6"/>
      <c r="P60" s="6"/>
      <c r="Q60" s="7">
        <f>SUM(L60:P60)</f>
        <v>185</v>
      </c>
    </row>
    <row r="61" spans="1:17">
      <c r="A61" s="2" t="s">
        <v>73</v>
      </c>
      <c r="E61" s="6">
        <v>-212.74999999999997</v>
      </c>
      <c r="F61" s="6"/>
      <c r="G61" s="6">
        <v>-344.42499999999995</v>
      </c>
      <c r="H61" s="6"/>
      <c r="I61" s="6"/>
      <c r="J61" s="7">
        <f>SUM(E61:I61)</f>
        <v>-557.17499999999995</v>
      </c>
      <c r="K61" s="6"/>
      <c r="L61" s="6">
        <v>-185</v>
      </c>
      <c r="M61" s="6"/>
      <c r="N61" s="6">
        <v>-310</v>
      </c>
      <c r="O61" s="6"/>
      <c r="P61" s="6"/>
      <c r="Q61" s="7">
        <f>SUM(L61:P61)</f>
        <v>-495</v>
      </c>
    </row>
    <row r="62" spans="1:17">
      <c r="A62" s="2" t="s">
        <v>74</v>
      </c>
      <c r="E62" s="6">
        <f t="shared" ref="E62:J62" si="25">SUM(E59:E61)</f>
        <v>1344.4659425660429</v>
      </c>
      <c r="F62" s="6">
        <f t="shared" si="25"/>
        <v>59.553933843537621</v>
      </c>
      <c r="G62" s="6">
        <f t="shared" si="25"/>
        <v>16.444999999999993</v>
      </c>
      <c r="H62" s="6">
        <f t="shared" si="25"/>
        <v>28.1</v>
      </c>
      <c r="I62" s="6">
        <f t="shared" si="25"/>
        <v>0</v>
      </c>
      <c r="J62" s="7">
        <f t="shared" si="25"/>
        <v>1448.5648764095831</v>
      </c>
      <c r="K62" s="6"/>
      <c r="L62" s="6">
        <f t="shared" ref="L62:Q62" si="26">SUM(L59:L61)</f>
        <v>1616.3159425660431</v>
      </c>
      <c r="M62" s="6">
        <f t="shared" si="26"/>
        <v>120.39393384353754</v>
      </c>
      <c r="N62" s="6">
        <f t="shared" si="26"/>
        <v>27.720000000000027</v>
      </c>
      <c r="O62" s="6">
        <f t="shared" si="26"/>
        <v>26.300000000000004</v>
      </c>
      <c r="P62" s="6">
        <f t="shared" si="26"/>
        <v>0</v>
      </c>
      <c r="Q62" s="7">
        <f t="shared" si="26"/>
        <v>1790.7298764095835</v>
      </c>
    </row>
    <row r="63" spans="1:17"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17" ht="18">
      <c r="A64" s="12" t="s">
        <v>87</v>
      </c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>
      <c r="A65" s="2" t="s">
        <v>75</v>
      </c>
      <c r="E65" s="6">
        <f>E59</f>
        <v>1557.2159425660429</v>
      </c>
      <c r="F65" s="6">
        <f>F59</f>
        <v>59.553933843537621</v>
      </c>
      <c r="G65" s="6">
        <f>G59</f>
        <v>148.11999999999998</v>
      </c>
      <c r="H65" s="6">
        <f>H59</f>
        <v>28.1</v>
      </c>
      <c r="I65" s="6">
        <f>I59</f>
        <v>0</v>
      </c>
      <c r="J65" s="7">
        <f>SUM(E65:I65)</f>
        <v>1792.9898764095803</v>
      </c>
      <c r="K65" s="6"/>
      <c r="L65" s="6"/>
      <c r="M65" s="6"/>
      <c r="N65" s="6"/>
      <c r="O65" s="6"/>
      <c r="P65" s="6"/>
      <c r="Q65" s="6"/>
    </row>
    <row r="66" spans="1:17">
      <c r="A66" s="2" t="s">
        <v>4</v>
      </c>
      <c r="E66" s="6"/>
      <c r="F66" s="6"/>
      <c r="G66" s="6"/>
      <c r="H66" s="6"/>
      <c r="I66" s="6"/>
      <c r="J66" s="7"/>
      <c r="K66" s="6"/>
      <c r="L66" s="6"/>
      <c r="M66" s="6"/>
      <c r="N66" s="6"/>
      <c r="O66" s="6"/>
      <c r="P66" s="6"/>
      <c r="Q66" s="6"/>
    </row>
    <row r="67" spans="1:17">
      <c r="A67" s="2" t="s">
        <v>76</v>
      </c>
      <c r="E67" s="18">
        <f>22.7-14+5.7+5.6</f>
        <v>20</v>
      </c>
      <c r="F67" s="18">
        <f>(34.7+3.7+6)*1.15</f>
        <v>51.06</v>
      </c>
      <c r="G67" s="18">
        <f>(12+0.8+12+0.8+7.2)*1.15</f>
        <v>37.72</v>
      </c>
      <c r="H67" s="19"/>
      <c r="I67" s="19"/>
      <c r="J67" s="7">
        <f t="shared" ref="J67:J74" si="27">SUM(E67:I67)</f>
        <v>108.78</v>
      </c>
      <c r="K67" s="6"/>
      <c r="L67" s="6"/>
      <c r="M67" s="6"/>
      <c r="N67" s="6"/>
      <c r="O67" s="6"/>
      <c r="P67" s="6"/>
      <c r="Q67" s="6"/>
    </row>
    <row r="68" spans="1:17">
      <c r="A68" s="2" t="s">
        <v>77</v>
      </c>
      <c r="E68" s="18">
        <f>21.9*2</f>
        <v>43.8</v>
      </c>
      <c r="F68" s="18">
        <f>(2.7+2.2)*1.15</f>
        <v>5.6349999999999998</v>
      </c>
      <c r="G68" s="18"/>
      <c r="H68" s="19"/>
      <c r="I68" s="19"/>
      <c r="J68" s="7">
        <f t="shared" si="27"/>
        <v>49.434999999999995</v>
      </c>
      <c r="K68" s="6"/>
      <c r="L68" s="6" t="s">
        <v>78</v>
      </c>
      <c r="M68" s="6"/>
      <c r="N68" s="6"/>
      <c r="O68" s="6"/>
      <c r="P68" s="6"/>
      <c r="Q68" s="6"/>
    </row>
    <row r="69" spans="1:17">
      <c r="A69" s="2" t="s">
        <v>79</v>
      </c>
      <c r="E69" s="18">
        <f>1.4*12*1.15</f>
        <v>19.319999999999997</v>
      </c>
      <c r="F69" s="18"/>
      <c r="G69" s="18">
        <f>0.5*12*1.15</f>
        <v>6.8999999999999995</v>
      </c>
      <c r="H69" s="19"/>
      <c r="I69" s="19"/>
      <c r="J69" s="7">
        <f t="shared" si="27"/>
        <v>26.219999999999995</v>
      </c>
      <c r="K69" s="6"/>
      <c r="L69" s="6"/>
      <c r="M69" s="6"/>
      <c r="N69" s="6"/>
      <c r="O69" s="6"/>
      <c r="P69" s="6"/>
      <c r="Q69" s="6"/>
    </row>
    <row r="70" spans="1:17" ht="15">
      <c r="A70" s="2" t="s">
        <v>96</v>
      </c>
      <c r="E70" s="18">
        <f>-10*7/13*1.15</f>
        <v>-6.1923076923076925</v>
      </c>
      <c r="F70" s="20"/>
      <c r="G70" s="20"/>
      <c r="H70" s="18">
        <v>6.2</v>
      </c>
      <c r="I70" s="20"/>
      <c r="J70" s="7">
        <f t="shared" si="27"/>
        <v>7.692307692307665E-3</v>
      </c>
      <c r="K70" s="6"/>
      <c r="L70" s="6"/>
      <c r="M70" s="6"/>
      <c r="N70" s="6"/>
      <c r="O70" s="6"/>
      <c r="P70" s="6"/>
      <c r="Q70" s="6"/>
    </row>
    <row r="71" spans="1:17" ht="15">
      <c r="A71" s="2" t="s">
        <v>80</v>
      </c>
      <c r="E71" s="18">
        <f>40+8</f>
        <v>48</v>
      </c>
      <c r="F71" s="20"/>
      <c r="G71" s="18">
        <v>-40</v>
      </c>
      <c r="H71" s="18">
        <v>-8</v>
      </c>
      <c r="I71" s="20"/>
      <c r="J71" s="7">
        <f t="shared" si="27"/>
        <v>0</v>
      </c>
      <c r="K71" s="6"/>
      <c r="L71" s="6"/>
      <c r="M71" s="6"/>
      <c r="N71" s="6"/>
      <c r="O71" s="6"/>
      <c r="P71" s="6"/>
      <c r="Q71" s="6"/>
    </row>
    <row r="72" spans="1:17">
      <c r="A72" s="2" t="s">
        <v>81</v>
      </c>
      <c r="E72" s="18"/>
      <c r="F72" s="18">
        <f>(15*3*35%-(1.05+0.5+0.5)*3)*1.15</f>
        <v>11.039999999999997</v>
      </c>
      <c r="G72" s="18"/>
      <c r="H72" s="19"/>
      <c r="I72" s="19"/>
      <c r="J72" s="7">
        <f t="shared" si="27"/>
        <v>11.039999999999997</v>
      </c>
      <c r="K72" s="6"/>
      <c r="L72" s="6" t="s">
        <v>78</v>
      </c>
      <c r="M72" s="6"/>
      <c r="N72" s="6"/>
      <c r="O72" s="6"/>
      <c r="P72" s="6"/>
      <c r="Q72" s="6"/>
    </row>
    <row r="73" spans="1:17">
      <c r="A73" s="2" t="s">
        <v>82</v>
      </c>
      <c r="E73" s="18">
        <f>25000/1000*4*3*62%-25000/1000*4*3*35%</f>
        <v>81</v>
      </c>
      <c r="F73" s="18"/>
      <c r="G73" s="18"/>
      <c r="H73" s="19"/>
      <c r="I73" s="19"/>
      <c r="J73" s="7">
        <f t="shared" si="27"/>
        <v>81</v>
      </c>
      <c r="K73" s="6"/>
      <c r="L73" s="6" t="s">
        <v>78</v>
      </c>
      <c r="M73" s="6"/>
      <c r="N73" s="6"/>
      <c r="O73" s="6"/>
      <c r="P73" s="6"/>
      <c r="Q73" s="6"/>
    </row>
    <row r="74" spans="1:17" ht="15">
      <c r="A74" s="2" t="s">
        <v>83</v>
      </c>
      <c r="E74" s="18">
        <f>(23.2+4)*1.15</f>
        <v>31.279999999999998</v>
      </c>
      <c r="F74" s="20"/>
      <c r="G74" s="20"/>
      <c r="H74" s="20"/>
      <c r="I74" s="20"/>
      <c r="J74" s="7">
        <f t="shared" si="27"/>
        <v>31.279999999999998</v>
      </c>
      <c r="K74" s="6"/>
      <c r="L74" s="6"/>
      <c r="M74" s="6"/>
      <c r="N74" s="6"/>
      <c r="O74" s="6"/>
      <c r="P74" s="6"/>
      <c r="Q74" s="6"/>
    </row>
    <row r="75" spans="1:17">
      <c r="A75" s="16" t="s">
        <v>84</v>
      </c>
      <c r="B75" s="16"/>
      <c r="C75" s="16"/>
      <c r="D75" s="16"/>
      <c r="E75" s="17">
        <f t="shared" ref="E75:J75" si="28">SUM(E65:E74)</f>
        <v>1794.4236348737352</v>
      </c>
      <c r="F75" s="17">
        <f t="shared" si="28"/>
        <v>127.28893384353762</v>
      </c>
      <c r="G75" s="17">
        <f t="shared" si="28"/>
        <v>152.73999999999998</v>
      </c>
      <c r="H75" s="17">
        <f t="shared" si="28"/>
        <v>26.300000000000004</v>
      </c>
      <c r="I75" s="17">
        <f t="shared" si="28"/>
        <v>0</v>
      </c>
      <c r="J75" s="17">
        <f t="shared" si="28"/>
        <v>2100.7525687172724</v>
      </c>
      <c r="K75" s="6"/>
      <c r="L75" s="6"/>
      <c r="M75" s="6"/>
      <c r="N75" s="6"/>
      <c r="O75" s="6"/>
      <c r="P75" s="6"/>
      <c r="Q75" s="6"/>
    </row>
    <row r="76" spans="1:17"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1:17" ht="18">
      <c r="A77" s="12" t="s">
        <v>91</v>
      </c>
      <c r="L77" s="3"/>
      <c r="M77" s="15" t="s">
        <v>86</v>
      </c>
      <c r="N77" s="3"/>
      <c r="O77" s="3"/>
      <c r="P77" s="3"/>
      <c r="Q77" s="3"/>
    </row>
    <row r="78" spans="1:17">
      <c r="A78" s="2" t="s">
        <v>92</v>
      </c>
      <c r="Q78" s="3"/>
    </row>
    <row r="79" spans="1:17">
      <c r="B79" s="2" t="s">
        <v>93</v>
      </c>
      <c r="L79" s="6">
        <v>125</v>
      </c>
      <c r="M79" s="6">
        <v>13</v>
      </c>
      <c r="N79" s="6">
        <v>0</v>
      </c>
      <c r="O79" s="6">
        <v>0</v>
      </c>
      <c r="Q79" s="7">
        <f>SUM(L79:P79)</f>
        <v>138</v>
      </c>
    </row>
    <row r="80" spans="1:17">
      <c r="B80" s="2" t="s">
        <v>95</v>
      </c>
      <c r="L80" s="6">
        <v>0</v>
      </c>
      <c r="M80" s="6">
        <v>0</v>
      </c>
      <c r="N80" s="6">
        <v>20.5</v>
      </c>
      <c r="O80" s="6">
        <v>7.5</v>
      </c>
      <c r="Q80" s="7">
        <f>SUM(L80:P80)</f>
        <v>28</v>
      </c>
    </row>
    <row r="81" spans="1:17">
      <c r="B81" s="2" t="s">
        <v>67</v>
      </c>
      <c r="L81" s="6">
        <v>74.362306724999982</v>
      </c>
      <c r="M81" s="6">
        <v>0</v>
      </c>
      <c r="N81" s="6">
        <v>0</v>
      </c>
      <c r="O81" s="6">
        <v>0</v>
      </c>
      <c r="Q81" s="7">
        <f>SUM(L81:P81)</f>
        <v>74.362306724999982</v>
      </c>
    </row>
    <row r="82" spans="1:17" ht="15">
      <c r="A82" s="2" t="s">
        <v>94</v>
      </c>
      <c r="L82" s="11">
        <f t="shared" ref="L82:Q82" si="29">L59+SUM(L79:L81)</f>
        <v>2000.6782492910431</v>
      </c>
      <c r="M82" s="11">
        <f t="shared" si="29"/>
        <v>133.39393384353752</v>
      </c>
      <c r="N82" s="11">
        <f t="shared" si="29"/>
        <v>173.22</v>
      </c>
      <c r="O82" s="11">
        <f t="shared" si="29"/>
        <v>33.800000000000004</v>
      </c>
      <c r="P82" s="11">
        <f t="shared" si="29"/>
        <v>0</v>
      </c>
      <c r="Q82" s="11">
        <f t="shared" si="29"/>
        <v>2341.0921831345836</v>
      </c>
    </row>
  </sheetData>
  <phoneticPr fontId="0" type="noConversion"/>
  <pageMargins left="0.78740157480314965" right="0" top="0.39370078740157483" bottom="0" header="0.31496062992125984" footer="0.31496062992125984"/>
  <pageSetup paperSize="9" scale="56" orientation="portrait" horizontalDpi="300" verticalDpi="300" r:id="rId1"/>
  <rowBreaks count="1" manualBreakCount="1">
    <brk id="63" max="1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Retraitements</vt:lpstr>
      <vt:lpstr>Retraitements!Zone_d_impression</vt:lpstr>
    </vt:vector>
  </TitlesOfParts>
  <Company>Sante Verte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jsaintcricq</cp:lastModifiedBy>
  <cp:lastPrinted>2003-07-25T13:20:36Z</cp:lastPrinted>
  <dcterms:created xsi:type="dcterms:W3CDTF">2010-07-22T16:52:56Z</dcterms:created>
  <dcterms:modified xsi:type="dcterms:W3CDTF">2003-07-26T10:31:59Z</dcterms:modified>
</cp:coreProperties>
</file>