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480" windowHeight="11640" activeTab="2"/>
  </bookViews>
  <sheets>
    <sheet name="history of trading results" sheetId="1" r:id="rId1"/>
    <sheet name="EBITDA 2010" sheetId="2" r:id="rId2"/>
    <sheet name="EBITDA 2011" sheetId="3" r:id="rId3"/>
  </sheets>
  <externalReferences>
    <externalReference r:id="rId4"/>
  </externalReferences>
  <calcPr calcId="114210"/>
</workbook>
</file>

<file path=xl/calcChain.xml><?xml version="1.0" encoding="utf-8"?>
<calcChain xmlns="http://schemas.openxmlformats.org/spreadsheetml/2006/main">
  <c r="E124" i="3"/>
  <c r="L124"/>
  <c r="E137"/>
  <c r="L137"/>
  <c r="F86"/>
  <c r="E154"/>
  <c r="J154"/>
  <c r="E54"/>
  <c r="L54"/>
  <c r="E71"/>
  <c r="G145" i="2"/>
  <c r="G144"/>
  <c r="E145"/>
  <c r="E140"/>
  <c r="L140"/>
  <c r="F140"/>
  <c r="M140"/>
  <c r="Q140"/>
  <c r="E57"/>
  <c r="L57"/>
  <c r="F57"/>
  <c r="M57"/>
  <c r="Q57"/>
  <c r="R140"/>
  <c r="E139"/>
  <c r="L139"/>
  <c r="F139"/>
  <c r="M139"/>
  <c r="Q139"/>
  <c r="E56"/>
  <c r="L56"/>
  <c r="F56"/>
  <c r="M56"/>
  <c r="Q56"/>
  <c r="R139"/>
  <c r="E138"/>
  <c r="L138"/>
  <c r="F138"/>
  <c r="M138"/>
  <c r="Q138"/>
  <c r="E55"/>
  <c r="L55"/>
  <c r="F55"/>
  <c r="M55"/>
  <c r="Q55"/>
  <c r="R138"/>
  <c r="E137"/>
  <c r="L137"/>
  <c r="F137"/>
  <c r="M137"/>
  <c r="Q137"/>
  <c r="E54"/>
  <c r="L54"/>
  <c r="F54"/>
  <c r="M54"/>
  <c r="Q54"/>
  <c r="R137"/>
  <c r="E136"/>
  <c r="L136"/>
  <c r="F136"/>
  <c r="M136"/>
  <c r="Q136"/>
  <c r="E53"/>
  <c r="L53"/>
  <c r="F53"/>
  <c r="M53"/>
  <c r="Q53"/>
  <c r="R136"/>
  <c r="E135"/>
  <c r="L135"/>
  <c r="F135"/>
  <c r="M135"/>
  <c r="Q135"/>
  <c r="E52"/>
  <c r="L52"/>
  <c r="F52"/>
  <c r="M52"/>
  <c r="Q52"/>
  <c r="R135"/>
  <c r="E134"/>
  <c r="L134"/>
  <c r="F134"/>
  <c r="M134"/>
  <c r="Q134"/>
  <c r="E51"/>
  <c r="L51"/>
  <c r="F51"/>
  <c r="M51"/>
  <c r="Q51"/>
  <c r="R134"/>
  <c r="E133"/>
  <c r="L133"/>
  <c r="F133"/>
  <c r="M133"/>
  <c r="Q133"/>
  <c r="E50"/>
  <c r="L50"/>
  <c r="F50"/>
  <c r="M50"/>
  <c r="Q50"/>
  <c r="R133"/>
  <c r="E132"/>
  <c r="L132"/>
  <c r="F132"/>
  <c r="M132"/>
  <c r="Q132"/>
  <c r="E49"/>
  <c r="L49"/>
  <c r="F49"/>
  <c r="M49"/>
  <c r="Q49"/>
  <c r="R132"/>
  <c r="E131"/>
  <c r="L131"/>
  <c r="F131"/>
  <c r="M131"/>
  <c r="Q131"/>
  <c r="E48"/>
  <c r="L48"/>
  <c r="F48"/>
  <c r="M48"/>
  <c r="Q48"/>
  <c r="R131"/>
  <c r="E130"/>
  <c r="L130"/>
  <c r="F130"/>
  <c r="M130"/>
  <c r="Q130"/>
  <c r="E47"/>
  <c r="L47"/>
  <c r="F47"/>
  <c r="M47"/>
  <c r="Q47"/>
  <c r="R130"/>
  <c r="E129"/>
  <c r="L129"/>
  <c r="F129"/>
  <c r="M129"/>
  <c r="Q129"/>
  <c r="E46"/>
  <c r="L46"/>
  <c r="F46"/>
  <c r="M46"/>
  <c r="Q46"/>
  <c r="R129"/>
  <c r="E128"/>
  <c r="L128"/>
  <c r="F128"/>
  <c r="M128"/>
  <c r="Q128"/>
  <c r="E45"/>
  <c r="L45"/>
  <c r="F45"/>
  <c r="M45"/>
  <c r="Q45"/>
  <c r="R128"/>
  <c r="E127"/>
  <c r="L127"/>
  <c r="F127"/>
  <c r="M127"/>
  <c r="Q127"/>
  <c r="E44"/>
  <c r="L44"/>
  <c r="F44"/>
  <c r="M44"/>
  <c r="Q44"/>
  <c r="R127"/>
  <c r="E126"/>
  <c r="L126"/>
  <c r="F126"/>
  <c r="M126"/>
  <c r="Q126"/>
  <c r="E43"/>
  <c r="L43"/>
  <c r="F43"/>
  <c r="M43"/>
  <c r="Q43"/>
  <c r="R126"/>
  <c r="E125"/>
  <c r="L125"/>
  <c r="F125"/>
  <c r="M125"/>
  <c r="Q125"/>
  <c r="E42"/>
  <c r="L42"/>
  <c r="F42"/>
  <c r="M42"/>
  <c r="Q42"/>
  <c r="R125"/>
  <c r="E124"/>
  <c r="L124"/>
  <c r="F124"/>
  <c r="M124"/>
  <c r="Q124"/>
  <c r="E41"/>
  <c r="L41"/>
  <c r="F41"/>
  <c r="M41"/>
  <c r="Q41"/>
  <c r="R124"/>
  <c r="E123"/>
  <c r="L123"/>
  <c r="F123"/>
  <c r="M123"/>
  <c r="Q123"/>
  <c r="E40"/>
  <c r="L40"/>
  <c r="F40"/>
  <c r="M40"/>
  <c r="Q40"/>
  <c r="R123"/>
  <c r="E121"/>
  <c r="L121"/>
  <c r="F121"/>
  <c r="M121"/>
  <c r="Q121"/>
  <c r="E38"/>
  <c r="L38"/>
  <c r="F38"/>
  <c r="M38"/>
  <c r="Q38"/>
  <c r="R121"/>
  <c r="E114"/>
  <c r="L114"/>
  <c r="F114"/>
  <c r="M114"/>
  <c r="Q114"/>
  <c r="E115"/>
  <c r="L115"/>
  <c r="F115"/>
  <c r="M115"/>
  <c r="Q115"/>
  <c r="E116"/>
  <c r="L116"/>
  <c r="F116"/>
  <c r="M116"/>
  <c r="Q116"/>
  <c r="E117"/>
  <c r="L117"/>
  <c r="F117"/>
  <c r="M117"/>
  <c r="Q117"/>
  <c r="Q118"/>
  <c r="E31"/>
  <c r="L31"/>
  <c r="F31"/>
  <c r="M31"/>
  <c r="Q31"/>
  <c r="E32"/>
  <c r="L32"/>
  <c r="F32"/>
  <c r="M32"/>
  <c r="Q32"/>
  <c r="E33"/>
  <c r="L33"/>
  <c r="F33"/>
  <c r="M33"/>
  <c r="Q33"/>
  <c r="E34"/>
  <c r="L34"/>
  <c r="F34"/>
  <c r="M34"/>
  <c r="Q34"/>
  <c r="Q35"/>
  <c r="R118"/>
  <c r="R117"/>
  <c r="R116"/>
  <c r="R115"/>
  <c r="R114"/>
  <c r="E105"/>
  <c r="L105"/>
  <c r="F105"/>
  <c r="M105"/>
  <c r="Q105"/>
  <c r="E106"/>
  <c r="L106"/>
  <c r="F106"/>
  <c r="M106"/>
  <c r="Q106"/>
  <c r="E107"/>
  <c r="L107"/>
  <c r="F107"/>
  <c r="M107"/>
  <c r="Q107"/>
  <c r="E108"/>
  <c r="L108"/>
  <c r="F108"/>
  <c r="M108"/>
  <c r="Q108"/>
  <c r="E109"/>
  <c r="L109"/>
  <c r="F109"/>
  <c r="M109"/>
  <c r="Q109"/>
  <c r="Q110"/>
  <c r="E22"/>
  <c r="L22"/>
  <c r="F22"/>
  <c r="M22"/>
  <c r="Q22"/>
  <c r="E23"/>
  <c r="L23"/>
  <c r="F23"/>
  <c r="M23"/>
  <c r="Q23"/>
  <c r="E24"/>
  <c r="L24"/>
  <c r="F24"/>
  <c r="M24"/>
  <c r="Q24"/>
  <c r="E25"/>
  <c r="L25"/>
  <c r="F25"/>
  <c r="M25"/>
  <c r="Q25"/>
  <c r="E26"/>
  <c r="L26"/>
  <c r="F26"/>
  <c r="M26"/>
  <c r="Q26"/>
  <c r="Q27"/>
  <c r="R110"/>
  <c r="R109"/>
  <c r="R108"/>
  <c r="R107"/>
  <c r="R105"/>
  <c r="R106"/>
  <c r="E98"/>
  <c r="L98"/>
  <c r="F98"/>
  <c r="M98"/>
  <c r="Q98"/>
  <c r="E99"/>
  <c r="L99"/>
  <c r="F99"/>
  <c r="M99"/>
  <c r="Q99"/>
  <c r="E100"/>
  <c r="L100"/>
  <c r="F100"/>
  <c r="M100"/>
  <c r="Q100"/>
  <c r="Q101"/>
  <c r="E15"/>
  <c r="L15"/>
  <c r="F15"/>
  <c r="M15"/>
  <c r="Q15"/>
  <c r="E16"/>
  <c r="L16"/>
  <c r="F16"/>
  <c r="M16"/>
  <c r="Q16"/>
  <c r="E17"/>
  <c r="L17"/>
  <c r="F17"/>
  <c r="M17"/>
  <c r="Q17"/>
  <c r="Q18"/>
  <c r="R101"/>
  <c r="R100"/>
  <c r="R99"/>
  <c r="R98"/>
  <c r="E94"/>
  <c r="L94"/>
  <c r="F94"/>
  <c r="M94"/>
  <c r="Q94"/>
  <c r="E11"/>
  <c r="L11"/>
  <c r="F11"/>
  <c r="M11"/>
  <c r="Q11"/>
  <c r="R94"/>
  <c r="E92"/>
  <c r="L92"/>
  <c r="F92"/>
  <c r="M92"/>
  <c r="Q92"/>
  <c r="E9"/>
  <c r="L9"/>
  <c r="F9"/>
  <c r="M9"/>
  <c r="Q9"/>
  <c r="R92"/>
  <c r="E91"/>
  <c r="L91"/>
  <c r="F91"/>
  <c r="M91"/>
  <c r="Q91"/>
  <c r="R91"/>
  <c r="E90"/>
  <c r="L90"/>
  <c r="F90"/>
  <c r="M90"/>
  <c r="Q90"/>
  <c r="E7"/>
  <c r="L7"/>
  <c r="F7"/>
  <c r="M7"/>
  <c r="Q7"/>
  <c r="R90"/>
  <c r="N62"/>
  <c r="N61"/>
  <c r="L62"/>
  <c r="M162" i="3"/>
  <c r="L162"/>
  <c r="Q162"/>
  <c r="I142"/>
  <c r="P140"/>
  <c r="F140"/>
  <c r="M140"/>
  <c r="E140"/>
  <c r="L140"/>
  <c r="P139"/>
  <c r="F139"/>
  <c r="M139"/>
  <c r="E139"/>
  <c r="L139"/>
  <c r="P138"/>
  <c r="F138"/>
  <c r="M164"/>
  <c r="E138"/>
  <c r="L138"/>
  <c r="P137"/>
  <c r="F137"/>
  <c r="M137"/>
  <c r="P136"/>
  <c r="F136"/>
  <c r="M136"/>
  <c r="E136"/>
  <c r="L136"/>
  <c r="P135"/>
  <c r="F135"/>
  <c r="M135"/>
  <c r="E135"/>
  <c r="L135"/>
  <c r="P134"/>
  <c r="F134"/>
  <c r="M134"/>
  <c r="E134"/>
  <c r="L134"/>
  <c r="F133"/>
  <c r="M133"/>
  <c r="E133"/>
  <c r="P132"/>
  <c r="F132"/>
  <c r="M132"/>
  <c r="E132"/>
  <c r="P131"/>
  <c r="F131"/>
  <c r="M131"/>
  <c r="E131"/>
  <c r="P130"/>
  <c r="F130"/>
  <c r="M130"/>
  <c r="E130"/>
  <c r="P129"/>
  <c r="F129"/>
  <c r="M129"/>
  <c r="E129"/>
  <c r="P128"/>
  <c r="F128"/>
  <c r="M128"/>
  <c r="E128"/>
  <c r="P127"/>
  <c r="F127"/>
  <c r="M127"/>
  <c r="E127"/>
  <c r="P126"/>
  <c r="F126"/>
  <c r="M126"/>
  <c r="E126"/>
  <c r="P125"/>
  <c r="F125"/>
  <c r="M125"/>
  <c r="E125"/>
  <c r="P124"/>
  <c r="F124"/>
  <c r="M124"/>
  <c r="P123"/>
  <c r="F123"/>
  <c r="M123"/>
  <c r="E123"/>
  <c r="P122"/>
  <c r="F122"/>
  <c r="M122"/>
  <c r="E122"/>
  <c r="P121"/>
  <c r="P142"/>
  <c r="F121"/>
  <c r="F142"/>
  <c r="E121"/>
  <c r="I118"/>
  <c r="P117"/>
  <c r="F117"/>
  <c r="M117"/>
  <c r="E117"/>
  <c r="L117"/>
  <c r="P116"/>
  <c r="F116"/>
  <c r="M116"/>
  <c r="E116"/>
  <c r="L116"/>
  <c r="P115"/>
  <c r="F115"/>
  <c r="M115"/>
  <c r="E115"/>
  <c r="L115"/>
  <c r="P114"/>
  <c r="P118"/>
  <c r="F114"/>
  <c r="E114"/>
  <c r="L114"/>
  <c r="I110"/>
  <c r="P109"/>
  <c r="F109"/>
  <c r="M109"/>
  <c r="E109"/>
  <c r="L109"/>
  <c r="P108"/>
  <c r="F108"/>
  <c r="M108"/>
  <c r="E108"/>
  <c r="L108"/>
  <c r="P107"/>
  <c r="F107"/>
  <c r="M107"/>
  <c r="E107"/>
  <c r="L107"/>
  <c r="P106"/>
  <c r="F106"/>
  <c r="M106"/>
  <c r="E106"/>
  <c r="L106"/>
  <c r="P105"/>
  <c r="P110"/>
  <c r="F105"/>
  <c r="F110"/>
  <c r="E105"/>
  <c r="L105"/>
  <c r="I101"/>
  <c r="P100"/>
  <c r="F100"/>
  <c r="M100"/>
  <c r="E100"/>
  <c r="L100"/>
  <c r="P99"/>
  <c r="F99"/>
  <c r="M99"/>
  <c r="E99"/>
  <c r="L99"/>
  <c r="P98"/>
  <c r="P101"/>
  <c r="F98"/>
  <c r="F101"/>
  <c r="E98"/>
  <c r="L98"/>
  <c r="I94"/>
  <c r="F94"/>
  <c r="M94"/>
  <c r="E94"/>
  <c r="I93"/>
  <c r="I95"/>
  <c r="I102"/>
  <c r="I111"/>
  <c r="I143"/>
  <c r="I146"/>
  <c r="F93"/>
  <c r="M93"/>
  <c r="E93"/>
  <c r="L93"/>
  <c r="P92"/>
  <c r="F92"/>
  <c r="M92"/>
  <c r="E92"/>
  <c r="P91"/>
  <c r="F91"/>
  <c r="M91"/>
  <c r="E91"/>
  <c r="P90"/>
  <c r="F90"/>
  <c r="M90"/>
  <c r="M95"/>
  <c r="E90"/>
  <c r="E95"/>
  <c r="O81"/>
  <c r="N81"/>
  <c r="Q80"/>
  <c r="M79"/>
  <c r="L79"/>
  <c r="Q79"/>
  <c r="J74"/>
  <c r="J73"/>
  <c r="J72"/>
  <c r="J71"/>
  <c r="H70"/>
  <c r="G70"/>
  <c r="E70"/>
  <c r="G69"/>
  <c r="E69"/>
  <c r="F68"/>
  <c r="E68"/>
  <c r="G67"/>
  <c r="F67"/>
  <c r="N62"/>
  <c r="L62"/>
  <c r="Q62"/>
  <c r="J62"/>
  <c r="G61"/>
  <c r="I59"/>
  <c r="G59"/>
  <c r="P57"/>
  <c r="O57"/>
  <c r="N57"/>
  <c r="F57"/>
  <c r="M57"/>
  <c r="E57"/>
  <c r="J57"/>
  <c r="P56"/>
  <c r="O56"/>
  <c r="N56"/>
  <c r="F56"/>
  <c r="M56"/>
  <c r="E56"/>
  <c r="L56"/>
  <c r="Q56"/>
  <c r="P55"/>
  <c r="O55"/>
  <c r="N55"/>
  <c r="F55"/>
  <c r="M81"/>
  <c r="E55"/>
  <c r="L81"/>
  <c r="P54"/>
  <c r="O54"/>
  <c r="N54"/>
  <c r="F54"/>
  <c r="M54"/>
  <c r="Q54"/>
  <c r="P53"/>
  <c r="N53"/>
  <c r="H53"/>
  <c r="G53"/>
  <c r="F53"/>
  <c r="M53"/>
  <c r="E53"/>
  <c r="P52"/>
  <c r="O52"/>
  <c r="N52"/>
  <c r="F52"/>
  <c r="M52"/>
  <c r="E52"/>
  <c r="L52"/>
  <c r="P51"/>
  <c r="O51"/>
  <c r="N51"/>
  <c r="F51"/>
  <c r="M51"/>
  <c r="E51"/>
  <c r="O50"/>
  <c r="N50"/>
  <c r="F50"/>
  <c r="M50"/>
  <c r="E50"/>
  <c r="J50"/>
  <c r="P49"/>
  <c r="O49"/>
  <c r="N49"/>
  <c r="F49"/>
  <c r="M49"/>
  <c r="E49"/>
  <c r="L49"/>
  <c r="Q49"/>
  <c r="P48"/>
  <c r="O48"/>
  <c r="N48"/>
  <c r="F48"/>
  <c r="M48"/>
  <c r="E48"/>
  <c r="J48"/>
  <c r="P47"/>
  <c r="O47"/>
  <c r="N47"/>
  <c r="F47"/>
  <c r="M47"/>
  <c r="E47"/>
  <c r="L47"/>
  <c r="Q47"/>
  <c r="P46"/>
  <c r="O46"/>
  <c r="N46"/>
  <c r="F46"/>
  <c r="M46"/>
  <c r="E46"/>
  <c r="J46"/>
  <c r="P45"/>
  <c r="O45"/>
  <c r="N45"/>
  <c r="F45"/>
  <c r="M45"/>
  <c r="E45"/>
  <c r="L45"/>
  <c r="Q45"/>
  <c r="P44"/>
  <c r="O44"/>
  <c r="N44"/>
  <c r="F44"/>
  <c r="M44"/>
  <c r="E44"/>
  <c r="J44"/>
  <c r="P43"/>
  <c r="O43"/>
  <c r="N43"/>
  <c r="F43"/>
  <c r="M43"/>
  <c r="E43"/>
  <c r="L43"/>
  <c r="Q43"/>
  <c r="P42"/>
  <c r="O42"/>
  <c r="N42"/>
  <c r="F42"/>
  <c r="M42"/>
  <c r="E42"/>
  <c r="J42"/>
  <c r="P41"/>
  <c r="O41"/>
  <c r="N41"/>
  <c r="F41"/>
  <c r="M41"/>
  <c r="E41"/>
  <c r="L41"/>
  <c r="Q41"/>
  <c r="P40"/>
  <c r="O40"/>
  <c r="N40"/>
  <c r="F40"/>
  <c r="M40"/>
  <c r="E40"/>
  <c r="J40"/>
  <c r="P39"/>
  <c r="O39"/>
  <c r="N39"/>
  <c r="F39"/>
  <c r="M39"/>
  <c r="E39"/>
  <c r="L39"/>
  <c r="Q39"/>
  <c r="P38"/>
  <c r="P59"/>
  <c r="O38"/>
  <c r="N38"/>
  <c r="N59"/>
  <c r="F38"/>
  <c r="F59"/>
  <c r="E38"/>
  <c r="J38"/>
  <c r="I35"/>
  <c r="H35"/>
  <c r="G35"/>
  <c r="P34"/>
  <c r="O34"/>
  <c r="N34"/>
  <c r="F34"/>
  <c r="M34"/>
  <c r="E34"/>
  <c r="L34"/>
  <c r="P33"/>
  <c r="O33"/>
  <c r="N33"/>
  <c r="F33"/>
  <c r="M33"/>
  <c r="E33"/>
  <c r="P32"/>
  <c r="O32"/>
  <c r="O35"/>
  <c r="N32"/>
  <c r="F32"/>
  <c r="M32"/>
  <c r="E32"/>
  <c r="L32"/>
  <c r="P31"/>
  <c r="P35"/>
  <c r="O31"/>
  <c r="N31"/>
  <c r="N35"/>
  <c r="F31"/>
  <c r="M31"/>
  <c r="E31"/>
  <c r="E35"/>
  <c r="I27"/>
  <c r="H27"/>
  <c r="G27"/>
  <c r="P26"/>
  <c r="O26"/>
  <c r="N26"/>
  <c r="F26"/>
  <c r="M26"/>
  <c r="E26"/>
  <c r="L26"/>
  <c r="Q26"/>
  <c r="P25"/>
  <c r="O25"/>
  <c r="N25"/>
  <c r="F25"/>
  <c r="M25"/>
  <c r="E25"/>
  <c r="J25"/>
  <c r="P24"/>
  <c r="O24"/>
  <c r="N24"/>
  <c r="F24"/>
  <c r="M24"/>
  <c r="E24"/>
  <c r="L24"/>
  <c r="Q24"/>
  <c r="P23"/>
  <c r="O23"/>
  <c r="N23"/>
  <c r="F23"/>
  <c r="M23"/>
  <c r="E23"/>
  <c r="J23"/>
  <c r="P22"/>
  <c r="P27"/>
  <c r="O22"/>
  <c r="O27"/>
  <c r="N22"/>
  <c r="N27"/>
  <c r="F22"/>
  <c r="M22"/>
  <c r="M27"/>
  <c r="F27"/>
  <c r="E22"/>
  <c r="E27"/>
  <c r="I18"/>
  <c r="H18"/>
  <c r="G18"/>
  <c r="P17"/>
  <c r="O17"/>
  <c r="N17"/>
  <c r="F17"/>
  <c r="M17"/>
  <c r="E17"/>
  <c r="P16"/>
  <c r="O16"/>
  <c r="N16"/>
  <c r="F16"/>
  <c r="M16"/>
  <c r="E16"/>
  <c r="L16"/>
  <c r="P15"/>
  <c r="P18"/>
  <c r="O15"/>
  <c r="O18"/>
  <c r="N15"/>
  <c r="N18"/>
  <c r="F15"/>
  <c r="F18"/>
  <c r="E15"/>
  <c r="J15"/>
  <c r="I12"/>
  <c r="I19"/>
  <c r="I28"/>
  <c r="I60"/>
  <c r="I63"/>
  <c r="H12"/>
  <c r="H19"/>
  <c r="H28"/>
  <c r="O11"/>
  <c r="G11"/>
  <c r="F11"/>
  <c r="M11"/>
  <c r="E11"/>
  <c r="L11"/>
  <c r="O10"/>
  <c r="N10"/>
  <c r="F10"/>
  <c r="M10"/>
  <c r="E10"/>
  <c r="L10"/>
  <c r="P9"/>
  <c r="O9"/>
  <c r="N9"/>
  <c r="F9"/>
  <c r="M9"/>
  <c r="E9"/>
  <c r="J9"/>
  <c r="P8"/>
  <c r="O8"/>
  <c r="N8"/>
  <c r="F8"/>
  <c r="M8"/>
  <c r="E8"/>
  <c r="L8"/>
  <c r="Q8"/>
  <c r="P7"/>
  <c r="O7"/>
  <c r="O12"/>
  <c r="O19"/>
  <c r="O28"/>
  <c r="N7"/>
  <c r="F7"/>
  <c r="M7"/>
  <c r="E7"/>
  <c r="E12"/>
  <c r="O164" i="2"/>
  <c r="N164"/>
  <c r="Q163"/>
  <c r="M162"/>
  <c r="L162"/>
  <c r="Q162"/>
  <c r="J157"/>
  <c r="E157"/>
  <c r="J156"/>
  <c r="F155"/>
  <c r="J155"/>
  <c r="H154"/>
  <c r="G154"/>
  <c r="E154"/>
  <c r="J154"/>
  <c r="E153"/>
  <c r="J153"/>
  <c r="G152"/>
  <c r="E152"/>
  <c r="J152"/>
  <c r="F151"/>
  <c r="E151"/>
  <c r="J151"/>
  <c r="G150"/>
  <c r="F150"/>
  <c r="E150"/>
  <c r="J150"/>
  <c r="L145"/>
  <c r="Q145"/>
  <c r="R145"/>
  <c r="N145"/>
  <c r="J145"/>
  <c r="J144"/>
  <c r="N144"/>
  <c r="Q144"/>
  <c r="R144"/>
  <c r="I142"/>
  <c r="P140"/>
  <c r="O140"/>
  <c r="N140"/>
  <c r="P139"/>
  <c r="O139"/>
  <c r="N139"/>
  <c r="J139"/>
  <c r="P138"/>
  <c r="O138"/>
  <c r="N138"/>
  <c r="M164"/>
  <c r="P137"/>
  <c r="O137"/>
  <c r="G137"/>
  <c r="N137"/>
  <c r="J137"/>
  <c r="P136"/>
  <c r="H136"/>
  <c r="O136"/>
  <c r="G136"/>
  <c r="N136"/>
  <c r="P135"/>
  <c r="O135"/>
  <c r="N135"/>
  <c r="P134"/>
  <c r="O134"/>
  <c r="N134"/>
  <c r="P133"/>
  <c r="O133"/>
  <c r="N133"/>
  <c r="P132"/>
  <c r="O132"/>
  <c r="G132"/>
  <c r="N132"/>
  <c r="P131"/>
  <c r="O131"/>
  <c r="N131"/>
  <c r="J131"/>
  <c r="P130"/>
  <c r="O130"/>
  <c r="G130"/>
  <c r="N130"/>
  <c r="P129"/>
  <c r="O129"/>
  <c r="N129"/>
  <c r="P128"/>
  <c r="O128"/>
  <c r="N128"/>
  <c r="P127"/>
  <c r="O127"/>
  <c r="N127"/>
  <c r="P126"/>
  <c r="O126"/>
  <c r="N126"/>
  <c r="P125"/>
  <c r="O125"/>
  <c r="N125"/>
  <c r="P124"/>
  <c r="O124"/>
  <c r="G124"/>
  <c r="N124"/>
  <c r="P123"/>
  <c r="O123"/>
  <c r="N123"/>
  <c r="J123"/>
  <c r="P122"/>
  <c r="O122"/>
  <c r="N122"/>
  <c r="F122"/>
  <c r="M122"/>
  <c r="E122"/>
  <c r="L122"/>
  <c r="P121"/>
  <c r="P142"/>
  <c r="O121"/>
  <c r="O142"/>
  <c r="G121"/>
  <c r="G142"/>
  <c r="E142"/>
  <c r="I118"/>
  <c r="H118"/>
  <c r="G118"/>
  <c r="P117"/>
  <c r="O117"/>
  <c r="N117"/>
  <c r="J117"/>
  <c r="P116"/>
  <c r="O116"/>
  <c r="N116"/>
  <c r="P115"/>
  <c r="O115"/>
  <c r="N115"/>
  <c r="J115"/>
  <c r="P114"/>
  <c r="P118"/>
  <c r="O114"/>
  <c r="O118"/>
  <c r="N114"/>
  <c r="N118"/>
  <c r="F118"/>
  <c r="I110"/>
  <c r="H110"/>
  <c r="G110"/>
  <c r="P109"/>
  <c r="O109"/>
  <c r="N109"/>
  <c r="P108"/>
  <c r="O108"/>
  <c r="N108"/>
  <c r="P107"/>
  <c r="O107"/>
  <c r="N107"/>
  <c r="P106"/>
  <c r="O106"/>
  <c r="N106"/>
  <c r="P105"/>
  <c r="P110"/>
  <c r="O105"/>
  <c r="O110"/>
  <c r="N105"/>
  <c r="N110"/>
  <c r="F110"/>
  <c r="I101"/>
  <c r="H101"/>
  <c r="G101"/>
  <c r="P100"/>
  <c r="O100"/>
  <c r="N100"/>
  <c r="P99"/>
  <c r="O99"/>
  <c r="N99"/>
  <c r="J99"/>
  <c r="P98"/>
  <c r="P101"/>
  <c r="O98"/>
  <c r="O101"/>
  <c r="N98"/>
  <c r="N101"/>
  <c r="F101"/>
  <c r="I94"/>
  <c r="I95"/>
  <c r="I102"/>
  <c r="I111"/>
  <c r="I143"/>
  <c r="I146"/>
  <c r="H94"/>
  <c r="H95"/>
  <c r="H102"/>
  <c r="H111"/>
  <c r="G94"/>
  <c r="G95"/>
  <c r="G102"/>
  <c r="G111"/>
  <c r="G143"/>
  <c r="J94"/>
  <c r="P93"/>
  <c r="O93"/>
  <c r="N93"/>
  <c r="F93"/>
  <c r="M93"/>
  <c r="E93"/>
  <c r="P92"/>
  <c r="O92"/>
  <c r="N92"/>
  <c r="P91"/>
  <c r="O91"/>
  <c r="N91"/>
  <c r="P90"/>
  <c r="O90"/>
  <c r="N90"/>
  <c r="O81"/>
  <c r="N81"/>
  <c r="O80"/>
  <c r="N80"/>
  <c r="Q80"/>
  <c r="M79"/>
  <c r="L79"/>
  <c r="Q79"/>
  <c r="E74"/>
  <c r="J74"/>
  <c r="J73"/>
  <c r="F72"/>
  <c r="J72"/>
  <c r="H71"/>
  <c r="G71"/>
  <c r="E71"/>
  <c r="J71"/>
  <c r="H70"/>
  <c r="E70"/>
  <c r="J70"/>
  <c r="G69"/>
  <c r="E69"/>
  <c r="J69"/>
  <c r="F68"/>
  <c r="E68"/>
  <c r="J68"/>
  <c r="G67"/>
  <c r="F67"/>
  <c r="E67"/>
  <c r="J67"/>
  <c r="Q62"/>
  <c r="J62"/>
  <c r="Q61"/>
  <c r="G61"/>
  <c r="J61"/>
  <c r="I59"/>
  <c r="P57"/>
  <c r="O57"/>
  <c r="N57"/>
  <c r="P56"/>
  <c r="O56"/>
  <c r="N56"/>
  <c r="J56"/>
  <c r="P55"/>
  <c r="O55"/>
  <c r="N55"/>
  <c r="M81"/>
  <c r="P54"/>
  <c r="O54"/>
  <c r="G54"/>
  <c r="N54"/>
  <c r="J54"/>
  <c r="P53"/>
  <c r="H53"/>
  <c r="O53"/>
  <c r="G53"/>
  <c r="G59"/>
  <c r="P52"/>
  <c r="O52"/>
  <c r="N52"/>
  <c r="P51"/>
  <c r="O51"/>
  <c r="N51"/>
  <c r="J51"/>
  <c r="P50"/>
  <c r="O50"/>
  <c r="N50"/>
  <c r="P49"/>
  <c r="O49"/>
  <c r="N49"/>
  <c r="J49"/>
  <c r="P48"/>
  <c r="O48"/>
  <c r="N48"/>
  <c r="P47"/>
  <c r="O47"/>
  <c r="N47"/>
  <c r="J47"/>
  <c r="P46"/>
  <c r="O46"/>
  <c r="N46"/>
  <c r="P45"/>
  <c r="O45"/>
  <c r="N45"/>
  <c r="J45"/>
  <c r="P44"/>
  <c r="O44"/>
  <c r="N44"/>
  <c r="P43"/>
  <c r="O43"/>
  <c r="N43"/>
  <c r="J43"/>
  <c r="P42"/>
  <c r="O42"/>
  <c r="N42"/>
  <c r="P41"/>
  <c r="O41"/>
  <c r="N41"/>
  <c r="J41"/>
  <c r="P40"/>
  <c r="O40"/>
  <c r="N40"/>
  <c r="P39"/>
  <c r="O39"/>
  <c r="N39"/>
  <c r="F39"/>
  <c r="M39"/>
  <c r="E39"/>
  <c r="J39"/>
  <c r="P38"/>
  <c r="P59"/>
  <c r="O38"/>
  <c r="O59"/>
  <c r="N38"/>
  <c r="F59"/>
  <c r="I35"/>
  <c r="H35"/>
  <c r="G35"/>
  <c r="P34"/>
  <c r="O34"/>
  <c r="N34"/>
  <c r="P33"/>
  <c r="O33"/>
  <c r="N33"/>
  <c r="P32"/>
  <c r="O32"/>
  <c r="N32"/>
  <c r="P31"/>
  <c r="P35"/>
  <c r="O31"/>
  <c r="O35"/>
  <c r="N31"/>
  <c r="N35"/>
  <c r="I27"/>
  <c r="H27"/>
  <c r="G27"/>
  <c r="P26"/>
  <c r="O26"/>
  <c r="N26"/>
  <c r="J26"/>
  <c r="P25"/>
  <c r="O25"/>
  <c r="N25"/>
  <c r="P24"/>
  <c r="O24"/>
  <c r="N24"/>
  <c r="J24"/>
  <c r="P23"/>
  <c r="O23"/>
  <c r="N23"/>
  <c r="P22"/>
  <c r="P27"/>
  <c r="O22"/>
  <c r="O27"/>
  <c r="N22"/>
  <c r="N27"/>
  <c r="J22"/>
  <c r="I18"/>
  <c r="H18"/>
  <c r="G18"/>
  <c r="P17"/>
  <c r="O17"/>
  <c r="N17"/>
  <c r="P16"/>
  <c r="O16"/>
  <c r="N16"/>
  <c r="P15"/>
  <c r="P18"/>
  <c r="O15"/>
  <c r="O18"/>
  <c r="N15"/>
  <c r="N18"/>
  <c r="I12"/>
  <c r="I19"/>
  <c r="I28"/>
  <c r="I60"/>
  <c r="I63"/>
  <c r="H12"/>
  <c r="H19"/>
  <c r="H28"/>
  <c r="P11"/>
  <c r="O11"/>
  <c r="G11"/>
  <c r="G12"/>
  <c r="G19"/>
  <c r="G28"/>
  <c r="G60"/>
  <c r="P10"/>
  <c r="O10"/>
  <c r="N10"/>
  <c r="F10"/>
  <c r="M10"/>
  <c r="E10"/>
  <c r="L10"/>
  <c r="P9"/>
  <c r="O9"/>
  <c r="N9"/>
  <c r="P8"/>
  <c r="O8"/>
  <c r="N8"/>
  <c r="F8"/>
  <c r="M8"/>
  <c r="E8"/>
  <c r="L8"/>
  <c r="P7"/>
  <c r="P12"/>
  <c r="P19"/>
  <c r="P28"/>
  <c r="P60"/>
  <c r="O7"/>
  <c r="O12"/>
  <c r="O19"/>
  <c r="O28"/>
  <c r="O60"/>
  <c r="N7"/>
  <c r="E12"/>
  <c r="I120" i="1"/>
  <c r="O119"/>
  <c r="L119"/>
  <c r="O118"/>
  <c r="L118"/>
  <c r="O117"/>
  <c r="L117"/>
  <c r="O116"/>
  <c r="U115"/>
  <c r="O115"/>
  <c r="U114"/>
  <c r="R114"/>
  <c r="O114"/>
  <c r="L114"/>
  <c r="U113"/>
  <c r="O113"/>
  <c r="L113"/>
  <c r="O112"/>
  <c r="L112"/>
  <c r="O111"/>
  <c r="L111"/>
  <c r="U110"/>
  <c r="O110"/>
  <c r="L110"/>
  <c r="O109"/>
  <c r="L109"/>
  <c r="U108"/>
  <c r="O108"/>
  <c r="L108"/>
  <c r="U107"/>
  <c r="O107"/>
  <c r="L107"/>
  <c r="U106"/>
  <c r="O106"/>
  <c r="U105"/>
  <c r="O105"/>
  <c r="L105"/>
  <c r="U104"/>
  <c r="O104"/>
  <c r="L104"/>
  <c r="O103"/>
  <c r="U102"/>
  <c r="O102"/>
  <c r="L102"/>
  <c r="U101"/>
  <c r="O101"/>
  <c r="L101"/>
  <c r="T121"/>
  <c r="S121"/>
  <c r="Q121"/>
  <c r="N121"/>
  <c r="M121"/>
  <c r="K121"/>
  <c r="J121"/>
  <c r="O96"/>
  <c r="L96"/>
  <c r="O95"/>
  <c r="L95"/>
  <c r="O94"/>
  <c r="L94"/>
  <c r="T97"/>
  <c r="Q97"/>
  <c r="N97"/>
  <c r="O93"/>
  <c r="O97"/>
  <c r="K97"/>
  <c r="L93"/>
  <c r="L97"/>
  <c r="F93"/>
  <c r="O88"/>
  <c r="L88"/>
  <c r="O87"/>
  <c r="L87"/>
  <c r="O86"/>
  <c r="L86"/>
  <c r="O85"/>
  <c r="L85"/>
  <c r="T89"/>
  <c r="P89"/>
  <c r="N89"/>
  <c r="O84"/>
  <c r="K89"/>
  <c r="J89"/>
  <c r="O79"/>
  <c r="L79"/>
  <c r="U78"/>
  <c r="O78"/>
  <c r="L78"/>
  <c r="T80"/>
  <c r="S80"/>
  <c r="Q80"/>
  <c r="P80"/>
  <c r="N80"/>
  <c r="M80"/>
  <c r="K80"/>
  <c r="J80"/>
  <c r="O73"/>
  <c r="L73"/>
  <c r="O72"/>
  <c r="L72"/>
  <c r="R71"/>
  <c r="O71"/>
  <c r="L71"/>
  <c r="O70"/>
  <c r="L70"/>
  <c r="T74"/>
  <c r="S74"/>
  <c r="Q74"/>
  <c r="P74"/>
  <c r="N74"/>
  <c r="M74"/>
  <c r="K74"/>
  <c r="J74"/>
  <c r="T65"/>
  <c r="Q65"/>
  <c r="F86" i="2"/>
  <c r="N65" i="1"/>
  <c r="K65"/>
  <c r="F120"/>
  <c r="O57"/>
  <c r="L57"/>
  <c r="F119"/>
  <c r="O56"/>
  <c r="L56"/>
  <c r="F118"/>
  <c r="O55"/>
  <c r="L55"/>
  <c r="U54"/>
  <c r="O54"/>
  <c r="L54"/>
  <c r="I116"/>
  <c r="O53"/>
  <c r="L53"/>
  <c r="I115"/>
  <c r="U52"/>
  <c r="R52"/>
  <c r="O52"/>
  <c r="L52"/>
  <c r="I52"/>
  <c r="I114"/>
  <c r="F114"/>
  <c r="O51"/>
  <c r="L51"/>
  <c r="I113"/>
  <c r="F113"/>
  <c r="O50"/>
  <c r="L50"/>
  <c r="I112"/>
  <c r="F112"/>
  <c r="O49"/>
  <c r="L49"/>
  <c r="F111"/>
  <c r="O48"/>
  <c r="L48"/>
  <c r="F110"/>
  <c r="O47"/>
  <c r="L47"/>
  <c r="F109"/>
  <c r="O46"/>
  <c r="L46"/>
  <c r="F108"/>
  <c r="O45"/>
  <c r="L45"/>
  <c r="F107"/>
  <c r="O44"/>
  <c r="L44"/>
  <c r="F106"/>
  <c r="O43"/>
  <c r="L43"/>
  <c r="F105"/>
  <c r="O42"/>
  <c r="L42"/>
  <c r="F104"/>
  <c r="O41"/>
  <c r="L41"/>
  <c r="I103"/>
  <c r="F103"/>
  <c r="O40"/>
  <c r="L40"/>
  <c r="F102"/>
  <c r="O39"/>
  <c r="L39"/>
  <c r="F101"/>
  <c r="T59"/>
  <c r="S59"/>
  <c r="Q59"/>
  <c r="N59"/>
  <c r="M59"/>
  <c r="K59"/>
  <c r="J59"/>
  <c r="H121"/>
  <c r="E121"/>
  <c r="O34"/>
  <c r="L34"/>
  <c r="O33"/>
  <c r="L33"/>
  <c r="F95"/>
  <c r="O32"/>
  <c r="L32"/>
  <c r="I94"/>
  <c r="E97"/>
  <c r="F94"/>
  <c r="T35"/>
  <c r="S35"/>
  <c r="Q35"/>
  <c r="N35"/>
  <c r="M35"/>
  <c r="K35"/>
  <c r="J35"/>
  <c r="H97"/>
  <c r="I93"/>
  <c r="F31"/>
  <c r="O26"/>
  <c r="L26"/>
  <c r="F88"/>
  <c r="O25"/>
  <c r="L25"/>
  <c r="F87"/>
  <c r="O24"/>
  <c r="L24"/>
  <c r="F86"/>
  <c r="O23"/>
  <c r="L23"/>
  <c r="F85"/>
  <c r="T27"/>
  <c r="S27"/>
  <c r="Q27"/>
  <c r="P27"/>
  <c r="N27"/>
  <c r="M27"/>
  <c r="K27"/>
  <c r="J27"/>
  <c r="H89"/>
  <c r="E89"/>
  <c r="O17"/>
  <c r="L17"/>
  <c r="I79"/>
  <c r="O16"/>
  <c r="L16"/>
  <c r="I78"/>
  <c r="F78"/>
  <c r="T18"/>
  <c r="S18"/>
  <c r="Q18"/>
  <c r="P18"/>
  <c r="N18"/>
  <c r="M18"/>
  <c r="K18"/>
  <c r="J18"/>
  <c r="H80"/>
  <c r="E80"/>
  <c r="U11"/>
  <c r="O11"/>
  <c r="L11"/>
  <c r="F73"/>
  <c r="O10"/>
  <c r="L10"/>
  <c r="I72"/>
  <c r="R9"/>
  <c r="O9"/>
  <c r="L9"/>
  <c r="I71"/>
  <c r="F71"/>
  <c r="O8"/>
  <c r="L8"/>
  <c r="F70"/>
  <c r="T12"/>
  <c r="S12"/>
  <c r="Q12"/>
  <c r="P12"/>
  <c r="N12"/>
  <c r="M12"/>
  <c r="K12"/>
  <c r="J12"/>
  <c r="H74"/>
  <c r="E74"/>
  <c r="E81"/>
  <c r="Q8" i="2"/>
  <c r="J9"/>
  <c r="J50"/>
  <c r="F95"/>
  <c r="F102"/>
  <c r="F111"/>
  <c r="J91"/>
  <c r="E101"/>
  <c r="L15" i="3"/>
  <c r="Q16"/>
  <c r="J17"/>
  <c r="L17"/>
  <c r="L31"/>
  <c r="Q32"/>
  <c r="J33"/>
  <c r="L33"/>
  <c r="Q34"/>
  <c r="J51"/>
  <c r="L51"/>
  <c r="Q52"/>
  <c r="J53"/>
  <c r="L53"/>
  <c r="Q10" i="2"/>
  <c r="F18"/>
  <c r="L7" i="3"/>
  <c r="L9"/>
  <c r="Q9"/>
  <c r="L23"/>
  <c r="Q23"/>
  <c r="L25"/>
  <c r="Q25"/>
  <c r="M35"/>
  <c r="L38"/>
  <c r="L40"/>
  <c r="Q40"/>
  <c r="L42"/>
  <c r="Q42"/>
  <c r="L44"/>
  <c r="Q44"/>
  <c r="L46"/>
  <c r="Q46"/>
  <c r="L48"/>
  <c r="Q48"/>
  <c r="L50"/>
  <c r="Q50"/>
  <c r="L55"/>
  <c r="L57"/>
  <c r="Q57"/>
  <c r="F118"/>
  <c r="M12"/>
  <c r="Q17"/>
  <c r="Q33"/>
  <c r="Q51"/>
  <c r="P10"/>
  <c r="P12"/>
  <c r="P19"/>
  <c r="P28"/>
  <c r="P60"/>
  <c r="L101"/>
  <c r="L110"/>
  <c r="L118"/>
  <c r="O89" i="1"/>
  <c r="M12" i="2"/>
  <c r="J15"/>
  <c r="J17"/>
  <c r="F27"/>
  <c r="F35"/>
  <c r="J32"/>
  <c r="J34"/>
  <c r="E59"/>
  <c r="J53"/>
  <c r="F3" i="3"/>
  <c r="J8"/>
  <c r="J10"/>
  <c r="J11"/>
  <c r="F12"/>
  <c r="F19"/>
  <c r="F28"/>
  <c r="J16"/>
  <c r="J18"/>
  <c r="E18"/>
  <c r="E19"/>
  <c r="E28"/>
  <c r="L18"/>
  <c r="J22"/>
  <c r="J24"/>
  <c r="J26"/>
  <c r="J32"/>
  <c r="J34"/>
  <c r="F35"/>
  <c r="J39"/>
  <c r="J41"/>
  <c r="J43"/>
  <c r="J45"/>
  <c r="J47"/>
  <c r="J49"/>
  <c r="J52"/>
  <c r="H136"/>
  <c r="O136"/>
  <c r="J54"/>
  <c r="J56"/>
  <c r="E59"/>
  <c r="L59"/>
  <c r="G144"/>
  <c r="N61"/>
  <c r="Q61"/>
  <c r="G150"/>
  <c r="E151"/>
  <c r="J68"/>
  <c r="G152"/>
  <c r="E153"/>
  <c r="H153"/>
  <c r="O163"/>
  <c r="E145"/>
  <c r="H140"/>
  <c r="O140"/>
  <c r="H139"/>
  <c r="O139"/>
  <c r="H138"/>
  <c r="H137"/>
  <c r="O137"/>
  <c r="H135"/>
  <c r="O135"/>
  <c r="H134"/>
  <c r="O134"/>
  <c r="G133"/>
  <c r="N133"/>
  <c r="G132"/>
  <c r="N132"/>
  <c r="G131"/>
  <c r="N131"/>
  <c r="G130"/>
  <c r="N130"/>
  <c r="G129"/>
  <c r="N129"/>
  <c r="G128"/>
  <c r="N128"/>
  <c r="G127"/>
  <c r="N127"/>
  <c r="G126"/>
  <c r="N126"/>
  <c r="G125"/>
  <c r="N125"/>
  <c r="G124"/>
  <c r="N124"/>
  <c r="G123"/>
  <c r="N123"/>
  <c r="G122"/>
  <c r="N122"/>
  <c r="G121"/>
  <c r="H121"/>
  <c r="J121"/>
  <c r="H117"/>
  <c r="O117"/>
  <c r="H116"/>
  <c r="O116"/>
  <c r="H115"/>
  <c r="O115"/>
  <c r="H114"/>
  <c r="H109"/>
  <c r="O109"/>
  <c r="H108"/>
  <c r="O108"/>
  <c r="H107"/>
  <c r="O107"/>
  <c r="H106"/>
  <c r="O106"/>
  <c r="H105"/>
  <c r="H100"/>
  <c r="O100"/>
  <c r="H99"/>
  <c r="O99"/>
  <c r="H98"/>
  <c r="H94"/>
  <c r="O94"/>
  <c r="G93"/>
  <c r="N93"/>
  <c r="G92"/>
  <c r="N92"/>
  <c r="G91"/>
  <c r="N91"/>
  <c r="G90"/>
  <c r="N163"/>
  <c r="Q163"/>
  <c r="R163"/>
  <c r="G145"/>
  <c r="N145"/>
  <c r="G140"/>
  <c r="N140"/>
  <c r="G139"/>
  <c r="N139"/>
  <c r="Q139"/>
  <c r="R139"/>
  <c r="G138"/>
  <c r="J138"/>
  <c r="G137"/>
  <c r="N137"/>
  <c r="Q137"/>
  <c r="R137"/>
  <c r="G135"/>
  <c r="N135"/>
  <c r="Q135"/>
  <c r="R135"/>
  <c r="G134"/>
  <c r="N134"/>
  <c r="H133"/>
  <c r="O133"/>
  <c r="H132"/>
  <c r="O132"/>
  <c r="H131"/>
  <c r="O131"/>
  <c r="H130"/>
  <c r="O130"/>
  <c r="H129"/>
  <c r="O129"/>
  <c r="H128"/>
  <c r="O128"/>
  <c r="H127"/>
  <c r="O127"/>
  <c r="H126"/>
  <c r="O126"/>
  <c r="H125"/>
  <c r="O125"/>
  <c r="H124"/>
  <c r="O124"/>
  <c r="H123"/>
  <c r="O123"/>
  <c r="H122"/>
  <c r="O122"/>
  <c r="G117"/>
  <c r="N117"/>
  <c r="G116"/>
  <c r="N116"/>
  <c r="Q116"/>
  <c r="R116"/>
  <c r="G115"/>
  <c r="N115"/>
  <c r="G114"/>
  <c r="G109"/>
  <c r="N109"/>
  <c r="Q109"/>
  <c r="R109"/>
  <c r="G108"/>
  <c r="N108"/>
  <c r="G107"/>
  <c r="N107"/>
  <c r="Q107"/>
  <c r="R107"/>
  <c r="G106"/>
  <c r="N106"/>
  <c r="Q106"/>
  <c r="R106"/>
  <c r="G105"/>
  <c r="G100"/>
  <c r="N100"/>
  <c r="Q100"/>
  <c r="R100"/>
  <c r="G99"/>
  <c r="N99"/>
  <c r="G98"/>
  <c r="H93"/>
  <c r="O93"/>
  <c r="H92"/>
  <c r="O92"/>
  <c r="H91"/>
  <c r="O91"/>
  <c r="H90"/>
  <c r="J90"/>
  <c r="M95" i="2"/>
  <c r="J93"/>
  <c r="J105"/>
  <c r="J107"/>
  <c r="J109"/>
  <c r="Q122"/>
  <c r="R122"/>
  <c r="J124"/>
  <c r="J126"/>
  <c r="J128"/>
  <c r="J132"/>
  <c r="J134"/>
  <c r="J136"/>
  <c r="J7" i="3"/>
  <c r="J12"/>
  <c r="Q7"/>
  <c r="G94"/>
  <c r="N94"/>
  <c r="P94"/>
  <c r="N11"/>
  <c r="P11"/>
  <c r="G12"/>
  <c r="G19"/>
  <c r="G28"/>
  <c r="G60"/>
  <c r="M15"/>
  <c r="M18"/>
  <c r="L22"/>
  <c r="J31"/>
  <c r="J35"/>
  <c r="Q31"/>
  <c r="Q35"/>
  <c r="M38"/>
  <c r="G136"/>
  <c r="N136"/>
  <c r="Q136"/>
  <c r="O53"/>
  <c r="Q53"/>
  <c r="Q81"/>
  <c r="J55"/>
  <c r="M55"/>
  <c r="Q55"/>
  <c r="H59"/>
  <c r="H60"/>
  <c r="J61"/>
  <c r="F150"/>
  <c r="J67"/>
  <c r="F151"/>
  <c r="E152"/>
  <c r="J152"/>
  <c r="J69"/>
  <c r="G153"/>
  <c r="J70"/>
  <c r="J92"/>
  <c r="Q99"/>
  <c r="R99"/>
  <c r="Q108"/>
  <c r="R108"/>
  <c r="Q115"/>
  <c r="R115"/>
  <c r="Q117"/>
  <c r="R117"/>
  <c r="J123"/>
  <c r="J127"/>
  <c r="J131"/>
  <c r="Q134"/>
  <c r="R134"/>
  <c r="Q140"/>
  <c r="R140"/>
  <c r="R162"/>
  <c r="L90"/>
  <c r="L91"/>
  <c r="L92"/>
  <c r="Q92"/>
  <c r="R92"/>
  <c r="L94"/>
  <c r="Q94"/>
  <c r="F95"/>
  <c r="F102"/>
  <c r="F111"/>
  <c r="F143"/>
  <c r="J98"/>
  <c r="M98"/>
  <c r="M101"/>
  <c r="M102"/>
  <c r="J99"/>
  <c r="E101"/>
  <c r="E102"/>
  <c r="J105"/>
  <c r="M105"/>
  <c r="M110"/>
  <c r="J107"/>
  <c r="J109"/>
  <c r="E110"/>
  <c r="J114"/>
  <c r="M114"/>
  <c r="M118"/>
  <c r="J115"/>
  <c r="J117"/>
  <c r="E118"/>
  <c r="L121"/>
  <c r="L122"/>
  <c r="Q122"/>
  <c r="R122"/>
  <c r="L123"/>
  <c r="Q123"/>
  <c r="R123"/>
  <c r="Q124"/>
  <c r="R124"/>
  <c r="L125"/>
  <c r="Q125"/>
  <c r="R125"/>
  <c r="L126"/>
  <c r="Q126"/>
  <c r="R126"/>
  <c r="L127"/>
  <c r="Q127"/>
  <c r="R127"/>
  <c r="L128"/>
  <c r="Q128"/>
  <c r="R128"/>
  <c r="L129"/>
  <c r="Q129"/>
  <c r="R129"/>
  <c r="L130"/>
  <c r="Q130"/>
  <c r="R130"/>
  <c r="L131"/>
  <c r="Q131"/>
  <c r="R131"/>
  <c r="L132"/>
  <c r="Q132"/>
  <c r="R132"/>
  <c r="L133"/>
  <c r="Q133"/>
  <c r="R133"/>
  <c r="J134"/>
  <c r="J135"/>
  <c r="J137"/>
  <c r="M138"/>
  <c r="J139"/>
  <c r="J140"/>
  <c r="E142"/>
  <c r="L164"/>
  <c r="P93"/>
  <c r="P95"/>
  <c r="P102"/>
  <c r="P111"/>
  <c r="P143"/>
  <c r="M121"/>
  <c r="M142"/>
  <c r="O63" i="2"/>
  <c r="O82"/>
  <c r="G65"/>
  <c r="G75"/>
  <c r="G63"/>
  <c r="P82"/>
  <c r="P63"/>
  <c r="F3"/>
  <c r="J8"/>
  <c r="J10"/>
  <c r="J11"/>
  <c r="F12"/>
  <c r="F19"/>
  <c r="F28"/>
  <c r="F60"/>
  <c r="J16"/>
  <c r="J18"/>
  <c r="E18"/>
  <c r="E19"/>
  <c r="L18"/>
  <c r="G148"/>
  <c r="G158"/>
  <c r="G146"/>
  <c r="J7"/>
  <c r="J12"/>
  <c r="N11"/>
  <c r="M18"/>
  <c r="M19"/>
  <c r="J23"/>
  <c r="J25"/>
  <c r="E27"/>
  <c r="J31"/>
  <c r="M35"/>
  <c r="J33"/>
  <c r="E35"/>
  <c r="J38"/>
  <c r="L39"/>
  <c r="Q39"/>
  <c r="J40"/>
  <c r="J42"/>
  <c r="J44"/>
  <c r="J46"/>
  <c r="J48"/>
  <c r="J52"/>
  <c r="N53"/>
  <c r="N59"/>
  <c r="J55"/>
  <c r="J57"/>
  <c r="H59"/>
  <c r="H60"/>
  <c r="L81"/>
  <c r="Q81"/>
  <c r="J90"/>
  <c r="J92"/>
  <c r="L93"/>
  <c r="Q93"/>
  <c r="R93"/>
  <c r="N94"/>
  <c r="N95"/>
  <c r="N102"/>
  <c r="N111"/>
  <c r="N143"/>
  <c r="P94"/>
  <c r="P95"/>
  <c r="P102"/>
  <c r="P111"/>
  <c r="P143"/>
  <c r="E95"/>
  <c r="E102"/>
  <c r="J98"/>
  <c r="M101"/>
  <c r="M102"/>
  <c r="J100"/>
  <c r="J106"/>
  <c r="J108"/>
  <c r="E110"/>
  <c r="J114"/>
  <c r="M118"/>
  <c r="J116"/>
  <c r="E118"/>
  <c r="N121"/>
  <c r="N142"/>
  <c r="J122"/>
  <c r="J125"/>
  <c r="J127"/>
  <c r="J129"/>
  <c r="J130"/>
  <c r="J133"/>
  <c r="J135"/>
  <c r="J138"/>
  <c r="J140"/>
  <c r="F142"/>
  <c r="F143"/>
  <c r="H142"/>
  <c r="H143"/>
  <c r="L164"/>
  <c r="Q164"/>
  <c r="M27"/>
  <c r="O94"/>
  <c r="O95"/>
  <c r="O102"/>
  <c r="O111"/>
  <c r="O143"/>
  <c r="M110"/>
  <c r="J121"/>
  <c r="J142"/>
  <c r="I88" i="1"/>
  <c r="F117"/>
  <c r="P35"/>
  <c r="P59"/>
  <c r="P121"/>
  <c r="L103"/>
  <c r="L106"/>
  <c r="L115"/>
  <c r="L116"/>
  <c r="F96"/>
  <c r="J19"/>
  <c r="M19"/>
  <c r="M13"/>
  <c r="P19"/>
  <c r="P13"/>
  <c r="S19"/>
  <c r="S13"/>
  <c r="K19"/>
  <c r="N19"/>
  <c r="N13"/>
  <c r="Q19"/>
  <c r="Q13"/>
  <c r="T19"/>
  <c r="T13"/>
  <c r="D74"/>
  <c r="F69"/>
  <c r="H81"/>
  <c r="H75"/>
  <c r="D80"/>
  <c r="F77"/>
  <c r="F7"/>
  <c r="L7"/>
  <c r="L12"/>
  <c r="R7"/>
  <c r="F8"/>
  <c r="R8"/>
  <c r="F72"/>
  <c r="F10"/>
  <c r="R10"/>
  <c r="F11"/>
  <c r="R11"/>
  <c r="D12"/>
  <c r="H12"/>
  <c r="F15"/>
  <c r="L15"/>
  <c r="L18"/>
  <c r="R15"/>
  <c r="F16"/>
  <c r="R16"/>
  <c r="F79"/>
  <c r="F17"/>
  <c r="R17"/>
  <c r="D18"/>
  <c r="H18"/>
  <c r="K36"/>
  <c r="N36"/>
  <c r="Q36"/>
  <c r="T36"/>
  <c r="E82"/>
  <c r="E90"/>
  <c r="G74"/>
  <c r="I69"/>
  <c r="G80"/>
  <c r="I77"/>
  <c r="I80"/>
  <c r="AP91"/>
  <c r="I7"/>
  <c r="O7"/>
  <c r="O12"/>
  <c r="U7"/>
  <c r="I70"/>
  <c r="I8"/>
  <c r="U8"/>
  <c r="F9"/>
  <c r="I9"/>
  <c r="U9"/>
  <c r="I10"/>
  <c r="U10"/>
  <c r="I73"/>
  <c r="I11"/>
  <c r="E12"/>
  <c r="G12"/>
  <c r="I15"/>
  <c r="O15"/>
  <c r="O18"/>
  <c r="U15"/>
  <c r="I16"/>
  <c r="U16"/>
  <c r="I17"/>
  <c r="U17"/>
  <c r="E18"/>
  <c r="G18"/>
  <c r="J36"/>
  <c r="M36"/>
  <c r="P36"/>
  <c r="S36"/>
  <c r="I84"/>
  <c r="G89"/>
  <c r="G121"/>
  <c r="I100"/>
  <c r="J81"/>
  <c r="J75"/>
  <c r="N81"/>
  <c r="N75"/>
  <c r="P81"/>
  <c r="P75"/>
  <c r="T81"/>
  <c r="T75"/>
  <c r="U71"/>
  <c r="AP106"/>
  <c r="AP108"/>
  <c r="AP115"/>
  <c r="AP116"/>
  <c r="AP117"/>
  <c r="AP122"/>
  <c r="AP123"/>
  <c r="AP124"/>
  <c r="AP125"/>
  <c r="AP127"/>
  <c r="AP129"/>
  <c r="I22"/>
  <c r="O22"/>
  <c r="O27"/>
  <c r="U22"/>
  <c r="I85"/>
  <c r="I23"/>
  <c r="U23"/>
  <c r="I86"/>
  <c r="I24"/>
  <c r="U24"/>
  <c r="I87"/>
  <c r="I25"/>
  <c r="U25"/>
  <c r="I26"/>
  <c r="U26"/>
  <c r="E27"/>
  <c r="G27"/>
  <c r="I31"/>
  <c r="O31"/>
  <c r="O35"/>
  <c r="O36"/>
  <c r="U31"/>
  <c r="E98"/>
  <c r="I32"/>
  <c r="U32"/>
  <c r="I95"/>
  <c r="I33"/>
  <c r="U33"/>
  <c r="I96"/>
  <c r="I34"/>
  <c r="U34"/>
  <c r="E35"/>
  <c r="E36"/>
  <c r="G35"/>
  <c r="I38"/>
  <c r="O38"/>
  <c r="O59"/>
  <c r="U38"/>
  <c r="I101"/>
  <c r="I39"/>
  <c r="U39"/>
  <c r="I102"/>
  <c r="I40"/>
  <c r="U40"/>
  <c r="I41"/>
  <c r="U41"/>
  <c r="I104"/>
  <c r="I42"/>
  <c r="U42"/>
  <c r="I105"/>
  <c r="I43"/>
  <c r="U43"/>
  <c r="I106"/>
  <c r="I44"/>
  <c r="U44"/>
  <c r="I107"/>
  <c r="I45"/>
  <c r="U45"/>
  <c r="I108"/>
  <c r="I46"/>
  <c r="U46"/>
  <c r="I109"/>
  <c r="I47"/>
  <c r="U47"/>
  <c r="I110"/>
  <c r="I48"/>
  <c r="U48"/>
  <c r="I111"/>
  <c r="I49"/>
  <c r="U49"/>
  <c r="I50"/>
  <c r="U50"/>
  <c r="F51"/>
  <c r="R51"/>
  <c r="F115"/>
  <c r="F53"/>
  <c r="R53"/>
  <c r="F116"/>
  <c r="F54"/>
  <c r="R54"/>
  <c r="I117"/>
  <c r="I55"/>
  <c r="U55"/>
  <c r="I118"/>
  <c r="I56"/>
  <c r="U56"/>
  <c r="I119"/>
  <c r="I57"/>
  <c r="U57"/>
  <c r="F58"/>
  <c r="E59"/>
  <c r="G59"/>
  <c r="L69"/>
  <c r="L74"/>
  <c r="R69"/>
  <c r="U70"/>
  <c r="F97"/>
  <c r="K98"/>
  <c r="N98"/>
  <c r="Q98"/>
  <c r="T98"/>
  <c r="D89"/>
  <c r="F84"/>
  <c r="F89"/>
  <c r="D121"/>
  <c r="F100"/>
  <c r="F121"/>
  <c r="K81"/>
  <c r="K75"/>
  <c r="M81"/>
  <c r="M75"/>
  <c r="Q81"/>
  <c r="Q75"/>
  <c r="S81"/>
  <c r="S75"/>
  <c r="AP93"/>
  <c r="AP99"/>
  <c r="AP100"/>
  <c r="AP107"/>
  <c r="AP109"/>
  <c r="AP126"/>
  <c r="AP128"/>
  <c r="AP130"/>
  <c r="F22"/>
  <c r="L22"/>
  <c r="L27"/>
  <c r="R22"/>
  <c r="F23"/>
  <c r="R23"/>
  <c r="F24"/>
  <c r="R24"/>
  <c r="F25"/>
  <c r="R25"/>
  <c r="F26"/>
  <c r="R26"/>
  <c r="D27"/>
  <c r="H27"/>
  <c r="H98"/>
  <c r="L31"/>
  <c r="L35"/>
  <c r="R31"/>
  <c r="F32"/>
  <c r="R32"/>
  <c r="F33"/>
  <c r="R33"/>
  <c r="F34"/>
  <c r="R34"/>
  <c r="D35"/>
  <c r="D36"/>
  <c r="H35"/>
  <c r="H36"/>
  <c r="F38"/>
  <c r="L38"/>
  <c r="L59"/>
  <c r="R38"/>
  <c r="F39"/>
  <c r="R39"/>
  <c r="F40"/>
  <c r="R40"/>
  <c r="F41"/>
  <c r="R41"/>
  <c r="F42"/>
  <c r="R42"/>
  <c r="F43"/>
  <c r="R43"/>
  <c r="F44"/>
  <c r="R44"/>
  <c r="F45"/>
  <c r="R45"/>
  <c r="F46"/>
  <c r="R46"/>
  <c r="F47"/>
  <c r="R47"/>
  <c r="F48"/>
  <c r="R48"/>
  <c r="F49"/>
  <c r="R49"/>
  <c r="F50"/>
  <c r="R50"/>
  <c r="I51"/>
  <c r="U51"/>
  <c r="F52"/>
  <c r="I53"/>
  <c r="U53"/>
  <c r="I54"/>
  <c r="F55"/>
  <c r="R55"/>
  <c r="F56"/>
  <c r="R56"/>
  <c r="F57"/>
  <c r="R57"/>
  <c r="D59"/>
  <c r="H59"/>
  <c r="O69"/>
  <c r="O74"/>
  <c r="O98"/>
  <c r="U69"/>
  <c r="R70"/>
  <c r="L98"/>
  <c r="AP134"/>
  <c r="AP135"/>
  <c r="AP137"/>
  <c r="AP139"/>
  <c r="AP140"/>
  <c r="U72"/>
  <c r="U73"/>
  <c r="O77"/>
  <c r="O80"/>
  <c r="U77"/>
  <c r="R78"/>
  <c r="R79"/>
  <c r="L84"/>
  <c r="L89"/>
  <c r="R84"/>
  <c r="U85"/>
  <c r="R86"/>
  <c r="U87"/>
  <c r="R88"/>
  <c r="M89"/>
  <c r="Q89"/>
  <c r="S89"/>
  <c r="U93"/>
  <c r="R94"/>
  <c r="U95"/>
  <c r="U96"/>
  <c r="O100"/>
  <c r="O121"/>
  <c r="U100"/>
  <c r="R101"/>
  <c r="R102"/>
  <c r="R103"/>
  <c r="U109"/>
  <c r="AP162"/>
  <c r="AP163"/>
  <c r="AP131"/>
  <c r="AP132"/>
  <c r="AP133"/>
  <c r="R72"/>
  <c r="R73"/>
  <c r="L77"/>
  <c r="L80"/>
  <c r="R77"/>
  <c r="R80"/>
  <c r="U79"/>
  <c r="U84"/>
  <c r="R85"/>
  <c r="U86"/>
  <c r="R87"/>
  <c r="U88"/>
  <c r="R93"/>
  <c r="U94"/>
  <c r="R95"/>
  <c r="R96"/>
  <c r="L100"/>
  <c r="R100"/>
  <c r="U103"/>
  <c r="R104"/>
  <c r="R105"/>
  <c r="R106"/>
  <c r="R107"/>
  <c r="R108"/>
  <c r="R109"/>
  <c r="AP144"/>
  <c r="R110"/>
  <c r="R111"/>
  <c r="U112"/>
  <c r="R113"/>
  <c r="R115"/>
  <c r="R116"/>
  <c r="U117"/>
  <c r="U118"/>
  <c r="U119"/>
  <c r="AP145"/>
  <c r="U111"/>
  <c r="R112"/>
  <c r="U116"/>
  <c r="R117"/>
  <c r="R118"/>
  <c r="R119"/>
  <c r="L121"/>
  <c r="L36"/>
  <c r="J136" i="3"/>
  <c r="J116"/>
  <c r="J108"/>
  <c r="J106"/>
  <c r="J100"/>
  <c r="J93"/>
  <c r="Q91"/>
  <c r="R91"/>
  <c r="J133"/>
  <c r="J129"/>
  <c r="J125"/>
  <c r="J94"/>
  <c r="J150"/>
  <c r="E111"/>
  <c r="E143"/>
  <c r="Q93"/>
  <c r="R93"/>
  <c r="J59"/>
  <c r="E60"/>
  <c r="F60"/>
  <c r="L12"/>
  <c r="L19"/>
  <c r="L35"/>
  <c r="M111"/>
  <c r="M143"/>
  <c r="M146"/>
  <c r="M165"/>
  <c r="H65"/>
  <c r="H75"/>
  <c r="H63"/>
  <c r="P82"/>
  <c r="P63"/>
  <c r="P165"/>
  <c r="P146"/>
  <c r="E148"/>
  <c r="E146"/>
  <c r="E65"/>
  <c r="E63"/>
  <c r="L142"/>
  <c r="L95"/>
  <c r="L102"/>
  <c r="L111"/>
  <c r="N105"/>
  <c r="N110"/>
  <c r="G110"/>
  <c r="G95"/>
  <c r="N90"/>
  <c r="N95"/>
  <c r="H110"/>
  <c r="O105"/>
  <c r="O110"/>
  <c r="J145"/>
  <c r="L145"/>
  <c r="Q145"/>
  <c r="R145"/>
  <c r="J118" i="2"/>
  <c r="J101"/>
  <c r="E28"/>
  <c r="E60"/>
  <c r="J118" i="3"/>
  <c r="J101"/>
  <c r="R136"/>
  <c r="M59"/>
  <c r="L12" i="2"/>
  <c r="J130" i="3"/>
  <c r="J126"/>
  <c r="J122"/>
  <c r="J91"/>
  <c r="J95"/>
  <c r="J102"/>
  <c r="J110"/>
  <c r="J111"/>
  <c r="J151"/>
  <c r="O59"/>
  <c r="O60"/>
  <c r="Q10"/>
  <c r="Q15"/>
  <c r="Q18"/>
  <c r="M19"/>
  <c r="M28"/>
  <c r="M60"/>
  <c r="F146"/>
  <c r="F148"/>
  <c r="F158"/>
  <c r="L27"/>
  <c r="Q22"/>
  <c r="Q27"/>
  <c r="G65"/>
  <c r="G75"/>
  <c r="G63"/>
  <c r="O90"/>
  <c r="O95"/>
  <c r="H95"/>
  <c r="N98"/>
  <c r="N101"/>
  <c r="G101"/>
  <c r="N114"/>
  <c r="N118"/>
  <c r="G118"/>
  <c r="H142"/>
  <c r="O121"/>
  <c r="N138"/>
  <c r="N164"/>
  <c r="H101"/>
  <c r="O98"/>
  <c r="O101"/>
  <c r="H118"/>
  <c r="O114"/>
  <c r="O118"/>
  <c r="G142"/>
  <c r="N121"/>
  <c r="O164"/>
  <c r="O138"/>
  <c r="J144"/>
  <c r="N144"/>
  <c r="Q144"/>
  <c r="R144"/>
  <c r="F65"/>
  <c r="F75"/>
  <c r="F63"/>
  <c r="J110" i="2"/>
  <c r="M111"/>
  <c r="J27"/>
  <c r="M28"/>
  <c r="L19"/>
  <c r="J19" i="3"/>
  <c r="J132"/>
  <c r="J128"/>
  <c r="J124"/>
  <c r="J153"/>
  <c r="J27"/>
  <c r="Q105"/>
  <c r="Q38"/>
  <c r="Q59"/>
  <c r="Q11"/>
  <c r="R94"/>
  <c r="N12"/>
  <c r="N19"/>
  <c r="N28"/>
  <c r="N60"/>
  <c r="F148" i="2"/>
  <c r="F158"/>
  <c r="F146"/>
  <c r="P165"/>
  <c r="P146"/>
  <c r="H65"/>
  <c r="H75"/>
  <c r="H63"/>
  <c r="E65"/>
  <c r="E63"/>
  <c r="O165"/>
  <c r="O146"/>
  <c r="H148"/>
  <c r="H158"/>
  <c r="H146"/>
  <c r="N165"/>
  <c r="N146"/>
  <c r="E111"/>
  <c r="E143"/>
  <c r="M59"/>
  <c r="M60"/>
  <c r="J19"/>
  <c r="J28"/>
  <c r="M142"/>
  <c r="M143"/>
  <c r="L101"/>
  <c r="L59"/>
  <c r="Q59"/>
  <c r="L142"/>
  <c r="Q142"/>
  <c r="R142"/>
  <c r="L110"/>
  <c r="L27"/>
  <c r="L28"/>
  <c r="F65"/>
  <c r="F75"/>
  <c r="F63"/>
  <c r="Q95"/>
  <c r="J95"/>
  <c r="J102"/>
  <c r="J111"/>
  <c r="J143"/>
  <c r="J59"/>
  <c r="J35"/>
  <c r="Q12"/>
  <c r="Q19"/>
  <c r="Q28"/>
  <c r="Q60"/>
  <c r="Q82"/>
  <c r="L118"/>
  <c r="L95"/>
  <c r="L102"/>
  <c r="L111"/>
  <c r="L143"/>
  <c r="L35"/>
  <c r="N12"/>
  <c r="N19"/>
  <c r="N28"/>
  <c r="N60"/>
  <c r="G36" i="1"/>
  <c r="F35"/>
  <c r="I97"/>
  <c r="S82"/>
  <c r="S90"/>
  <c r="Q82"/>
  <c r="Q90"/>
  <c r="M82"/>
  <c r="M90"/>
  <c r="K82"/>
  <c r="K90"/>
  <c r="L81"/>
  <c r="T90"/>
  <c r="T82"/>
  <c r="P90"/>
  <c r="P82"/>
  <c r="N90"/>
  <c r="N82"/>
  <c r="J90"/>
  <c r="J82"/>
  <c r="E19"/>
  <c r="E13"/>
  <c r="E75"/>
  <c r="O19"/>
  <c r="O13"/>
  <c r="E122"/>
  <c r="E123"/>
  <c r="E91"/>
  <c r="D19"/>
  <c r="D13"/>
  <c r="D75"/>
  <c r="T28"/>
  <c r="T20"/>
  <c r="Q28"/>
  <c r="Q20"/>
  <c r="N28"/>
  <c r="N20"/>
  <c r="K28"/>
  <c r="K20"/>
  <c r="S28"/>
  <c r="S20"/>
  <c r="P28"/>
  <c r="P20"/>
  <c r="M28"/>
  <c r="M20"/>
  <c r="J28"/>
  <c r="J20"/>
  <c r="R121"/>
  <c r="R97"/>
  <c r="U121"/>
  <c r="U97"/>
  <c r="R89"/>
  <c r="U74"/>
  <c r="R35"/>
  <c r="U27"/>
  <c r="I27"/>
  <c r="I89"/>
  <c r="I74"/>
  <c r="R12"/>
  <c r="F12"/>
  <c r="F80"/>
  <c r="F74"/>
  <c r="O81"/>
  <c r="O75"/>
  <c r="G19"/>
  <c r="G13"/>
  <c r="G81"/>
  <c r="G75"/>
  <c r="H19"/>
  <c r="H13"/>
  <c r="L19"/>
  <c r="H90"/>
  <c r="H82"/>
  <c r="U89"/>
  <c r="U80"/>
  <c r="R59"/>
  <c r="F59"/>
  <c r="R27"/>
  <c r="F27"/>
  <c r="F98"/>
  <c r="R74"/>
  <c r="U59"/>
  <c r="I59"/>
  <c r="U35"/>
  <c r="I35"/>
  <c r="AP92"/>
  <c r="I121"/>
  <c r="U18"/>
  <c r="I18"/>
  <c r="U12"/>
  <c r="I12"/>
  <c r="R18"/>
  <c r="F18"/>
  <c r="D81"/>
  <c r="K13"/>
  <c r="J13"/>
  <c r="Q102" i="2"/>
  <c r="R95"/>
  <c r="Q98" i="3"/>
  <c r="Q114"/>
  <c r="R114"/>
  <c r="N142"/>
  <c r="Q138"/>
  <c r="R138"/>
  <c r="L28"/>
  <c r="L60"/>
  <c r="L63"/>
  <c r="L143"/>
  <c r="L165"/>
  <c r="J28"/>
  <c r="J60"/>
  <c r="Q164"/>
  <c r="R164"/>
  <c r="Q12"/>
  <c r="Q19"/>
  <c r="Q28"/>
  <c r="Q60"/>
  <c r="Q82"/>
  <c r="J142"/>
  <c r="L82"/>
  <c r="Q101"/>
  <c r="R101"/>
  <c r="R98"/>
  <c r="Q118"/>
  <c r="R118"/>
  <c r="M82"/>
  <c r="M63"/>
  <c r="J143"/>
  <c r="O142"/>
  <c r="H102"/>
  <c r="H111"/>
  <c r="H143"/>
  <c r="G102"/>
  <c r="G111"/>
  <c r="G143"/>
  <c r="Q121"/>
  <c r="J63"/>
  <c r="N82"/>
  <c r="N63"/>
  <c r="Q110"/>
  <c r="R110"/>
  <c r="R105"/>
  <c r="O82"/>
  <c r="O63"/>
  <c r="E75"/>
  <c r="J65"/>
  <c r="J75"/>
  <c r="E158"/>
  <c r="L60" i="2"/>
  <c r="O102" i="3"/>
  <c r="O111"/>
  <c r="O143"/>
  <c r="N102"/>
  <c r="N111"/>
  <c r="N143"/>
  <c r="Q90"/>
  <c r="M165" i="2"/>
  <c r="M146"/>
  <c r="M63"/>
  <c r="M82"/>
  <c r="L82"/>
  <c r="L63"/>
  <c r="N82"/>
  <c r="N63"/>
  <c r="L165"/>
  <c r="L146"/>
  <c r="Q146"/>
  <c r="Q63"/>
  <c r="R146"/>
  <c r="E75"/>
  <c r="J65"/>
  <c r="J75"/>
  <c r="J60"/>
  <c r="E148"/>
  <c r="E146"/>
  <c r="J146"/>
  <c r="J63"/>
  <c r="F81" i="1"/>
  <c r="D90"/>
  <c r="D82"/>
  <c r="I19"/>
  <c r="I13"/>
  <c r="R81"/>
  <c r="R75"/>
  <c r="H28"/>
  <c r="H20"/>
  <c r="G82"/>
  <c r="G90"/>
  <c r="R19"/>
  <c r="R13"/>
  <c r="I81"/>
  <c r="I75"/>
  <c r="U81"/>
  <c r="U75"/>
  <c r="J60"/>
  <c r="J61"/>
  <c r="J29"/>
  <c r="M60"/>
  <c r="M61"/>
  <c r="M29"/>
  <c r="P60"/>
  <c r="P61"/>
  <c r="P29"/>
  <c r="S60"/>
  <c r="S61"/>
  <c r="S29"/>
  <c r="K60"/>
  <c r="K61"/>
  <c r="K29"/>
  <c r="N60"/>
  <c r="N61"/>
  <c r="N29"/>
  <c r="Q60"/>
  <c r="Q61"/>
  <c r="Q29"/>
  <c r="T60"/>
  <c r="T61"/>
  <c r="T29"/>
  <c r="D28"/>
  <c r="D20"/>
  <c r="L90"/>
  <c r="L82"/>
  <c r="K122"/>
  <c r="K123"/>
  <c r="K91"/>
  <c r="M91"/>
  <c r="M97"/>
  <c r="M98"/>
  <c r="Q122"/>
  <c r="Q123"/>
  <c r="Q91"/>
  <c r="S91"/>
  <c r="S97"/>
  <c r="S98"/>
  <c r="I36"/>
  <c r="L13"/>
  <c r="AP94"/>
  <c r="AP164"/>
  <c r="I98"/>
  <c r="U19"/>
  <c r="U13"/>
  <c r="H122"/>
  <c r="H123"/>
  <c r="H91"/>
  <c r="L28"/>
  <c r="L20"/>
  <c r="G28"/>
  <c r="G20"/>
  <c r="O82"/>
  <c r="O90"/>
  <c r="F90"/>
  <c r="F82"/>
  <c r="F19"/>
  <c r="F13"/>
  <c r="F75"/>
  <c r="O28"/>
  <c r="O20"/>
  <c r="E28"/>
  <c r="E20"/>
  <c r="J91"/>
  <c r="J97"/>
  <c r="J98"/>
  <c r="N122"/>
  <c r="N123"/>
  <c r="N91"/>
  <c r="P91"/>
  <c r="P97"/>
  <c r="P98"/>
  <c r="T122"/>
  <c r="T123"/>
  <c r="T91"/>
  <c r="U36"/>
  <c r="R36"/>
  <c r="AP136"/>
  <c r="AP138"/>
  <c r="U98"/>
  <c r="R98"/>
  <c r="L75"/>
  <c r="F36"/>
  <c r="L146" i="3"/>
  <c r="Q111" i="2"/>
  <c r="R102"/>
  <c r="Q95" i="3"/>
  <c r="R90"/>
  <c r="O165"/>
  <c r="O146"/>
  <c r="Q142"/>
  <c r="R142"/>
  <c r="R121"/>
  <c r="H146"/>
  <c r="H148"/>
  <c r="H158"/>
  <c r="N165"/>
  <c r="N146"/>
  <c r="Q146"/>
  <c r="G148"/>
  <c r="G146"/>
  <c r="Q63"/>
  <c r="E158" i="2"/>
  <c r="J148"/>
  <c r="J158"/>
  <c r="AP118" i="1"/>
  <c r="S122"/>
  <c r="S123"/>
  <c r="M122"/>
  <c r="M123"/>
  <c r="AP142"/>
  <c r="AP121"/>
  <c r="AP105"/>
  <c r="AP110"/>
  <c r="O122"/>
  <c r="O91"/>
  <c r="L122"/>
  <c r="L91"/>
  <c r="D60"/>
  <c r="D61"/>
  <c r="D29"/>
  <c r="U82"/>
  <c r="U90"/>
  <c r="I82"/>
  <c r="I90"/>
  <c r="R28"/>
  <c r="R20"/>
  <c r="H60"/>
  <c r="H61"/>
  <c r="H29"/>
  <c r="R90"/>
  <c r="R82"/>
  <c r="I28"/>
  <c r="I20"/>
  <c r="D91"/>
  <c r="D97"/>
  <c r="D98"/>
  <c r="AP114"/>
  <c r="E60"/>
  <c r="E61"/>
  <c r="E29"/>
  <c r="O60"/>
  <c r="O61"/>
  <c r="O29"/>
  <c r="F28"/>
  <c r="F20"/>
  <c r="F122"/>
  <c r="F91"/>
  <c r="G60"/>
  <c r="G61"/>
  <c r="G29"/>
  <c r="L60"/>
  <c r="L61"/>
  <c r="L29"/>
  <c r="U28"/>
  <c r="U20"/>
  <c r="AP101"/>
  <c r="AP98"/>
  <c r="AP90"/>
  <c r="G91"/>
  <c r="G97"/>
  <c r="G98"/>
  <c r="P122"/>
  <c r="P123"/>
  <c r="J122"/>
  <c r="J123"/>
  <c r="R146" i="3"/>
  <c r="Q143" i="2"/>
  <c r="R111"/>
  <c r="J146" i="3"/>
  <c r="G158"/>
  <c r="J148"/>
  <c r="J158"/>
  <c r="R95"/>
  <c r="Q102"/>
  <c r="D122" i="1"/>
  <c r="D123"/>
  <c r="G122"/>
  <c r="G123"/>
  <c r="AP95"/>
  <c r="U60"/>
  <c r="U61"/>
  <c r="U29"/>
  <c r="F123"/>
  <c r="F60"/>
  <c r="F61"/>
  <c r="F29"/>
  <c r="I60"/>
  <c r="I61"/>
  <c r="I29"/>
  <c r="R122"/>
  <c r="R91"/>
  <c r="R60"/>
  <c r="R61"/>
  <c r="R29"/>
  <c r="L123"/>
  <c r="O123"/>
  <c r="I122"/>
  <c r="I91"/>
  <c r="U122"/>
  <c r="U123"/>
  <c r="U91"/>
  <c r="Q165" i="2"/>
  <c r="R143"/>
  <c r="R102" i="3"/>
  <c r="Q111"/>
  <c r="I123" i="1"/>
  <c r="R123"/>
  <c r="AP102"/>
  <c r="AP146"/>
  <c r="R111" i="3"/>
  <c r="Q143"/>
  <c r="AP111" i="1"/>
  <c r="Q165" i="3"/>
  <c r="R165"/>
  <c r="R143"/>
  <c r="AP143" i="1"/>
  <c r="AP165"/>
</calcChain>
</file>

<file path=xl/comments1.xml><?xml version="1.0" encoding="utf-8"?>
<comments xmlns="http://schemas.openxmlformats.org/spreadsheetml/2006/main">
  <authors>
    <author xml:space="preserve"> </author>
  </authors>
  <commentList>
    <comment ref="E67" authorId="0">
      <text>
        <r>
          <rPr>
            <b/>
            <sz val="8"/>
            <color indexed="81"/>
            <rFont val="Tahoma"/>
            <family val="2"/>
          </rPr>
          <t>Bruno Gosset - Janvier a Mars 2010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Salaire Janvier £22677 moins prevu £14000
Salaire Fevrier £5767
Salaire Mars £5767
(charges patronales incluses)</t>
        </r>
      </text>
    </comment>
    <comment ref="F67" authorId="0">
      <text>
        <r>
          <rPr>
            <b/>
            <sz val="8"/>
            <color indexed="81"/>
            <rFont val="Tahoma"/>
            <family val="2"/>
          </rPr>
          <t>Caroline Lambert.
Salaire cumulatif fin Juin £34718
+ €500 par mois de frais de consultant (€6000 pa)</t>
        </r>
      </text>
    </comment>
    <comment ref="G67" authorId="0">
      <text>
        <r>
          <rPr>
            <b/>
            <sz val="8"/>
            <color indexed="81"/>
            <rFont val="Tahoma"/>
            <family val="2"/>
          </rPr>
          <t xml:space="preserve">Salaire annuel Mme Estienne £12000
Salaire annuel Mr Jean estienne £12000
Salaire annuel Valerie Hassett £7200
</t>
        </r>
      </text>
    </comment>
    <comment ref="F68" authorId="0">
      <text>
        <r>
          <rPr>
            <b/>
            <sz val="8"/>
            <color indexed="81"/>
            <rFont val="Tahoma"/>
            <family val="2"/>
          </rPr>
          <t>Caroline Lambert.
+ 33% des frais de deplacement = £2738
+ 50% des frais divers = £2256</t>
        </r>
      </text>
    </comment>
    <comment ref="E69" authorId="0">
      <text>
        <r>
          <rPr>
            <b/>
            <sz val="8"/>
            <color indexed="81"/>
            <rFont val="Tahoma"/>
            <family val="2"/>
          </rPr>
          <t xml:space="preserve"> Frais de deplacment par voiture = moyenant £1400 par mois x 12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69" authorId="0">
      <text>
        <r>
          <rPr>
            <b/>
            <sz val="8"/>
            <color indexed="81"/>
            <rFont val="Tahoma"/>
            <family val="2"/>
          </rPr>
          <t xml:space="preserve">Frais de voiture de Valerie Hassett moyenant £750 par mois  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72" authorId="0">
      <text>
        <r>
          <rPr>
            <b/>
            <sz val="8"/>
            <color indexed="81"/>
            <rFont val="Tahoma"/>
            <family val="2"/>
          </rPr>
          <t xml:space="preserve">Gammes Country Life/Desert Essence + 2 minoretaires demarrant au 1 Avril 2010. Ajouter une estimation de 3 mois
</t>
        </r>
      </text>
    </comment>
    <comment ref="E74" authorId="0">
      <text>
        <r>
          <rPr>
            <b/>
            <sz val="8"/>
            <color indexed="81"/>
            <rFont val="Tahoma"/>
            <family val="2"/>
          </rPr>
          <t>Penalités sur le remboursement des 2 credits Barclays - restructuration de la HSBC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50" authorId="0">
      <text>
        <r>
          <rPr>
            <b/>
            <sz val="8"/>
            <color indexed="81"/>
            <rFont val="Tahoma"/>
            <family val="2"/>
          </rPr>
          <t>Bruno Gosset - Janvier a Mars 2010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Salaire Janvier £22677 moins prevu £14000
Salaire Fevrier £5767
Salaire Mars £5767
(charges patronales incluses)</t>
        </r>
      </text>
    </comment>
    <comment ref="F150" authorId="0">
      <text>
        <r>
          <rPr>
            <b/>
            <sz val="8"/>
            <color indexed="81"/>
            <rFont val="Tahoma"/>
            <family val="2"/>
          </rPr>
          <t>Caroline Lambert.
Salaire cumulatif fin Juin €34718
+ €500 par mois de frais de consultant (€6000 pa)</t>
        </r>
      </text>
    </comment>
    <comment ref="G150" authorId="0">
      <text>
        <r>
          <rPr>
            <b/>
            <sz val="8"/>
            <color indexed="81"/>
            <rFont val="Tahoma"/>
            <family val="2"/>
          </rPr>
          <t xml:space="preserve">Salaire annuel Mme Estienne £12000
Salaire annuel Mr Jean estienne £12000
Salaire annuel Valerie Hassett £7200
</t>
        </r>
      </text>
    </comment>
    <comment ref="F151" authorId="0">
      <text>
        <r>
          <rPr>
            <b/>
            <sz val="8"/>
            <color indexed="81"/>
            <rFont val="Tahoma"/>
            <family val="2"/>
          </rPr>
          <t>Caroline Lambert.
+ 33% des frais de deplacement = £2738
+ 50% des frais divers = £2256</t>
        </r>
      </text>
    </comment>
    <comment ref="E152" authorId="0">
      <text>
        <r>
          <rPr>
            <b/>
            <sz val="8"/>
            <color indexed="81"/>
            <rFont val="Tahoma"/>
            <family val="2"/>
          </rPr>
          <t xml:space="preserve"> Frais de deplacment par voiture = moyenant £1400 par mois x 12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52" authorId="0">
      <text>
        <r>
          <rPr>
            <b/>
            <sz val="8"/>
            <color indexed="81"/>
            <rFont val="Tahoma"/>
            <family val="2"/>
          </rPr>
          <t xml:space="preserve">Frais de voiture de Valerie Hassett moyenant £750 par mois  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55" authorId="0">
      <text>
        <r>
          <rPr>
            <b/>
            <sz val="8"/>
            <color indexed="81"/>
            <rFont val="Tahoma"/>
            <family val="2"/>
          </rPr>
          <t xml:space="preserve">Gammes Country Life/Desert Essence + 2 minoretaires demarrant au 1 Avril 2010. Ajouter une estimation de 3 mois
</t>
        </r>
      </text>
    </comment>
    <comment ref="E157" authorId="0">
      <text>
        <r>
          <rPr>
            <b/>
            <sz val="8"/>
            <color indexed="81"/>
            <rFont val="Tahoma"/>
            <family val="2"/>
          </rPr>
          <t>Penalités sur le remboursement des 2 credits Barclays - restructuration de la HSBC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F67" authorId="0">
      <text>
        <r>
          <rPr>
            <b/>
            <sz val="8"/>
            <color indexed="81"/>
            <rFont val="Tahoma"/>
            <family val="2"/>
          </rPr>
          <t>Caroline Lambert.
Salaire cumulatif fin Juin £34718
+ €500 par mois de frais de consultant (€6000 pa)</t>
        </r>
      </text>
    </comment>
    <comment ref="G67" authorId="0">
      <text>
        <r>
          <rPr>
            <b/>
            <sz val="8"/>
            <color indexed="81"/>
            <rFont val="Tahoma"/>
            <family val="2"/>
          </rPr>
          <t xml:space="preserve">Salaire annuel Mme Estienne £12000
Salaire annuel Mr Jean estienne £12000
Salaire annuel Valerie Hassett £7200
</t>
        </r>
      </text>
    </comment>
    <comment ref="F68" authorId="0">
      <text>
        <r>
          <rPr>
            <b/>
            <sz val="8"/>
            <color indexed="81"/>
            <rFont val="Tahoma"/>
            <family val="2"/>
          </rPr>
          <t>Caroline Lambert.
+ 33% des frais de deplacement = £2738
+ 50% des frais divers = £2256</t>
        </r>
      </text>
    </comment>
    <comment ref="E69" authorId="0">
      <text>
        <r>
          <rPr>
            <b/>
            <sz val="8"/>
            <color indexed="81"/>
            <rFont val="Tahoma"/>
            <family val="2"/>
          </rPr>
          <t xml:space="preserve"> Frais de deplacment par voiture = moyenant £1400 par mois x 12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69" authorId="0">
      <text>
        <r>
          <rPr>
            <b/>
            <sz val="8"/>
            <color indexed="81"/>
            <rFont val="Tahoma"/>
            <family val="2"/>
          </rPr>
          <t xml:space="preserve">Frais de voiture de Valerie Hassett moyenant £750 par mois  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71" authorId="0">
      <text>
        <r>
          <rPr>
            <b/>
            <sz val="8"/>
            <color indexed="81"/>
            <rFont val="Tahoma"/>
            <family val="2"/>
          </rPr>
          <t xml:space="preserve"> Bruno Gosset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<sst xmlns="http://schemas.openxmlformats.org/spreadsheetml/2006/main" count="612" uniqueCount="200">
  <si>
    <t>NATURAL DISTRIBUTION</t>
  </si>
  <si>
    <t>SUMMARY OF RESULTS 2006-2010</t>
  </si>
  <si>
    <t>CONFIDENTIAL</t>
  </si>
  <si>
    <t>TRADING COMPANIES</t>
  </si>
  <si>
    <t>2006 actual</t>
  </si>
  <si>
    <t>2007 actual</t>
  </si>
  <si>
    <t>2008 actual</t>
  </si>
  <si>
    <t>2009 actual</t>
  </si>
  <si>
    <t>2010 actual</t>
  </si>
  <si>
    <t>2011 budget</t>
  </si>
  <si>
    <t>Sante</t>
  </si>
  <si>
    <t>Wisdom</t>
  </si>
  <si>
    <t>Total</t>
  </si>
  <si>
    <t>Verte</t>
  </si>
  <si>
    <t>of Nature</t>
  </si>
  <si>
    <t>£000</t>
  </si>
  <si>
    <t>Sales</t>
  </si>
  <si>
    <t>Distribution Income</t>
  </si>
  <si>
    <t>Discounts Allowed</t>
  </si>
  <si>
    <t>Sundry Income</t>
  </si>
  <si>
    <t>Agency Commissions</t>
  </si>
  <si>
    <t>TURNOVER</t>
  </si>
  <si>
    <t>Annual change =</t>
  </si>
  <si>
    <t>COST OF SALES</t>
  </si>
  <si>
    <t>Purchases (adjusted for stock)</t>
  </si>
  <si>
    <t>Freight, duty and handling costs</t>
  </si>
  <si>
    <t>Labels and boxes</t>
  </si>
  <si>
    <t>GROSS MARGIN</t>
  </si>
  <si>
    <t>Gross margin =</t>
  </si>
  <si>
    <t>SALES AND DISTRIBUTION COSTS</t>
  </si>
  <si>
    <t>Carriage out and packaging</t>
  </si>
  <si>
    <t>Sales staff (France)</t>
  </si>
  <si>
    <t>Sales and export staff</t>
  </si>
  <si>
    <t>Warehouse staff</t>
  </si>
  <si>
    <t>Sales commissions</t>
  </si>
  <si>
    <t>OPERATING MARGIN</t>
  </si>
  <si>
    <t>Operating margin =</t>
  </si>
  <si>
    <t>MARKETING</t>
  </si>
  <si>
    <t>Payroll and employment costs</t>
  </si>
  <si>
    <t>not available</t>
  </si>
  <si>
    <t>Leaflets and catalogues</t>
  </si>
  <si>
    <t>Sales promotion</t>
  </si>
  <si>
    <t>Advertising &amp; Exhibitions</t>
  </si>
  <si>
    <t>CENTRAL COSTS AND OVERHEADS</t>
  </si>
  <si>
    <t>Management Charges</t>
  </si>
  <si>
    <t>Recruitment &amp; Training Costs</t>
  </si>
  <si>
    <t>Travel, subsistence and motor expenses</t>
  </si>
  <si>
    <t>Telephone Charges</t>
  </si>
  <si>
    <t>Entertainment</t>
  </si>
  <si>
    <t>Printing, stationery and postage</t>
  </si>
  <si>
    <t>Subscriptions</t>
  </si>
  <si>
    <t>Computer Expenses</t>
  </si>
  <si>
    <t>General Expenses</t>
  </si>
  <si>
    <t>Repairs and Renewals</t>
  </si>
  <si>
    <t>Insurance</t>
  </si>
  <si>
    <t>Rent and rates</t>
  </si>
  <si>
    <t>Utility charges and premises maintenance</t>
  </si>
  <si>
    <t>Equipment hire</t>
  </si>
  <si>
    <t>Bank Interest and charges</t>
  </si>
  <si>
    <t>Professional, audit and accountancy</t>
  </si>
  <si>
    <t>Depreciation</t>
  </si>
  <si>
    <t>Bad Debts</t>
  </si>
  <si>
    <t>Exchange differences</t>
  </si>
  <si>
    <t>Waiver of intercompany loan</t>
  </si>
  <si>
    <t>TOTAL CENTRAL COSTS</t>
  </si>
  <si>
    <t>NET PROFIT/(LOSS) BEFORE TAX</t>
  </si>
  <si>
    <t>GROUPE NATURAL DISTRIBUTION</t>
  </si>
  <si>
    <t>COMPTES D'EXPLOITATION 2006 - 2011</t>
  </si>
  <si>
    <t>CONFIDENTIEL</t>
  </si>
  <si>
    <t>SOCIETES EN ACTIVITES</t>
  </si>
  <si>
    <t>2006 actuel</t>
  </si>
  <si>
    <t>2007 actuel</t>
  </si>
  <si>
    <t>2008 actuel</t>
  </si>
  <si>
    <t>2009 actuel</t>
  </si>
  <si>
    <t>2010 actuel</t>
  </si>
  <si>
    <t>£/euro =</t>
  </si>
  <si>
    <t>€000</t>
  </si>
  <si>
    <t>Vente de produits</t>
  </si>
  <si>
    <t>Distribution</t>
  </si>
  <si>
    <t>Remises</t>
  </si>
  <si>
    <t>Autres revenus</t>
  </si>
  <si>
    <t>Commissions d'agence</t>
  </si>
  <si>
    <t>CHIFFRE D'AFFAIRE TOTAL</t>
  </si>
  <si>
    <t>Changement annuel =</t>
  </si>
  <si>
    <t>COUTS DE REVIENT</t>
  </si>
  <si>
    <t>Achat de produits</t>
  </si>
  <si>
    <t>Transport et douane</t>
  </si>
  <si>
    <t>Etiquettes et boites</t>
  </si>
  <si>
    <t>MARGE BRUTE</t>
  </si>
  <si>
    <t>Marge brute en pourcentage =</t>
  </si>
  <si>
    <t>FRAIS DE VENTE ET DISTRIBUTION</t>
  </si>
  <si>
    <t>Frais de distribution et emballage</t>
  </si>
  <si>
    <t>Force de vente (France)</t>
  </si>
  <si>
    <t>Salaires export et force de vente Angleterre</t>
  </si>
  <si>
    <t>Personnel entrepot</t>
  </si>
  <si>
    <t>Commissions</t>
  </si>
  <si>
    <t>MARGE D'EXPLOITATION</t>
  </si>
  <si>
    <t>Marge d'exploitation % =</t>
  </si>
  <si>
    <t>Salaires et charges sociales</t>
  </si>
  <si>
    <t>Prospectus et catalogues</t>
  </si>
  <si>
    <t>Promotion et frais de developpement</t>
  </si>
  <si>
    <t>Marketing et salons</t>
  </si>
  <si>
    <t>FRAIS DE GESTION</t>
  </si>
  <si>
    <t>Frais de gestion de La Holdings</t>
  </si>
  <si>
    <t>Recrutement et formation</t>
  </si>
  <si>
    <t>Frais de deplacement et de voitures</t>
  </si>
  <si>
    <t>Telephone et fax</t>
  </si>
  <si>
    <t>Frais de representation et d'hote</t>
  </si>
  <si>
    <t>Imprimerie, papeterie et affranchissement</t>
  </si>
  <si>
    <t>Abonnements</t>
  </si>
  <si>
    <t>Frais d'informatique</t>
  </si>
  <si>
    <t>Frais generaux</t>
  </si>
  <si>
    <t>Reparations</t>
  </si>
  <si>
    <t>Assurances</t>
  </si>
  <si>
    <t>Loyer et charges du batiment (inclus maintenance)</t>
  </si>
  <si>
    <t>Electricite et gaz</t>
  </si>
  <si>
    <t>Financement d'equipement</t>
  </si>
  <si>
    <t>Frais bancaires et interet</t>
  </si>
  <si>
    <t>Frais professionel, conseil et audit</t>
  </si>
  <si>
    <t>Amortissement</t>
  </si>
  <si>
    <t>Impayes</t>
  </si>
  <si>
    <t>Differences monetaires</t>
  </si>
  <si>
    <t>Renonciation de pret</t>
  </si>
  <si>
    <t>FRAIS DE GESTION TOTAL</t>
  </si>
  <si>
    <t>BENEFICES NET</t>
  </si>
  <si>
    <t>NATURAL DISTRIBUTION GROUP</t>
  </si>
  <si>
    <t>PROFIT &amp; LOSS ACCOUNT 2010</t>
  </si>
  <si>
    <t>FORECAST PROFIT &amp; LOSS ACCOUNT 2011</t>
  </si>
  <si>
    <t>2010 adjusted results</t>
  </si>
  <si>
    <t>2011 forecast</t>
  </si>
  <si>
    <t>2011 adjusted forecast</t>
  </si>
  <si>
    <t>"Holdings"</t>
  </si>
  <si>
    <t>"Properties"</t>
  </si>
  <si>
    <t>Consolidation</t>
  </si>
  <si>
    <t>Group</t>
  </si>
  <si>
    <t>Unit E</t>
  </si>
  <si>
    <t xml:space="preserve"> Units 3&amp;4</t>
  </si>
  <si>
    <t>adjustments</t>
  </si>
  <si>
    <t>Rental income</t>
  </si>
  <si>
    <t>DIVIDENDS RECEIVED</t>
  </si>
  <si>
    <t>DIVIDENDS PAID</t>
  </si>
  <si>
    <t>NET PROFIT AFTER DIVIDENDS (BEFORE TAX)</t>
  </si>
  <si>
    <t>NET PROFITS/LOSSES</t>
  </si>
  <si>
    <t>Adjustments</t>
  </si>
  <si>
    <t>(1) Family remuneration (including social security)</t>
  </si>
  <si>
    <t>(2) Avoidable travel and entertaining charges</t>
  </si>
  <si>
    <t>estimate</t>
  </si>
  <si>
    <t>(3) Avoidable car costs</t>
  </si>
  <si>
    <t>(4) 6 weeks additional rent for new warehouse</t>
  </si>
  <si>
    <t>(4) Estimated excess rentals</t>
  </si>
  <si>
    <t>(5) Estimated excess rental for Unit E</t>
  </si>
  <si>
    <t>(6) launch of Country Life / Desert Essence brands</t>
  </si>
  <si>
    <t>(7) Investment in Pharmacies sales force</t>
  </si>
  <si>
    <t>inclus dans la revision financiere</t>
  </si>
  <si>
    <t>(8) Penalty on early repayment of fixed rate mortgage</t>
  </si>
  <si>
    <t>REVISED NET PROFITS</t>
  </si>
  <si>
    <t>FURTHER ADJUSTMENTS</t>
  </si>
  <si>
    <t>2010 REVISION</t>
  </si>
  <si>
    <t>2011 ADJUSTED EBITDA</t>
  </si>
  <si>
    <t>Financial costs</t>
  </si>
  <si>
    <t>Bank interest</t>
  </si>
  <si>
    <t>Bank interest on mortgages</t>
  </si>
  <si>
    <t>EBITDA</t>
  </si>
  <si>
    <t>COMPTES D'EXPLOITATION 2010</t>
  </si>
  <si>
    <t>2010 ACTUEL</t>
  </si>
  <si>
    <t>2010 REVISE</t>
  </si>
  <si>
    <t>2011 previsionel</t>
  </si>
  <si>
    <t>2011 Revisé</t>
  </si>
  <si>
    <t>Ajustements</t>
  </si>
  <si>
    <t>a la</t>
  </si>
  <si>
    <t>Consolidé</t>
  </si>
  <si>
    <t>consolidation</t>
  </si>
  <si>
    <t>Loyer</t>
  </si>
  <si>
    <t>Loyer et charges du batiment</t>
  </si>
  <si>
    <t>Differences monetaires (pertes et gains sur les taux d'echange)</t>
  </si>
  <si>
    <t>DIVIDENDES RECUS</t>
  </si>
  <si>
    <t>DIVIDENDES VERSES</t>
  </si>
  <si>
    <t>BENEFICES APRES DIVIDENDES (AVANT IMPOTS)</t>
  </si>
  <si>
    <t>BENEFICES NET PREVUS</t>
  </si>
  <si>
    <t>(1) Salaires de famille (plus charges patronales)</t>
  </si>
  <si>
    <t>(2) Frais de deplacement/resto/location personnels</t>
  </si>
  <si>
    <t>estimation</t>
  </si>
  <si>
    <t>(3) Frais de voiture de la famille</t>
  </si>
  <si>
    <t>(4) 6 semaines de loyer manquant au nouveau batiment</t>
  </si>
  <si>
    <t>(4) Location de batiment sur-chargé (estimation)</t>
  </si>
  <si>
    <t>(5) Location de batiment sur-chargé (estimation)</t>
  </si>
  <si>
    <t>(7) Investissement force de vente Pharma</t>
  </si>
  <si>
    <t>(8) Penalité de remboursement de credit</t>
  </si>
  <si>
    <t>BENEFICES DE BASE</t>
  </si>
  <si>
    <t>AJUSTEMENTS SUPPLEMENTAIRES</t>
  </si>
  <si>
    <t>2011 REVISIONS EBITDA</t>
  </si>
  <si>
    <t>Frais financiers</t>
  </si>
  <si>
    <t>Interets bancaires</t>
  </si>
  <si>
    <t>Interets bancaires - hypotheque</t>
  </si>
  <si>
    <t>COMPTES D'EXPLOITATION PREVISIONELS 2011</t>
  </si>
  <si>
    <t>£ STERLING</t>
  </si>
  <si>
    <t>€ EURO</t>
  </si>
  <si>
    <t>(6) Lancement des gammes Country Life / Desert Essence</t>
  </si>
  <si>
    <t>(4) Avoidable professional charges</t>
  </si>
  <si>
    <t>(5) Frais professionels a eviter</t>
  </si>
</sst>
</file>

<file path=xl/styles.xml><?xml version="1.0" encoding="utf-8"?>
<styleSheet xmlns="http://schemas.openxmlformats.org/spreadsheetml/2006/main">
  <numFmts count="9">
    <numFmt numFmtId="164" formatCode="&quot;£&quot;#,##0;[Red]\-&quot;£&quot;#,##0"/>
    <numFmt numFmtId="165" formatCode="#,##0.0;\(#,##0.0\)"/>
    <numFmt numFmtId="166" formatCode="0.0%"/>
    <numFmt numFmtId="167" formatCode="#,##0;\(#,##0\)"/>
    <numFmt numFmtId="168" formatCode="0.0000"/>
    <numFmt numFmtId="169" formatCode="&quot;£&quot;#,##0.0;\(&quot;£&quot;#,##0.0\)"/>
    <numFmt numFmtId="170" formatCode="\€#,##0.0;\(\€#,##0.0\)"/>
    <numFmt numFmtId="171" formatCode="&quot;£&quot;#,##0.00"/>
    <numFmt numFmtId="172" formatCode="\€#,##0;\(\€#,##0\)"/>
  </numFmts>
  <fonts count="21">
    <font>
      <sz val="11"/>
      <color theme="1"/>
      <name val="Calibri"/>
      <family val="2"/>
      <scheme val="minor"/>
    </font>
    <font>
      <b/>
      <i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10"/>
      <color indexed="12"/>
      <name val="Arial"/>
      <family val="2"/>
    </font>
    <font>
      <b/>
      <sz val="10"/>
      <name val="Arial Narrow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0"/>
      <color indexed="12"/>
      <name val="Arial"/>
      <family val="2"/>
    </font>
    <font>
      <sz val="10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 applyAlignment="1">
      <alignment horizontal="right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2" fillId="0" borderId="0" xfId="0" applyFont="1"/>
    <xf numFmtId="0" fontId="2" fillId="2" borderId="4" xfId="0" applyFont="1" applyFill="1" applyBorder="1" applyAlignment="1">
      <alignment horizontal="center"/>
    </xf>
    <xf numFmtId="0" fontId="2" fillId="2" borderId="4" xfId="0" quotePrefix="1" applyFont="1" applyFill="1" applyBorder="1" applyAlignment="1">
      <alignment horizontal="center"/>
    </xf>
    <xf numFmtId="165" fontId="3" fillId="0" borderId="5" xfId="0" applyNumberFormat="1" applyFont="1" applyBorder="1"/>
    <xf numFmtId="165" fontId="3" fillId="0" borderId="0" xfId="0" applyNumberFormat="1" applyFont="1" applyBorder="1"/>
    <xf numFmtId="165" fontId="2" fillId="2" borderId="4" xfId="0" applyNumberFormat="1" applyFont="1" applyFill="1" applyBorder="1"/>
    <xf numFmtId="165" fontId="4" fillId="0" borderId="0" xfId="0" applyNumberFormat="1" applyFont="1" applyBorder="1"/>
    <xf numFmtId="0" fontId="5" fillId="0" borderId="0" xfId="0" applyFont="1"/>
    <xf numFmtId="165" fontId="2" fillId="2" borderId="6" xfId="0" applyNumberFormat="1" applyFont="1" applyFill="1" applyBorder="1"/>
    <xf numFmtId="165" fontId="2" fillId="2" borderId="7" xfId="0" applyNumberFormat="1" applyFont="1" applyFill="1" applyBorder="1"/>
    <xf numFmtId="165" fontId="2" fillId="2" borderId="8" xfId="0" applyNumberFormat="1" applyFont="1" applyFill="1" applyBorder="1"/>
    <xf numFmtId="0" fontId="6" fillId="0" borderId="0" xfId="0" applyFont="1" applyAlignment="1">
      <alignment horizontal="right"/>
    </xf>
    <xf numFmtId="166" fontId="6" fillId="0" borderId="5" xfId="0" applyNumberFormat="1" applyFont="1" applyBorder="1"/>
    <xf numFmtId="166" fontId="6" fillId="0" borderId="0" xfId="0" applyNumberFormat="1" applyFont="1" applyBorder="1"/>
    <xf numFmtId="166" fontId="6" fillId="2" borderId="4" xfId="0" applyNumberFormat="1" applyFont="1" applyFill="1" applyBorder="1"/>
    <xf numFmtId="0" fontId="2" fillId="2" borderId="4" xfId="0" applyFont="1" applyFill="1" applyBorder="1"/>
    <xf numFmtId="9" fontId="6" fillId="0" borderId="5" xfId="0" applyNumberFormat="1" applyFont="1" applyBorder="1"/>
    <xf numFmtId="166" fontId="7" fillId="2" borderId="4" xfId="0" applyNumberFormat="1" applyFont="1" applyFill="1" applyBorder="1"/>
    <xf numFmtId="165" fontId="5" fillId="0" borderId="0" xfId="0" applyNumberFormat="1" applyFont="1" applyBorder="1"/>
    <xf numFmtId="165" fontId="2" fillId="2" borderId="9" xfId="0" applyNumberFormat="1" applyFont="1" applyFill="1" applyBorder="1"/>
    <xf numFmtId="165" fontId="2" fillId="2" borderId="10" xfId="0" applyNumberFormat="1" applyFont="1" applyFill="1" applyBorder="1"/>
    <xf numFmtId="165" fontId="2" fillId="2" borderId="11" xfId="0" applyNumberFormat="1" applyFont="1" applyFill="1" applyBorder="1"/>
    <xf numFmtId="0" fontId="6" fillId="0" borderId="0" xfId="0" applyFont="1"/>
    <xf numFmtId="166" fontId="7" fillId="0" borderId="5" xfId="0" applyNumberFormat="1" applyFont="1" applyBorder="1"/>
    <xf numFmtId="166" fontId="7" fillId="0" borderId="0" xfId="0" applyNumberFormat="1" applyFont="1" applyBorder="1"/>
    <xf numFmtId="165" fontId="4" fillId="0" borderId="5" xfId="0" applyNumberFormat="1" applyFont="1" applyBorder="1"/>
    <xf numFmtId="166" fontId="6" fillId="0" borderId="12" xfId="0" applyNumberFormat="1" applyFont="1" applyBorder="1"/>
    <xf numFmtId="166" fontId="6" fillId="0" borderId="13" xfId="0" applyNumberFormat="1" applyFont="1" applyBorder="1"/>
    <xf numFmtId="166" fontId="6" fillId="2" borderId="14" xfId="0" applyNumberFormat="1" applyFont="1" applyFill="1" applyBorder="1"/>
    <xf numFmtId="0" fontId="2" fillId="0" borderId="0" xfId="0" applyFont="1" applyAlignment="1">
      <alignment horizontal="left"/>
    </xf>
    <xf numFmtId="0" fontId="5" fillId="0" borderId="5" xfId="0" applyFont="1" applyBorder="1"/>
    <xf numFmtId="0" fontId="5" fillId="0" borderId="0" xfId="0" applyFont="1" applyBorder="1"/>
    <xf numFmtId="165" fontId="5" fillId="0" borderId="0" xfId="0" applyNumberFormat="1" applyFont="1" applyFill="1" applyBorder="1"/>
    <xf numFmtId="165" fontId="2" fillId="2" borderId="15" xfId="0" applyNumberFormat="1" applyFont="1" applyFill="1" applyBorder="1"/>
    <xf numFmtId="165" fontId="2" fillId="2" borderId="16" xfId="0" applyNumberFormat="1" applyFont="1" applyFill="1" applyBorder="1"/>
    <xf numFmtId="166" fontId="7" fillId="0" borderId="0" xfId="0" applyNumberFormat="1" applyFont="1"/>
    <xf numFmtId="0" fontId="1" fillId="0" borderId="0" xfId="0" applyFont="1"/>
    <xf numFmtId="0" fontId="2" fillId="0" borderId="0" xfId="0" applyFont="1" applyFill="1"/>
    <xf numFmtId="0" fontId="9" fillId="0" borderId="0" xfId="0" applyFont="1"/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0" borderId="5" xfId="0" quotePrefix="1" applyNumberFormat="1" applyFont="1" applyBorder="1" applyAlignment="1">
      <alignment horizontal="center"/>
    </xf>
    <xf numFmtId="164" fontId="5" fillId="0" borderId="0" xfId="0" quotePrefix="1" applyNumberFormat="1" applyFont="1" applyBorder="1" applyAlignment="1">
      <alignment horizontal="center"/>
    </xf>
    <xf numFmtId="164" fontId="5" fillId="0" borderId="5" xfId="0" quotePrefix="1" applyNumberFormat="1" applyFont="1" applyFill="1" applyBorder="1" applyAlignment="1">
      <alignment horizontal="center"/>
    </xf>
    <xf numFmtId="164" fontId="5" fillId="0" borderId="0" xfId="0" quotePrefix="1" applyNumberFormat="1" applyFont="1" applyFill="1" applyBorder="1" applyAlignment="1">
      <alignment horizontal="center"/>
    </xf>
    <xf numFmtId="164" fontId="5" fillId="3" borderId="5" xfId="0" quotePrefix="1" applyNumberFormat="1" applyFont="1" applyFill="1" applyBorder="1" applyAlignment="1">
      <alignment horizontal="center"/>
    </xf>
    <xf numFmtId="164" fontId="5" fillId="3" borderId="0" xfId="0" quotePrefix="1" applyNumberFormat="1" applyFont="1" applyFill="1" applyBorder="1" applyAlignment="1">
      <alignment horizontal="center"/>
    </xf>
    <xf numFmtId="165" fontId="3" fillId="0" borderId="5" xfId="0" applyNumberFormat="1" applyFont="1" applyFill="1" applyBorder="1"/>
    <xf numFmtId="165" fontId="3" fillId="0" borderId="0" xfId="0" applyNumberFormat="1" applyFont="1" applyFill="1" applyBorder="1"/>
    <xf numFmtId="165" fontId="3" fillId="3" borderId="5" xfId="0" applyNumberFormat="1" applyFont="1" applyFill="1" applyBorder="1"/>
    <xf numFmtId="165" fontId="3" fillId="3" borderId="0" xfId="0" applyNumberFormat="1" applyFont="1" applyFill="1" applyBorder="1"/>
    <xf numFmtId="165" fontId="5" fillId="2" borderId="6" xfId="0" applyNumberFormat="1" applyFont="1" applyFill="1" applyBorder="1"/>
    <xf numFmtId="165" fontId="5" fillId="2" borderId="7" xfId="0" applyNumberFormat="1" applyFont="1" applyFill="1" applyBorder="1"/>
    <xf numFmtId="166" fontId="6" fillId="0" borderId="5" xfId="0" applyNumberFormat="1" applyFont="1" applyFill="1" applyBorder="1"/>
    <xf numFmtId="166" fontId="6" fillId="0" borderId="0" xfId="0" applyNumberFormat="1" applyFont="1" applyFill="1" applyBorder="1"/>
    <xf numFmtId="166" fontId="6" fillId="3" borderId="5" xfId="0" applyNumberFormat="1" applyFont="1" applyFill="1" applyBorder="1"/>
    <xf numFmtId="166" fontId="6" fillId="3" borderId="0" xfId="0" applyNumberFormat="1" applyFont="1" applyFill="1" applyBorder="1"/>
    <xf numFmtId="167" fontId="5" fillId="0" borderId="5" xfId="0" applyNumberFormat="1" applyFont="1" applyBorder="1"/>
    <xf numFmtId="167" fontId="5" fillId="0" borderId="5" xfId="0" applyNumberFormat="1" applyFont="1" applyFill="1" applyBorder="1"/>
    <xf numFmtId="0" fontId="5" fillId="0" borderId="0" xfId="0" applyFont="1" applyFill="1" applyBorder="1"/>
    <xf numFmtId="167" fontId="5" fillId="3" borderId="5" xfId="0" applyNumberFormat="1" applyFont="1" applyFill="1" applyBorder="1"/>
    <xf numFmtId="0" fontId="5" fillId="3" borderId="0" xfId="0" applyFont="1" applyFill="1" applyBorder="1"/>
    <xf numFmtId="165" fontId="5" fillId="2" borderId="9" xfId="0" applyNumberFormat="1" applyFont="1" applyFill="1" applyBorder="1"/>
    <xf numFmtId="165" fontId="5" fillId="2" borderId="10" xfId="0" applyNumberFormat="1" applyFont="1" applyFill="1" applyBorder="1"/>
    <xf numFmtId="0" fontId="5" fillId="0" borderId="5" xfId="0" applyFont="1" applyFill="1" applyBorder="1"/>
    <xf numFmtId="0" fontId="5" fillId="3" borderId="5" xfId="0" applyFont="1" applyFill="1" applyBorder="1"/>
    <xf numFmtId="165" fontId="5" fillId="0" borderId="5" xfId="0" applyNumberFormat="1" applyFont="1" applyFill="1" applyBorder="1"/>
    <xf numFmtId="165" fontId="4" fillId="0" borderId="0" xfId="0" applyNumberFormat="1" applyFont="1" applyFill="1" applyBorder="1"/>
    <xf numFmtId="165" fontId="5" fillId="3" borderId="5" xfId="0" applyNumberFormat="1" applyFont="1" applyFill="1" applyBorder="1"/>
    <xf numFmtId="165" fontId="4" fillId="3" borderId="0" xfId="0" applyNumberFormat="1" applyFont="1" applyFill="1" applyBorder="1"/>
    <xf numFmtId="0" fontId="8" fillId="0" borderId="0" xfId="0" applyFont="1"/>
    <xf numFmtId="0" fontId="6" fillId="0" borderId="0" xfId="0" applyFont="1" applyFill="1" applyBorder="1" applyAlignment="1">
      <alignment horizontal="right"/>
    </xf>
    <xf numFmtId="168" fontId="6" fillId="0" borderId="0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" fillId="2" borderId="0" xfId="0" applyFont="1" applyFill="1" applyBorder="1"/>
    <xf numFmtId="164" fontId="2" fillId="0" borderId="0" xfId="0" quotePrefix="1" applyNumberFormat="1" applyFont="1" applyFill="1" applyBorder="1" applyAlignment="1">
      <alignment horizontal="center"/>
    </xf>
    <xf numFmtId="164" fontId="2" fillId="0" borderId="0" xfId="0" quotePrefix="1" applyNumberFormat="1" applyFont="1" applyBorder="1" applyAlignment="1">
      <alignment horizontal="center"/>
    </xf>
    <xf numFmtId="0" fontId="2" fillId="2" borderId="0" xfId="0" quotePrefix="1" applyFont="1" applyFill="1" applyBorder="1" applyAlignment="1">
      <alignment horizontal="center"/>
    </xf>
    <xf numFmtId="169" fontId="11" fillId="0" borderId="0" xfId="0" applyNumberFormat="1" applyFont="1" applyFill="1" applyBorder="1"/>
    <xf numFmtId="169" fontId="12" fillId="0" borderId="0" xfId="0" applyNumberFormat="1" applyFont="1"/>
    <xf numFmtId="169" fontId="2" fillId="2" borderId="0" xfId="0" applyNumberFormat="1" applyFont="1" applyFill="1" applyBorder="1"/>
    <xf numFmtId="169" fontId="2" fillId="0" borderId="0" xfId="0" applyNumberFormat="1" applyFont="1"/>
    <xf numFmtId="169" fontId="6" fillId="2" borderId="0" xfId="0" applyNumberFormat="1" applyFont="1" applyFill="1" applyBorder="1"/>
    <xf numFmtId="169" fontId="2" fillId="0" borderId="0" xfId="0" applyNumberFormat="1" applyFont="1" applyFill="1" applyBorder="1"/>
    <xf numFmtId="169" fontId="2" fillId="0" borderId="0" xfId="0" applyNumberFormat="1" applyFont="1" applyBorder="1"/>
    <xf numFmtId="169" fontId="7" fillId="2" borderId="0" xfId="0" applyNumberFormat="1" applyFont="1" applyFill="1" applyBorder="1"/>
    <xf numFmtId="169" fontId="6" fillId="0" borderId="0" xfId="0" applyNumberFormat="1" applyFont="1" applyBorder="1"/>
    <xf numFmtId="169" fontId="7" fillId="0" borderId="0" xfId="0" applyNumberFormat="1" applyFont="1" applyFill="1" applyBorder="1"/>
    <xf numFmtId="169" fontId="7" fillId="0" borderId="0" xfId="0" applyNumberFormat="1" applyFont="1" applyBorder="1"/>
    <xf numFmtId="169" fontId="6" fillId="0" borderId="0" xfId="0" applyNumberFormat="1" applyFont="1" applyFill="1" applyBorder="1"/>
    <xf numFmtId="169" fontId="11" fillId="0" borderId="0" xfId="0" applyNumberFormat="1" applyFont="1" applyBorder="1"/>
    <xf numFmtId="169" fontId="2" fillId="0" borderId="0" xfId="0" applyNumberFormat="1" applyFont="1" applyFill="1"/>
    <xf numFmtId="169" fontId="5" fillId="0" borderId="0" xfId="0" applyNumberFormat="1" applyFont="1"/>
    <xf numFmtId="0" fontId="5" fillId="0" borderId="0" xfId="0" quotePrefix="1" applyFont="1"/>
    <xf numFmtId="0" fontId="13" fillId="0" borderId="0" xfId="0" applyFont="1"/>
    <xf numFmtId="0" fontId="14" fillId="0" borderId="0" xfId="0" applyFont="1"/>
    <xf numFmtId="169" fontId="14" fillId="0" borderId="0" xfId="0" applyNumberFormat="1" applyFont="1"/>
    <xf numFmtId="170" fontId="14" fillId="0" borderId="0" xfId="0" applyNumberFormat="1" applyFont="1"/>
    <xf numFmtId="0" fontId="10" fillId="0" borderId="0" xfId="0" applyFont="1"/>
    <xf numFmtId="170" fontId="11" fillId="0" borderId="0" xfId="0" applyNumberFormat="1" applyFont="1" applyFill="1" applyBorder="1"/>
    <xf numFmtId="170" fontId="2" fillId="0" borderId="0" xfId="0" applyNumberFormat="1" applyFont="1"/>
    <xf numFmtId="170" fontId="2" fillId="2" borderId="0" xfId="0" applyNumberFormat="1" applyFont="1" applyFill="1" applyBorder="1"/>
    <xf numFmtId="170" fontId="6" fillId="2" borderId="0" xfId="0" applyNumberFormat="1" applyFont="1" applyFill="1" applyBorder="1"/>
    <xf numFmtId="170" fontId="2" fillId="0" borderId="0" xfId="0" applyNumberFormat="1" applyFont="1" applyFill="1" applyBorder="1"/>
    <xf numFmtId="170" fontId="2" fillId="0" borderId="0" xfId="0" applyNumberFormat="1" applyFont="1" applyBorder="1"/>
    <xf numFmtId="170" fontId="7" fillId="2" borderId="0" xfId="0" applyNumberFormat="1" applyFont="1" applyFill="1" applyBorder="1"/>
    <xf numFmtId="170" fontId="7" fillId="0" borderId="0" xfId="0" applyNumberFormat="1" applyFont="1" applyFill="1" applyBorder="1"/>
    <xf numFmtId="170" fontId="7" fillId="0" borderId="0" xfId="0" applyNumberFormat="1" applyFont="1" applyBorder="1"/>
    <xf numFmtId="170" fontId="6" fillId="0" borderId="0" xfId="0" applyNumberFormat="1" applyFont="1" applyBorder="1"/>
    <xf numFmtId="170" fontId="2" fillId="0" borderId="0" xfId="0" applyNumberFormat="1" applyFont="1" applyFill="1"/>
    <xf numFmtId="170" fontId="11" fillId="0" borderId="0" xfId="0" applyNumberFormat="1" applyFont="1" applyBorder="1"/>
    <xf numFmtId="0" fontId="14" fillId="2" borderId="0" xfId="0" applyFont="1" applyFill="1"/>
    <xf numFmtId="170" fontId="5" fillId="0" borderId="0" xfId="0" applyNumberFormat="1" applyFont="1"/>
    <xf numFmtId="166" fontId="6" fillId="0" borderId="0" xfId="0" applyNumberFormat="1" applyFont="1" applyFill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5" fillId="0" borderId="5" xfId="0" applyNumberFormat="1" applyFont="1" applyBorder="1"/>
    <xf numFmtId="0" fontId="2" fillId="0" borderId="0" xfId="0" applyFont="1" applyAlignment="1">
      <alignment horizontal="right"/>
    </xf>
    <xf numFmtId="14" fontId="7" fillId="0" borderId="0" xfId="0" quotePrefix="1" applyNumberFormat="1" applyFont="1" applyAlignment="1">
      <alignment horizontal="center"/>
    </xf>
    <xf numFmtId="0" fontId="14" fillId="0" borderId="17" xfId="0" applyFont="1" applyBorder="1"/>
    <xf numFmtId="0" fontId="14" fillId="0" borderId="18" xfId="0" applyFont="1" applyBorder="1"/>
    <xf numFmtId="0" fontId="14" fillId="2" borderId="18" xfId="0" applyFont="1" applyFill="1" applyBorder="1"/>
    <xf numFmtId="0" fontId="14" fillId="2" borderId="19" xfId="0" applyFont="1" applyFill="1" applyBorder="1"/>
    <xf numFmtId="0" fontId="14" fillId="0" borderId="5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64" fontId="14" fillId="0" borderId="5" xfId="0" quotePrefix="1" applyNumberFormat="1" applyFont="1" applyBorder="1" applyAlignment="1">
      <alignment horizontal="center"/>
    </xf>
    <xf numFmtId="164" fontId="14" fillId="0" borderId="0" xfId="0" quotePrefix="1" applyNumberFormat="1" applyFont="1" applyBorder="1" applyAlignment="1">
      <alignment horizontal="center"/>
    </xf>
    <xf numFmtId="167" fontId="14" fillId="0" borderId="5" xfId="0" applyNumberFormat="1" applyFont="1" applyBorder="1"/>
    <xf numFmtId="0" fontId="14" fillId="0" borderId="0" xfId="0" applyFont="1" applyBorder="1"/>
    <xf numFmtId="0" fontId="14" fillId="0" borderId="5" xfId="0" applyFont="1" applyBorder="1"/>
    <xf numFmtId="167" fontId="14" fillId="0" borderId="0" xfId="0" applyNumberFormat="1" applyFont="1"/>
    <xf numFmtId="0" fontId="7" fillId="0" borderId="0" xfId="0" applyFont="1"/>
    <xf numFmtId="0" fontId="6" fillId="0" borderId="5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right"/>
    </xf>
    <xf numFmtId="168" fontId="6" fillId="3" borderId="0" xfId="0" applyNumberFormat="1" applyFont="1" applyFill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vertical="center"/>
    </xf>
    <xf numFmtId="4" fontId="14" fillId="0" borderId="0" xfId="0" applyNumberFormat="1" applyFont="1"/>
    <xf numFmtId="171" fontId="14" fillId="0" borderId="0" xfId="0" applyNumberFormat="1" applyFont="1"/>
    <xf numFmtId="172" fontId="14" fillId="0" borderId="0" xfId="0" applyNumberFormat="1" applyFont="1"/>
    <xf numFmtId="166" fontId="14" fillId="0" borderId="0" xfId="0" applyNumberFormat="1" applyFont="1"/>
    <xf numFmtId="0" fontId="8" fillId="0" borderId="0" xfId="0" applyFont="1" applyFill="1"/>
    <xf numFmtId="0" fontId="2" fillId="4" borderId="0" xfId="0" applyFont="1" applyFill="1" applyBorder="1"/>
    <xf numFmtId="0" fontId="2" fillId="4" borderId="0" xfId="0" applyFont="1" applyFill="1" applyBorder="1" applyAlignment="1">
      <alignment horizontal="left"/>
    </xf>
    <xf numFmtId="0" fontId="14" fillId="4" borderId="0" xfId="0" applyFont="1" applyFill="1"/>
    <xf numFmtId="169" fontId="2" fillId="4" borderId="0" xfId="0" applyNumberFormat="1" applyFont="1" applyFill="1"/>
    <xf numFmtId="169" fontId="2" fillId="4" borderId="0" xfId="0" applyNumberFormat="1" applyFont="1" applyFill="1" applyBorder="1"/>
    <xf numFmtId="169" fontId="14" fillId="4" borderId="0" xfId="0" applyNumberFormat="1" applyFont="1" applyFill="1"/>
    <xf numFmtId="169" fontId="16" fillId="4" borderId="0" xfId="0" applyNumberFormat="1" applyFont="1" applyFill="1"/>
    <xf numFmtId="170" fontId="2" fillId="4" borderId="0" xfId="0" applyNumberFormat="1" applyFont="1" applyFill="1"/>
    <xf numFmtId="170" fontId="2" fillId="4" borderId="0" xfId="0" applyNumberFormat="1" applyFont="1" applyFill="1" applyBorder="1"/>
    <xf numFmtId="170" fontId="16" fillId="4" borderId="0" xfId="0" applyNumberFormat="1" applyFont="1" applyFill="1"/>
    <xf numFmtId="170" fontId="14" fillId="4" borderId="0" xfId="0" applyNumberFormat="1" applyFont="1" applyFill="1"/>
    <xf numFmtId="0" fontId="20" fillId="0" borderId="0" xfId="0" applyFont="1"/>
    <xf numFmtId="0" fontId="15" fillId="0" borderId="0" xfId="0" applyFont="1"/>
    <xf numFmtId="170" fontId="16" fillId="0" borderId="0" xfId="0" applyNumberFormat="1" applyFont="1"/>
    <xf numFmtId="169" fontId="16" fillId="0" borderId="0" xfId="0" applyNumberFormat="1" applyFont="1"/>
    <xf numFmtId="0" fontId="16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400050</xdr:colOff>
      <xdr:row>146</xdr:row>
      <xdr:rowOff>95250</xdr:rowOff>
    </xdr:from>
    <xdr:to>
      <xdr:col>40</xdr:col>
      <xdr:colOff>409575</xdr:colOff>
      <xdr:row>158</xdr:row>
      <xdr:rowOff>152400</xdr:rowOff>
    </xdr:to>
    <xdr:cxnSp macro="">
      <xdr:nvCxnSpPr>
        <xdr:cNvPr id="4097" name="Straight Arrow Connector 17"/>
        <xdr:cNvCxnSpPr>
          <a:cxnSpLocks noChangeShapeType="1"/>
        </xdr:cNvCxnSpPr>
      </xdr:nvCxnSpPr>
      <xdr:spPr bwMode="auto">
        <a:xfrm rot="5400000">
          <a:off x="25236488" y="25322212"/>
          <a:ext cx="2000250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40</xdr:col>
      <xdr:colOff>400050</xdr:colOff>
      <xdr:row>63</xdr:row>
      <xdr:rowOff>95250</xdr:rowOff>
    </xdr:from>
    <xdr:to>
      <xdr:col>40</xdr:col>
      <xdr:colOff>409575</xdr:colOff>
      <xdr:row>75</xdr:row>
      <xdr:rowOff>142875</xdr:rowOff>
    </xdr:to>
    <xdr:cxnSp macro="">
      <xdr:nvCxnSpPr>
        <xdr:cNvPr id="4098" name="Straight Arrow Connector 19"/>
        <xdr:cNvCxnSpPr>
          <a:cxnSpLocks noChangeShapeType="1"/>
        </xdr:cNvCxnSpPr>
      </xdr:nvCxnSpPr>
      <xdr:spPr bwMode="auto">
        <a:xfrm rot="16200000" flipH="1">
          <a:off x="25198388" y="11701462"/>
          <a:ext cx="2076450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142</xdr:row>
      <xdr:rowOff>152400</xdr:rowOff>
    </xdr:from>
    <xdr:to>
      <xdr:col>16</xdr:col>
      <xdr:colOff>47625</xdr:colOff>
      <xdr:row>157</xdr:row>
      <xdr:rowOff>47625</xdr:rowOff>
    </xdr:to>
    <xdr:cxnSp macro="">
      <xdr:nvCxnSpPr>
        <xdr:cNvPr id="2065" name="Straight Arrow Connector 14"/>
        <xdr:cNvCxnSpPr>
          <a:cxnSpLocks noChangeShapeType="1"/>
        </xdr:cNvCxnSpPr>
      </xdr:nvCxnSpPr>
      <xdr:spPr bwMode="auto">
        <a:xfrm flipV="1">
          <a:off x="7124700" y="27355800"/>
          <a:ext cx="3181350" cy="27527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11</xdr:col>
      <xdr:colOff>76200</xdr:colOff>
      <xdr:row>59</xdr:row>
      <xdr:rowOff>152400</xdr:rowOff>
    </xdr:from>
    <xdr:to>
      <xdr:col>16</xdr:col>
      <xdr:colOff>47625</xdr:colOff>
      <xdr:row>74</xdr:row>
      <xdr:rowOff>47625</xdr:rowOff>
    </xdr:to>
    <xdr:cxnSp macro="">
      <xdr:nvCxnSpPr>
        <xdr:cNvPr id="2066" name="Straight Arrow Connector 14"/>
        <xdr:cNvCxnSpPr>
          <a:cxnSpLocks noChangeShapeType="1"/>
        </xdr:cNvCxnSpPr>
      </xdr:nvCxnSpPr>
      <xdr:spPr bwMode="auto">
        <a:xfrm flipV="1">
          <a:off x="7124700" y="11468100"/>
          <a:ext cx="3181350" cy="27527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11</xdr:col>
      <xdr:colOff>76200</xdr:colOff>
      <xdr:row>59</xdr:row>
      <xdr:rowOff>152400</xdr:rowOff>
    </xdr:from>
    <xdr:to>
      <xdr:col>16</xdr:col>
      <xdr:colOff>47625</xdr:colOff>
      <xdr:row>74</xdr:row>
      <xdr:rowOff>47625</xdr:rowOff>
    </xdr:to>
    <xdr:cxnSp macro="">
      <xdr:nvCxnSpPr>
        <xdr:cNvPr id="2067" name="Straight Arrow Connector 14"/>
        <xdr:cNvCxnSpPr>
          <a:cxnSpLocks noChangeShapeType="1"/>
        </xdr:cNvCxnSpPr>
      </xdr:nvCxnSpPr>
      <xdr:spPr bwMode="auto">
        <a:xfrm flipV="1">
          <a:off x="7124700" y="11468100"/>
          <a:ext cx="3181350" cy="27527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16</xdr:col>
      <xdr:colOff>361951</xdr:colOff>
      <xdr:row>63</xdr:row>
      <xdr:rowOff>95249</xdr:rowOff>
    </xdr:from>
    <xdr:to>
      <xdr:col>16</xdr:col>
      <xdr:colOff>381001</xdr:colOff>
      <xdr:row>75</xdr:row>
      <xdr:rowOff>104774</xdr:rowOff>
    </xdr:to>
    <xdr:cxnSp macro="">
      <xdr:nvCxnSpPr>
        <xdr:cNvPr id="6" name="Straight Arrow Connector 5"/>
        <xdr:cNvCxnSpPr/>
      </xdr:nvCxnSpPr>
      <xdr:spPr>
        <a:xfrm rot="16200000" flipH="1">
          <a:off x="9482138" y="13273087"/>
          <a:ext cx="2295525" cy="190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59</xdr:row>
      <xdr:rowOff>152400</xdr:rowOff>
    </xdr:from>
    <xdr:to>
      <xdr:col>16</xdr:col>
      <xdr:colOff>47625</xdr:colOff>
      <xdr:row>74</xdr:row>
      <xdr:rowOff>47625</xdr:rowOff>
    </xdr:to>
    <xdr:cxnSp macro="">
      <xdr:nvCxnSpPr>
        <xdr:cNvPr id="3079" name="Straight Arrow Connector 14"/>
        <xdr:cNvCxnSpPr>
          <a:cxnSpLocks noChangeShapeType="1"/>
        </xdr:cNvCxnSpPr>
      </xdr:nvCxnSpPr>
      <xdr:spPr bwMode="auto">
        <a:xfrm flipV="1">
          <a:off x="6972300" y="11468100"/>
          <a:ext cx="3190875" cy="27527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11</xdr:col>
      <xdr:colOff>76200</xdr:colOff>
      <xdr:row>59</xdr:row>
      <xdr:rowOff>152400</xdr:rowOff>
    </xdr:from>
    <xdr:to>
      <xdr:col>16</xdr:col>
      <xdr:colOff>47625</xdr:colOff>
      <xdr:row>74</xdr:row>
      <xdr:rowOff>47625</xdr:rowOff>
    </xdr:to>
    <xdr:cxnSp macro="">
      <xdr:nvCxnSpPr>
        <xdr:cNvPr id="3080" name="Straight Arrow Connector 14"/>
        <xdr:cNvCxnSpPr>
          <a:cxnSpLocks noChangeShapeType="1"/>
        </xdr:cNvCxnSpPr>
      </xdr:nvCxnSpPr>
      <xdr:spPr bwMode="auto">
        <a:xfrm flipV="1">
          <a:off x="6972300" y="11468100"/>
          <a:ext cx="3190875" cy="27527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11</xdr:col>
      <xdr:colOff>76200</xdr:colOff>
      <xdr:row>142</xdr:row>
      <xdr:rowOff>152400</xdr:rowOff>
    </xdr:from>
    <xdr:to>
      <xdr:col>16</xdr:col>
      <xdr:colOff>47625</xdr:colOff>
      <xdr:row>157</xdr:row>
      <xdr:rowOff>47625</xdr:rowOff>
    </xdr:to>
    <xdr:cxnSp macro="">
      <xdr:nvCxnSpPr>
        <xdr:cNvPr id="3081" name="Straight Arrow Connector 14"/>
        <xdr:cNvCxnSpPr>
          <a:cxnSpLocks noChangeShapeType="1"/>
        </xdr:cNvCxnSpPr>
      </xdr:nvCxnSpPr>
      <xdr:spPr bwMode="auto">
        <a:xfrm flipV="1">
          <a:off x="6972300" y="27355800"/>
          <a:ext cx="3190875" cy="27527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16</xdr:col>
      <xdr:colOff>400050</xdr:colOff>
      <xdr:row>146</xdr:row>
      <xdr:rowOff>95250</xdr:rowOff>
    </xdr:from>
    <xdr:to>
      <xdr:col>16</xdr:col>
      <xdr:colOff>409575</xdr:colOff>
      <xdr:row>158</xdr:row>
      <xdr:rowOff>152400</xdr:rowOff>
    </xdr:to>
    <xdr:cxnSp macro="">
      <xdr:nvCxnSpPr>
        <xdr:cNvPr id="3082" name="Straight Arrow Connector 17"/>
        <xdr:cNvCxnSpPr>
          <a:cxnSpLocks noChangeShapeType="1"/>
        </xdr:cNvCxnSpPr>
      </xdr:nvCxnSpPr>
      <xdr:spPr bwMode="auto">
        <a:xfrm rot="5400000">
          <a:off x="9348788" y="29227462"/>
          <a:ext cx="2343150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16</xdr:col>
      <xdr:colOff>351632</xdr:colOff>
      <xdr:row>63</xdr:row>
      <xdr:rowOff>143668</xdr:rowOff>
    </xdr:from>
    <xdr:to>
      <xdr:col>16</xdr:col>
      <xdr:colOff>353220</xdr:colOff>
      <xdr:row>75</xdr:row>
      <xdr:rowOff>76993</xdr:rowOff>
    </xdr:to>
    <xdr:cxnSp macro="">
      <xdr:nvCxnSpPr>
        <xdr:cNvPr id="7" name="Straight Arrow Connector 6"/>
        <xdr:cNvCxnSpPr/>
      </xdr:nvCxnSpPr>
      <xdr:spPr>
        <a:xfrm rot="5400000">
          <a:off x="8939213" y="13292137"/>
          <a:ext cx="22193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l/backup/Budget%202011/Second%20budget%20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Sheet2"/>
      <sheetName val="Sheet1"/>
      <sheetName val="Sales&amp;MarginWON"/>
      <sheetName val="Sales&amp;MarginSV"/>
      <sheetName val="P&amp;LWN"/>
      <sheetName val="Standalone Pharma"/>
      <sheetName val="P&amp;LSV"/>
      <sheetName val="P&amp;LGROUP"/>
      <sheetName val="Sheet3"/>
      <sheetName val="Benchmarking"/>
      <sheetName val="CashflowWN"/>
      <sheetName val="CashflowSV"/>
      <sheetName val="CashflowGroup"/>
      <sheetName val="BalSheetGROUP"/>
      <sheetName val="NDH"/>
      <sheetName val="BalSheetSV"/>
      <sheetName val="BalSheetWN"/>
      <sheetName val="Payroll UK"/>
      <sheetName val="Payroll FR &amp; commissions"/>
      <sheetName val="Parameters"/>
      <sheetName val="Leaflets&amp;catalogues"/>
      <sheetName val="Labels&amp;boxes"/>
      <sheetName val="Sales Promotion"/>
      <sheetName val="Carriage out"/>
      <sheetName val="Parameters(alt)"/>
      <sheetName val="Marketing 2011"/>
      <sheetName val="Marketing 2010"/>
      <sheetName val="Marketing 2009"/>
      <sheetName val="Holdings management charges"/>
      <sheetName val="overheadsWON 2010-2011"/>
      <sheetName val="overheadsSV 2010-2011"/>
      <sheetName val="overheads 2009"/>
      <sheetName val="overheads 2007"/>
      <sheetName val="overheads 2006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77">
          <cell r="DB277">
            <v>1.1623007650620096</v>
          </cell>
          <cell r="DT277">
            <v>1.1499999999999999</v>
          </cell>
        </row>
        <row r="285">
          <cell r="CJ285">
            <v>1.1165077943369435</v>
          </cell>
        </row>
        <row r="547">
          <cell r="BQ547">
            <v>1.273154216869562</v>
          </cell>
        </row>
      </sheetData>
      <sheetData sheetId="5">
        <row r="51">
          <cell r="EE51">
            <v>1998</v>
          </cell>
          <cell r="EZ51">
            <v>2328.5164999999997</v>
          </cell>
          <cell r="FT51">
            <v>2782.5141123188409</v>
          </cell>
          <cell r="GN51">
            <v>3199.8912291666679</v>
          </cell>
        </row>
      </sheetData>
      <sheetData sheetId="6" refreshError="1"/>
      <sheetData sheetId="7">
        <row r="54">
          <cell r="EJ54">
            <v>71006</v>
          </cell>
          <cell r="FE54">
            <v>82678.164500000014</v>
          </cell>
          <cell r="FZ54">
            <v>67022.149855746873</v>
          </cell>
          <cell r="GT54">
            <v>77075.472334108897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169"/>
  <sheetViews>
    <sheetView topLeftCell="AP1" workbookViewId="0">
      <selection activeCell="BE4" sqref="BE4"/>
    </sheetView>
  </sheetViews>
  <sheetFormatPr baseColWidth="10" defaultColWidth="9.140625" defaultRowHeight="12.75"/>
  <cols>
    <col min="1" max="1" width="10.7109375" style="104" customWidth="1"/>
    <col min="2" max="2" width="11.42578125" style="104" customWidth="1"/>
    <col min="3" max="3" width="13.42578125" style="104" customWidth="1"/>
    <col min="4" max="4" width="10.5703125" style="104" customWidth="1"/>
    <col min="5" max="5" width="11.140625" style="104" customWidth="1"/>
    <col min="6" max="31" width="9.140625" style="104"/>
    <col min="32" max="32" width="10.85546875" style="104" customWidth="1"/>
    <col min="33" max="33" width="12.42578125" style="104" customWidth="1"/>
    <col min="34" max="34" width="9.140625" style="104"/>
    <col min="35" max="35" width="9.85546875" style="104" customWidth="1"/>
    <col min="36" max="38" width="9.140625" style="104"/>
    <col min="39" max="39" width="10" style="104" customWidth="1"/>
    <col min="40" max="40" width="12.7109375" style="104" customWidth="1"/>
    <col min="41" max="41" width="9.140625" style="104"/>
    <col min="42" max="42" width="9" style="104" customWidth="1"/>
    <col min="43" max="49" width="9.140625" style="104"/>
    <col min="50" max="50" width="10.140625" style="104" customWidth="1"/>
    <col min="51" max="51" width="11" style="104" customWidth="1"/>
    <col min="52" max="52" width="9.140625" style="104"/>
    <col min="53" max="53" width="10.28515625" style="104" customWidth="1"/>
    <col min="54" max="56" width="9.140625" style="104"/>
    <col min="57" max="57" width="10" style="104" customWidth="1"/>
    <col min="58" max="58" width="10.5703125" style="104" customWidth="1"/>
    <col min="59" max="59" width="9.140625" style="104"/>
    <col min="60" max="60" width="0" style="104" hidden="1" customWidth="1"/>
    <col min="61" max="16384" width="9.140625" style="104"/>
  </cols>
  <sheetData>
    <row r="1" spans="1:21" ht="18.75">
      <c r="A1" s="79" t="s">
        <v>0</v>
      </c>
      <c r="G1" s="79" t="s">
        <v>1</v>
      </c>
      <c r="N1" s="128"/>
      <c r="O1" s="1" t="s">
        <v>2</v>
      </c>
      <c r="Q1" s="129"/>
    </row>
    <row r="2" spans="1:21" ht="18">
      <c r="A2" s="79" t="s">
        <v>3</v>
      </c>
      <c r="D2" s="2"/>
      <c r="E2" s="3" t="s">
        <v>4</v>
      </c>
      <c r="F2" s="4"/>
      <c r="G2" s="2"/>
      <c r="H2" s="3" t="s">
        <v>5</v>
      </c>
      <c r="I2" s="4"/>
      <c r="J2" s="2"/>
      <c r="K2" s="3" t="s">
        <v>6</v>
      </c>
      <c r="L2" s="4"/>
      <c r="M2" s="2"/>
      <c r="N2" s="3" t="s">
        <v>7</v>
      </c>
      <c r="O2" s="4"/>
      <c r="P2" s="2"/>
      <c r="Q2" s="3" t="s">
        <v>8</v>
      </c>
      <c r="R2" s="4"/>
      <c r="S2" s="2"/>
      <c r="T2" s="3" t="s">
        <v>9</v>
      </c>
      <c r="U2" s="4"/>
    </row>
    <row r="3" spans="1:21">
      <c r="D3" s="130"/>
      <c r="E3" s="131"/>
      <c r="F3" s="132"/>
      <c r="G3" s="130"/>
      <c r="I3" s="120"/>
      <c r="J3" s="130"/>
      <c r="L3" s="120"/>
      <c r="M3" s="130"/>
      <c r="O3" s="120"/>
      <c r="P3" s="130"/>
      <c r="R3" s="120"/>
      <c r="S3" s="130"/>
      <c r="U3" s="133"/>
    </row>
    <row r="4" spans="1:21">
      <c r="A4" s="5"/>
      <c r="D4" s="134" t="s">
        <v>10</v>
      </c>
      <c r="E4" s="135" t="s">
        <v>11</v>
      </c>
      <c r="F4" s="6" t="s">
        <v>12</v>
      </c>
      <c r="G4" s="134" t="s">
        <v>10</v>
      </c>
      <c r="H4" s="135" t="s">
        <v>11</v>
      </c>
      <c r="I4" s="6" t="s">
        <v>12</v>
      </c>
      <c r="J4" s="134" t="s">
        <v>10</v>
      </c>
      <c r="K4" s="135" t="s">
        <v>11</v>
      </c>
      <c r="L4" s="6" t="s">
        <v>12</v>
      </c>
      <c r="M4" s="134" t="s">
        <v>10</v>
      </c>
      <c r="N4" s="135" t="s">
        <v>11</v>
      </c>
      <c r="O4" s="6" t="s">
        <v>12</v>
      </c>
      <c r="P4" s="134" t="s">
        <v>10</v>
      </c>
      <c r="Q4" s="135" t="s">
        <v>11</v>
      </c>
      <c r="R4" s="6" t="s">
        <v>12</v>
      </c>
      <c r="S4" s="134" t="s">
        <v>10</v>
      </c>
      <c r="T4" s="135" t="s">
        <v>11</v>
      </c>
      <c r="U4" s="6" t="s">
        <v>12</v>
      </c>
    </row>
    <row r="5" spans="1:21">
      <c r="D5" s="134" t="s">
        <v>13</v>
      </c>
      <c r="E5" s="135" t="s">
        <v>14</v>
      </c>
      <c r="F5" s="6"/>
      <c r="G5" s="134" t="s">
        <v>13</v>
      </c>
      <c r="H5" s="135" t="s">
        <v>14</v>
      </c>
      <c r="I5" s="6"/>
      <c r="J5" s="134" t="s">
        <v>13</v>
      </c>
      <c r="K5" s="135" t="s">
        <v>14</v>
      </c>
      <c r="L5" s="6"/>
      <c r="M5" s="134" t="s">
        <v>13</v>
      </c>
      <c r="N5" s="135" t="s">
        <v>14</v>
      </c>
      <c r="O5" s="6"/>
      <c r="P5" s="134" t="s">
        <v>13</v>
      </c>
      <c r="Q5" s="135" t="s">
        <v>14</v>
      </c>
      <c r="R5" s="6"/>
      <c r="S5" s="134" t="s">
        <v>13</v>
      </c>
      <c r="T5" s="135" t="s">
        <v>14</v>
      </c>
      <c r="U5" s="6"/>
    </row>
    <row r="6" spans="1:21">
      <c r="D6" s="136" t="s">
        <v>15</v>
      </c>
      <c r="E6" s="137" t="s">
        <v>15</v>
      </c>
      <c r="F6" s="7" t="s">
        <v>15</v>
      </c>
      <c r="G6" s="136" t="s">
        <v>15</v>
      </c>
      <c r="H6" s="137" t="s">
        <v>15</v>
      </c>
      <c r="I6" s="7" t="s">
        <v>15</v>
      </c>
      <c r="J6" s="136" t="s">
        <v>15</v>
      </c>
      <c r="K6" s="137" t="s">
        <v>15</v>
      </c>
      <c r="L6" s="7" t="s">
        <v>15</v>
      </c>
      <c r="M6" s="136" t="s">
        <v>15</v>
      </c>
      <c r="N6" s="137" t="s">
        <v>15</v>
      </c>
      <c r="O6" s="7" t="s">
        <v>15</v>
      </c>
      <c r="P6" s="136" t="s">
        <v>15</v>
      </c>
      <c r="Q6" s="137" t="s">
        <v>15</v>
      </c>
      <c r="R6" s="7" t="s">
        <v>15</v>
      </c>
      <c r="S6" s="136" t="s">
        <v>15</v>
      </c>
      <c r="T6" s="137" t="s">
        <v>15</v>
      </c>
      <c r="U6" s="7" t="s">
        <v>15</v>
      </c>
    </row>
    <row r="7" spans="1:21">
      <c r="A7" s="104" t="s">
        <v>16</v>
      </c>
      <c r="D7" s="8">
        <v>5494.0280000000002</v>
      </c>
      <c r="E7" s="9">
        <v>1390.57</v>
      </c>
      <c r="F7" s="10">
        <f>SUM(D7:E7)</f>
        <v>6884.598</v>
      </c>
      <c r="G7" s="8">
        <v>6128.67</v>
      </c>
      <c r="H7" s="9">
        <v>1581.5239999999999</v>
      </c>
      <c r="I7" s="10">
        <f>SUM(G7:H7)</f>
        <v>7710.1939999999995</v>
      </c>
      <c r="J7" s="8">
        <v>8687.9809999999998</v>
      </c>
      <c r="K7" s="9">
        <v>1746.78</v>
      </c>
      <c r="L7" s="10">
        <f>SUM(J7:K7)</f>
        <v>10434.761</v>
      </c>
      <c r="M7" s="8">
        <v>12113.175999999999</v>
      </c>
      <c r="N7" s="9">
        <v>1810.1759999999999</v>
      </c>
      <c r="O7" s="10">
        <f>SUM(M7:N7)</f>
        <v>13923.351999999999</v>
      </c>
      <c r="P7" s="127">
        <v>14457.300999999999</v>
      </c>
      <c r="Q7" s="23">
        <v>1328.8720000000001</v>
      </c>
      <c r="R7" s="10">
        <f>SUM(P7:Q7)</f>
        <v>15786.172999999999</v>
      </c>
      <c r="S7" s="127">
        <v>17381.334782608697</v>
      </c>
      <c r="T7" s="23">
        <v>1256.5217391304348</v>
      </c>
      <c r="U7" s="10">
        <f>SUM(S7:T7)</f>
        <v>18637.856521739133</v>
      </c>
    </row>
    <row r="8" spans="1:21">
      <c r="A8" s="104" t="s">
        <v>17</v>
      </c>
      <c r="D8" s="8">
        <v>17.762</v>
      </c>
      <c r="E8" s="9">
        <v>0</v>
      </c>
      <c r="F8" s="10">
        <f>SUM(D8:E8)</f>
        <v>17.762</v>
      </c>
      <c r="G8" s="8">
        <v>20.533000000000001</v>
      </c>
      <c r="H8" s="9">
        <v>0</v>
      </c>
      <c r="I8" s="10">
        <f>SUM(G8:H8)</f>
        <v>20.533000000000001</v>
      </c>
      <c r="J8" s="8">
        <v>17.802</v>
      </c>
      <c r="K8" s="9">
        <v>0</v>
      </c>
      <c r="L8" s="10">
        <f>SUM(J8:K8)</f>
        <v>17.802</v>
      </c>
      <c r="M8" s="8">
        <v>11.112</v>
      </c>
      <c r="N8" s="9">
        <v>0</v>
      </c>
      <c r="O8" s="10">
        <f>SUM(M8:N8)</f>
        <v>11.112</v>
      </c>
      <c r="P8" s="127">
        <v>0</v>
      </c>
      <c r="Q8" s="23">
        <v>0</v>
      </c>
      <c r="R8" s="10">
        <f>SUM(P8:Q8)</f>
        <v>0</v>
      </c>
      <c r="S8" s="127">
        <v>0</v>
      </c>
      <c r="T8" s="23">
        <v>0</v>
      </c>
      <c r="U8" s="10">
        <f>SUM(S8:T8)</f>
        <v>0</v>
      </c>
    </row>
    <row r="9" spans="1:21">
      <c r="A9" s="104" t="s">
        <v>18</v>
      </c>
      <c r="D9" s="8">
        <v>-21.27</v>
      </c>
      <c r="E9" s="11">
        <v>0</v>
      </c>
      <c r="F9" s="10">
        <f>SUM(D9:E9)</f>
        <v>-21.27</v>
      </c>
      <c r="G9" s="8">
        <v>-23.216999999999999</v>
      </c>
      <c r="H9" s="11">
        <v>0</v>
      </c>
      <c r="I9" s="10">
        <f>SUM(G9:H9)</f>
        <v>-23.216999999999999</v>
      </c>
      <c r="J9" s="8">
        <v>-28.742999999999999</v>
      </c>
      <c r="K9" s="11">
        <v>0</v>
      </c>
      <c r="L9" s="10">
        <f>SUM(J9:K9)</f>
        <v>-28.742999999999999</v>
      </c>
      <c r="M9" s="8">
        <v>-31.622</v>
      </c>
      <c r="N9" s="11">
        <v>0</v>
      </c>
      <c r="O9" s="10">
        <f>SUM(M9:N9)</f>
        <v>-31.622</v>
      </c>
      <c r="P9" s="127">
        <v>-27.989000000000001</v>
      </c>
      <c r="Q9" s="11">
        <v>0</v>
      </c>
      <c r="R9" s="10">
        <f>SUM(P9:Q9)</f>
        <v>-27.989000000000001</v>
      </c>
      <c r="S9" s="127">
        <v>-31.521549396781026</v>
      </c>
      <c r="T9" s="11">
        <v>0</v>
      </c>
      <c r="U9" s="10">
        <f>SUM(S9:T9)</f>
        <v>-31.521549396781026</v>
      </c>
    </row>
    <row r="10" spans="1:21">
      <c r="A10" s="12" t="s">
        <v>19</v>
      </c>
      <c r="D10" s="8">
        <v>56.1</v>
      </c>
      <c r="E10" s="9">
        <v>0</v>
      </c>
      <c r="F10" s="10">
        <f>SUM(D10:E10)</f>
        <v>56.1</v>
      </c>
      <c r="G10" s="8">
        <v>11</v>
      </c>
      <c r="H10" s="9">
        <v>0</v>
      </c>
      <c r="I10" s="10">
        <f>SUM(G10:H10)</f>
        <v>11</v>
      </c>
      <c r="J10" s="8">
        <v>0.80800000000000005</v>
      </c>
      <c r="K10" s="9">
        <v>0</v>
      </c>
      <c r="L10" s="10">
        <f>SUM(J10:K10)</f>
        <v>0.80800000000000005</v>
      </c>
      <c r="M10" s="8">
        <v>20</v>
      </c>
      <c r="N10" s="9">
        <v>-0.03</v>
      </c>
      <c r="O10" s="10">
        <f>SUM(M10:N10)</f>
        <v>19.97</v>
      </c>
      <c r="P10" s="127">
        <v>0</v>
      </c>
      <c r="Q10" s="23">
        <v>-1.6E-2</v>
      </c>
      <c r="R10" s="10">
        <f>SUM(P10:Q10)</f>
        <v>-1.6E-2</v>
      </c>
      <c r="S10" s="127">
        <v>0</v>
      </c>
      <c r="T10" s="23">
        <v>0</v>
      </c>
      <c r="U10" s="10">
        <f>SUM(S10:T10)</f>
        <v>0</v>
      </c>
    </row>
    <row r="11" spans="1:21">
      <c r="A11" s="104" t="s">
        <v>20</v>
      </c>
      <c r="D11" s="8">
        <v>23.632999999999999</v>
      </c>
      <c r="E11" s="9">
        <v>0</v>
      </c>
      <c r="F11" s="10">
        <f>SUM(D11:E11)</f>
        <v>23.632999999999999</v>
      </c>
      <c r="G11" s="8">
        <v>12.319000000000001</v>
      </c>
      <c r="H11" s="9">
        <v>-5.8999999999999997E-2</v>
      </c>
      <c r="I11" s="10">
        <f>SUM(G11:H11)</f>
        <v>12.260000000000002</v>
      </c>
      <c r="J11" s="8">
        <v>10.356999999999999</v>
      </c>
      <c r="K11" s="9">
        <v>-3.234</v>
      </c>
      <c r="L11" s="10">
        <f>SUM(J11:K11)</f>
        <v>7.1229999999999993</v>
      </c>
      <c r="M11" s="8">
        <v>5.774</v>
      </c>
      <c r="N11" s="9">
        <v>0</v>
      </c>
      <c r="O11" s="10">
        <f>SUM(M11:N11)</f>
        <v>5.774</v>
      </c>
      <c r="P11" s="127">
        <v>0</v>
      </c>
      <c r="Q11" s="23">
        <v>0</v>
      </c>
      <c r="R11" s="10">
        <f>SUM(P11:Q11)</f>
        <v>0</v>
      </c>
      <c r="S11" s="127">
        <v>0</v>
      </c>
      <c r="T11" s="23">
        <v>0</v>
      </c>
      <c r="U11" s="10">
        <f>SUM(S11:T11)</f>
        <v>0</v>
      </c>
    </row>
    <row r="12" spans="1:21" ht="13.5" thickBot="1">
      <c r="A12" s="5" t="s">
        <v>21</v>
      </c>
      <c r="D12" s="13">
        <f t="shared" ref="D12:U12" si="0">SUM(D7:D11)</f>
        <v>5570.2529999999997</v>
      </c>
      <c r="E12" s="14">
        <f t="shared" si="0"/>
        <v>1390.57</v>
      </c>
      <c r="F12" s="15">
        <f t="shared" si="0"/>
        <v>6960.8229999999994</v>
      </c>
      <c r="G12" s="13">
        <f t="shared" si="0"/>
        <v>6149.3050000000012</v>
      </c>
      <c r="H12" s="14">
        <f t="shared" si="0"/>
        <v>1581.4649999999999</v>
      </c>
      <c r="I12" s="15">
        <f t="shared" si="0"/>
        <v>7730.77</v>
      </c>
      <c r="J12" s="13">
        <f t="shared" si="0"/>
        <v>8688.2049999999999</v>
      </c>
      <c r="K12" s="14">
        <f t="shared" si="0"/>
        <v>1743.546</v>
      </c>
      <c r="L12" s="15">
        <f t="shared" si="0"/>
        <v>10431.751</v>
      </c>
      <c r="M12" s="13">
        <f t="shared" si="0"/>
        <v>12118.439999999999</v>
      </c>
      <c r="N12" s="14">
        <f t="shared" si="0"/>
        <v>1810.146</v>
      </c>
      <c r="O12" s="15">
        <f t="shared" si="0"/>
        <v>13928.585999999998</v>
      </c>
      <c r="P12" s="13">
        <f t="shared" si="0"/>
        <v>14429.312</v>
      </c>
      <c r="Q12" s="14">
        <f t="shared" si="0"/>
        <v>1328.856</v>
      </c>
      <c r="R12" s="15">
        <f t="shared" si="0"/>
        <v>15758.168</v>
      </c>
      <c r="S12" s="13">
        <f t="shared" si="0"/>
        <v>17349.813233211917</v>
      </c>
      <c r="T12" s="14">
        <f t="shared" si="0"/>
        <v>1256.5217391304348</v>
      </c>
      <c r="U12" s="15">
        <f t="shared" si="0"/>
        <v>18606.334972342353</v>
      </c>
    </row>
    <row r="13" spans="1:21" ht="13.5" thickTop="1">
      <c r="C13" s="16" t="s">
        <v>22</v>
      </c>
      <c r="D13" s="17">
        <f>+D12/4729.6-1</f>
        <v>0.17774293809201613</v>
      </c>
      <c r="E13" s="18">
        <f>+E12/921-1</f>
        <v>0.50984799131378922</v>
      </c>
      <c r="F13" s="19">
        <f>F12/(4729.6+921)-1</f>
        <v>0.23187325239797518</v>
      </c>
      <c r="G13" s="17">
        <f>+G12/D12-1</f>
        <v>0.10395434462312592</v>
      </c>
      <c r="H13" s="18">
        <f>+H12/E12-1</f>
        <v>0.13727823842021625</v>
      </c>
      <c r="I13" s="19">
        <f>I12/F12-1</f>
        <v>0.11061148947473609</v>
      </c>
      <c r="J13" s="17">
        <f>+J12/G12-1</f>
        <v>0.41287592662910666</v>
      </c>
      <c r="K13" s="18">
        <f>+K12/H12-1</f>
        <v>0.10248788307044432</v>
      </c>
      <c r="L13" s="19">
        <f>L12/I12-1</f>
        <v>0.34938059210143346</v>
      </c>
      <c r="M13" s="17">
        <f>+M12/J12-1</f>
        <v>0.39481515456875149</v>
      </c>
      <c r="N13" s="18">
        <f>+N12/K12-1</f>
        <v>3.819801714437121E-2</v>
      </c>
      <c r="O13" s="19">
        <f>O12/L12-1</f>
        <v>0.33521074266439044</v>
      </c>
      <c r="P13" s="17">
        <f>+P12/M12-1</f>
        <v>0.19069055092899756</v>
      </c>
      <c r="Q13" s="18">
        <f>+Q12/N12-1</f>
        <v>-0.26588463030053933</v>
      </c>
      <c r="R13" s="19">
        <f>R12/O12-1</f>
        <v>0.13135446771122372</v>
      </c>
      <c r="S13" s="17">
        <f>+S12/P12-1</f>
        <v>0.20240058799836858</v>
      </c>
      <c r="T13" s="18">
        <f>+T12/Q12-1</f>
        <v>-5.4433483289058615E-2</v>
      </c>
      <c r="U13" s="19">
        <f>U12/R12-1</f>
        <v>0.18074226473168409</v>
      </c>
    </row>
    <row r="14" spans="1:21">
      <c r="A14" s="5" t="s">
        <v>23</v>
      </c>
      <c r="D14" s="138"/>
      <c r="E14" s="139"/>
      <c r="F14" s="20"/>
      <c r="G14" s="21"/>
      <c r="H14" s="18"/>
      <c r="I14" s="22"/>
      <c r="J14" s="21"/>
      <c r="K14" s="18"/>
      <c r="L14" s="22"/>
      <c r="M14" s="21"/>
      <c r="N14" s="18"/>
      <c r="O14" s="22"/>
      <c r="P14" s="21"/>
      <c r="Q14" s="18"/>
      <c r="R14" s="22"/>
      <c r="S14" s="21"/>
      <c r="T14" s="18"/>
      <c r="U14" s="22"/>
    </row>
    <row r="15" spans="1:21">
      <c r="A15" s="104" t="s">
        <v>24</v>
      </c>
      <c r="D15" s="8">
        <v>2116.6610000000001</v>
      </c>
      <c r="E15" s="9">
        <v>601.06200000000001</v>
      </c>
      <c r="F15" s="10">
        <f>SUM(D15:E15)</f>
        <v>2717.723</v>
      </c>
      <c r="G15" s="8">
        <v>2156.5230000000001</v>
      </c>
      <c r="H15" s="9">
        <v>705.49400000000003</v>
      </c>
      <c r="I15" s="10">
        <f>SUM(G15:H15)</f>
        <v>2862.0170000000003</v>
      </c>
      <c r="J15" s="8">
        <v>3236.3850000000002</v>
      </c>
      <c r="K15" s="9">
        <v>750.56447000000003</v>
      </c>
      <c r="L15" s="10">
        <f>SUM(J15:K15)</f>
        <v>3986.9494700000005</v>
      </c>
      <c r="M15" s="8">
        <v>4703.9549999999999</v>
      </c>
      <c r="N15" s="9">
        <v>797.90127916964923</v>
      </c>
      <c r="O15" s="10">
        <f>SUM(M15:N15)</f>
        <v>5501.8562791696495</v>
      </c>
      <c r="P15" s="127">
        <v>5424.2849999999999</v>
      </c>
      <c r="Q15" s="23">
        <v>601.52200000000005</v>
      </c>
      <c r="R15" s="10">
        <f>SUM(P15:Q15)</f>
        <v>6025.8069999999998</v>
      </c>
      <c r="S15" s="127">
        <v>6265.5148331295595</v>
      </c>
      <c r="T15" s="23">
        <v>592.60657588087736</v>
      </c>
      <c r="U15" s="10">
        <f>SUM(S15:T15)</f>
        <v>6858.1214090104368</v>
      </c>
    </row>
    <row r="16" spans="1:21">
      <c r="A16" s="104" t="s">
        <v>25</v>
      </c>
      <c r="D16" s="8">
        <v>256.03399999999999</v>
      </c>
      <c r="E16" s="9">
        <v>92.56</v>
      </c>
      <c r="F16" s="10">
        <f>SUM(D16:E16)</f>
        <v>348.59399999999999</v>
      </c>
      <c r="G16" s="8">
        <v>283.36099999999999</v>
      </c>
      <c r="H16" s="9">
        <v>94.885000000000005</v>
      </c>
      <c r="I16" s="10">
        <f>SUM(G16:H16)</f>
        <v>378.24599999999998</v>
      </c>
      <c r="J16" s="8">
        <v>441.31099999999998</v>
      </c>
      <c r="K16" s="9">
        <v>127.79803</v>
      </c>
      <c r="L16" s="10">
        <f>SUM(J16:K16)</f>
        <v>569.10902999999996</v>
      </c>
      <c r="M16" s="8">
        <v>515.78899999999999</v>
      </c>
      <c r="N16" s="9">
        <v>109.325</v>
      </c>
      <c r="O16" s="10">
        <f>SUM(M16:N16)</f>
        <v>625.11400000000003</v>
      </c>
      <c r="P16" s="127">
        <v>411.66899999999998</v>
      </c>
      <c r="Q16" s="23">
        <v>111.69499999999999</v>
      </c>
      <c r="R16" s="10">
        <f>SUM(P16:Q16)</f>
        <v>523.36400000000003</v>
      </c>
      <c r="S16" s="127">
        <v>484.53331423448736</v>
      </c>
      <c r="T16" s="23">
        <v>127.7217391304348</v>
      </c>
      <c r="U16" s="10">
        <f>SUM(S16:T16)</f>
        <v>612.25505336492211</v>
      </c>
    </row>
    <row r="17" spans="1:21">
      <c r="A17" s="104" t="s">
        <v>26</v>
      </c>
      <c r="D17" s="8">
        <v>72.349000000000004</v>
      </c>
      <c r="E17" s="9">
        <v>10.318</v>
      </c>
      <c r="F17" s="10">
        <f>SUM(D17:E17)</f>
        <v>82.667000000000002</v>
      </c>
      <c r="G17" s="8">
        <v>103.77500000000001</v>
      </c>
      <c r="H17" s="9">
        <v>22.57</v>
      </c>
      <c r="I17" s="10">
        <f>SUM(G17:H17)</f>
        <v>126.345</v>
      </c>
      <c r="J17" s="8">
        <v>113.44</v>
      </c>
      <c r="K17" s="9">
        <v>12.829000000000001</v>
      </c>
      <c r="L17" s="10">
        <f>SUM(J17:K17)</f>
        <v>126.26900000000001</v>
      </c>
      <c r="M17" s="8">
        <v>298.54500000000002</v>
      </c>
      <c r="N17" s="9">
        <v>42.747</v>
      </c>
      <c r="O17" s="10">
        <f>SUM(M17:N17)</f>
        <v>341.29200000000003</v>
      </c>
      <c r="P17" s="127">
        <v>273.13799999999998</v>
      </c>
      <c r="Q17" s="23">
        <v>26.579000000000001</v>
      </c>
      <c r="R17" s="10">
        <f>SUM(P17:Q17)</f>
        <v>299.71699999999998</v>
      </c>
      <c r="S17" s="127">
        <v>358.13075792028457</v>
      </c>
      <c r="T17" s="23">
        <v>27.616682364445964</v>
      </c>
      <c r="U17" s="10">
        <f>SUM(S17:T17)</f>
        <v>385.74744028473054</v>
      </c>
    </row>
    <row r="18" spans="1:21" ht="13.5" thickBot="1">
      <c r="D18" s="13">
        <f t="shared" ref="D18:U18" si="1">SUM(D15:D17)</f>
        <v>2445.0440000000003</v>
      </c>
      <c r="E18" s="14">
        <f t="shared" si="1"/>
        <v>703.94</v>
      </c>
      <c r="F18" s="15">
        <f t="shared" si="1"/>
        <v>3148.9839999999999</v>
      </c>
      <c r="G18" s="13">
        <f t="shared" si="1"/>
        <v>2543.6590000000001</v>
      </c>
      <c r="H18" s="14">
        <f t="shared" si="1"/>
        <v>822.94900000000007</v>
      </c>
      <c r="I18" s="15">
        <f t="shared" si="1"/>
        <v>3366.6080000000002</v>
      </c>
      <c r="J18" s="13">
        <f t="shared" si="1"/>
        <v>3791.1360000000004</v>
      </c>
      <c r="K18" s="14">
        <f t="shared" si="1"/>
        <v>891.19150000000002</v>
      </c>
      <c r="L18" s="15">
        <f t="shared" si="1"/>
        <v>4682.3275000000003</v>
      </c>
      <c r="M18" s="13">
        <f t="shared" si="1"/>
        <v>5518.2889999999998</v>
      </c>
      <c r="N18" s="14">
        <f t="shared" si="1"/>
        <v>949.97327916964923</v>
      </c>
      <c r="O18" s="15">
        <f t="shared" si="1"/>
        <v>6468.2622791696494</v>
      </c>
      <c r="P18" s="13">
        <f t="shared" si="1"/>
        <v>6109.0919999999996</v>
      </c>
      <c r="Q18" s="14">
        <f t="shared" si="1"/>
        <v>739.79600000000005</v>
      </c>
      <c r="R18" s="15">
        <f t="shared" si="1"/>
        <v>6848.8879999999999</v>
      </c>
      <c r="S18" s="13">
        <f t="shared" si="1"/>
        <v>7108.1789052843314</v>
      </c>
      <c r="T18" s="14">
        <f t="shared" si="1"/>
        <v>747.94499737575813</v>
      </c>
      <c r="U18" s="15">
        <f t="shared" si="1"/>
        <v>7856.1239026600888</v>
      </c>
    </row>
    <row r="19" spans="1:21" ht="14.25" thickTop="1" thickBot="1">
      <c r="A19" s="5" t="s">
        <v>27</v>
      </c>
      <c r="D19" s="24">
        <f t="shared" ref="D19:U19" si="2">+D12-D18</f>
        <v>3125.2089999999994</v>
      </c>
      <c r="E19" s="25">
        <f t="shared" si="2"/>
        <v>686.62999999999988</v>
      </c>
      <c r="F19" s="26">
        <f t="shared" si="2"/>
        <v>3811.8389999999995</v>
      </c>
      <c r="G19" s="24">
        <f t="shared" si="2"/>
        <v>3605.6460000000011</v>
      </c>
      <c r="H19" s="25">
        <f t="shared" si="2"/>
        <v>758.51599999999985</v>
      </c>
      <c r="I19" s="26">
        <f t="shared" si="2"/>
        <v>4364.1620000000003</v>
      </c>
      <c r="J19" s="24">
        <f t="shared" si="2"/>
        <v>4897.0689999999995</v>
      </c>
      <c r="K19" s="25">
        <f t="shared" si="2"/>
        <v>852.35450000000003</v>
      </c>
      <c r="L19" s="26">
        <f t="shared" si="2"/>
        <v>5749.4234999999999</v>
      </c>
      <c r="M19" s="24">
        <f t="shared" si="2"/>
        <v>6600.1509999999989</v>
      </c>
      <c r="N19" s="25">
        <f t="shared" si="2"/>
        <v>860.17272083035073</v>
      </c>
      <c r="O19" s="26">
        <f t="shared" si="2"/>
        <v>7460.3237208303481</v>
      </c>
      <c r="P19" s="24">
        <f t="shared" si="2"/>
        <v>8320.2200000000012</v>
      </c>
      <c r="Q19" s="25">
        <f t="shared" si="2"/>
        <v>589.05999999999995</v>
      </c>
      <c r="R19" s="26">
        <f t="shared" si="2"/>
        <v>8909.2799999999988</v>
      </c>
      <c r="S19" s="24">
        <f t="shared" si="2"/>
        <v>10241.634327927586</v>
      </c>
      <c r="T19" s="25">
        <f t="shared" si="2"/>
        <v>508.57674175467662</v>
      </c>
      <c r="U19" s="26">
        <f t="shared" si="2"/>
        <v>10750.211069682264</v>
      </c>
    </row>
    <row r="20" spans="1:21" ht="13.5" thickTop="1">
      <c r="A20" s="5"/>
      <c r="C20" s="16" t="s">
        <v>28</v>
      </c>
      <c r="D20" s="17">
        <f t="shared" ref="D20:U20" si="3">+D19/D12</f>
        <v>0.56105333097078347</v>
      </c>
      <c r="E20" s="18">
        <f t="shared" si="3"/>
        <v>0.49377593360995842</v>
      </c>
      <c r="F20" s="19">
        <f t="shared" si="3"/>
        <v>0.54761326354656625</v>
      </c>
      <c r="G20" s="17">
        <f t="shared" si="3"/>
        <v>0.58635016477471846</v>
      </c>
      <c r="H20" s="18">
        <f t="shared" si="3"/>
        <v>0.47962869870657898</v>
      </c>
      <c r="I20" s="19">
        <f t="shared" si="3"/>
        <v>0.56451841149070536</v>
      </c>
      <c r="J20" s="17">
        <f t="shared" si="3"/>
        <v>0.56364565523028054</v>
      </c>
      <c r="K20" s="18">
        <f t="shared" si="3"/>
        <v>0.4888626397009313</v>
      </c>
      <c r="L20" s="19">
        <f t="shared" si="3"/>
        <v>0.55114654289581866</v>
      </c>
      <c r="M20" s="17">
        <f t="shared" si="3"/>
        <v>0.54463701598555592</v>
      </c>
      <c r="N20" s="18">
        <f t="shared" si="3"/>
        <v>0.47519521675619025</v>
      </c>
      <c r="O20" s="19">
        <f t="shared" si="3"/>
        <v>0.53561242475225768</v>
      </c>
      <c r="P20" s="17">
        <f t="shared" si="3"/>
        <v>0.57661931490565876</v>
      </c>
      <c r="Q20" s="18">
        <f t="shared" si="3"/>
        <v>0.44328354614796484</v>
      </c>
      <c r="R20" s="19">
        <f t="shared" si="3"/>
        <v>0.56537536596893745</v>
      </c>
      <c r="S20" s="17">
        <f t="shared" si="3"/>
        <v>0.59030228108291771</v>
      </c>
      <c r="T20" s="18">
        <f t="shared" si="3"/>
        <v>0.40474965606773572</v>
      </c>
      <c r="U20" s="19">
        <f t="shared" si="3"/>
        <v>0.57777155391763424</v>
      </c>
    </row>
    <row r="21" spans="1:21">
      <c r="A21" s="5" t="s">
        <v>29</v>
      </c>
      <c r="B21" s="27"/>
      <c r="D21" s="17"/>
      <c r="E21" s="18"/>
      <c r="F21" s="22"/>
      <c r="G21" s="17"/>
      <c r="H21" s="18"/>
      <c r="I21" s="22"/>
      <c r="J21" s="17"/>
      <c r="K21" s="18"/>
      <c r="L21" s="22"/>
      <c r="M21" s="17"/>
      <c r="N21" s="18"/>
      <c r="O21" s="22"/>
      <c r="P21" s="17"/>
      <c r="Q21" s="18"/>
      <c r="R21" s="22"/>
      <c r="S21" s="17"/>
      <c r="T21" s="18"/>
      <c r="U21" s="22"/>
    </row>
    <row r="22" spans="1:21">
      <c r="A22" s="104" t="s">
        <v>30</v>
      </c>
      <c r="D22" s="8">
        <v>189.54599999999999</v>
      </c>
      <c r="E22" s="9">
        <v>56.627000000000002</v>
      </c>
      <c r="F22" s="10">
        <f>SUM(D22:E22)</f>
        <v>246.173</v>
      </c>
      <c r="G22" s="8">
        <v>187.70599999999999</v>
      </c>
      <c r="H22" s="9">
        <v>48.322000000000003</v>
      </c>
      <c r="I22" s="10">
        <f>SUM(G22:H22)</f>
        <v>236.02799999999999</v>
      </c>
      <c r="J22" s="8">
        <v>278.25099999999998</v>
      </c>
      <c r="K22" s="9">
        <v>47.103000000000002</v>
      </c>
      <c r="L22" s="10">
        <f>SUM(J22:K22)</f>
        <v>325.35399999999998</v>
      </c>
      <c r="M22" s="8">
        <v>414.404</v>
      </c>
      <c r="N22" s="9">
        <v>46.752000000000002</v>
      </c>
      <c r="O22" s="10">
        <f>SUM(M22:N22)</f>
        <v>461.15600000000001</v>
      </c>
      <c r="P22" s="127">
        <v>482.27699999999999</v>
      </c>
      <c r="Q22" s="23">
        <v>41.688000000000002</v>
      </c>
      <c r="R22" s="10">
        <f>SUM(P22:Q22)</f>
        <v>523.96500000000003</v>
      </c>
      <c r="S22" s="127">
        <v>578.66220711539825</v>
      </c>
      <c r="T22" s="23">
        <v>42.573913043478264</v>
      </c>
      <c r="U22" s="10">
        <f>SUM(S22:T22)</f>
        <v>621.23612015887647</v>
      </c>
    </row>
    <row r="23" spans="1:21">
      <c r="A23" s="104" t="s">
        <v>31</v>
      </c>
      <c r="D23" s="8">
        <v>1160.454</v>
      </c>
      <c r="E23" s="9">
        <v>69.936000000000007</v>
      </c>
      <c r="F23" s="10">
        <f>SUM(D23:E23)</f>
        <v>1230.3899999999999</v>
      </c>
      <c r="G23" s="8">
        <v>1048.8040000000001</v>
      </c>
      <c r="H23" s="9">
        <v>97.051000000000002</v>
      </c>
      <c r="I23" s="10">
        <f>SUM(G23:H23)</f>
        <v>1145.855</v>
      </c>
      <c r="J23" s="8">
        <v>1458.778</v>
      </c>
      <c r="K23" s="9">
        <v>91.202339999999992</v>
      </c>
      <c r="L23" s="10">
        <f>SUM(J23:K23)</f>
        <v>1549.9803400000001</v>
      </c>
      <c r="M23" s="8">
        <v>2184.009</v>
      </c>
      <c r="N23" s="9">
        <v>116.48139999999999</v>
      </c>
      <c r="O23" s="10">
        <f>SUM(M23:N23)</f>
        <v>2300.4904000000001</v>
      </c>
      <c r="P23" s="127">
        <v>2646.471</v>
      </c>
      <c r="Q23" s="23">
        <v>62.991999999999997</v>
      </c>
      <c r="R23" s="10">
        <f>SUM(P23:Q23)</f>
        <v>2709.4630000000002</v>
      </c>
      <c r="S23" s="127">
        <v>3060.6053721906396</v>
      </c>
      <c r="T23" s="23">
        <v>18</v>
      </c>
      <c r="U23" s="10">
        <f>SUM(S23:T23)</f>
        <v>3078.6053721906396</v>
      </c>
    </row>
    <row r="24" spans="1:21">
      <c r="A24" s="104" t="s">
        <v>32</v>
      </c>
      <c r="D24" s="8">
        <v>28</v>
      </c>
      <c r="E24" s="9">
        <v>185.453</v>
      </c>
      <c r="F24" s="10">
        <f>SUM(D24:E24)</f>
        <v>213.453</v>
      </c>
      <c r="G24" s="8">
        <v>28.957000000000001</v>
      </c>
      <c r="H24" s="9">
        <v>145.33199999999999</v>
      </c>
      <c r="I24" s="10">
        <f>SUM(G24:H24)</f>
        <v>174.28899999999999</v>
      </c>
      <c r="J24" s="8">
        <v>61.152999999999999</v>
      </c>
      <c r="K24" s="9">
        <v>140.65700000000001</v>
      </c>
      <c r="L24" s="10">
        <f>SUM(J24:K24)</f>
        <v>201.81</v>
      </c>
      <c r="M24" s="8">
        <v>64.856999999999999</v>
      </c>
      <c r="N24" s="9">
        <v>166.07464999999999</v>
      </c>
      <c r="O24" s="10">
        <f>SUM(M24:N24)</f>
        <v>230.93164999999999</v>
      </c>
      <c r="P24" s="127">
        <v>112.324</v>
      </c>
      <c r="Q24" s="23">
        <v>155.05600000000001</v>
      </c>
      <c r="R24" s="10">
        <f>SUM(P24:Q24)</f>
        <v>267.38</v>
      </c>
      <c r="S24" s="127">
        <v>173.9443</v>
      </c>
      <c r="T24" s="23">
        <v>153.17232608695653</v>
      </c>
      <c r="U24" s="10">
        <f>SUM(S24:T24)</f>
        <v>327.11662608695656</v>
      </c>
    </row>
    <row r="25" spans="1:21">
      <c r="A25" s="104" t="s">
        <v>33</v>
      </c>
      <c r="D25" s="8">
        <v>126.46899999999999</v>
      </c>
      <c r="E25" s="9">
        <v>17.568000000000001</v>
      </c>
      <c r="F25" s="10">
        <f>SUM(D25:E25)</f>
        <v>144.03700000000001</v>
      </c>
      <c r="G25" s="8">
        <v>144.584</v>
      </c>
      <c r="H25" s="9">
        <v>34.281999999999996</v>
      </c>
      <c r="I25" s="10">
        <f>SUM(G25:H25)</f>
        <v>178.86599999999999</v>
      </c>
      <c r="J25" s="8">
        <v>226.154</v>
      </c>
      <c r="K25" s="9">
        <v>20.63</v>
      </c>
      <c r="L25" s="10">
        <f>SUM(J25:K25)</f>
        <v>246.78399999999999</v>
      </c>
      <c r="M25" s="8">
        <v>242.04400000000001</v>
      </c>
      <c r="N25" s="9">
        <v>17.855450000000001</v>
      </c>
      <c r="O25" s="10">
        <f>SUM(M25:N25)</f>
        <v>259.89945</v>
      </c>
      <c r="P25" s="127">
        <v>261.45999999999998</v>
      </c>
      <c r="Q25" s="23">
        <v>22.736000000000001</v>
      </c>
      <c r="R25" s="10">
        <f>SUM(P25:Q25)</f>
        <v>284.19599999999997</v>
      </c>
      <c r="S25" s="127">
        <v>306.53627751999994</v>
      </c>
      <c r="T25" s="23">
        <v>0</v>
      </c>
      <c r="U25" s="10">
        <f>SUM(S25:T25)</f>
        <v>306.53627751999994</v>
      </c>
    </row>
    <row r="26" spans="1:21">
      <c r="A26" s="104" t="s">
        <v>34</v>
      </c>
      <c r="D26" s="8">
        <v>132.518</v>
      </c>
      <c r="E26" s="9">
        <v>109.89100000000001</v>
      </c>
      <c r="F26" s="10">
        <f>SUM(D26:E26)</f>
        <v>242.40899999999999</v>
      </c>
      <c r="G26" s="8">
        <v>97.180999999999997</v>
      </c>
      <c r="H26" s="9">
        <v>133.631</v>
      </c>
      <c r="I26" s="10">
        <f>SUM(G26:H26)</f>
        <v>230.81200000000001</v>
      </c>
      <c r="J26" s="8">
        <v>149.95500000000001</v>
      </c>
      <c r="K26" s="9">
        <v>150.458</v>
      </c>
      <c r="L26" s="10">
        <f>SUM(J26:K26)</f>
        <v>300.41300000000001</v>
      </c>
      <c r="M26" s="8">
        <v>173.227</v>
      </c>
      <c r="N26" s="9">
        <v>165.22800000000001</v>
      </c>
      <c r="O26" s="10">
        <f>SUM(M26:N26)</f>
        <v>338.45500000000004</v>
      </c>
      <c r="P26" s="127">
        <v>131.99600000000001</v>
      </c>
      <c r="Q26" s="23">
        <v>94.867000000000004</v>
      </c>
      <c r="R26" s="10">
        <f>SUM(P26:Q26)</f>
        <v>226.863</v>
      </c>
      <c r="S26" s="127">
        <v>114.25739130434783</v>
      </c>
      <c r="T26" s="23">
        <v>69.234782608695653</v>
      </c>
      <c r="U26" s="10">
        <f>SUM(S26:T26)</f>
        <v>183.49217391304347</v>
      </c>
    </row>
    <row r="27" spans="1:21" ht="13.5" thickBot="1">
      <c r="A27" s="5"/>
      <c r="B27" s="27"/>
      <c r="D27" s="13">
        <f t="shared" ref="D27:U27" si="4">SUM(D22:D26)</f>
        <v>1636.9870000000001</v>
      </c>
      <c r="E27" s="14">
        <f t="shared" si="4"/>
        <v>439.47500000000002</v>
      </c>
      <c r="F27" s="15">
        <f t="shared" si="4"/>
        <v>2076.462</v>
      </c>
      <c r="G27" s="13">
        <f t="shared" si="4"/>
        <v>1507.2320000000002</v>
      </c>
      <c r="H27" s="14">
        <f t="shared" si="4"/>
        <v>458.61799999999994</v>
      </c>
      <c r="I27" s="15">
        <f t="shared" si="4"/>
        <v>1965.85</v>
      </c>
      <c r="J27" s="13">
        <f t="shared" si="4"/>
        <v>2174.2910000000002</v>
      </c>
      <c r="K27" s="14">
        <f t="shared" si="4"/>
        <v>450.05034000000001</v>
      </c>
      <c r="L27" s="15">
        <f t="shared" si="4"/>
        <v>2624.3413400000004</v>
      </c>
      <c r="M27" s="13">
        <f t="shared" si="4"/>
        <v>3078.5409999999997</v>
      </c>
      <c r="N27" s="14">
        <f t="shared" si="4"/>
        <v>512.39149999999995</v>
      </c>
      <c r="O27" s="15">
        <f t="shared" si="4"/>
        <v>3590.9324999999999</v>
      </c>
      <c r="P27" s="13">
        <f t="shared" si="4"/>
        <v>3634.5280000000002</v>
      </c>
      <c r="Q27" s="14">
        <f t="shared" si="4"/>
        <v>377.339</v>
      </c>
      <c r="R27" s="15">
        <f t="shared" si="4"/>
        <v>4011.8670000000002</v>
      </c>
      <c r="S27" s="13">
        <f t="shared" si="4"/>
        <v>4234.0055481303862</v>
      </c>
      <c r="T27" s="14">
        <f t="shared" si="4"/>
        <v>282.98102173913043</v>
      </c>
      <c r="U27" s="15">
        <f t="shared" si="4"/>
        <v>4516.9865698695157</v>
      </c>
    </row>
    <row r="28" spans="1:21" ht="14.25" thickTop="1" thickBot="1">
      <c r="A28" s="5" t="s">
        <v>35</v>
      </c>
      <c r="B28" s="27"/>
      <c r="D28" s="24">
        <f t="shared" ref="D28:U28" si="5">+D19-D27</f>
        <v>1488.2219999999993</v>
      </c>
      <c r="E28" s="25">
        <f t="shared" si="5"/>
        <v>247.15499999999986</v>
      </c>
      <c r="F28" s="26">
        <f t="shared" si="5"/>
        <v>1735.3769999999995</v>
      </c>
      <c r="G28" s="24">
        <f t="shared" si="5"/>
        <v>2098.4140000000007</v>
      </c>
      <c r="H28" s="25">
        <f t="shared" si="5"/>
        <v>299.89799999999991</v>
      </c>
      <c r="I28" s="26">
        <f t="shared" si="5"/>
        <v>2398.3120000000004</v>
      </c>
      <c r="J28" s="24">
        <f t="shared" si="5"/>
        <v>2722.7779999999993</v>
      </c>
      <c r="K28" s="25">
        <f t="shared" si="5"/>
        <v>402.30416000000002</v>
      </c>
      <c r="L28" s="26">
        <f t="shared" si="5"/>
        <v>3125.0821599999995</v>
      </c>
      <c r="M28" s="24">
        <f t="shared" si="5"/>
        <v>3521.6099999999992</v>
      </c>
      <c r="N28" s="25">
        <f t="shared" si="5"/>
        <v>347.78122083035078</v>
      </c>
      <c r="O28" s="26">
        <f t="shared" si="5"/>
        <v>3869.3912208303482</v>
      </c>
      <c r="P28" s="24">
        <f t="shared" si="5"/>
        <v>4685.6920000000009</v>
      </c>
      <c r="Q28" s="25">
        <f t="shared" si="5"/>
        <v>211.72099999999995</v>
      </c>
      <c r="R28" s="26">
        <f t="shared" si="5"/>
        <v>4897.4129999999986</v>
      </c>
      <c r="S28" s="24">
        <f t="shared" si="5"/>
        <v>6007.6287797972</v>
      </c>
      <c r="T28" s="25">
        <f t="shared" si="5"/>
        <v>225.59572001554619</v>
      </c>
      <c r="U28" s="26">
        <f t="shared" si="5"/>
        <v>6233.224499812748</v>
      </c>
    </row>
    <row r="29" spans="1:21" ht="13.5" thickTop="1">
      <c r="A29" s="5"/>
      <c r="C29" s="16" t="s">
        <v>36</v>
      </c>
      <c r="D29" s="17">
        <f t="shared" ref="D29:U29" si="6">+D28/D12</f>
        <v>0.26717314276389231</v>
      </c>
      <c r="E29" s="18">
        <f t="shared" si="6"/>
        <v>0.17773646777939972</v>
      </c>
      <c r="F29" s="19">
        <f t="shared" si="6"/>
        <v>0.24930629610895144</v>
      </c>
      <c r="G29" s="17">
        <f t="shared" si="6"/>
        <v>0.34124409181200155</v>
      </c>
      <c r="H29" s="18">
        <f t="shared" si="6"/>
        <v>0.18963303013345217</v>
      </c>
      <c r="I29" s="19">
        <f t="shared" si="6"/>
        <v>0.31022938206672818</v>
      </c>
      <c r="J29" s="17">
        <f t="shared" si="6"/>
        <v>0.31338786320074163</v>
      </c>
      <c r="K29" s="18">
        <f t="shared" si="6"/>
        <v>0.23073905707104947</v>
      </c>
      <c r="L29" s="19">
        <f t="shared" si="6"/>
        <v>0.29957407533979669</v>
      </c>
      <c r="M29" s="17">
        <f t="shared" si="6"/>
        <v>0.29059928505649241</v>
      </c>
      <c r="N29" s="18">
        <f t="shared" si="6"/>
        <v>0.19212882321666361</v>
      </c>
      <c r="O29" s="19">
        <f t="shared" si="6"/>
        <v>0.27780215599992336</v>
      </c>
      <c r="P29" s="17">
        <f t="shared" si="6"/>
        <v>0.32473426314435511</v>
      </c>
      <c r="Q29" s="18">
        <f t="shared" si="6"/>
        <v>0.15932576592196593</v>
      </c>
      <c r="R29" s="19">
        <f t="shared" si="6"/>
        <v>0.310785682701187</v>
      </c>
      <c r="S29" s="17">
        <f t="shared" si="6"/>
        <v>0.3462647521932446</v>
      </c>
      <c r="T29" s="18">
        <f t="shared" si="6"/>
        <v>0.17953984637915441</v>
      </c>
      <c r="U29" s="19">
        <f t="shared" si="6"/>
        <v>0.33500549727166645</v>
      </c>
    </row>
    <row r="30" spans="1:21">
      <c r="A30" s="5" t="s">
        <v>37</v>
      </c>
      <c r="C30" s="16"/>
      <c r="D30" s="28"/>
      <c r="E30" s="29"/>
      <c r="F30" s="22"/>
      <c r="G30" s="28"/>
      <c r="H30" s="29"/>
      <c r="I30" s="22"/>
      <c r="J30" s="28"/>
      <c r="K30" s="29"/>
      <c r="L30" s="22"/>
      <c r="M30" s="28"/>
      <c r="N30" s="29"/>
      <c r="O30" s="22"/>
      <c r="P30" s="28"/>
      <c r="Q30" s="29"/>
      <c r="R30" s="22"/>
      <c r="S30" s="28"/>
      <c r="T30" s="29"/>
      <c r="U30" s="22"/>
    </row>
    <row r="31" spans="1:21">
      <c r="A31" s="104" t="s">
        <v>38</v>
      </c>
      <c r="C31" s="16"/>
      <c r="D31" s="30" t="s">
        <v>39</v>
      </c>
      <c r="E31" s="11" t="s">
        <v>39</v>
      </c>
      <c r="F31" s="10">
        <f>SUM(D31:E31)</f>
        <v>0</v>
      </c>
      <c r="G31" s="8">
        <v>103.819</v>
      </c>
      <c r="H31" s="23">
        <v>25.260450000000002</v>
      </c>
      <c r="I31" s="10">
        <f>SUM(G31:H31)</f>
        <v>129.07945000000001</v>
      </c>
      <c r="J31" s="8">
        <v>171.36221</v>
      </c>
      <c r="K31" s="23">
        <v>6.0270000000000001</v>
      </c>
      <c r="L31" s="10">
        <f>SUM(J31:K31)</f>
        <v>177.38920999999999</v>
      </c>
      <c r="M31" s="8">
        <v>211.76281</v>
      </c>
      <c r="N31" s="23">
        <v>27.453900000000001</v>
      </c>
      <c r="O31" s="10">
        <f>SUM(M31:N31)</f>
        <v>239.21671000000001</v>
      </c>
      <c r="P31" s="127">
        <v>272.74599999999998</v>
      </c>
      <c r="Q31" s="23">
        <v>14.355</v>
      </c>
      <c r="R31" s="10">
        <f>SUM(P31:Q31)</f>
        <v>287.101</v>
      </c>
      <c r="S31" s="127">
        <v>307.82899999999995</v>
      </c>
      <c r="T31" s="23">
        <v>0</v>
      </c>
      <c r="U31" s="10">
        <f>SUM(S31:T31)</f>
        <v>307.82899999999995</v>
      </c>
    </row>
    <row r="32" spans="1:21">
      <c r="A32" s="104" t="s">
        <v>40</v>
      </c>
      <c r="D32" s="8">
        <v>28.157</v>
      </c>
      <c r="E32" s="23">
        <v>6.5979999999999999</v>
      </c>
      <c r="F32" s="10">
        <f>SUM(D32:E32)</f>
        <v>34.755000000000003</v>
      </c>
      <c r="G32" s="8">
        <v>56.298999999999999</v>
      </c>
      <c r="H32" s="23">
        <v>5.7240000000000002</v>
      </c>
      <c r="I32" s="10">
        <f>SUM(G32:H32)</f>
        <v>62.022999999999996</v>
      </c>
      <c r="J32" s="8">
        <v>69.929000000000002</v>
      </c>
      <c r="K32" s="23">
        <v>2.403</v>
      </c>
      <c r="L32" s="10">
        <f>SUM(J32:K32)</f>
        <v>72.332000000000008</v>
      </c>
      <c r="M32" s="8">
        <v>88.613</v>
      </c>
      <c r="N32" s="23">
        <v>7.7279999999999998</v>
      </c>
      <c r="O32" s="10">
        <f>SUM(M32:N32)</f>
        <v>96.340999999999994</v>
      </c>
      <c r="P32" s="127">
        <v>102.167</v>
      </c>
      <c r="Q32" s="23">
        <v>5.0140000000000002</v>
      </c>
      <c r="R32" s="10">
        <f>SUM(P32:Q32)</f>
        <v>107.181</v>
      </c>
      <c r="S32" s="127">
        <v>124.66867043478261</v>
      </c>
      <c r="T32" s="23">
        <v>5.3956521739130432</v>
      </c>
      <c r="U32" s="10">
        <f>SUM(S32:T32)</f>
        <v>130.06432260869565</v>
      </c>
    </row>
    <row r="33" spans="1:21">
      <c r="A33" s="104" t="s">
        <v>41</v>
      </c>
      <c r="D33" s="8">
        <v>108.714</v>
      </c>
      <c r="E33" s="9">
        <v>4.6109999999999998</v>
      </c>
      <c r="F33" s="10">
        <f>SUM(D33:E33)</f>
        <v>113.325</v>
      </c>
      <c r="G33" s="8">
        <v>134.48500000000001</v>
      </c>
      <c r="H33" s="9">
        <v>17.943999999999999</v>
      </c>
      <c r="I33" s="10">
        <f>SUM(G33:H33)</f>
        <v>152.429</v>
      </c>
      <c r="J33" s="8">
        <v>272.55500000000001</v>
      </c>
      <c r="K33" s="9">
        <v>13.6225</v>
      </c>
      <c r="L33" s="10">
        <f>SUM(J33:K33)</f>
        <v>286.17750000000001</v>
      </c>
      <c r="M33" s="8">
        <v>400.58800000000002</v>
      </c>
      <c r="N33" s="9">
        <v>5.4916200000000002</v>
      </c>
      <c r="O33" s="10">
        <f>SUM(M33:N33)</f>
        <v>406.07962000000003</v>
      </c>
      <c r="P33" s="127">
        <v>668.88499999999999</v>
      </c>
      <c r="Q33" s="23">
        <v>-5.31</v>
      </c>
      <c r="R33" s="10">
        <f>SUM(P33:Q33)</f>
        <v>663.57500000000005</v>
      </c>
      <c r="S33" s="127">
        <v>812.00037956521749</v>
      </c>
      <c r="T33" s="23">
        <v>28.700000000000003</v>
      </c>
      <c r="U33" s="10">
        <f>SUM(S33:T33)</f>
        <v>840.70037956521753</v>
      </c>
    </row>
    <row r="34" spans="1:21">
      <c r="A34" s="104" t="s">
        <v>42</v>
      </c>
      <c r="D34" s="8">
        <v>204.00700000000001</v>
      </c>
      <c r="E34" s="9">
        <v>48.293999999999997</v>
      </c>
      <c r="F34" s="10">
        <f>SUM(D34:E34)</f>
        <v>252.30099999999999</v>
      </c>
      <c r="G34" s="8">
        <v>341.74799999999999</v>
      </c>
      <c r="H34" s="9">
        <v>44.276000000000003</v>
      </c>
      <c r="I34" s="10">
        <f>SUM(G34:H34)</f>
        <v>386.024</v>
      </c>
      <c r="J34" s="8">
        <v>282.39499999999998</v>
      </c>
      <c r="K34" s="9">
        <v>64.584999999999994</v>
      </c>
      <c r="L34" s="10">
        <f>SUM(J34:K34)</f>
        <v>346.97999999999996</v>
      </c>
      <c r="M34" s="8">
        <v>363.70600000000002</v>
      </c>
      <c r="N34" s="9">
        <v>99.888236666666657</v>
      </c>
      <c r="O34" s="10">
        <f>SUM(M34:N34)</f>
        <v>463.59423666666669</v>
      </c>
      <c r="P34" s="127">
        <v>293.24</v>
      </c>
      <c r="Q34" s="23">
        <v>35.131</v>
      </c>
      <c r="R34" s="10">
        <f>SUM(P34:Q34)</f>
        <v>328.37099999999998</v>
      </c>
      <c r="S34" s="127">
        <v>437.73913043478274</v>
      </c>
      <c r="T34" s="23">
        <v>31.513043478260865</v>
      </c>
      <c r="U34" s="10">
        <f>SUM(S34:T34)</f>
        <v>469.25217391304358</v>
      </c>
    </row>
    <row r="35" spans="1:21" ht="13.5" thickBot="1">
      <c r="A35" s="5"/>
      <c r="C35" s="16"/>
      <c r="D35" s="13">
        <f t="shared" ref="D35:U35" si="7">SUM(D31:D34)</f>
        <v>340.87800000000004</v>
      </c>
      <c r="E35" s="14">
        <f t="shared" si="7"/>
        <v>59.503</v>
      </c>
      <c r="F35" s="15">
        <f t="shared" si="7"/>
        <v>400.38099999999997</v>
      </c>
      <c r="G35" s="13">
        <f t="shared" si="7"/>
        <v>636.351</v>
      </c>
      <c r="H35" s="14">
        <f t="shared" si="7"/>
        <v>93.204450000000008</v>
      </c>
      <c r="I35" s="15">
        <f t="shared" si="7"/>
        <v>729.55545000000006</v>
      </c>
      <c r="J35" s="13">
        <f t="shared" si="7"/>
        <v>796.24121000000002</v>
      </c>
      <c r="K35" s="14">
        <f t="shared" si="7"/>
        <v>86.637499999999989</v>
      </c>
      <c r="L35" s="15">
        <f t="shared" si="7"/>
        <v>882.87870999999996</v>
      </c>
      <c r="M35" s="13">
        <f t="shared" si="7"/>
        <v>1064.6698099999999</v>
      </c>
      <c r="N35" s="14">
        <f t="shared" si="7"/>
        <v>140.56175666666667</v>
      </c>
      <c r="O35" s="15">
        <f t="shared" si="7"/>
        <v>1205.2315666666668</v>
      </c>
      <c r="P35" s="13">
        <f t="shared" si="7"/>
        <v>1337.038</v>
      </c>
      <c r="Q35" s="14">
        <f t="shared" si="7"/>
        <v>49.19</v>
      </c>
      <c r="R35" s="15">
        <f t="shared" si="7"/>
        <v>1386.2280000000001</v>
      </c>
      <c r="S35" s="13">
        <f t="shared" si="7"/>
        <v>1682.2371804347829</v>
      </c>
      <c r="T35" s="14">
        <f t="shared" si="7"/>
        <v>65.608695652173907</v>
      </c>
      <c r="U35" s="15">
        <f t="shared" si="7"/>
        <v>1747.8458760869569</v>
      </c>
    </row>
    <row r="36" spans="1:21" ht="13.5" thickTop="1">
      <c r="A36" s="5"/>
      <c r="C36" s="16"/>
      <c r="D36" s="31">
        <f t="shared" ref="D36:U36" si="8">+D35/D12</f>
        <v>6.1196143155436575E-2</v>
      </c>
      <c r="E36" s="32">
        <f t="shared" si="8"/>
        <v>4.2790366540339575E-2</v>
      </c>
      <c r="F36" s="33">
        <f t="shared" si="8"/>
        <v>5.7519204266506994E-2</v>
      </c>
      <c r="G36" s="31">
        <f t="shared" si="8"/>
        <v>0.10348340178280307</v>
      </c>
      <c r="H36" s="32">
        <f t="shared" si="8"/>
        <v>5.8935512325596844E-2</v>
      </c>
      <c r="I36" s="33">
        <f t="shared" si="8"/>
        <v>9.4370347326333606E-2</v>
      </c>
      <c r="J36" s="31">
        <f t="shared" si="8"/>
        <v>9.1646227270189881E-2</v>
      </c>
      <c r="K36" s="32">
        <f t="shared" si="8"/>
        <v>4.9690401056238259E-2</v>
      </c>
      <c r="L36" s="33">
        <f t="shared" si="8"/>
        <v>8.4633798295223869E-2</v>
      </c>
      <c r="M36" s="31">
        <f t="shared" si="8"/>
        <v>8.7855351843966714E-2</v>
      </c>
      <c r="N36" s="32">
        <f t="shared" si="8"/>
        <v>7.7652165442271881E-2</v>
      </c>
      <c r="O36" s="33">
        <f t="shared" si="8"/>
        <v>8.6529355288947993E-2</v>
      </c>
      <c r="P36" s="31">
        <f t="shared" si="8"/>
        <v>9.2661244001099985E-2</v>
      </c>
      <c r="Q36" s="32">
        <f t="shared" si="8"/>
        <v>3.701680242253487E-2</v>
      </c>
      <c r="R36" s="33">
        <f t="shared" si="8"/>
        <v>8.7968855262870668E-2</v>
      </c>
      <c r="S36" s="31">
        <f t="shared" si="8"/>
        <v>9.695995903947581E-2</v>
      </c>
      <c r="T36" s="32">
        <f t="shared" si="8"/>
        <v>5.2214532871972315E-2</v>
      </c>
      <c r="U36" s="33">
        <f t="shared" si="8"/>
        <v>9.3938213983842972E-2</v>
      </c>
    </row>
    <row r="37" spans="1:21">
      <c r="A37" s="34" t="s">
        <v>43</v>
      </c>
      <c r="D37" s="140"/>
      <c r="E37" s="139"/>
      <c r="F37" s="20"/>
      <c r="G37" s="140"/>
      <c r="H37" s="139"/>
      <c r="I37" s="20"/>
      <c r="J37" s="140"/>
      <c r="K37" s="139"/>
      <c r="L37" s="20"/>
      <c r="M37" s="140"/>
      <c r="N37" s="139"/>
      <c r="O37" s="20"/>
      <c r="P37" s="35"/>
      <c r="Q37" s="36"/>
      <c r="R37" s="20"/>
      <c r="S37" s="35"/>
      <c r="T37" s="36"/>
      <c r="U37" s="20"/>
    </row>
    <row r="38" spans="1:21">
      <c r="A38" s="104" t="s">
        <v>38</v>
      </c>
      <c r="B38" s="141"/>
      <c r="D38" s="8">
        <v>257.12799999999999</v>
      </c>
      <c r="E38" s="9">
        <v>52.308</v>
      </c>
      <c r="F38" s="10">
        <f t="shared" ref="F38:F58" si="9">SUM(D38:E38)</f>
        <v>309.43599999999998</v>
      </c>
      <c r="G38" s="8">
        <v>187.327</v>
      </c>
      <c r="H38" s="9">
        <v>0</v>
      </c>
      <c r="I38" s="10">
        <f t="shared" ref="I38:I57" si="10">SUM(G38:H38)</f>
        <v>187.327</v>
      </c>
      <c r="J38" s="8">
        <v>219.65199999999999</v>
      </c>
      <c r="K38" s="9">
        <v>0</v>
      </c>
      <c r="L38" s="10">
        <f t="shared" ref="L38:L57" si="11">SUM(J38:K38)</f>
        <v>219.65199999999999</v>
      </c>
      <c r="M38" s="8">
        <v>362.78699999999998</v>
      </c>
      <c r="N38" s="9">
        <v>0</v>
      </c>
      <c r="O38" s="10">
        <f t="shared" ref="O38:O57" si="12">SUM(M38:N38)</f>
        <v>362.78699999999998</v>
      </c>
      <c r="P38" s="127">
        <v>423.49</v>
      </c>
      <c r="Q38" s="23">
        <v>0</v>
      </c>
      <c r="R38" s="10">
        <f t="shared" ref="R38:R57" si="13">SUM(P38:Q38)</f>
        <v>423.49</v>
      </c>
      <c r="S38" s="127">
        <v>527.29349666666644</v>
      </c>
      <c r="T38" s="23">
        <v>0</v>
      </c>
      <c r="U38" s="10">
        <f t="shared" ref="U38:U57" si="14">SUM(S38:T38)</f>
        <v>527.29349666666644</v>
      </c>
    </row>
    <row r="39" spans="1:21">
      <c r="A39" s="104" t="s">
        <v>44</v>
      </c>
      <c r="D39" s="8">
        <v>156</v>
      </c>
      <c r="E39" s="9">
        <v>0</v>
      </c>
      <c r="F39" s="10">
        <f t="shared" si="9"/>
        <v>156</v>
      </c>
      <c r="G39" s="8">
        <v>204</v>
      </c>
      <c r="H39" s="9">
        <v>11</v>
      </c>
      <c r="I39" s="10">
        <f t="shared" si="10"/>
        <v>215</v>
      </c>
      <c r="J39" s="8">
        <v>158</v>
      </c>
      <c r="K39" s="9">
        <v>20</v>
      </c>
      <c r="L39" s="10">
        <f t="shared" si="11"/>
        <v>178</v>
      </c>
      <c r="M39" s="8">
        <v>154.5</v>
      </c>
      <c r="N39" s="9">
        <v>20</v>
      </c>
      <c r="O39" s="10">
        <f t="shared" si="12"/>
        <v>174.5</v>
      </c>
      <c r="P39" s="127">
        <v>173</v>
      </c>
      <c r="Q39" s="23">
        <v>0</v>
      </c>
      <c r="R39" s="10">
        <f t="shared" si="13"/>
        <v>173</v>
      </c>
      <c r="S39" s="127">
        <v>176.00020000000001</v>
      </c>
      <c r="T39" s="23">
        <v>0</v>
      </c>
      <c r="U39" s="10">
        <f t="shared" si="14"/>
        <v>176.00020000000001</v>
      </c>
    </row>
    <row r="40" spans="1:21">
      <c r="A40" s="104" t="s">
        <v>45</v>
      </c>
      <c r="D40" s="8">
        <v>19.25</v>
      </c>
      <c r="E40" s="9">
        <v>16.048999999999999</v>
      </c>
      <c r="F40" s="10">
        <f t="shared" si="9"/>
        <v>35.298999999999999</v>
      </c>
      <c r="G40" s="8">
        <v>10.69</v>
      </c>
      <c r="H40" s="9">
        <v>0</v>
      </c>
      <c r="I40" s="10">
        <f t="shared" si="10"/>
        <v>10.69</v>
      </c>
      <c r="J40" s="8">
        <v>43.097999999999999</v>
      </c>
      <c r="K40" s="9">
        <v>5.8090000000000002</v>
      </c>
      <c r="L40" s="10">
        <f t="shared" si="11"/>
        <v>48.906999999999996</v>
      </c>
      <c r="M40" s="8">
        <v>45.652999999999999</v>
      </c>
      <c r="N40" s="9">
        <v>9.6000000000000002E-2</v>
      </c>
      <c r="O40" s="10">
        <f t="shared" si="12"/>
        <v>45.748999999999995</v>
      </c>
      <c r="P40" s="127">
        <v>34.387</v>
      </c>
      <c r="Q40" s="23">
        <v>0</v>
      </c>
      <c r="R40" s="10">
        <f t="shared" si="13"/>
        <v>34.387</v>
      </c>
      <c r="S40" s="127">
        <v>42.6</v>
      </c>
      <c r="T40" s="23">
        <v>4.2</v>
      </c>
      <c r="U40" s="10">
        <f t="shared" si="14"/>
        <v>46.800000000000004</v>
      </c>
    </row>
    <row r="41" spans="1:21">
      <c r="A41" s="104" t="s">
        <v>46</v>
      </c>
      <c r="D41" s="8">
        <v>64.168000000000006</v>
      </c>
      <c r="E41" s="9">
        <v>58.463000000000001</v>
      </c>
      <c r="F41" s="10">
        <f t="shared" si="9"/>
        <v>122.631</v>
      </c>
      <c r="G41" s="8">
        <v>81.489000000000004</v>
      </c>
      <c r="H41" s="9">
        <v>50.198999999999998</v>
      </c>
      <c r="I41" s="10">
        <f t="shared" si="10"/>
        <v>131.68799999999999</v>
      </c>
      <c r="J41" s="8">
        <v>115.176</v>
      </c>
      <c r="K41" s="9">
        <v>28.6</v>
      </c>
      <c r="L41" s="10">
        <f t="shared" si="11"/>
        <v>143.77600000000001</v>
      </c>
      <c r="M41" s="8">
        <v>121.134</v>
      </c>
      <c r="N41" s="9">
        <v>21.298400000000001</v>
      </c>
      <c r="O41" s="10">
        <f t="shared" si="12"/>
        <v>142.4324</v>
      </c>
      <c r="P41" s="127">
        <v>124.911</v>
      </c>
      <c r="Q41" s="23">
        <v>23.215</v>
      </c>
      <c r="R41" s="10">
        <f t="shared" si="13"/>
        <v>148.126</v>
      </c>
      <c r="S41" s="127">
        <v>131.14615000000003</v>
      </c>
      <c r="T41" s="23">
        <v>29.926900000000003</v>
      </c>
      <c r="U41" s="10">
        <f t="shared" si="14"/>
        <v>161.07305000000002</v>
      </c>
    </row>
    <row r="42" spans="1:21">
      <c r="A42" s="104" t="s">
        <v>47</v>
      </c>
      <c r="D42" s="8">
        <v>46.631999999999998</v>
      </c>
      <c r="E42" s="9">
        <v>1.8460000000000001</v>
      </c>
      <c r="F42" s="10">
        <f t="shared" si="9"/>
        <v>48.477999999999994</v>
      </c>
      <c r="G42" s="8">
        <v>53.256</v>
      </c>
      <c r="H42" s="9">
        <v>0.58699999999999997</v>
      </c>
      <c r="I42" s="10">
        <f t="shared" si="10"/>
        <v>53.843000000000004</v>
      </c>
      <c r="J42" s="8">
        <v>42.029000000000003</v>
      </c>
      <c r="K42" s="9">
        <v>1.58</v>
      </c>
      <c r="L42" s="10">
        <f t="shared" si="11"/>
        <v>43.609000000000002</v>
      </c>
      <c r="M42" s="8">
        <v>35.838000000000001</v>
      </c>
      <c r="N42" s="9">
        <v>0.67600000000000005</v>
      </c>
      <c r="O42" s="10">
        <f t="shared" si="12"/>
        <v>36.514000000000003</v>
      </c>
      <c r="P42" s="127">
        <v>31.132000000000001</v>
      </c>
      <c r="Q42" s="23">
        <v>0.65300000000000002</v>
      </c>
      <c r="R42" s="10">
        <f t="shared" si="13"/>
        <v>31.785</v>
      </c>
      <c r="S42" s="127">
        <v>35.246650000000002</v>
      </c>
      <c r="T42" s="23">
        <v>0.85004999999999986</v>
      </c>
      <c r="U42" s="10">
        <f t="shared" si="14"/>
        <v>36.096700000000006</v>
      </c>
    </row>
    <row r="43" spans="1:21">
      <c r="A43" s="104" t="s">
        <v>48</v>
      </c>
      <c r="D43" s="8">
        <v>14.552</v>
      </c>
      <c r="E43" s="9">
        <v>2.3959999999999999</v>
      </c>
      <c r="F43" s="10">
        <f t="shared" si="9"/>
        <v>16.948</v>
      </c>
      <c r="G43" s="8">
        <v>22.241</v>
      </c>
      <c r="H43" s="9">
        <v>0.97799999999999998</v>
      </c>
      <c r="I43" s="10">
        <f t="shared" si="10"/>
        <v>23.219000000000001</v>
      </c>
      <c r="J43" s="8">
        <v>39.021000000000001</v>
      </c>
      <c r="K43" s="9">
        <v>0.95499999999999996</v>
      </c>
      <c r="L43" s="10">
        <f t="shared" si="11"/>
        <v>39.975999999999999</v>
      </c>
      <c r="M43" s="8">
        <v>21.88</v>
      </c>
      <c r="N43" s="9">
        <v>0.19600000000000001</v>
      </c>
      <c r="O43" s="10">
        <f t="shared" si="12"/>
        <v>22.076000000000001</v>
      </c>
      <c r="P43" s="127">
        <v>26.609000000000002</v>
      </c>
      <c r="Q43" s="23">
        <v>0.89200000000000002</v>
      </c>
      <c r="R43" s="10">
        <f t="shared" si="13"/>
        <v>27.501000000000001</v>
      </c>
      <c r="S43" s="127">
        <v>34.981449999999995</v>
      </c>
      <c r="T43" s="23">
        <v>2.1564000000000005</v>
      </c>
      <c r="U43" s="10">
        <f t="shared" si="14"/>
        <v>37.137849999999993</v>
      </c>
    </row>
    <row r="44" spans="1:21">
      <c r="A44" s="104" t="s">
        <v>49</v>
      </c>
      <c r="D44" s="8">
        <v>53.676000000000002</v>
      </c>
      <c r="E44" s="9">
        <v>17.048999999999999</v>
      </c>
      <c r="F44" s="10">
        <f t="shared" si="9"/>
        <v>70.724999999999994</v>
      </c>
      <c r="G44" s="8">
        <v>58.161000000000001</v>
      </c>
      <c r="H44" s="9">
        <v>8.0950000000000006</v>
      </c>
      <c r="I44" s="10">
        <f t="shared" si="10"/>
        <v>66.256</v>
      </c>
      <c r="J44" s="8">
        <v>59.436</v>
      </c>
      <c r="K44" s="9">
        <v>2.7719999999999998</v>
      </c>
      <c r="L44" s="10">
        <f t="shared" si="11"/>
        <v>62.207999999999998</v>
      </c>
      <c r="M44" s="8">
        <v>76.215000000000003</v>
      </c>
      <c r="N44" s="9">
        <v>3.3969999999999998</v>
      </c>
      <c r="O44" s="10">
        <f t="shared" si="12"/>
        <v>79.612000000000009</v>
      </c>
      <c r="P44" s="127">
        <v>78.912000000000006</v>
      </c>
      <c r="Q44" s="37">
        <v>1.1399999999999999</v>
      </c>
      <c r="R44" s="10">
        <f t="shared" si="13"/>
        <v>80.052000000000007</v>
      </c>
      <c r="S44" s="127">
        <v>90.740199999999987</v>
      </c>
      <c r="T44" s="37">
        <v>3.42</v>
      </c>
      <c r="U44" s="10">
        <f t="shared" si="14"/>
        <v>94.160199999999989</v>
      </c>
    </row>
    <row r="45" spans="1:21">
      <c r="A45" s="104" t="s">
        <v>50</v>
      </c>
      <c r="D45" s="8">
        <v>7.6840000000000002</v>
      </c>
      <c r="E45" s="9">
        <v>0</v>
      </c>
      <c r="F45" s="10">
        <f t="shared" si="9"/>
        <v>7.6840000000000002</v>
      </c>
      <c r="G45" s="8">
        <v>5.4770000000000003</v>
      </c>
      <c r="H45" s="9">
        <v>0</v>
      </c>
      <c r="I45" s="10">
        <f t="shared" si="10"/>
        <v>5.4770000000000003</v>
      </c>
      <c r="J45" s="8">
        <v>4.6710000000000003</v>
      </c>
      <c r="K45" s="9">
        <v>0</v>
      </c>
      <c r="L45" s="10">
        <f t="shared" si="11"/>
        <v>4.6710000000000003</v>
      </c>
      <c r="M45" s="8">
        <v>7.6779999999999999</v>
      </c>
      <c r="N45" s="9">
        <v>9.4E-2</v>
      </c>
      <c r="O45" s="10">
        <f t="shared" si="12"/>
        <v>7.7720000000000002</v>
      </c>
      <c r="P45" s="127">
        <v>13.481999999999999</v>
      </c>
      <c r="Q45" s="23">
        <v>-2.5999999999999999E-2</v>
      </c>
      <c r="R45" s="10">
        <f t="shared" si="13"/>
        <v>13.456</v>
      </c>
      <c r="S45" s="127">
        <v>13.085549999999998</v>
      </c>
      <c r="T45" s="23">
        <v>0.3</v>
      </c>
      <c r="U45" s="10">
        <f t="shared" si="14"/>
        <v>13.385549999999999</v>
      </c>
    </row>
    <row r="46" spans="1:21">
      <c r="A46" s="104" t="s">
        <v>51</v>
      </c>
      <c r="D46" s="8">
        <v>8.1310000000000002</v>
      </c>
      <c r="E46" s="9">
        <v>0.09</v>
      </c>
      <c r="F46" s="10">
        <f t="shared" si="9"/>
        <v>8.2210000000000001</v>
      </c>
      <c r="G46" s="8">
        <v>14.865</v>
      </c>
      <c r="H46" s="9">
        <v>0.13600000000000001</v>
      </c>
      <c r="I46" s="10">
        <f t="shared" si="10"/>
        <v>15.000999999999999</v>
      </c>
      <c r="J46" s="8">
        <v>26.908000000000001</v>
      </c>
      <c r="K46" s="9">
        <v>7.8E-2</v>
      </c>
      <c r="L46" s="10">
        <f t="shared" si="11"/>
        <v>26.986000000000001</v>
      </c>
      <c r="M46" s="8">
        <v>25.568999999999999</v>
      </c>
      <c r="N46" s="9">
        <v>0</v>
      </c>
      <c r="O46" s="10">
        <f t="shared" si="12"/>
        <v>25.568999999999999</v>
      </c>
      <c r="P46" s="127">
        <v>24.901</v>
      </c>
      <c r="Q46" s="23">
        <v>0</v>
      </c>
      <c r="R46" s="10">
        <f t="shared" si="13"/>
        <v>24.901</v>
      </c>
      <c r="S46" s="127">
        <v>31.314708333333336</v>
      </c>
      <c r="T46" s="23">
        <v>0</v>
      </c>
      <c r="U46" s="10">
        <f t="shared" si="14"/>
        <v>31.314708333333336</v>
      </c>
    </row>
    <row r="47" spans="1:21">
      <c r="A47" s="104" t="s">
        <v>52</v>
      </c>
      <c r="D47" s="8">
        <v>1.671</v>
      </c>
      <c r="E47" s="9">
        <v>0.25800000000000001</v>
      </c>
      <c r="F47" s="10">
        <f t="shared" si="9"/>
        <v>1.929</v>
      </c>
      <c r="G47" s="8">
        <v>5.1210000000000004</v>
      </c>
      <c r="H47" s="9">
        <v>-5.8000000000000003E-2</v>
      </c>
      <c r="I47" s="10">
        <f t="shared" si="10"/>
        <v>5.0630000000000006</v>
      </c>
      <c r="J47" s="8">
        <v>7.5</v>
      </c>
      <c r="K47" s="9">
        <v>0.34599999999999997</v>
      </c>
      <c r="L47" s="10">
        <f t="shared" si="11"/>
        <v>7.8460000000000001</v>
      </c>
      <c r="M47" s="8">
        <v>28.225999999999999</v>
      </c>
      <c r="N47" s="9">
        <v>-0.129</v>
      </c>
      <c r="O47" s="10">
        <f t="shared" si="12"/>
        <v>28.096999999999998</v>
      </c>
      <c r="P47" s="127">
        <v>19.209</v>
      </c>
      <c r="Q47" s="23">
        <v>0.91400000000000003</v>
      </c>
      <c r="R47" s="10">
        <f t="shared" si="13"/>
        <v>20.123000000000001</v>
      </c>
      <c r="S47" s="127">
        <v>26.175799999999995</v>
      </c>
      <c r="T47" s="23">
        <v>0.6</v>
      </c>
      <c r="U47" s="10">
        <f t="shared" si="14"/>
        <v>26.775799999999997</v>
      </c>
    </row>
    <row r="48" spans="1:21">
      <c r="A48" s="104" t="s">
        <v>53</v>
      </c>
      <c r="D48" s="8">
        <v>6.8659999999999997</v>
      </c>
      <c r="E48" s="9">
        <v>3.0000000000000001E-3</v>
      </c>
      <c r="F48" s="10">
        <f t="shared" si="9"/>
        <v>6.8689999999999998</v>
      </c>
      <c r="G48" s="8">
        <v>22.798999999999999</v>
      </c>
      <c r="H48" s="9">
        <v>9.5000000000000001E-2</v>
      </c>
      <c r="I48" s="10">
        <f t="shared" si="10"/>
        <v>22.893999999999998</v>
      </c>
      <c r="J48" s="8">
        <v>14.662000000000001</v>
      </c>
      <c r="K48" s="9">
        <v>0</v>
      </c>
      <c r="L48" s="10">
        <f t="shared" si="11"/>
        <v>14.662000000000001</v>
      </c>
      <c r="M48" s="8">
        <v>41.912999999999997</v>
      </c>
      <c r="N48" s="9">
        <v>0.19400000000000001</v>
      </c>
      <c r="O48" s="10">
        <f t="shared" si="12"/>
        <v>42.106999999999999</v>
      </c>
      <c r="P48" s="127">
        <v>15.988</v>
      </c>
      <c r="Q48" s="23">
        <v>0</v>
      </c>
      <c r="R48" s="10">
        <f t="shared" si="13"/>
        <v>15.988</v>
      </c>
      <c r="S48" s="127">
        <v>22.456100000000003</v>
      </c>
      <c r="T48" s="23">
        <v>0.24</v>
      </c>
      <c r="U48" s="10">
        <f t="shared" si="14"/>
        <v>22.696100000000001</v>
      </c>
    </row>
    <row r="49" spans="1:21">
      <c r="A49" s="12" t="s">
        <v>54</v>
      </c>
      <c r="D49" s="8">
        <v>21.667000000000002</v>
      </c>
      <c r="E49" s="9">
        <v>0</v>
      </c>
      <c r="F49" s="10">
        <f t="shared" si="9"/>
        <v>21.667000000000002</v>
      </c>
      <c r="G49" s="8">
        <v>28.524000000000001</v>
      </c>
      <c r="H49" s="9">
        <v>0</v>
      </c>
      <c r="I49" s="10">
        <f t="shared" si="10"/>
        <v>28.524000000000001</v>
      </c>
      <c r="J49" s="8">
        <v>22.481000000000002</v>
      </c>
      <c r="K49" s="9">
        <v>0</v>
      </c>
      <c r="L49" s="10">
        <f t="shared" si="11"/>
        <v>22.481000000000002</v>
      </c>
      <c r="M49" s="8">
        <v>26.997</v>
      </c>
      <c r="N49" s="9">
        <v>0</v>
      </c>
      <c r="O49" s="10">
        <f t="shared" si="12"/>
        <v>26.997</v>
      </c>
      <c r="P49" s="127">
        <v>29.535</v>
      </c>
      <c r="Q49" s="23">
        <v>0</v>
      </c>
      <c r="R49" s="10">
        <f t="shared" si="13"/>
        <v>29.535</v>
      </c>
      <c r="S49" s="127">
        <v>40.513472304347836</v>
      </c>
      <c r="T49" s="23">
        <v>0.24</v>
      </c>
      <c r="U49" s="10">
        <f t="shared" si="14"/>
        <v>40.753472304347838</v>
      </c>
    </row>
    <row r="50" spans="1:21">
      <c r="A50" s="104" t="s">
        <v>55</v>
      </c>
      <c r="D50" s="8">
        <v>203.49100000000001</v>
      </c>
      <c r="E50" s="9">
        <v>9.5</v>
      </c>
      <c r="F50" s="10">
        <f t="shared" si="9"/>
        <v>212.99100000000001</v>
      </c>
      <c r="G50" s="8">
        <v>227.078</v>
      </c>
      <c r="H50" s="9">
        <v>0</v>
      </c>
      <c r="I50" s="10">
        <f t="shared" si="10"/>
        <v>227.078</v>
      </c>
      <c r="J50" s="8">
        <v>199.90600000000001</v>
      </c>
      <c r="K50" s="9">
        <v>2.2080000000000002</v>
      </c>
      <c r="L50" s="10">
        <f t="shared" si="11"/>
        <v>202.114</v>
      </c>
      <c r="M50" s="8">
        <v>198.804</v>
      </c>
      <c r="N50" s="9">
        <v>0</v>
      </c>
      <c r="O50" s="10">
        <f t="shared" si="12"/>
        <v>198.804</v>
      </c>
      <c r="P50" s="127">
        <v>240.90899999999999</v>
      </c>
      <c r="Q50" s="23">
        <v>0</v>
      </c>
      <c r="R50" s="10">
        <f t="shared" si="13"/>
        <v>240.90899999999999</v>
      </c>
      <c r="S50" s="127">
        <v>265.87909999999999</v>
      </c>
      <c r="T50" s="23">
        <v>0</v>
      </c>
      <c r="U50" s="10">
        <f t="shared" si="14"/>
        <v>265.87909999999999</v>
      </c>
    </row>
    <row r="51" spans="1:21">
      <c r="A51" s="104" t="s">
        <v>56</v>
      </c>
      <c r="D51" s="8">
        <v>64.653999999999996</v>
      </c>
      <c r="E51" s="9">
        <v>1E-3</v>
      </c>
      <c r="F51" s="10">
        <f t="shared" si="9"/>
        <v>64.655000000000001</v>
      </c>
      <c r="G51" s="8">
        <v>36.497</v>
      </c>
      <c r="H51" s="9">
        <v>0</v>
      </c>
      <c r="I51" s="10">
        <f t="shared" si="10"/>
        <v>36.497</v>
      </c>
      <c r="J51" s="8">
        <v>16.902999999999999</v>
      </c>
      <c r="K51" s="9">
        <v>0</v>
      </c>
      <c r="L51" s="10">
        <f t="shared" si="11"/>
        <v>16.902999999999999</v>
      </c>
      <c r="M51" s="8">
        <v>30.178999999999998</v>
      </c>
      <c r="N51" s="9">
        <v>0</v>
      </c>
      <c r="O51" s="10">
        <f t="shared" si="12"/>
        <v>30.178999999999998</v>
      </c>
      <c r="P51" s="8">
        <v>37.805</v>
      </c>
      <c r="Q51" s="23">
        <v>0</v>
      </c>
      <c r="R51" s="10">
        <f t="shared" si="13"/>
        <v>37.805</v>
      </c>
      <c r="S51" s="8">
        <v>52.011749999999985</v>
      </c>
      <c r="T51" s="23">
        <v>0</v>
      </c>
      <c r="U51" s="10">
        <f t="shared" si="14"/>
        <v>52.011749999999985</v>
      </c>
    </row>
    <row r="52" spans="1:21">
      <c r="A52" s="104" t="s">
        <v>57</v>
      </c>
      <c r="D52" s="8">
        <v>0</v>
      </c>
      <c r="F52" s="10">
        <f t="shared" si="9"/>
        <v>0</v>
      </c>
      <c r="G52" s="8">
        <v>15.311999999999999</v>
      </c>
      <c r="I52" s="10">
        <f t="shared" si="10"/>
        <v>15.311999999999999</v>
      </c>
      <c r="J52" s="8">
        <v>24.855</v>
      </c>
      <c r="L52" s="10">
        <f t="shared" si="11"/>
        <v>24.855</v>
      </c>
      <c r="M52" s="8">
        <v>42.975000000000001</v>
      </c>
      <c r="O52" s="10">
        <f t="shared" si="12"/>
        <v>42.975000000000001</v>
      </c>
      <c r="P52" s="127">
        <v>49.975000000000001</v>
      </c>
      <c r="Q52" s="12"/>
      <c r="R52" s="10">
        <f t="shared" si="13"/>
        <v>49.975000000000001</v>
      </c>
      <c r="S52" s="127">
        <v>48.335965517241362</v>
      </c>
      <c r="T52" s="12"/>
      <c r="U52" s="10">
        <f t="shared" si="14"/>
        <v>48.335965517241362</v>
      </c>
    </row>
    <row r="53" spans="1:21">
      <c r="A53" s="104" t="s">
        <v>58</v>
      </c>
      <c r="D53" s="8">
        <v>86.8</v>
      </c>
      <c r="E53" s="9">
        <v>11.755000000000001</v>
      </c>
      <c r="F53" s="10">
        <f t="shared" si="9"/>
        <v>98.554999999999993</v>
      </c>
      <c r="G53" s="8">
        <v>74.611000000000004</v>
      </c>
      <c r="H53" s="9">
        <v>13.475</v>
      </c>
      <c r="I53" s="10">
        <f t="shared" si="10"/>
        <v>88.085999999999999</v>
      </c>
      <c r="J53" s="8">
        <v>79.057000000000002</v>
      </c>
      <c r="K53" s="9">
        <v>12.798</v>
      </c>
      <c r="L53" s="10">
        <f t="shared" si="11"/>
        <v>91.855000000000004</v>
      </c>
      <c r="M53" s="8">
        <v>115.759</v>
      </c>
      <c r="N53" s="9">
        <v>15.403902150005887</v>
      </c>
      <c r="O53" s="10">
        <f t="shared" si="12"/>
        <v>131.16290215000589</v>
      </c>
      <c r="P53" s="8">
        <v>109.794</v>
      </c>
      <c r="Q53" s="23">
        <v>12.32</v>
      </c>
      <c r="R53" s="10">
        <f t="shared" si="13"/>
        <v>122.114</v>
      </c>
      <c r="S53" s="8">
        <v>113.92813402920753</v>
      </c>
      <c r="T53" s="23">
        <v>11.926064112318839</v>
      </c>
      <c r="U53" s="10">
        <f t="shared" si="14"/>
        <v>125.85419814152637</v>
      </c>
    </row>
    <row r="54" spans="1:21">
      <c r="A54" s="104" t="s">
        <v>59</v>
      </c>
      <c r="D54" s="8">
        <v>99.805999999999997</v>
      </c>
      <c r="E54" s="9">
        <v>17.933</v>
      </c>
      <c r="F54" s="10">
        <f t="shared" si="9"/>
        <v>117.739</v>
      </c>
      <c r="G54" s="8">
        <v>123.797</v>
      </c>
      <c r="H54" s="9">
        <v>20.277999999999999</v>
      </c>
      <c r="I54" s="10">
        <f t="shared" si="10"/>
        <v>144.07499999999999</v>
      </c>
      <c r="J54" s="8">
        <v>100.815</v>
      </c>
      <c r="K54" s="9">
        <v>24.605547890406822</v>
      </c>
      <c r="L54" s="10">
        <f t="shared" si="11"/>
        <v>125.42054789040682</v>
      </c>
      <c r="M54" s="8">
        <v>112.389</v>
      </c>
      <c r="N54" s="9">
        <v>16.140002829388909</v>
      </c>
      <c r="O54" s="10">
        <f t="shared" si="12"/>
        <v>128.5290028293889</v>
      </c>
      <c r="P54" s="8">
        <v>133.52099999999999</v>
      </c>
      <c r="Q54" s="23">
        <v>30.558</v>
      </c>
      <c r="R54" s="10">
        <f t="shared" si="13"/>
        <v>164.07899999999998</v>
      </c>
      <c r="S54" s="8">
        <v>161.8728388305847</v>
      </c>
      <c r="T54" s="23">
        <v>32.290391304347821</v>
      </c>
      <c r="U54" s="10">
        <f t="shared" si="14"/>
        <v>194.16323013493252</v>
      </c>
    </row>
    <row r="55" spans="1:21">
      <c r="A55" s="12" t="s">
        <v>60</v>
      </c>
      <c r="D55" s="8">
        <v>38.418999999999997</v>
      </c>
      <c r="E55" s="9">
        <v>0</v>
      </c>
      <c r="F55" s="10">
        <f t="shared" si="9"/>
        <v>38.418999999999997</v>
      </c>
      <c r="G55" s="8">
        <v>32.473999999999997</v>
      </c>
      <c r="H55" s="9">
        <v>0</v>
      </c>
      <c r="I55" s="10">
        <f t="shared" si="10"/>
        <v>32.473999999999997</v>
      </c>
      <c r="J55" s="8">
        <v>39.234999999999999</v>
      </c>
      <c r="K55" s="9">
        <v>0</v>
      </c>
      <c r="L55" s="10">
        <f t="shared" si="11"/>
        <v>39.234999999999999</v>
      </c>
      <c r="M55" s="8">
        <v>50.402999999999999</v>
      </c>
      <c r="N55" s="9">
        <v>0</v>
      </c>
      <c r="O55" s="10">
        <f t="shared" si="12"/>
        <v>50.402999999999999</v>
      </c>
      <c r="P55" s="127">
        <v>74.322999999999993</v>
      </c>
      <c r="Q55" s="23">
        <v>0</v>
      </c>
      <c r="R55" s="10">
        <f t="shared" si="13"/>
        <v>74.322999999999993</v>
      </c>
      <c r="S55" s="127">
        <v>63.112499999999997</v>
      </c>
      <c r="T55" s="23">
        <v>0</v>
      </c>
      <c r="U55" s="10">
        <f t="shared" si="14"/>
        <v>63.112499999999997</v>
      </c>
    </row>
    <row r="56" spans="1:21">
      <c r="A56" s="104" t="s">
        <v>61</v>
      </c>
      <c r="D56" s="8">
        <v>0</v>
      </c>
      <c r="E56" s="9">
        <v>4.2770000000000001</v>
      </c>
      <c r="F56" s="10">
        <f t="shared" si="9"/>
        <v>4.2770000000000001</v>
      </c>
      <c r="G56" s="8">
        <v>31.006</v>
      </c>
      <c r="H56" s="9">
        <v>13.93</v>
      </c>
      <c r="I56" s="10">
        <f t="shared" si="10"/>
        <v>44.936</v>
      </c>
      <c r="J56" s="8">
        <v>10.112</v>
      </c>
      <c r="K56" s="9">
        <v>26.806000000000001</v>
      </c>
      <c r="L56" s="10">
        <f t="shared" si="11"/>
        <v>36.917999999999999</v>
      </c>
      <c r="M56" s="8">
        <v>25.928999999999998</v>
      </c>
      <c r="N56" s="9">
        <v>-5.7</v>
      </c>
      <c r="O56" s="10">
        <f t="shared" si="12"/>
        <v>20.228999999999999</v>
      </c>
      <c r="P56" s="127">
        <v>34.158000000000001</v>
      </c>
      <c r="Q56" s="23">
        <v>2.1230000000000002</v>
      </c>
      <c r="R56" s="10">
        <f t="shared" si="13"/>
        <v>36.280999999999999</v>
      </c>
      <c r="S56" s="127">
        <v>32.500930434782617</v>
      </c>
      <c r="T56" s="23">
        <v>2.5130434782608697</v>
      </c>
      <c r="U56" s="10">
        <f t="shared" si="14"/>
        <v>35.013973913043486</v>
      </c>
    </row>
    <row r="57" spans="1:21">
      <c r="A57" s="104" t="s">
        <v>62</v>
      </c>
      <c r="D57" s="8">
        <v>-15.148</v>
      </c>
      <c r="E57" s="9">
        <v>-4.8620000000000001</v>
      </c>
      <c r="F57" s="10">
        <f t="shared" si="9"/>
        <v>-20.009999999999998</v>
      </c>
      <c r="G57" s="8">
        <v>-7.53</v>
      </c>
      <c r="H57" s="9">
        <v>-2.5630000000000002</v>
      </c>
      <c r="I57" s="10">
        <f t="shared" si="10"/>
        <v>-10.093</v>
      </c>
      <c r="J57" s="8">
        <v>-51.332999999999998</v>
      </c>
      <c r="K57" s="9">
        <v>-6.6859999999999999</v>
      </c>
      <c r="L57" s="10">
        <f t="shared" si="11"/>
        <v>-58.018999999999998</v>
      </c>
      <c r="M57" s="8">
        <v>-58.295000000000002</v>
      </c>
      <c r="N57" s="9">
        <v>-11.225569999999999</v>
      </c>
      <c r="O57" s="10">
        <f t="shared" si="12"/>
        <v>-69.520570000000006</v>
      </c>
      <c r="P57" s="127">
        <v>26.734999999999999</v>
      </c>
      <c r="Q57" s="23">
        <v>27.873000000000001</v>
      </c>
      <c r="R57" s="10">
        <f t="shared" si="13"/>
        <v>54.608000000000004</v>
      </c>
      <c r="S57" s="127">
        <v>30.109279471325912</v>
      </c>
      <c r="T57" s="23">
        <v>3.1413043478260869</v>
      </c>
      <c r="U57" s="10">
        <f t="shared" si="14"/>
        <v>33.250583819151998</v>
      </c>
    </row>
    <row r="58" spans="1:21">
      <c r="A58" s="104" t="s">
        <v>63</v>
      </c>
      <c r="D58" s="8">
        <v>-10.167999999999999</v>
      </c>
      <c r="E58" s="9"/>
      <c r="F58" s="10">
        <f t="shared" si="9"/>
        <v>-10.167999999999999</v>
      </c>
      <c r="G58" s="8"/>
      <c r="H58" s="9"/>
      <c r="I58" s="10"/>
      <c r="J58" s="8"/>
      <c r="K58" s="9"/>
      <c r="L58" s="10"/>
      <c r="M58" s="8"/>
      <c r="N58" s="9"/>
      <c r="O58" s="10"/>
      <c r="P58" s="8"/>
      <c r="Q58" s="9"/>
      <c r="R58" s="10"/>
      <c r="S58" s="8"/>
      <c r="T58" s="9"/>
      <c r="U58" s="10"/>
    </row>
    <row r="59" spans="1:21" ht="13.5" thickBot="1">
      <c r="A59" s="5" t="s">
        <v>64</v>
      </c>
      <c r="D59" s="13">
        <f t="shared" ref="D59:U59" si="15">SUM(D38:D58)</f>
        <v>1125.2790000000002</v>
      </c>
      <c r="E59" s="14">
        <f t="shared" si="15"/>
        <v>187.06599999999997</v>
      </c>
      <c r="F59" s="15">
        <f t="shared" si="15"/>
        <v>1312.3450000000003</v>
      </c>
      <c r="G59" s="13">
        <f t="shared" si="15"/>
        <v>1227.1949999999999</v>
      </c>
      <c r="H59" s="14">
        <f t="shared" si="15"/>
        <v>116.152</v>
      </c>
      <c r="I59" s="15">
        <f t="shared" si="15"/>
        <v>1343.3469999999995</v>
      </c>
      <c r="J59" s="13">
        <f t="shared" si="15"/>
        <v>1172.1840000000002</v>
      </c>
      <c r="K59" s="14">
        <f t="shared" si="15"/>
        <v>119.87154789040682</v>
      </c>
      <c r="L59" s="15">
        <f t="shared" si="15"/>
        <v>1292.0555478904068</v>
      </c>
      <c r="M59" s="13">
        <f t="shared" si="15"/>
        <v>1466.5329999999999</v>
      </c>
      <c r="N59" s="14">
        <f t="shared" si="15"/>
        <v>60.440734979394797</v>
      </c>
      <c r="O59" s="15">
        <f t="shared" si="15"/>
        <v>1526.973734979395</v>
      </c>
      <c r="P59" s="13">
        <f t="shared" si="15"/>
        <v>1702.7759999999998</v>
      </c>
      <c r="Q59" s="14">
        <f t="shared" si="15"/>
        <v>99.662000000000006</v>
      </c>
      <c r="R59" s="15">
        <f t="shared" si="15"/>
        <v>1802.4379999999999</v>
      </c>
      <c r="S59" s="13">
        <f t="shared" si="15"/>
        <v>1939.3042755874899</v>
      </c>
      <c r="T59" s="14">
        <f t="shared" si="15"/>
        <v>91.804153242753642</v>
      </c>
      <c r="U59" s="15">
        <f t="shared" si="15"/>
        <v>2031.1084288302432</v>
      </c>
    </row>
    <row r="60" spans="1:21" ht="14.25" thickTop="1" thickBot="1">
      <c r="A60" s="5" t="s">
        <v>65</v>
      </c>
      <c r="D60" s="24">
        <f t="shared" ref="D60:U60" si="16">+D28-D35-D59</f>
        <v>22.064999999998918</v>
      </c>
      <c r="E60" s="38">
        <f t="shared" si="16"/>
        <v>0.58599999999989905</v>
      </c>
      <c r="F60" s="39">
        <f t="shared" si="16"/>
        <v>22.650999999999385</v>
      </c>
      <c r="G60" s="24">
        <f t="shared" si="16"/>
        <v>234.86800000000062</v>
      </c>
      <c r="H60" s="38">
        <f t="shared" si="16"/>
        <v>90.541549999999901</v>
      </c>
      <c r="I60" s="39">
        <f t="shared" si="16"/>
        <v>325.40955000000076</v>
      </c>
      <c r="J60" s="24">
        <f t="shared" si="16"/>
        <v>754.352789999999</v>
      </c>
      <c r="K60" s="38">
        <f t="shared" si="16"/>
        <v>195.79511210959322</v>
      </c>
      <c r="L60" s="39">
        <f t="shared" si="16"/>
        <v>950.14790210959268</v>
      </c>
      <c r="M60" s="24">
        <f t="shared" si="16"/>
        <v>990.40718999999945</v>
      </c>
      <c r="N60" s="38">
        <f t="shared" si="16"/>
        <v>146.77872918428932</v>
      </c>
      <c r="O60" s="39">
        <f t="shared" si="16"/>
        <v>1137.1859191842864</v>
      </c>
      <c r="P60" s="24">
        <f t="shared" si="16"/>
        <v>1645.8780000000011</v>
      </c>
      <c r="Q60" s="38">
        <f t="shared" si="16"/>
        <v>62.868999999999943</v>
      </c>
      <c r="R60" s="39">
        <f t="shared" si="16"/>
        <v>1708.7469999999987</v>
      </c>
      <c r="S60" s="24">
        <f t="shared" si="16"/>
        <v>2386.087323774927</v>
      </c>
      <c r="T60" s="38">
        <f t="shared" si="16"/>
        <v>68.182871120618643</v>
      </c>
      <c r="U60" s="39">
        <f t="shared" si="16"/>
        <v>2454.2701948955478</v>
      </c>
    </row>
    <row r="61" spans="1:21" ht="13.5" thickTop="1">
      <c r="A61" s="5"/>
      <c r="B61" s="27"/>
      <c r="D61" s="40">
        <f t="shared" ref="D61:U61" si="17">D60/D12</f>
        <v>3.9612204328957623E-3</v>
      </c>
      <c r="E61" s="29">
        <f t="shared" si="17"/>
        <v>4.2140992542619149E-4</v>
      </c>
      <c r="F61" s="29">
        <f t="shared" si="17"/>
        <v>3.2540692386517208E-3</v>
      </c>
      <c r="G61" s="29">
        <f t="shared" si="17"/>
        <v>3.8194234958259604E-2</v>
      </c>
      <c r="H61" s="29">
        <f t="shared" si="17"/>
        <v>5.7251693840837392E-2</v>
      </c>
      <c r="I61" s="29">
        <f t="shared" si="17"/>
        <v>4.2092773423604728E-2</v>
      </c>
      <c r="J61" s="29">
        <f t="shared" si="17"/>
        <v>8.6824929890581423E-2</v>
      </c>
      <c r="K61" s="29">
        <f t="shared" si="17"/>
        <v>0.11229707281000513</v>
      </c>
      <c r="L61" s="29">
        <f t="shared" si="17"/>
        <v>9.1082302684332928E-2</v>
      </c>
      <c r="M61" s="29">
        <f t="shared" si="17"/>
        <v>8.1727284204897624E-2</v>
      </c>
      <c r="N61" s="29">
        <f t="shared" si="17"/>
        <v>8.1086679850293469E-2</v>
      </c>
      <c r="O61" s="29">
        <f t="shared" si="17"/>
        <v>8.1644031862551342E-2</v>
      </c>
      <c r="P61" s="29">
        <f t="shared" si="17"/>
        <v>0.11406489789672584</v>
      </c>
      <c r="Q61" s="29">
        <f t="shared" si="17"/>
        <v>4.7310619058799408E-2</v>
      </c>
      <c r="R61" s="29">
        <f t="shared" si="17"/>
        <v>0.10843563794979205</v>
      </c>
      <c r="S61" s="29">
        <f t="shared" si="17"/>
        <v>0.13752812734648662</v>
      </c>
      <c r="T61" s="29">
        <f t="shared" si="17"/>
        <v>5.4263184628866049E-2</v>
      </c>
      <c r="U61" s="29">
        <f t="shared" si="17"/>
        <v>0.13190508493713202</v>
      </c>
    </row>
    <row r="63" spans="1:21" ht="18.75">
      <c r="A63" s="79" t="s">
        <v>66</v>
      </c>
      <c r="G63" s="79" t="s">
        <v>67</v>
      </c>
      <c r="M63" s="142"/>
      <c r="N63" s="128"/>
      <c r="O63" s="128"/>
      <c r="P63" s="41" t="s">
        <v>68</v>
      </c>
      <c r="Q63" s="128"/>
      <c r="R63" s="128"/>
      <c r="S63" s="40"/>
      <c r="T63" s="128"/>
      <c r="U63" s="128"/>
    </row>
    <row r="64" spans="1:21" ht="18">
      <c r="A64" s="153" t="s">
        <v>69</v>
      </c>
      <c r="B64" s="43"/>
      <c r="D64" s="2"/>
      <c r="E64" s="3" t="s">
        <v>70</v>
      </c>
      <c r="F64" s="4"/>
      <c r="G64" s="2"/>
      <c r="H64" s="3" t="s">
        <v>71</v>
      </c>
      <c r="I64" s="4"/>
      <c r="J64" s="2"/>
      <c r="K64" s="3" t="s">
        <v>72</v>
      </c>
      <c r="L64" s="4"/>
      <c r="M64" s="2"/>
      <c r="N64" s="3" t="s">
        <v>73</v>
      </c>
      <c r="O64" s="4"/>
      <c r="P64" s="2"/>
      <c r="Q64" s="3" t="s">
        <v>74</v>
      </c>
      <c r="R64" s="4"/>
      <c r="S64" s="2"/>
      <c r="T64" s="3" t="s">
        <v>9</v>
      </c>
      <c r="U64" s="4"/>
    </row>
    <row r="65" spans="1:21">
      <c r="A65" s="42"/>
      <c r="B65" s="5"/>
      <c r="D65" s="143" t="s">
        <v>75</v>
      </c>
      <c r="E65" s="144">
        <v>1.4689000000000001</v>
      </c>
      <c r="F65" s="20"/>
      <c r="G65" s="143" t="s">
        <v>75</v>
      </c>
      <c r="H65" s="144">
        <v>1.4698</v>
      </c>
      <c r="I65" s="20"/>
      <c r="J65" s="143" t="s">
        <v>75</v>
      </c>
      <c r="K65" s="81">
        <f>'[1]Sales&amp;MarginSV'!BQ547</f>
        <v>1.273154216869562</v>
      </c>
      <c r="L65" s="20"/>
      <c r="M65" s="143" t="s">
        <v>75</v>
      </c>
      <c r="N65" s="81">
        <f>'[1]Sales&amp;MarginSV'!CJ285</f>
        <v>1.1165077943369435</v>
      </c>
      <c r="O65" s="20"/>
      <c r="P65" s="143" t="s">
        <v>75</v>
      </c>
      <c r="Q65" s="81">
        <f>'[1]Sales&amp;MarginSV'!DB277</f>
        <v>1.1623007650620096</v>
      </c>
      <c r="R65" s="20"/>
      <c r="S65" s="145" t="s">
        <v>75</v>
      </c>
      <c r="T65" s="146">
        <f>'[1]Sales&amp;MarginSV'!DT277</f>
        <v>1.1499999999999999</v>
      </c>
      <c r="U65" s="20"/>
    </row>
    <row r="66" spans="1:21">
      <c r="A66" s="5"/>
      <c r="D66" s="44" t="s">
        <v>10</v>
      </c>
      <c r="E66" s="45" t="s">
        <v>11</v>
      </c>
      <c r="F66" s="6" t="s">
        <v>12</v>
      </c>
      <c r="G66" s="44" t="s">
        <v>10</v>
      </c>
      <c r="H66" s="45" t="s">
        <v>11</v>
      </c>
      <c r="I66" s="6" t="s">
        <v>12</v>
      </c>
      <c r="J66" s="46" t="s">
        <v>10</v>
      </c>
      <c r="K66" s="45" t="s">
        <v>11</v>
      </c>
      <c r="L66" s="6" t="s">
        <v>12</v>
      </c>
      <c r="M66" s="46" t="s">
        <v>10</v>
      </c>
      <c r="N66" s="45" t="s">
        <v>11</v>
      </c>
      <c r="O66" s="6" t="s">
        <v>12</v>
      </c>
      <c r="P66" s="46" t="s">
        <v>10</v>
      </c>
      <c r="Q66" s="47" t="s">
        <v>11</v>
      </c>
      <c r="R66" s="6" t="s">
        <v>12</v>
      </c>
      <c r="S66" s="48" t="s">
        <v>10</v>
      </c>
      <c r="T66" s="49" t="s">
        <v>11</v>
      </c>
      <c r="U66" s="6" t="s">
        <v>12</v>
      </c>
    </row>
    <row r="67" spans="1:21">
      <c r="D67" s="44" t="s">
        <v>13</v>
      </c>
      <c r="E67" s="45" t="s">
        <v>14</v>
      </c>
      <c r="F67" s="6"/>
      <c r="G67" s="44" t="s">
        <v>13</v>
      </c>
      <c r="H67" s="45" t="s">
        <v>14</v>
      </c>
      <c r="I67" s="6"/>
      <c r="J67" s="46" t="s">
        <v>13</v>
      </c>
      <c r="K67" s="45" t="s">
        <v>14</v>
      </c>
      <c r="L67" s="6"/>
      <c r="M67" s="46" t="s">
        <v>13</v>
      </c>
      <c r="N67" s="45" t="s">
        <v>14</v>
      </c>
      <c r="O67" s="6"/>
      <c r="P67" s="46" t="s">
        <v>13</v>
      </c>
      <c r="Q67" s="47" t="s">
        <v>14</v>
      </c>
      <c r="R67" s="6"/>
      <c r="S67" s="48" t="s">
        <v>13</v>
      </c>
      <c r="T67" s="49" t="s">
        <v>14</v>
      </c>
      <c r="U67" s="6"/>
    </row>
    <row r="68" spans="1:21">
      <c r="D68" s="50" t="s">
        <v>76</v>
      </c>
      <c r="E68" s="51" t="s">
        <v>76</v>
      </c>
      <c r="F68" s="7" t="s">
        <v>76</v>
      </c>
      <c r="G68" s="50" t="s">
        <v>76</v>
      </c>
      <c r="H68" s="51" t="s">
        <v>76</v>
      </c>
      <c r="I68" s="7" t="s">
        <v>76</v>
      </c>
      <c r="J68" s="52" t="s">
        <v>76</v>
      </c>
      <c r="K68" s="51" t="s">
        <v>76</v>
      </c>
      <c r="L68" s="7" t="s">
        <v>76</v>
      </c>
      <c r="M68" s="52" t="s">
        <v>76</v>
      </c>
      <c r="N68" s="51" t="s">
        <v>76</v>
      </c>
      <c r="O68" s="7" t="s">
        <v>76</v>
      </c>
      <c r="P68" s="52" t="s">
        <v>76</v>
      </c>
      <c r="Q68" s="53" t="s">
        <v>76</v>
      </c>
      <c r="R68" s="7" t="s">
        <v>76</v>
      </c>
      <c r="S68" s="54" t="s">
        <v>76</v>
      </c>
      <c r="T68" s="55" t="s">
        <v>76</v>
      </c>
      <c r="U68" s="7" t="s">
        <v>76</v>
      </c>
    </row>
    <row r="69" spans="1:21">
      <c r="A69" s="104" t="s">
        <v>77</v>
      </c>
      <c r="D69" s="8">
        <v>8070.1777292000006</v>
      </c>
      <c r="E69" s="9">
        <v>2042.6082730000001</v>
      </c>
      <c r="F69" s="10">
        <f>SUM(D69:E69)</f>
        <v>10112.7860022</v>
      </c>
      <c r="G69" s="8">
        <v>9007.9191659999997</v>
      </c>
      <c r="H69" s="9">
        <v>2324.5239751999998</v>
      </c>
      <c r="I69" s="10">
        <f>SUM(G69:H69)</f>
        <v>11332.443141199999</v>
      </c>
      <c r="J69" s="56">
        <v>11091.9986961</v>
      </c>
      <c r="K69" s="9">
        <v>2227.0549818000004</v>
      </c>
      <c r="L69" s="10">
        <f>SUM(J69:K69)</f>
        <v>13319.053677899999</v>
      </c>
      <c r="M69" s="56">
        <v>13518.872329899999</v>
      </c>
      <c r="N69" s="9">
        <v>2022.7017876</v>
      </c>
      <c r="O69" s="10">
        <f>SUM(M69:N69)</f>
        <v>15541.5741175</v>
      </c>
      <c r="P69" s="56">
        <v>16810.749288499999</v>
      </c>
      <c r="Q69" s="57">
        <v>1545.1240459000003</v>
      </c>
      <c r="R69" s="10">
        <f>SUM(P69:Q69)</f>
        <v>18355.873334399999</v>
      </c>
      <c r="S69" s="58">
        <v>19988.535</v>
      </c>
      <c r="T69" s="59">
        <v>1445</v>
      </c>
      <c r="U69" s="10">
        <f>SUM(S69:T69)</f>
        <v>21433.535</v>
      </c>
    </row>
    <row r="70" spans="1:21">
      <c r="A70" s="104" t="s">
        <v>78</v>
      </c>
      <c r="D70" s="8">
        <v>26.090601800000002</v>
      </c>
      <c r="E70" s="9">
        <v>0</v>
      </c>
      <c r="F70" s="10">
        <f>SUM(D70:E70)</f>
        <v>26.090601800000002</v>
      </c>
      <c r="G70" s="8">
        <v>30.179403400000002</v>
      </c>
      <c r="H70" s="9">
        <v>0</v>
      </c>
      <c r="I70" s="10">
        <f>SUM(G70:H70)</f>
        <v>30.179403400000002</v>
      </c>
      <c r="J70" s="56">
        <v>23.231530599999999</v>
      </c>
      <c r="K70" s="9">
        <v>0</v>
      </c>
      <c r="L70" s="10">
        <f>SUM(J70:K70)</f>
        <v>23.231530599999999</v>
      </c>
      <c r="M70" s="56">
        <v>12.245279999999999</v>
      </c>
      <c r="N70" s="9">
        <v>0</v>
      </c>
      <c r="O70" s="10">
        <f>SUM(M70:N70)</f>
        <v>12.245279999999999</v>
      </c>
      <c r="P70" s="56">
        <v>0</v>
      </c>
      <c r="Q70" s="57">
        <v>0</v>
      </c>
      <c r="R70" s="10">
        <f>SUM(P70:Q70)</f>
        <v>0</v>
      </c>
      <c r="S70" s="58">
        <v>0</v>
      </c>
      <c r="T70" s="59">
        <v>0</v>
      </c>
      <c r="U70" s="10">
        <f>SUM(S70:T70)</f>
        <v>0</v>
      </c>
    </row>
    <row r="71" spans="1:21">
      <c r="A71" s="104" t="s">
        <v>79</v>
      </c>
      <c r="D71" s="8">
        <v>-31.243503</v>
      </c>
      <c r="E71" s="9">
        <v>0</v>
      </c>
      <c r="F71" s="10">
        <f>SUM(D71:E71)</f>
        <v>-31.243503</v>
      </c>
      <c r="G71" s="8">
        <v>-34.124346599999996</v>
      </c>
      <c r="H71" s="9">
        <v>0</v>
      </c>
      <c r="I71" s="10">
        <f>SUM(G71:H71)</f>
        <v>-34.124346599999996</v>
      </c>
      <c r="J71" s="56">
        <v>-36.724099600000002</v>
      </c>
      <c r="K71" s="11">
        <v>0</v>
      </c>
      <c r="L71" s="10">
        <f>SUM(J71:K71)</f>
        <v>-36.724099600000002</v>
      </c>
      <c r="M71" s="56">
        <v>-35.286583000000007</v>
      </c>
      <c r="N71" s="9">
        <v>0</v>
      </c>
      <c r="O71" s="10">
        <f>SUM(M71:N71)</f>
        <v>-35.286583000000007</v>
      </c>
      <c r="P71" s="56">
        <v>-32.511015200000003</v>
      </c>
      <c r="Q71" s="57">
        <v>0</v>
      </c>
      <c r="R71" s="10">
        <f>SUM(P71:Q71)</f>
        <v>-32.511015200000003</v>
      </c>
      <c r="S71" s="58">
        <v>-36.249781806298181</v>
      </c>
      <c r="T71" s="59">
        <v>0</v>
      </c>
      <c r="U71" s="10">
        <f>SUM(S71:T71)</f>
        <v>-36.249781806298181</v>
      </c>
    </row>
    <row r="72" spans="1:21">
      <c r="A72" s="12" t="s">
        <v>80</v>
      </c>
      <c r="D72" s="8">
        <v>82.405290000000008</v>
      </c>
      <c r="E72" s="9">
        <v>0</v>
      </c>
      <c r="F72" s="10">
        <f>SUM(D72:E72)</f>
        <v>82.405290000000008</v>
      </c>
      <c r="G72" s="8">
        <v>16.1678</v>
      </c>
      <c r="H72" s="9">
        <v>0</v>
      </c>
      <c r="I72" s="10">
        <f>SUM(G72:H72)</f>
        <v>16.1678</v>
      </c>
      <c r="J72" s="56">
        <v>1.0196959999999999</v>
      </c>
      <c r="K72" s="9">
        <v>0</v>
      </c>
      <c r="L72" s="10">
        <f>SUM(J72:K72)</f>
        <v>1.0196959999999999</v>
      </c>
      <c r="M72" s="56">
        <v>22.393999999999998</v>
      </c>
      <c r="N72" s="9">
        <v>-3.34326E-2</v>
      </c>
      <c r="O72" s="10">
        <f>SUM(M72:N72)</f>
        <v>22.360567399999997</v>
      </c>
      <c r="P72" s="56">
        <v>0</v>
      </c>
      <c r="Q72" s="57">
        <v>-1.8433100000000001E-2</v>
      </c>
      <c r="R72" s="10">
        <f>SUM(P72:Q72)</f>
        <v>-1.8433100000000001E-2</v>
      </c>
      <c r="S72" s="58">
        <v>0</v>
      </c>
      <c r="T72" s="59">
        <v>0</v>
      </c>
      <c r="U72" s="10">
        <f>SUM(S72:T72)</f>
        <v>0</v>
      </c>
    </row>
    <row r="73" spans="1:21">
      <c r="A73" s="104" t="s">
        <v>81</v>
      </c>
      <c r="D73" s="8">
        <v>34.714513699999998</v>
      </c>
      <c r="E73" s="9">
        <v>0</v>
      </c>
      <c r="F73" s="10">
        <f>SUM(D73:E73)</f>
        <v>34.714513699999998</v>
      </c>
      <c r="G73" s="8">
        <v>18.1064662</v>
      </c>
      <c r="H73" s="9">
        <v>-8.6718199999999995E-2</v>
      </c>
      <c r="I73" s="10">
        <f>SUM(G73:H73)</f>
        <v>18.019748</v>
      </c>
      <c r="J73" s="56">
        <v>13.379179000000001</v>
      </c>
      <c r="K73" s="9">
        <v>0</v>
      </c>
      <c r="L73" s="10">
        <f>SUM(J73:K73)</f>
        <v>13.379179000000001</v>
      </c>
      <c r="M73" s="56">
        <v>6.3330074000000005</v>
      </c>
      <c r="N73" s="9">
        <v>0</v>
      </c>
      <c r="O73" s="10">
        <f>SUM(M73:N73)</f>
        <v>6.3330074000000005</v>
      </c>
      <c r="P73" s="56">
        <v>0</v>
      </c>
      <c r="Q73" s="57">
        <v>0</v>
      </c>
      <c r="R73" s="10">
        <f>SUM(P73:Q73)</f>
        <v>0</v>
      </c>
      <c r="S73" s="58">
        <v>0</v>
      </c>
      <c r="T73" s="59">
        <v>0</v>
      </c>
      <c r="U73" s="10">
        <f>SUM(S73:T73)</f>
        <v>0</v>
      </c>
    </row>
    <row r="74" spans="1:21" ht="13.5" thickBot="1">
      <c r="A74" s="5" t="s">
        <v>82</v>
      </c>
      <c r="D74" s="60">
        <f t="shared" ref="D74:U74" si="18">SUM(D69:D73)</f>
        <v>8182.1446317</v>
      </c>
      <c r="E74" s="61">
        <f t="shared" si="18"/>
        <v>2042.6082730000001</v>
      </c>
      <c r="F74" s="15">
        <f t="shared" si="18"/>
        <v>10224.752904700003</v>
      </c>
      <c r="G74" s="60">
        <f t="shared" si="18"/>
        <v>9038.2484889999996</v>
      </c>
      <c r="H74" s="61">
        <f t="shared" si="18"/>
        <v>2324.4372569999996</v>
      </c>
      <c r="I74" s="15">
        <f t="shared" si="18"/>
        <v>11362.685745999999</v>
      </c>
      <c r="J74" s="60">
        <f t="shared" si="18"/>
        <v>11092.905002099998</v>
      </c>
      <c r="K74" s="61">
        <f t="shared" si="18"/>
        <v>2227.0549818000004</v>
      </c>
      <c r="L74" s="15">
        <f t="shared" si="18"/>
        <v>13319.959983899998</v>
      </c>
      <c r="M74" s="60">
        <f t="shared" si="18"/>
        <v>13524.5580343</v>
      </c>
      <c r="N74" s="61">
        <f t="shared" si="18"/>
        <v>2022.668355</v>
      </c>
      <c r="O74" s="15">
        <f t="shared" si="18"/>
        <v>15547.2263893</v>
      </c>
      <c r="P74" s="60">
        <f t="shared" si="18"/>
        <v>16778.238273299998</v>
      </c>
      <c r="Q74" s="61">
        <f t="shared" si="18"/>
        <v>1545.1056128000002</v>
      </c>
      <c r="R74" s="15">
        <f t="shared" si="18"/>
        <v>18323.3438861</v>
      </c>
      <c r="S74" s="60">
        <f t="shared" si="18"/>
        <v>19952.285218193701</v>
      </c>
      <c r="T74" s="61">
        <f t="shared" si="18"/>
        <v>1445</v>
      </c>
      <c r="U74" s="15">
        <f t="shared" si="18"/>
        <v>21397.285218193701</v>
      </c>
    </row>
    <row r="75" spans="1:21" ht="13.5" thickTop="1">
      <c r="C75" s="16" t="s">
        <v>83</v>
      </c>
      <c r="D75" s="17">
        <f>D13</f>
        <v>0.17774293809201613</v>
      </c>
      <c r="E75" s="18">
        <f>E13</f>
        <v>0.50984799131378922</v>
      </c>
      <c r="F75" s="19">
        <f>F13</f>
        <v>0.23187325239797518</v>
      </c>
      <c r="G75" s="17">
        <f>+G74/D74-1</f>
        <v>0.10463074118528848</v>
      </c>
      <c r="H75" s="18">
        <f>+H74/E74-1</f>
        <v>0.1379750526448591</v>
      </c>
      <c r="I75" s="19">
        <f>I74/F74-1</f>
        <v>0.11129196489207316</v>
      </c>
      <c r="J75" s="62">
        <f>+J74/G74-1</f>
        <v>0.22732905779262635</v>
      </c>
      <c r="K75" s="18">
        <f>+K74/H74-1</f>
        <v>-4.1894989811720795E-2</v>
      </c>
      <c r="L75" s="19">
        <f>L74/I74-1</f>
        <v>0.17225454277735497</v>
      </c>
      <c r="M75" s="62">
        <f>+M74/J74-1</f>
        <v>0.21920795605296051</v>
      </c>
      <c r="N75" s="18">
        <f>+N74/K74-1</f>
        <v>-9.1774396442968142E-2</v>
      </c>
      <c r="O75" s="19">
        <f>O74/L74-1</f>
        <v>0.16721269493993418</v>
      </c>
      <c r="P75" s="62">
        <f>+P74/M74-1</f>
        <v>0.24057571646690779</v>
      </c>
      <c r="Q75" s="63">
        <f>+Q74/N74-1</f>
        <v>-0.2361053115897489</v>
      </c>
      <c r="R75" s="19">
        <f>R74/O74-1</f>
        <v>0.17856030569610759</v>
      </c>
      <c r="S75" s="64">
        <f>+S74/P74-1</f>
        <v>0.18917641370874527</v>
      </c>
      <c r="T75" s="65">
        <f>+T74/Q74-1</f>
        <v>-6.4788848070127303E-2</v>
      </c>
      <c r="U75" s="19">
        <f>U74/R74-1</f>
        <v>0.16776093660642255</v>
      </c>
    </row>
    <row r="76" spans="1:21">
      <c r="A76" s="5" t="s">
        <v>84</v>
      </c>
      <c r="D76" s="66"/>
      <c r="E76" s="36"/>
      <c r="F76" s="20"/>
      <c r="G76" s="66"/>
      <c r="H76" s="36"/>
      <c r="I76" s="22"/>
      <c r="J76" s="67"/>
      <c r="K76" s="36"/>
      <c r="L76" s="22"/>
      <c r="M76" s="67"/>
      <c r="N76" s="36"/>
      <c r="O76" s="22"/>
      <c r="P76" s="67"/>
      <c r="Q76" s="68"/>
      <c r="R76" s="22"/>
      <c r="S76" s="69"/>
      <c r="T76" s="70"/>
      <c r="U76" s="22"/>
    </row>
    <row r="77" spans="1:21">
      <c r="A77" s="12" t="s">
        <v>85</v>
      </c>
      <c r="D77" s="8">
        <v>3109.1633429000003</v>
      </c>
      <c r="E77" s="9">
        <v>882.89997180000012</v>
      </c>
      <c r="F77" s="10">
        <f>SUM(D77:E77)</f>
        <v>3992.0633147000003</v>
      </c>
      <c r="G77" s="8">
        <v>3169.6575054</v>
      </c>
      <c r="H77" s="9">
        <v>1036.9350812</v>
      </c>
      <c r="I77" s="10">
        <f>SUM(G77:H77)</f>
        <v>4206.5925865999998</v>
      </c>
      <c r="J77" s="56">
        <v>4117.3628995999998</v>
      </c>
      <c r="K77" s="9">
        <v>955.63533280299998</v>
      </c>
      <c r="L77" s="10">
        <f>SUM(J77:K77)</f>
        <v>5072.9982324029997</v>
      </c>
      <c r="M77" s="56">
        <v>5252.2746287</v>
      </c>
      <c r="N77" s="9">
        <v>892.83268178317826</v>
      </c>
      <c r="O77" s="10">
        <f>SUM(M77:N77)</f>
        <v>6145.1073104831785</v>
      </c>
      <c r="P77" s="56">
        <v>6311.0591397999997</v>
      </c>
      <c r="Q77" s="57">
        <v>699.85798140000009</v>
      </c>
      <c r="R77" s="10">
        <f>SUM(P77:Q77)</f>
        <v>7010.9171212000001</v>
      </c>
      <c r="S77" s="58">
        <v>7205.3420580989932</v>
      </c>
      <c r="T77" s="59">
        <v>681.49756226300894</v>
      </c>
      <c r="U77" s="10">
        <f>SUM(S77:T77)</f>
        <v>7886.8396203620023</v>
      </c>
    </row>
    <row r="78" spans="1:21">
      <c r="A78" s="104" t="s">
        <v>86</v>
      </c>
      <c r="D78" s="8">
        <v>376.08834260000003</v>
      </c>
      <c r="E78" s="9">
        <v>135.96138400000001</v>
      </c>
      <c r="F78" s="10">
        <f>SUM(D78:E78)</f>
        <v>512.04972659999999</v>
      </c>
      <c r="G78" s="8">
        <v>416.4839978</v>
      </c>
      <c r="H78" s="9">
        <v>139.461973</v>
      </c>
      <c r="I78" s="10">
        <f>SUM(G78:H78)</f>
        <v>555.94597079999994</v>
      </c>
      <c r="J78" s="56">
        <v>563.9768620000001</v>
      </c>
      <c r="K78" s="9">
        <v>163.482876347</v>
      </c>
      <c r="L78" s="10">
        <f>SUM(J78:K78)</f>
        <v>727.4597383470001</v>
      </c>
      <c r="M78" s="56">
        <v>573.43445210000004</v>
      </c>
      <c r="N78" s="9">
        <v>120.63129539999998</v>
      </c>
      <c r="O78" s="10">
        <f>SUM(M78:N78)</f>
        <v>694.06574750000004</v>
      </c>
      <c r="P78" s="56">
        <v>475.44364879999983</v>
      </c>
      <c r="Q78" s="57">
        <v>129.83580710000001</v>
      </c>
      <c r="R78" s="10">
        <f>SUM(P78:Q78)</f>
        <v>605.2794558999999</v>
      </c>
      <c r="S78" s="58">
        <v>557.21331136966046</v>
      </c>
      <c r="T78" s="59">
        <v>146.88</v>
      </c>
      <c r="U78" s="10">
        <f>SUM(S78:T78)</f>
        <v>704.09331136966046</v>
      </c>
    </row>
    <row r="79" spans="1:21">
      <c r="A79" s="104" t="s">
        <v>87</v>
      </c>
      <c r="D79" s="8">
        <v>106.27344610000002</v>
      </c>
      <c r="E79" s="9">
        <v>15.156110200000001</v>
      </c>
      <c r="F79" s="10">
        <f>SUM(D79:E79)</f>
        <v>121.42955630000002</v>
      </c>
      <c r="G79" s="8">
        <v>152.52849500000002</v>
      </c>
      <c r="H79" s="9">
        <v>33.173386000000001</v>
      </c>
      <c r="I79" s="10">
        <f>SUM(G79:H79)</f>
        <v>185.70188100000001</v>
      </c>
      <c r="J79" s="56">
        <v>145.89482100000001</v>
      </c>
      <c r="K79" s="9">
        <v>16.568959700000004</v>
      </c>
      <c r="L79" s="10">
        <f>SUM(J79:K79)</f>
        <v>162.4637807</v>
      </c>
      <c r="M79" s="56">
        <v>333.71169229999998</v>
      </c>
      <c r="N79" s="9">
        <v>47.221096800000005</v>
      </c>
      <c r="O79" s="10">
        <f>SUM(M79:N79)</f>
        <v>380.93278909999998</v>
      </c>
      <c r="P79" s="56">
        <v>317.79038279999997</v>
      </c>
      <c r="Q79" s="57">
        <v>30.8507763</v>
      </c>
      <c r="R79" s="10">
        <f>SUM(P79:Q79)</f>
        <v>348.64115909999998</v>
      </c>
      <c r="S79" s="58">
        <v>411.85037160832729</v>
      </c>
      <c r="T79" s="59">
        <v>31.759184719112856</v>
      </c>
      <c r="U79" s="10">
        <f>SUM(S79:T79)</f>
        <v>443.60955632744015</v>
      </c>
    </row>
    <row r="80" spans="1:21" ht="13.5" thickBot="1">
      <c r="D80" s="60">
        <f t="shared" ref="D80:U80" si="19">SUM(D77:D79)</f>
        <v>3591.5251316000003</v>
      </c>
      <c r="E80" s="61">
        <f t="shared" si="19"/>
        <v>1034.0174660000002</v>
      </c>
      <c r="F80" s="15">
        <f t="shared" si="19"/>
        <v>4625.5425975999997</v>
      </c>
      <c r="G80" s="60">
        <f t="shared" si="19"/>
        <v>3738.6699982</v>
      </c>
      <c r="H80" s="61">
        <f t="shared" si="19"/>
        <v>1209.5704401999999</v>
      </c>
      <c r="I80" s="15">
        <f t="shared" si="19"/>
        <v>4948.2404383999992</v>
      </c>
      <c r="J80" s="60">
        <f t="shared" si="19"/>
        <v>4827.2345826000001</v>
      </c>
      <c r="K80" s="61">
        <f t="shared" si="19"/>
        <v>1135.68716885</v>
      </c>
      <c r="L80" s="15">
        <f t="shared" si="19"/>
        <v>5962.9217514499996</v>
      </c>
      <c r="M80" s="60">
        <f t="shared" si="19"/>
        <v>6159.4207731000006</v>
      </c>
      <c r="N80" s="61">
        <f t="shared" si="19"/>
        <v>1060.6850739831782</v>
      </c>
      <c r="O80" s="15">
        <f t="shared" si="19"/>
        <v>7220.1058470831786</v>
      </c>
      <c r="P80" s="60">
        <f t="shared" si="19"/>
        <v>7104.2931713999997</v>
      </c>
      <c r="Q80" s="61">
        <f t="shared" si="19"/>
        <v>860.5445648000001</v>
      </c>
      <c r="R80" s="15">
        <f t="shared" si="19"/>
        <v>7964.8377361999992</v>
      </c>
      <c r="S80" s="60">
        <f t="shared" si="19"/>
        <v>8174.4057410769801</v>
      </c>
      <c r="T80" s="61">
        <f t="shared" si="19"/>
        <v>860.13674698212185</v>
      </c>
      <c r="U80" s="15">
        <f t="shared" si="19"/>
        <v>9034.5424880591017</v>
      </c>
    </row>
    <row r="81" spans="1:42" ht="14.25" thickTop="1" thickBot="1">
      <c r="A81" s="5" t="s">
        <v>88</v>
      </c>
      <c r="D81" s="71">
        <f t="shared" ref="D81:U81" si="20">+D74-D80</f>
        <v>4590.6195000999996</v>
      </c>
      <c r="E81" s="72">
        <f t="shared" si="20"/>
        <v>1008.5908069999998</v>
      </c>
      <c r="F81" s="26">
        <f t="shared" si="20"/>
        <v>5599.2103071000029</v>
      </c>
      <c r="G81" s="71">
        <f t="shared" si="20"/>
        <v>5299.5784907999996</v>
      </c>
      <c r="H81" s="72">
        <f t="shared" si="20"/>
        <v>1114.8668167999997</v>
      </c>
      <c r="I81" s="26">
        <f t="shared" si="20"/>
        <v>6414.4453076</v>
      </c>
      <c r="J81" s="71">
        <f t="shared" si="20"/>
        <v>6265.6704194999984</v>
      </c>
      <c r="K81" s="72">
        <f t="shared" si="20"/>
        <v>1091.3678129500004</v>
      </c>
      <c r="L81" s="26">
        <f t="shared" si="20"/>
        <v>7357.0382324499988</v>
      </c>
      <c r="M81" s="71">
        <f t="shared" si="20"/>
        <v>7365.1372611999996</v>
      </c>
      <c r="N81" s="72">
        <f t="shared" si="20"/>
        <v>961.98328101682182</v>
      </c>
      <c r="O81" s="26">
        <f t="shared" si="20"/>
        <v>8327.1205422168205</v>
      </c>
      <c r="P81" s="71">
        <f t="shared" si="20"/>
        <v>9673.9451018999971</v>
      </c>
      <c r="Q81" s="72">
        <f t="shared" si="20"/>
        <v>684.56104800000014</v>
      </c>
      <c r="R81" s="26">
        <f t="shared" si="20"/>
        <v>10358.5061499</v>
      </c>
      <c r="S81" s="71">
        <f t="shared" si="20"/>
        <v>11777.879477116721</v>
      </c>
      <c r="T81" s="72">
        <f t="shared" si="20"/>
        <v>584.86325301787815</v>
      </c>
      <c r="U81" s="26">
        <f t="shared" si="20"/>
        <v>12362.7427301346</v>
      </c>
    </row>
    <row r="82" spans="1:42" ht="13.5" thickTop="1">
      <c r="A82" s="5"/>
      <c r="C82" s="16" t="s">
        <v>89</v>
      </c>
      <c r="D82" s="17">
        <f t="shared" ref="D82:U82" si="21">+D81/D74</f>
        <v>0.56105333097078347</v>
      </c>
      <c r="E82" s="18">
        <f t="shared" si="21"/>
        <v>0.49377593360995842</v>
      </c>
      <c r="F82" s="19">
        <f t="shared" si="21"/>
        <v>0.54761326354656636</v>
      </c>
      <c r="G82" s="17">
        <f t="shared" si="21"/>
        <v>0.58635016477471846</v>
      </c>
      <c r="H82" s="18">
        <f t="shared" si="21"/>
        <v>0.47962869870657898</v>
      </c>
      <c r="I82" s="19">
        <f t="shared" si="21"/>
        <v>0.56451841149070536</v>
      </c>
      <c r="J82" s="62">
        <f t="shared" si="21"/>
        <v>0.56483584942932841</v>
      </c>
      <c r="K82" s="18">
        <f t="shared" si="21"/>
        <v>0.49004978407309485</v>
      </c>
      <c r="L82" s="19">
        <f t="shared" si="21"/>
        <v>0.55233185695321474</v>
      </c>
      <c r="M82" s="62">
        <f t="shared" si="21"/>
        <v>0.54457507909101899</v>
      </c>
      <c r="N82" s="18">
        <f t="shared" si="21"/>
        <v>0.47560109329777983</v>
      </c>
      <c r="O82" s="19">
        <f t="shared" si="21"/>
        <v>0.5356016779911148</v>
      </c>
      <c r="P82" s="62">
        <f t="shared" si="21"/>
        <v>0.57657692925332948</v>
      </c>
      <c r="Q82" s="63">
        <f t="shared" si="21"/>
        <v>0.44305129845425673</v>
      </c>
      <c r="R82" s="19">
        <f t="shared" si="21"/>
        <v>0.5653174559343348</v>
      </c>
      <c r="S82" s="64">
        <f t="shared" si="21"/>
        <v>0.5903022810829176</v>
      </c>
      <c r="T82" s="65">
        <f t="shared" si="21"/>
        <v>0.40474965606773572</v>
      </c>
      <c r="U82" s="19">
        <f t="shared" si="21"/>
        <v>0.57777155391763424</v>
      </c>
    </row>
    <row r="83" spans="1:42">
      <c r="A83" s="5" t="s">
        <v>90</v>
      </c>
      <c r="B83" s="27"/>
      <c r="D83" s="17"/>
      <c r="E83" s="18"/>
      <c r="F83" s="22"/>
      <c r="G83" s="17"/>
      <c r="H83" s="18"/>
      <c r="I83" s="22"/>
      <c r="J83" s="62"/>
      <c r="K83" s="18"/>
      <c r="L83" s="22"/>
      <c r="M83" s="62"/>
      <c r="N83" s="18"/>
      <c r="O83" s="22"/>
      <c r="P83" s="62"/>
      <c r="Q83" s="63"/>
      <c r="R83" s="22"/>
      <c r="S83" s="64"/>
      <c r="T83" s="65"/>
      <c r="U83" s="22"/>
    </row>
    <row r="84" spans="1:42">
      <c r="A84" s="104" t="s">
        <v>91</v>
      </c>
      <c r="D84" s="8">
        <v>278.4241194</v>
      </c>
      <c r="E84" s="9">
        <v>83.179400300000012</v>
      </c>
      <c r="F84" s="10">
        <f>SUM(D84:E84)</f>
        <v>361.60351969999999</v>
      </c>
      <c r="G84" s="8">
        <v>275.89027879999998</v>
      </c>
      <c r="H84" s="9">
        <v>71.023675600000004</v>
      </c>
      <c r="I84" s="10">
        <f>SUM(G84:H84)</f>
        <v>346.91395439999997</v>
      </c>
      <c r="J84" s="56">
        <v>352.3222217</v>
      </c>
      <c r="K84" s="9">
        <v>60.368394900000006</v>
      </c>
      <c r="L84" s="10">
        <f>SUM(J84:K84)</f>
        <v>412.6906166</v>
      </c>
      <c r="M84" s="56">
        <v>462.84588470000006</v>
      </c>
      <c r="N84" s="9">
        <v>52.106494400000003</v>
      </c>
      <c r="O84" s="10">
        <f>SUM(M84:N84)</f>
        <v>514.95237910000003</v>
      </c>
      <c r="P84" s="56">
        <v>560.94450649999999</v>
      </c>
      <c r="Q84" s="57">
        <v>48.5725932</v>
      </c>
      <c r="R84" s="10">
        <f>SUM(P84:Q84)</f>
        <v>609.51709970000002</v>
      </c>
      <c r="S84" s="58">
        <v>665.46153818270795</v>
      </c>
      <c r="T84" s="59">
        <v>48.96</v>
      </c>
      <c r="U84" s="10">
        <f>SUM(S84:T84)</f>
        <v>714.42153818270799</v>
      </c>
    </row>
    <row r="85" spans="1:42">
      <c r="A85" s="104" t="s">
        <v>92</v>
      </c>
      <c r="D85" s="8">
        <v>1704.5908806</v>
      </c>
      <c r="E85" s="9">
        <v>102.72899040000001</v>
      </c>
      <c r="F85" s="10">
        <f>SUM(D85:E85)</f>
        <v>1807.3198709999999</v>
      </c>
      <c r="G85" s="8">
        <v>1541.5321192000001</v>
      </c>
      <c r="H85" s="9">
        <v>142.6455598</v>
      </c>
      <c r="I85" s="10">
        <f>SUM(G85:H85)</f>
        <v>1684.1776790000001</v>
      </c>
      <c r="J85" s="56">
        <v>1851.1013088000002</v>
      </c>
      <c r="K85" s="9">
        <v>115.79086256599999</v>
      </c>
      <c r="L85" s="10">
        <f>SUM(J85:K85)</f>
        <v>1966.8921713660002</v>
      </c>
      <c r="M85" s="56">
        <v>2442.9202972999997</v>
      </c>
      <c r="N85" s="9">
        <v>130.25922384</v>
      </c>
      <c r="O85" s="10">
        <f>SUM(M85:N85)</f>
        <v>2573.1795211399995</v>
      </c>
      <c r="P85" s="56">
        <v>3076.9972111999991</v>
      </c>
      <c r="Q85" s="57">
        <v>72.457549699999987</v>
      </c>
      <c r="R85" s="10">
        <f>SUM(P85:Q85)</f>
        <v>3149.4547608999992</v>
      </c>
      <c r="S85" s="58">
        <v>3519.6961780192355</v>
      </c>
      <c r="T85" s="59">
        <v>20.699999999999996</v>
      </c>
      <c r="U85" s="10">
        <f>SUM(S85:T85)</f>
        <v>3540.3961780192353</v>
      </c>
    </row>
    <row r="86" spans="1:42">
      <c r="A86" s="104" t="s">
        <v>93</v>
      </c>
      <c r="D86" s="8">
        <v>41.129200000000004</v>
      </c>
      <c r="E86" s="9">
        <v>272.41191170000002</v>
      </c>
      <c r="F86" s="10">
        <f>SUM(D86:E86)</f>
        <v>313.54111170000004</v>
      </c>
      <c r="G86" s="8">
        <v>42.560998599999998</v>
      </c>
      <c r="H86" s="9">
        <v>213.60897359999998</v>
      </c>
      <c r="I86" s="10">
        <f>SUM(G86:H86)</f>
        <v>256.16997219999996</v>
      </c>
      <c r="J86" s="56">
        <v>77.473305199999999</v>
      </c>
      <c r="K86" s="9">
        <v>180.29450019999999</v>
      </c>
      <c r="L86" s="10">
        <f>SUM(J86:K86)</f>
        <v>257.76780539999999</v>
      </c>
      <c r="M86" s="56">
        <v>72.158301000000009</v>
      </c>
      <c r="N86" s="9">
        <v>186.11390124000005</v>
      </c>
      <c r="O86" s="10">
        <f>SUM(M86:N86)</f>
        <v>258.27220224000007</v>
      </c>
      <c r="P86" s="56">
        <v>130.70683389999999</v>
      </c>
      <c r="Q86" s="57">
        <v>180.26189019999998</v>
      </c>
      <c r="R86" s="10">
        <f>SUM(P86:Q86)</f>
        <v>310.96872409999997</v>
      </c>
      <c r="S86" s="58">
        <v>200.035945</v>
      </c>
      <c r="T86" s="59">
        <v>176.14817500000001</v>
      </c>
      <c r="U86" s="10">
        <f>SUM(S86:T86)</f>
        <v>376.18412000000001</v>
      </c>
    </row>
    <row r="87" spans="1:42">
      <c r="A87" s="104" t="s">
        <v>94</v>
      </c>
      <c r="D87" s="8">
        <v>185.77031410000001</v>
      </c>
      <c r="E87" s="9">
        <v>25.805635200000005</v>
      </c>
      <c r="F87" s="10">
        <f>SUM(D87:E87)</f>
        <v>211.57594930000002</v>
      </c>
      <c r="G87" s="8">
        <v>212.5095632</v>
      </c>
      <c r="H87" s="9">
        <v>50.387683599999995</v>
      </c>
      <c r="I87" s="10">
        <f>SUM(G87:H87)</f>
        <v>262.8972468</v>
      </c>
      <c r="J87" s="56">
        <v>287.18049220000006</v>
      </c>
      <c r="K87" s="9">
        <v>26.586436500000001</v>
      </c>
      <c r="L87" s="10">
        <f>SUM(J87:K87)</f>
        <v>313.76692870000005</v>
      </c>
      <c r="M87" s="56">
        <v>269.96925070000003</v>
      </c>
      <c r="N87" s="9">
        <v>19.975005120000002</v>
      </c>
      <c r="O87" s="10">
        <f>SUM(M87:N87)</f>
        <v>289.94425582000002</v>
      </c>
      <c r="P87" s="56">
        <v>304.13210960000004</v>
      </c>
      <c r="Q87" s="57">
        <v>26.730715200000002</v>
      </c>
      <c r="R87" s="10">
        <f>SUM(P87:Q87)</f>
        <v>330.86282480000006</v>
      </c>
      <c r="S87" s="58">
        <v>352.51671914799988</v>
      </c>
      <c r="T87" s="59">
        <v>0</v>
      </c>
      <c r="U87" s="10">
        <f>SUM(S87:T87)</f>
        <v>352.51671914799988</v>
      </c>
    </row>
    <row r="88" spans="1:42">
      <c r="A88" s="104" t="s">
        <v>95</v>
      </c>
      <c r="D88" s="8">
        <v>194.65569020000001</v>
      </c>
      <c r="E88" s="9">
        <v>161.41888990000001</v>
      </c>
      <c r="F88" s="10">
        <f>SUM(D88:E88)</f>
        <v>356.07458010000005</v>
      </c>
      <c r="G88" s="8">
        <v>142.83663379999999</v>
      </c>
      <c r="H88" s="9">
        <v>196.41084380000001</v>
      </c>
      <c r="I88" s="10">
        <f>SUM(G88:H88)</f>
        <v>339.24747760000002</v>
      </c>
      <c r="J88" s="56">
        <v>190.08613</v>
      </c>
      <c r="K88" s="9">
        <v>192.21763999999999</v>
      </c>
      <c r="L88" s="10">
        <f>SUM(J88:K88)</f>
        <v>382.30376999999999</v>
      </c>
      <c r="M88" s="56">
        <v>192.90780319999999</v>
      </c>
      <c r="N88" s="9">
        <v>184.63149179999999</v>
      </c>
      <c r="O88" s="10">
        <f>SUM(M88:N88)</f>
        <v>377.53929499999998</v>
      </c>
      <c r="P88" s="56">
        <v>153.31347069999998</v>
      </c>
      <c r="Q88" s="57">
        <v>110.62364750000002</v>
      </c>
      <c r="R88" s="10">
        <f>SUM(P88:Q88)</f>
        <v>263.93711819999999</v>
      </c>
      <c r="S88" s="58">
        <v>131.39599999999999</v>
      </c>
      <c r="T88" s="59">
        <v>79.62</v>
      </c>
      <c r="U88" s="10">
        <f>SUM(S88:T88)</f>
        <v>211.01599999999999</v>
      </c>
    </row>
    <row r="89" spans="1:42" ht="13.5" thickBot="1">
      <c r="A89" s="5"/>
      <c r="B89" s="27"/>
      <c r="D89" s="60">
        <f t="shared" ref="D89:U89" si="22">SUM(D84:D88)</f>
        <v>2404.5702043000001</v>
      </c>
      <c r="E89" s="61">
        <f t="shared" si="22"/>
        <v>645.54482750000011</v>
      </c>
      <c r="F89" s="15">
        <f t="shared" si="22"/>
        <v>3050.1150318</v>
      </c>
      <c r="G89" s="60">
        <f t="shared" si="22"/>
        <v>2215.3295936</v>
      </c>
      <c r="H89" s="61">
        <f t="shared" si="22"/>
        <v>674.07673639999996</v>
      </c>
      <c r="I89" s="15">
        <f t="shared" si="22"/>
        <v>2889.4063300000003</v>
      </c>
      <c r="J89" s="60">
        <f t="shared" si="22"/>
        <v>2758.1634579000006</v>
      </c>
      <c r="K89" s="61">
        <f t="shared" si="22"/>
        <v>575.25783416599995</v>
      </c>
      <c r="L89" s="15">
        <f t="shared" si="22"/>
        <v>3333.4212920659998</v>
      </c>
      <c r="M89" s="60">
        <f t="shared" si="22"/>
        <v>3440.8015368999995</v>
      </c>
      <c r="N89" s="61">
        <f t="shared" si="22"/>
        <v>573.08611640000004</v>
      </c>
      <c r="O89" s="15">
        <f t="shared" si="22"/>
        <v>4013.8876532999998</v>
      </c>
      <c r="P89" s="60">
        <f t="shared" si="22"/>
        <v>4226.0941318999994</v>
      </c>
      <c r="Q89" s="61">
        <f t="shared" si="22"/>
        <v>438.64639579999999</v>
      </c>
      <c r="R89" s="15">
        <f t="shared" si="22"/>
        <v>4664.7405276999998</v>
      </c>
      <c r="S89" s="60">
        <f t="shared" si="22"/>
        <v>4869.1063803499428</v>
      </c>
      <c r="T89" s="61">
        <f t="shared" si="22"/>
        <v>325.42817500000001</v>
      </c>
      <c r="U89" s="15">
        <f t="shared" si="22"/>
        <v>5194.5345553499428</v>
      </c>
    </row>
    <row r="90" spans="1:42" ht="14.25" thickTop="1" thickBot="1">
      <c r="A90" s="5" t="s">
        <v>96</v>
      </c>
      <c r="B90" s="27"/>
      <c r="D90" s="71">
        <f t="shared" ref="D90:U90" si="23">+D81-D89</f>
        <v>2186.0492957999995</v>
      </c>
      <c r="E90" s="72">
        <f t="shared" si="23"/>
        <v>363.0459794999997</v>
      </c>
      <c r="F90" s="26">
        <f t="shared" si="23"/>
        <v>2549.0952753000029</v>
      </c>
      <c r="G90" s="71">
        <f t="shared" si="23"/>
        <v>3084.2488971999996</v>
      </c>
      <c r="H90" s="72">
        <f t="shared" si="23"/>
        <v>440.79008039999974</v>
      </c>
      <c r="I90" s="26">
        <f t="shared" si="23"/>
        <v>3525.0389775999997</v>
      </c>
      <c r="J90" s="71">
        <f t="shared" si="23"/>
        <v>3507.5069615999978</v>
      </c>
      <c r="K90" s="72">
        <f t="shared" si="23"/>
        <v>516.10997878400042</v>
      </c>
      <c r="L90" s="26">
        <f t="shared" si="23"/>
        <v>4023.616940383999</v>
      </c>
      <c r="M90" s="71">
        <f t="shared" si="23"/>
        <v>3924.3357243</v>
      </c>
      <c r="N90" s="72">
        <f t="shared" si="23"/>
        <v>388.89716461682178</v>
      </c>
      <c r="O90" s="26">
        <f t="shared" si="23"/>
        <v>4313.2328889168202</v>
      </c>
      <c r="P90" s="71">
        <f t="shared" si="23"/>
        <v>5447.8509699999977</v>
      </c>
      <c r="Q90" s="72">
        <f t="shared" si="23"/>
        <v>245.91465220000015</v>
      </c>
      <c r="R90" s="26">
        <f t="shared" si="23"/>
        <v>5693.7656222000005</v>
      </c>
      <c r="S90" s="71">
        <f t="shared" si="23"/>
        <v>6908.7730967667785</v>
      </c>
      <c r="T90" s="72">
        <f t="shared" si="23"/>
        <v>259.43507801787814</v>
      </c>
      <c r="U90" s="26">
        <f t="shared" si="23"/>
        <v>7168.2081747846569</v>
      </c>
      <c r="AP90" s="149">
        <f ca="1">IF(ROUND('EBITDA 2010'!Q90,0)=0,0,'EBITDA 2010'!Q90/'EBITDA 2010'!Q7)</f>
        <v>1.1627453843375977</v>
      </c>
    </row>
    <row r="91" spans="1:42" ht="13.5" thickTop="1">
      <c r="A91" s="5"/>
      <c r="C91" s="16" t="s">
        <v>97</v>
      </c>
      <c r="D91" s="17">
        <f t="shared" ref="D91:U91" si="24">+D90/D74</f>
        <v>0.26717314276389237</v>
      </c>
      <c r="E91" s="18">
        <f t="shared" si="24"/>
        <v>0.17773646777939967</v>
      </c>
      <c r="F91" s="19">
        <f t="shared" si="24"/>
        <v>0.24930629610895169</v>
      </c>
      <c r="G91" s="17">
        <f t="shared" si="24"/>
        <v>0.34124409181200149</v>
      </c>
      <c r="H91" s="18">
        <f t="shared" si="24"/>
        <v>0.18963303013345212</v>
      </c>
      <c r="I91" s="19">
        <f t="shared" si="24"/>
        <v>0.31022938206672818</v>
      </c>
      <c r="J91" s="62">
        <f t="shared" si="24"/>
        <v>0.31619372571350712</v>
      </c>
      <c r="K91" s="18">
        <f t="shared" si="24"/>
        <v>0.23174550381637116</v>
      </c>
      <c r="L91" s="19">
        <f t="shared" si="24"/>
        <v>0.30207425136767641</v>
      </c>
      <c r="M91" s="62">
        <f t="shared" si="24"/>
        <v>0.29016369439558654</v>
      </c>
      <c r="N91" s="18">
        <f t="shared" si="24"/>
        <v>0.19226936717305876</v>
      </c>
      <c r="O91" s="19">
        <f t="shared" si="24"/>
        <v>0.27742780486462187</v>
      </c>
      <c r="P91" s="62">
        <f t="shared" si="24"/>
        <v>0.32469743731494266</v>
      </c>
      <c r="Q91" s="63">
        <f t="shared" si="24"/>
        <v>0.15915718004179663</v>
      </c>
      <c r="R91" s="19">
        <f t="shared" si="24"/>
        <v>0.31073834872024991</v>
      </c>
      <c r="S91" s="64">
        <f t="shared" si="24"/>
        <v>0.34626475219324454</v>
      </c>
      <c r="T91" s="65">
        <f t="shared" si="24"/>
        <v>0.17953984637915443</v>
      </c>
      <c r="U91" s="19">
        <f t="shared" si="24"/>
        <v>0.33500549727166634</v>
      </c>
      <c r="AP91" s="149">
        <f ca="1">IF(ROUND('EBITDA 2010'!Q91,0)=0,0,'EBITDA 2010'!Q91/'EBITDA 2010'!Q8)</f>
        <v>0</v>
      </c>
    </row>
    <row r="92" spans="1:42">
      <c r="A92" s="5" t="s">
        <v>37</v>
      </c>
      <c r="C92" s="16"/>
      <c r="D92" s="17"/>
      <c r="E92" s="18"/>
      <c r="F92" s="22"/>
      <c r="G92" s="17"/>
      <c r="H92" s="18"/>
      <c r="I92" s="22"/>
      <c r="J92" s="62"/>
      <c r="K92" s="18"/>
      <c r="L92" s="22"/>
      <c r="M92" s="62"/>
      <c r="N92" s="18"/>
      <c r="O92" s="22"/>
      <c r="P92" s="62"/>
      <c r="Q92" s="63"/>
      <c r="R92" s="22"/>
      <c r="S92" s="64"/>
      <c r="T92" s="65"/>
      <c r="U92" s="22"/>
      <c r="AP92" s="149">
        <f ca="1">IF(ROUND('EBITDA 2010'!Q92,0)=0,0,'EBITDA 2010'!Q92/'EBITDA 2010'!Q9)</f>
        <v>1.1615640144342421</v>
      </c>
    </row>
    <row r="93" spans="1:42">
      <c r="A93" s="104" t="s">
        <v>98</v>
      </c>
      <c r="C93" s="16"/>
      <c r="D93" s="30">
        <v>0</v>
      </c>
      <c r="E93" s="11">
        <v>0</v>
      </c>
      <c r="F93" s="10">
        <f>SUM(D93:E93)</f>
        <v>0</v>
      </c>
      <c r="G93" s="8">
        <v>152.59316620000001</v>
      </c>
      <c r="H93" s="9">
        <v>37.127809410000005</v>
      </c>
      <c r="I93" s="10">
        <f>SUM(G93:H93)</f>
        <v>189.72097561000001</v>
      </c>
      <c r="J93" s="56">
        <v>217.657868404</v>
      </c>
      <c r="K93" s="9">
        <v>8.1001738999999997</v>
      </c>
      <c r="L93" s="10">
        <f>SUM(J93:K93)</f>
        <v>225.75804230399999</v>
      </c>
      <c r="M93" s="56">
        <v>236.845896307</v>
      </c>
      <c r="N93" s="9">
        <v>30.750017039999999</v>
      </c>
      <c r="O93" s="10">
        <f>SUM(M93:N93)</f>
        <v>267.59591334700002</v>
      </c>
      <c r="P93" s="56">
        <v>315.8786576</v>
      </c>
      <c r="Q93" s="57">
        <v>16.877173500000001</v>
      </c>
      <c r="R93" s="10">
        <f>SUM(P93:Q93)</f>
        <v>332.75583110000002</v>
      </c>
      <c r="S93" s="58">
        <v>354.00334999999995</v>
      </c>
      <c r="T93" s="59">
        <v>0</v>
      </c>
      <c r="U93" s="10">
        <f>SUM(S93:T93)</f>
        <v>354.00334999999995</v>
      </c>
      <c r="AP93" s="149">
        <f ca="1">IF(ROUND('EBITDA 2010'!Q93,0)=0,0,'EBITDA 2010'!Q93/'EBITDA 2010'!Q10)</f>
        <v>0</v>
      </c>
    </row>
    <row r="94" spans="1:42">
      <c r="A94" s="104" t="s">
        <v>99</v>
      </c>
      <c r="D94" s="8">
        <v>41.359817300000003</v>
      </c>
      <c r="E94" s="9">
        <v>9.6918021999999997</v>
      </c>
      <c r="F94" s="10">
        <f>SUM(D94:E94)</f>
        <v>51.051619500000001</v>
      </c>
      <c r="G94" s="8">
        <v>82.748270199999993</v>
      </c>
      <c r="H94" s="9">
        <v>8.413135200000001</v>
      </c>
      <c r="I94" s="10">
        <f>SUM(G94:H94)</f>
        <v>91.161405399999992</v>
      </c>
      <c r="J94" s="56">
        <v>90.444338999999985</v>
      </c>
      <c r="K94" s="9">
        <v>3.5368296000000004</v>
      </c>
      <c r="L94" s="10">
        <f>SUM(J94:K94)</f>
        <v>93.98116859999999</v>
      </c>
      <c r="M94" s="56">
        <v>98.121000500000022</v>
      </c>
      <c r="N94" s="9">
        <v>8.3424153000000025</v>
      </c>
      <c r="O94" s="10">
        <f>SUM(M94:N94)</f>
        <v>106.46341580000002</v>
      </c>
      <c r="P94" s="56">
        <v>118.83093910000002</v>
      </c>
      <c r="Q94" s="57">
        <v>5.9066680000000007</v>
      </c>
      <c r="R94" s="10">
        <f>SUM(P94:Q94)</f>
        <v>124.73760710000002</v>
      </c>
      <c r="S94" s="58">
        <v>143.36897100000002</v>
      </c>
      <c r="T94" s="59">
        <v>6.2050000000000001</v>
      </c>
      <c r="U94" s="10">
        <f>SUM(S94:T94)</f>
        <v>149.57397100000003</v>
      </c>
      <c r="AP94" s="149">
        <f ca="1">IF(ROUND('EBITDA 2010'!Q94,0)=0,0,'EBITDA 2010'!Q94/'EBITDA 2010'!Q11)</f>
        <v>1.2578125000000007</v>
      </c>
    </row>
    <row r="95" spans="1:42">
      <c r="A95" s="104" t="s">
        <v>100</v>
      </c>
      <c r="D95" s="8">
        <v>159.68999460000001</v>
      </c>
      <c r="E95" s="9">
        <v>6.7730978999999998</v>
      </c>
      <c r="F95" s="10">
        <f>SUM(D95:E95)</f>
        <v>166.46309250000002</v>
      </c>
      <c r="G95" s="8">
        <v>197.66605300000003</v>
      </c>
      <c r="H95" s="9">
        <v>26.374091199999999</v>
      </c>
      <c r="I95" s="10">
        <f>SUM(G95:H95)</f>
        <v>224.04014420000004</v>
      </c>
      <c r="J95" s="56">
        <v>334.33611159999998</v>
      </c>
      <c r="K95" s="9">
        <v>18.165425950000003</v>
      </c>
      <c r="L95" s="10">
        <f>SUM(J95:K95)</f>
        <v>352.50153754999997</v>
      </c>
      <c r="M95" s="56">
        <v>450.7212689000001</v>
      </c>
      <c r="N95" s="9">
        <v>6.241297372</v>
      </c>
      <c r="O95" s="10">
        <f>SUM(M95:N95)</f>
        <v>456.96256627200012</v>
      </c>
      <c r="P95" s="56">
        <v>779.23008179999999</v>
      </c>
      <c r="Q95" s="57">
        <v>-6.098986</v>
      </c>
      <c r="R95" s="10">
        <f>SUM(P95:Q95)</f>
        <v>773.13109580000003</v>
      </c>
      <c r="S95" s="58">
        <v>933.80043649999971</v>
      </c>
      <c r="T95" s="59">
        <v>33.004999999999995</v>
      </c>
      <c r="U95" s="10">
        <f>SUM(S95:T95)</f>
        <v>966.8054364999997</v>
      </c>
      <c r="AP95" s="149">
        <f ca="1">IF(ROUND('EBITDA 2010'!Q95,0)=0,0,'EBITDA 2010'!Q95/'EBITDA 2010'!Q12)</f>
        <v>1.1629587648234969</v>
      </c>
    </row>
    <row r="96" spans="1:42">
      <c r="A96" s="104" t="s">
        <v>101</v>
      </c>
      <c r="D96" s="8">
        <v>299.66588230000002</v>
      </c>
      <c r="E96" s="9">
        <v>70.939056600000001</v>
      </c>
      <c r="F96" s="10">
        <f>SUM(D96:E96)</f>
        <v>370.60493890000004</v>
      </c>
      <c r="G96" s="8">
        <v>502.3012104</v>
      </c>
      <c r="H96" s="9">
        <v>65.07686480000001</v>
      </c>
      <c r="I96" s="10">
        <f>SUM(G96:H96)</f>
        <v>567.37807520000001</v>
      </c>
      <c r="J96" s="56">
        <v>359.70590819999995</v>
      </c>
      <c r="K96" s="9">
        <v>84.722383900000011</v>
      </c>
      <c r="L96" s="10">
        <f>SUM(J96:K96)</f>
        <v>444.42829209999996</v>
      </c>
      <c r="M96" s="56">
        <v>397.95044870000004</v>
      </c>
      <c r="N96" s="9">
        <v>112.517231792</v>
      </c>
      <c r="O96" s="10">
        <f>SUM(M96:N96)</f>
        <v>510.46768049200006</v>
      </c>
      <c r="P96" s="56">
        <v>339.66051859999993</v>
      </c>
      <c r="Q96" s="57">
        <v>40.878746299999996</v>
      </c>
      <c r="R96" s="10">
        <f>SUM(P96:Q96)</f>
        <v>380.53926489999992</v>
      </c>
      <c r="S96" s="58">
        <v>503.4</v>
      </c>
      <c r="T96" s="59">
        <v>36.24</v>
      </c>
      <c r="U96" s="10">
        <f>SUM(S96:T96)</f>
        <v>539.64</v>
      </c>
    </row>
    <row r="97" spans="1:42" ht="13.5" thickBot="1">
      <c r="A97" s="5"/>
      <c r="C97" s="16"/>
      <c r="D97" s="60">
        <f>SUM(D91:D96)</f>
        <v>500.98286734276394</v>
      </c>
      <c r="E97" s="61">
        <f>SUM(E93:E96)</f>
        <v>87.403956700000009</v>
      </c>
      <c r="F97" s="15">
        <f>SUM(F93:F96)</f>
        <v>588.11965090000012</v>
      </c>
      <c r="G97" s="60">
        <f>SUM(G91:G96)</f>
        <v>935.64994389181197</v>
      </c>
      <c r="H97" s="61">
        <f>SUM(H93:H96)</f>
        <v>136.99190061000002</v>
      </c>
      <c r="I97" s="15">
        <f>SUM(I93:I96)</f>
        <v>1072.30060041</v>
      </c>
      <c r="J97" s="60">
        <f>SUM(J91:J96)</f>
        <v>1002.4604209297135</v>
      </c>
      <c r="K97" s="61">
        <f>SUM(K93:K96)</f>
        <v>114.52481335000002</v>
      </c>
      <c r="L97" s="15">
        <f>SUM(L93:L96)</f>
        <v>1116.6690405539998</v>
      </c>
      <c r="M97" s="60">
        <f>SUM(M91:M96)</f>
        <v>1183.9287781013959</v>
      </c>
      <c r="N97" s="61">
        <f>SUM(N93:N96)</f>
        <v>157.850961504</v>
      </c>
      <c r="O97" s="15">
        <f>SUM(O93:O96)</f>
        <v>1341.4895759110002</v>
      </c>
      <c r="P97" s="60">
        <f>SUM(P91:P96)</f>
        <v>1553.9248945373149</v>
      </c>
      <c r="Q97" s="61">
        <f>SUM(Q93:Q96)</f>
        <v>57.563601800000001</v>
      </c>
      <c r="R97" s="15">
        <f>SUM(R93:R96)</f>
        <v>1611.1637989000001</v>
      </c>
      <c r="S97" s="60">
        <f>SUM(S91:S96)</f>
        <v>1934.9190222521929</v>
      </c>
      <c r="T97" s="61">
        <f>SUM(T93:T96)</f>
        <v>75.449999999999989</v>
      </c>
      <c r="U97" s="15">
        <f>SUM(U93:U96)</f>
        <v>2010.0227574999994</v>
      </c>
    </row>
    <row r="98" spans="1:42" ht="13.5" thickTop="1">
      <c r="A98" s="5"/>
      <c r="C98" s="16"/>
      <c r="D98" s="17">
        <f t="shared" ref="D98:U98" si="25">+D97/D74</f>
        <v>6.1228796347819504E-2</v>
      </c>
      <c r="E98" s="18">
        <f t="shared" si="25"/>
        <v>4.2790366540339575E-2</v>
      </c>
      <c r="F98" s="19">
        <f t="shared" si="25"/>
        <v>5.7519204266506987E-2</v>
      </c>
      <c r="G98" s="17">
        <f t="shared" si="25"/>
        <v>0.1035211573382326</v>
      </c>
      <c r="H98" s="18">
        <f t="shared" si="25"/>
        <v>5.893551232559685E-2</v>
      </c>
      <c r="I98" s="19">
        <f t="shared" si="25"/>
        <v>9.4370347326333606E-2</v>
      </c>
      <c r="J98" s="17">
        <f t="shared" si="25"/>
        <v>9.0369512831845009E-2</v>
      </c>
      <c r="K98" s="18">
        <f t="shared" si="25"/>
        <v>5.1424331364031343E-2</v>
      </c>
      <c r="L98" s="19">
        <f t="shared" si="25"/>
        <v>8.383426390948108E-2</v>
      </c>
      <c r="M98" s="17">
        <f t="shared" si="25"/>
        <v>8.7539184282310875E-2</v>
      </c>
      <c r="N98" s="18">
        <f t="shared" si="25"/>
        <v>7.8040950763774611E-2</v>
      </c>
      <c r="O98" s="19">
        <f t="shared" si="25"/>
        <v>8.628481648882709E-2</v>
      </c>
      <c r="P98" s="62">
        <f t="shared" si="25"/>
        <v>9.2615498077062652E-2</v>
      </c>
      <c r="Q98" s="63">
        <f t="shared" si="25"/>
        <v>3.7255447992117989E-2</v>
      </c>
      <c r="R98" s="19">
        <f t="shared" si="25"/>
        <v>8.7929572730565911E-2</v>
      </c>
      <c r="S98" s="64">
        <f t="shared" si="25"/>
        <v>9.6977313680731494E-2</v>
      </c>
      <c r="T98" s="65">
        <f t="shared" si="25"/>
        <v>5.2214532871972308E-2</v>
      </c>
      <c r="U98" s="19">
        <f t="shared" si="25"/>
        <v>9.3938213983842944E-2</v>
      </c>
      <c r="AP98" s="149">
        <f ca="1">IF(ROUND('EBITDA 2010'!Q98,0)=0,0,'EBITDA 2010'!Q98/'EBITDA 2010'!Q15)</f>
        <v>1.1634167310398564</v>
      </c>
    </row>
    <row r="99" spans="1:42">
      <c r="A99" s="34" t="s">
        <v>102</v>
      </c>
      <c r="D99" s="35"/>
      <c r="E99" s="36"/>
      <c r="F99" s="20"/>
      <c r="G99" s="35"/>
      <c r="H99" s="36"/>
      <c r="I99" s="20"/>
      <c r="J99" s="73"/>
      <c r="K99" s="36"/>
      <c r="L99" s="20"/>
      <c r="M99" s="73"/>
      <c r="N99" s="36"/>
      <c r="O99" s="20"/>
      <c r="P99" s="73"/>
      <c r="Q99" s="68"/>
      <c r="R99" s="20"/>
      <c r="S99" s="74"/>
      <c r="T99" s="70"/>
      <c r="U99" s="20"/>
      <c r="AP99" s="149">
        <f ca="1">IF(ROUND('EBITDA 2010'!Q99,0)=0,0,'EBITDA 2010'!Q99/'EBITDA 2010'!Q16)</f>
        <v>1.1565171771463072</v>
      </c>
    </row>
    <row r="100" spans="1:42">
      <c r="A100" s="104" t="s">
        <v>98</v>
      </c>
      <c r="B100" s="141"/>
      <c r="D100" s="8">
        <v>377.69531920000003</v>
      </c>
      <c r="E100" s="9">
        <v>76.835221200000007</v>
      </c>
      <c r="F100" s="10">
        <f t="shared" ref="F100:F120" si="26">SUM(D100:E100)</f>
        <v>454.53054040000006</v>
      </c>
      <c r="G100" s="8">
        <v>275.33322459999999</v>
      </c>
      <c r="H100" s="9">
        <v>0</v>
      </c>
      <c r="I100" s="10">
        <f t="shared" ref="I100:I120" si="27">SUM(G100:H100)</f>
        <v>275.33322459999999</v>
      </c>
      <c r="J100" s="56">
        <v>278.06462339999996</v>
      </c>
      <c r="K100" s="9">
        <v>0</v>
      </c>
      <c r="L100" s="10">
        <f t="shared" ref="L100:L119" si="28">SUM(J100:K100)</f>
        <v>278.06462339999996</v>
      </c>
      <c r="M100" s="56">
        <v>407.30172669999996</v>
      </c>
      <c r="N100" s="9">
        <v>0</v>
      </c>
      <c r="O100" s="10">
        <f t="shared" ref="O100:O119" si="29">SUM(M100:N100)</f>
        <v>407.30172669999996</v>
      </c>
      <c r="P100" s="56">
        <v>492.23204799999996</v>
      </c>
      <c r="Q100" s="57">
        <v>0</v>
      </c>
      <c r="R100" s="10">
        <f t="shared" ref="R100:R119" si="30">SUM(P100:Q100)</f>
        <v>492.23204799999996</v>
      </c>
      <c r="S100" s="58">
        <v>606.3875211666666</v>
      </c>
      <c r="T100" s="59">
        <v>0</v>
      </c>
      <c r="U100" s="10">
        <f t="shared" ref="U100:U119" si="31">SUM(S100:T100)</f>
        <v>606.3875211666666</v>
      </c>
      <c r="AP100" s="149">
        <f ca="1">IF(ROUND('EBITDA 2010'!Q100,0)=0,0,'EBITDA 2010'!Q100/'EBITDA 2010'!Q17)</f>
        <v>1.1632345148923817</v>
      </c>
    </row>
    <row r="101" spans="1:42">
      <c r="A101" s="104" t="s">
        <v>103</v>
      </c>
      <c r="D101" s="8">
        <v>229.14840000000001</v>
      </c>
      <c r="E101" s="9">
        <v>0</v>
      </c>
      <c r="F101" s="10">
        <f t="shared" si="26"/>
        <v>229.14840000000001</v>
      </c>
      <c r="G101" s="8">
        <v>299.83920000000001</v>
      </c>
      <c r="H101" s="9">
        <v>16.1678</v>
      </c>
      <c r="I101" s="10">
        <f t="shared" si="27"/>
        <v>316.00700000000001</v>
      </c>
      <c r="J101" s="56">
        <v>201.25295</v>
      </c>
      <c r="K101" s="9">
        <v>23.884</v>
      </c>
      <c r="L101" s="10">
        <f t="shared" si="28"/>
        <v>225.13695000000001</v>
      </c>
      <c r="M101" s="56">
        <v>173.03805</v>
      </c>
      <c r="N101" s="9">
        <v>22.393999999999998</v>
      </c>
      <c r="O101" s="10">
        <f t="shared" si="29"/>
        <v>195.43205</v>
      </c>
      <c r="P101" s="56">
        <v>200.6336</v>
      </c>
      <c r="Q101" s="57">
        <v>0</v>
      </c>
      <c r="R101" s="10">
        <f t="shared" si="30"/>
        <v>200.6336</v>
      </c>
      <c r="S101" s="58">
        <v>202.40023000000002</v>
      </c>
      <c r="T101" s="59">
        <v>0</v>
      </c>
      <c r="U101" s="10">
        <f t="shared" si="31"/>
        <v>202.40023000000002</v>
      </c>
      <c r="AP101" s="149">
        <f ca="1">IF(ROUND('EBITDA 2010'!Q101,0)=0,0,'EBITDA 2010'!Q101/'EBITDA 2010'!Q18)</f>
        <v>1.1628837973591108</v>
      </c>
    </row>
    <row r="102" spans="1:42">
      <c r="A102" s="104" t="s">
        <v>104</v>
      </c>
      <c r="D102" s="8">
        <v>28.276325000000003</v>
      </c>
      <c r="E102" s="9">
        <v>23.574376100000002</v>
      </c>
      <c r="F102" s="10">
        <f t="shared" si="26"/>
        <v>51.850701100000009</v>
      </c>
      <c r="G102" s="8">
        <v>15.712161999999999</v>
      </c>
      <c r="H102" s="9">
        <v>0</v>
      </c>
      <c r="I102" s="10">
        <f t="shared" si="27"/>
        <v>15.712161999999999</v>
      </c>
      <c r="J102" s="56">
        <v>56.465984200000008</v>
      </c>
      <c r="K102" s="9">
        <v>7.4331927999999996</v>
      </c>
      <c r="L102" s="10">
        <f t="shared" si="28"/>
        <v>63.899177000000009</v>
      </c>
      <c r="M102" s="56">
        <v>51.1766632</v>
      </c>
      <c r="N102" s="9">
        <v>0.1055832</v>
      </c>
      <c r="O102" s="10">
        <f t="shared" si="29"/>
        <v>51.282246399999998</v>
      </c>
      <c r="P102" s="56">
        <v>39.929274800000002</v>
      </c>
      <c r="Q102" s="57">
        <v>0</v>
      </c>
      <c r="R102" s="10">
        <f t="shared" si="30"/>
        <v>39.929274800000002</v>
      </c>
      <c r="S102" s="58">
        <v>48.989999999999995</v>
      </c>
      <c r="T102" s="59">
        <v>4.8299999999999992</v>
      </c>
      <c r="U102" s="10">
        <f t="shared" si="31"/>
        <v>53.819999999999993</v>
      </c>
      <c r="AP102" s="149">
        <f ca="1">IF(ROUND('EBITDA 2010'!Q102,0)=0,0,'EBITDA 2010'!Q102/'EBITDA 2010'!Q19)</f>
        <v>1.1630163120701145</v>
      </c>
    </row>
    <row r="103" spans="1:42">
      <c r="A103" s="104" t="s">
        <v>105</v>
      </c>
      <c r="D103" s="8">
        <v>94.256375200000022</v>
      </c>
      <c r="E103" s="9">
        <v>85.876300700000002</v>
      </c>
      <c r="F103" s="10">
        <f t="shared" si="26"/>
        <v>180.13267590000004</v>
      </c>
      <c r="G103" s="8">
        <v>119.7725322</v>
      </c>
      <c r="H103" s="9">
        <v>73.782490199999998</v>
      </c>
      <c r="I103" s="10">
        <f t="shared" si="27"/>
        <v>193.55502239999998</v>
      </c>
      <c r="J103" s="56">
        <v>147.63773390000003</v>
      </c>
      <c r="K103" s="9">
        <v>37.394249100000003</v>
      </c>
      <c r="L103" s="10">
        <f t="shared" si="28"/>
        <v>185.03198300000003</v>
      </c>
      <c r="M103" s="56">
        <v>135.98496160000002</v>
      </c>
      <c r="N103" s="9">
        <v>23.811248239999998</v>
      </c>
      <c r="O103" s="10">
        <f t="shared" si="29"/>
        <v>159.79620984000002</v>
      </c>
      <c r="P103" s="56">
        <v>145.47325429999998</v>
      </c>
      <c r="Q103" s="57">
        <v>27.119215300000004</v>
      </c>
      <c r="R103" s="10">
        <f t="shared" si="30"/>
        <v>172.59246959999999</v>
      </c>
      <c r="S103" s="58">
        <v>150.81807249999991</v>
      </c>
      <c r="T103" s="59">
        <v>34.415934999999998</v>
      </c>
      <c r="U103" s="10">
        <f t="shared" si="31"/>
        <v>185.2340074999999</v>
      </c>
    </row>
    <row r="104" spans="1:42">
      <c r="A104" s="104" t="s">
        <v>106</v>
      </c>
      <c r="D104" s="8">
        <v>68.497744800000007</v>
      </c>
      <c r="E104" s="9">
        <v>2.7115894000000003</v>
      </c>
      <c r="F104" s="10">
        <f t="shared" si="26"/>
        <v>71.209334200000001</v>
      </c>
      <c r="G104" s="8">
        <v>78.275668800000005</v>
      </c>
      <c r="H104" s="9">
        <v>0.8627726</v>
      </c>
      <c r="I104" s="10">
        <f t="shared" si="27"/>
        <v>79.138441400000005</v>
      </c>
      <c r="J104" s="56">
        <v>53.659783900000001</v>
      </c>
      <c r="K104" s="9">
        <v>2.0857673000000001</v>
      </c>
      <c r="L104" s="10">
        <f t="shared" si="28"/>
        <v>55.745551200000001</v>
      </c>
      <c r="M104" s="56">
        <v>39.685488200000002</v>
      </c>
      <c r="N104" s="9">
        <v>0.75307320000000011</v>
      </c>
      <c r="O104" s="10">
        <f t="shared" si="29"/>
        <v>40.438561400000005</v>
      </c>
      <c r="P104" s="56">
        <v>36.149872700000003</v>
      </c>
      <c r="Q104" s="57">
        <v>0.77368300000000012</v>
      </c>
      <c r="R104" s="10">
        <f t="shared" si="30"/>
        <v>36.923555700000001</v>
      </c>
      <c r="S104" s="58">
        <v>40.533647499999994</v>
      </c>
      <c r="T104" s="59">
        <v>0.97755749999999997</v>
      </c>
      <c r="U104" s="10">
        <f t="shared" si="31"/>
        <v>41.511204999999997</v>
      </c>
    </row>
    <row r="105" spans="1:42">
      <c r="A105" s="104" t="s">
        <v>107</v>
      </c>
      <c r="D105" s="8">
        <v>21.375432800000002</v>
      </c>
      <c r="E105" s="9">
        <v>3.5194844000000001</v>
      </c>
      <c r="F105" s="10">
        <f t="shared" si="26"/>
        <v>24.894917200000002</v>
      </c>
      <c r="G105" s="8">
        <v>32.689821799999997</v>
      </c>
      <c r="H105" s="9">
        <v>1.4374643999999999</v>
      </c>
      <c r="I105" s="10">
        <f t="shared" si="27"/>
        <v>34.1272862</v>
      </c>
      <c r="J105" s="56">
        <v>48.976967300000005</v>
      </c>
      <c r="K105" s="9">
        <v>1.2323990999999999</v>
      </c>
      <c r="L105" s="10">
        <f t="shared" si="28"/>
        <v>50.209366400000008</v>
      </c>
      <c r="M105" s="56">
        <v>24.5293113</v>
      </c>
      <c r="N105" s="9">
        <v>0.21428970000000003</v>
      </c>
      <c r="O105" s="10">
        <f t="shared" si="29"/>
        <v>24.743600999999998</v>
      </c>
      <c r="P105" s="56">
        <v>30.652232799999997</v>
      </c>
      <c r="Q105" s="57">
        <v>1.0375479999999999</v>
      </c>
      <c r="R105" s="10">
        <f t="shared" si="30"/>
        <v>31.689780799999998</v>
      </c>
      <c r="S105" s="58">
        <v>40.228667499999993</v>
      </c>
      <c r="T105" s="59">
        <v>2.4798599999999995</v>
      </c>
      <c r="U105" s="10">
        <f t="shared" si="31"/>
        <v>42.708527499999995</v>
      </c>
      <c r="AP105" s="149">
        <f ca="1">IF(ROUND('EBITDA 2010'!Q105,0)=0,0,'EBITDA 2010'!Q105/'EBITDA 2010'!Q22)</f>
        <v>1.1632782718311336</v>
      </c>
    </row>
    <row r="106" spans="1:42">
      <c r="A106" s="104" t="s">
        <v>108</v>
      </c>
      <c r="D106" s="8">
        <v>78.844676400000012</v>
      </c>
      <c r="E106" s="9">
        <v>25.0432761</v>
      </c>
      <c r="F106" s="10">
        <f t="shared" si="26"/>
        <v>103.88795250000001</v>
      </c>
      <c r="G106" s="8">
        <v>85.485037800000001</v>
      </c>
      <c r="H106" s="9">
        <v>11.898031000000001</v>
      </c>
      <c r="I106" s="10">
        <f t="shared" si="27"/>
        <v>97.383068800000004</v>
      </c>
      <c r="J106" s="56">
        <v>75.63984640000001</v>
      </c>
      <c r="K106" s="9">
        <v>3.7727743000000014</v>
      </c>
      <c r="L106" s="10">
        <f t="shared" si="28"/>
        <v>79.412620700000005</v>
      </c>
      <c r="M106" s="56">
        <v>84.892315700000012</v>
      </c>
      <c r="N106" s="9">
        <v>3.7947738000000006</v>
      </c>
      <c r="O106" s="10">
        <f t="shared" si="29"/>
        <v>88.687089500000013</v>
      </c>
      <c r="P106" s="56">
        <v>91.746640800000009</v>
      </c>
      <c r="Q106" s="57">
        <v>1.3333573000000001</v>
      </c>
      <c r="R106" s="10">
        <f t="shared" si="30"/>
        <v>93.079998100000012</v>
      </c>
      <c r="S106" s="58">
        <v>104.35122999999999</v>
      </c>
      <c r="T106" s="59">
        <v>3.9329999999999998</v>
      </c>
      <c r="U106" s="10">
        <f t="shared" si="31"/>
        <v>108.28422999999998</v>
      </c>
      <c r="AP106" s="149">
        <f ca="1">IF(ROUND('EBITDA 2010'!Q106,0)=0,0,'EBITDA 2010'!Q106/'EBITDA 2010'!Q23)</f>
        <v>1.1597846300413659</v>
      </c>
    </row>
    <row r="107" spans="1:42">
      <c r="A107" s="104" t="s">
        <v>109</v>
      </c>
      <c r="D107" s="8">
        <v>11.287027600000002</v>
      </c>
      <c r="E107" s="9">
        <v>0</v>
      </c>
      <c r="F107" s="10">
        <f t="shared" si="26"/>
        <v>11.287027600000002</v>
      </c>
      <c r="G107" s="8">
        <v>8.0500946000000013</v>
      </c>
      <c r="H107" s="9">
        <v>0</v>
      </c>
      <c r="I107" s="10">
        <f t="shared" si="27"/>
        <v>8.0500946000000013</v>
      </c>
      <c r="J107" s="56">
        <v>6.0372867999999986</v>
      </c>
      <c r="K107" s="9">
        <v>0</v>
      </c>
      <c r="L107" s="10">
        <f t="shared" si="28"/>
        <v>6.0372867999999986</v>
      </c>
      <c r="M107" s="56">
        <v>8.6032341000000017</v>
      </c>
      <c r="N107" s="9">
        <v>0.10016640000000002</v>
      </c>
      <c r="O107" s="10">
        <f t="shared" si="29"/>
        <v>8.7034005000000025</v>
      </c>
      <c r="P107" s="56">
        <v>15.65516</v>
      </c>
      <c r="Q107" s="57">
        <v>-3.0597199999999998E-2</v>
      </c>
      <c r="R107" s="10">
        <f t="shared" si="30"/>
        <v>15.6245628</v>
      </c>
      <c r="S107" s="58">
        <v>15.048382500000001</v>
      </c>
      <c r="T107" s="59">
        <v>0.34499999999999992</v>
      </c>
      <c r="U107" s="10">
        <f t="shared" si="31"/>
        <v>15.393382500000001</v>
      </c>
      <c r="AP107" s="149">
        <f ca="1">IF(ROUND('EBITDA 2010'!Q107,0)=0,0,'EBITDA 2010'!Q107/'EBITDA 2010'!Q24)</f>
        <v>1.1629489887682236</v>
      </c>
    </row>
    <row r="108" spans="1:42">
      <c r="A108" s="104" t="s">
        <v>110</v>
      </c>
      <c r="D108" s="8">
        <v>11.943625900000001</v>
      </c>
      <c r="E108" s="9">
        <v>0.13220100000000001</v>
      </c>
      <c r="F108" s="10">
        <f t="shared" si="26"/>
        <v>12.075826900000001</v>
      </c>
      <c r="G108" s="8">
        <v>21.848576999999999</v>
      </c>
      <c r="H108" s="9">
        <v>0.19989280000000001</v>
      </c>
      <c r="I108" s="10">
        <f t="shared" si="27"/>
        <v>22.048469799999999</v>
      </c>
      <c r="J108" s="56">
        <v>33.7167368</v>
      </c>
      <c r="K108" s="9">
        <v>9.90288E-2</v>
      </c>
      <c r="L108" s="10">
        <f t="shared" si="28"/>
        <v>33.815765599999999</v>
      </c>
      <c r="M108" s="56">
        <v>28.501200699999998</v>
      </c>
      <c r="N108" s="9">
        <v>0</v>
      </c>
      <c r="O108" s="10">
        <f t="shared" si="29"/>
        <v>28.501200699999998</v>
      </c>
      <c r="P108" s="56">
        <v>28.844788099999999</v>
      </c>
      <c r="Q108" s="57">
        <v>0</v>
      </c>
      <c r="R108" s="10">
        <f t="shared" si="30"/>
        <v>28.844788099999999</v>
      </c>
      <c r="S108" s="58">
        <v>36.011914583333329</v>
      </c>
      <c r="T108" s="59">
        <v>0</v>
      </c>
      <c r="U108" s="10">
        <f t="shared" si="31"/>
        <v>36.011914583333329</v>
      </c>
      <c r="AP108" s="149">
        <f ca="1">IF(ROUND('EBITDA 2010'!Q108,0)=0,0,'EBITDA 2010'!Q108/'EBITDA 2010'!Q25)</f>
        <v>1.1642064800349059</v>
      </c>
    </row>
    <row r="109" spans="1:42">
      <c r="A109" s="104" t="s">
        <v>111</v>
      </c>
      <c r="D109" s="8">
        <v>2.4545319000000001</v>
      </c>
      <c r="E109" s="9">
        <v>0.37897620000000004</v>
      </c>
      <c r="F109" s="10">
        <f t="shared" si="26"/>
        <v>2.8335081</v>
      </c>
      <c r="G109" s="8">
        <v>7.5268458000000003</v>
      </c>
      <c r="H109" s="9">
        <v>-8.5248400000000002E-2</v>
      </c>
      <c r="I109" s="10">
        <f t="shared" si="27"/>
        <v>7.4415974</v>
      </c>
      <c r="J109" s="56">
        <v>9.2453715999999986</v>
      </c>
      <c r="K109" s="9">
        <v>0.41909760000000001</v>
      </c>
      <c r="L109" s="10">
        <f t="shared" si="28"/>
        <v>9.6644691999999992</v>
      </c>
      <c r="M109" s="56">
        <v>31.664919099999999</v>
      </c>
      <c r="N109" s="9">
        <v>-0.14440629999999999</v>
      </c>
      <c r="O109" s="10">
        <f t="shared" si="29"/>
        <v>31.520512799999999</v>
      </c>
      <c r="P109" s="56">
        <v>22.454140899999999</v>
      </c>
      <c r="Q109" s="57">
        <v>1.0814338000000001</v>
      </c>
      <c r="R109" s="10">
        <f t="shared" si="30"/>
        <v>23.535574699999998</v>
      </c>
      <c r="S109" s="58">
        <v>30.102169999999997</v>
      </c>
      <c r="T109" s="59">
        <v>0.68999999999999984</v>
      </c>
      <c r="U109" s="10">
        <f t="shared" si="31"/>
        <v>30.792169999999999</v>
      </c>
      <c r="AP109" s="149">
        <f ca="1">IF(ROUND('EBITDA 2010'!Q109,0)=0,0,'EBITDA 2010'!Q109/'EBITDA 2010'!Q26)</f>
        <v>1.1631511759598812</v>
      </c>
    </row>
    <row r="110" spans="1:42">
      <c r="A110" s="104" t="s">
        <v>112</v>
      </c>
      <c r="D110" s="8">
        <v>10.085467400000001</v>
      </c>
      <c r="E110" s="9">
        <v>4.4067000000000004E-3</v>
      </c>
      <c r="F110" s="10">
        <f t="shared" si="26"/>
        <v>10.089874100000001</v>
      </c>
      <c r="G110" s="8">
        <v>33.509970199999998</v>
      </c>
      <c r="H110" s="9">
        <v>0.13963100000000001</v>
      </c>
      <c r="I110" s="10">
        <f t="shared" si="27"/>
        <v>33.649601199999999</v>
      </c>
      <c r="J110" s="56">
        <v>18.988068799999997</v>
      </c>
      <c r="K110" s="9">
        <v>0</v>
      </c>
      <c r="L110" s="10">
        <f t="shared" si="28"/>
        <v>18.988068799999997</v>
      </c>
      <c r="M110" s="56">
        <v>47.291462700000004</v>
      </c>
      <c r="N110" s="9">
        <v>0.21968559999999998</v>
      </c>
      <c r="O110" s="10">
        <f t="shared" si="29"/>
        <v>47.511148300000002</v>
      </c>
      <c r="P110" s="56">
        <v>18.520165499999994</v>
      </c>
      <c r="Q110" s="57">
        <v>0</v>
      </c>
      <c r="R110" s="10">
        <f t="shared" si="30"/>
        <v>18.520165499999994</v>
      </c>
      <c r="S110" s="58">
        <v>25.824514999999987</v>
      </c>
      <c r="T110" s="59">
        <v>0.27599999999999997</v>
      </c>
      <c r="U110" s="10">
        <f t="shared" si="31"/>
        <v>26.100514999999987</v>
      </c>
      <c r="AP110" s="149">
        <f ca="1">IF(ROUND('EBITDA 2010'!Q110,0)=0,0,'EBITDA 2010'!Q110/'EBITDA 2010'!Q27)</f>
        <v>1.1609713451366301</v>
      </c>
    </row>
    <row r="111" spans="1:42">
      <c r="A111" s="12" t="s">
        <v>113</v>
      </c>
      <c r="D111" s="8">
        <v>31.826656300000003</v>
      </c>
      <c r="E111" s="9">
        <v>0</v>
      </c>
      <c r="F111" s="10">
        <f t="shared" si="26"/>
        <v>31.826656300000003</v>
      </c>
      <c r="G111" s="8">
        <v>41.9245752</v>
      </c>
      <c r="H111" s="9">
        <v>0</v>
      </c>
      <c r="I111" s="10">
        <f t="shared" si="27"/>
        <v>41.9245752</v>
      </c>
      <c r="J111" s="56">
        <v>28.862153900000003</v>
      </c>
      <c r="K111" s="9">
        <v>0</v>
      </c>
      <c r="L111" s="10">
        <f t="shared" si="28"/>
        <v>28.862153900000003</v>
      </c>
      <c r="M111" s="56">
        <v>30.197183500000001</v>
      </c>
      <c r="N111" s="9">
        <v>0</v>
      </c>
      <c r="O111" s="10">
        <f t="shared" si="29"/>
        <v>30.197183500000001</v>
      </c>
      <c r="P111" s="56">
        <v>34.321915199999992</v>
      </c>
      <c r="Q111" s="57">
        <v>0</v>
      </c>
      <c r="R111" s="10">
        <f t="shared" si="30"/>
        <v>34.321915199999992</v>
      </c>
      <c r="S111" s="58">
        <v>46.590493149999993</v>
      </c>
      <c r="T111" s="59">
        <v>0.27599999999999997</v>
      </c>
      <c r="U111" s="10">
        <f t="shared" si="31"/>
        <v>46.866493149999997</v>
      </c>
      <c r="AP111" s="149">
        <f ca="1">IF(ROUND('EBITDA 2010'!Q111,0)=0,0,'EBITDA 2010'!Q111/'EBITDA 2010'!Q28)</f>
        <v>1.1646470374701134</v>
      </c>
    </row>
    <row r="112" spans="1:42">
      <c r="A112" s="104" t="s">
        <v>114</v>
      </c>
      <c r="D112" s="8">
        <v>298.90792990000006</v>
      </c>
      <c r="E112" s="9">
        <v>13.954550000000001</v>
      </c>
      <c r="F112" s="10">
        <f t="shared" si="26"/>
        <v>312.86247990000004</v>
      </c>
      <c r="G112" s="8">
        <v>333.7592444</v>
      </c>
      <c r="H112" s="9">
        <v>0</v>
      </c>
      <c r="I112" s="10">
        <f t="shared" si="27"/>
        <v>333.7592444</v>
      </c>
      <c r="J112" s="56">
        <v>267.84701009999998</v>
      </c>
      <c r="K112" s="9">
        <v>2.7714816</v>
      </c>
      <c r="L112" s="10">
        <f t="shared" si="28"/>
        <v>270.61849169999999</v>
      </c>
      <c r="M112" s="56">
        <v>237.65084959999999</v>
      </c>
      <c r="N112" s="9">
        <v>0</v>
      </c>
      <c r="O112" s="10">
        <f t="shared" si="29"/>
        <v>237.65084959999999</v>
      </c>
      <c r="P112" s="56">
        <v>280.14336530000008</v>
      </c>
      <c r="Q112" s="57">
        <v>0</v>
      </c>
      <c r="R112" s="10">
        <f t="shared" si="30"/>
        <v>280.14336530000008</v>
      </c>
      <c r="S112" s="58">
        <v>305.76096499999994</v>
      </c>
      <c r="T112" s="59">
        <v>0</v>
      </c>
      <c r="U112" s="10">
        <f t="shared" si="31"/>
        <v>305.76096499999994</v>
      </c>
    </row>
    <row r="113" spans="1:42">
      <c r="A113" s="104" t="s">
        <v>115</v>
      </c>
      <c r="D113" s="8">
        <v>94.970260600000003</v>
      </c>
      <c r="E113" s="9">
        <v>1.4689000000000002E-3</v>
      </c>
      <c r="F113" s="10">
        <f t="shared" si="26"/>
        <v>94.971729500000009</v>
      </c>
      <c r="G113" s="8">
        <v>53.6432906</v>
      </c>
      <c r="H113" s="9">
        <v>0</v>
      </c>
      <c r="I113" s="10">
        <f t="shared" si="27"/>
        <v>53.6432906</v>
      </c>
      <c r="J113" s="56">
        <v>9.385645300000002</v>
      </c>
      <c r="K113" s="9">
        <v>0</v>
      </c>
      <c r="L113" s="10">
        <f t="shared" si="28"/>
        <v>9.385645300000002</v>
      </c>
      <c r="M113" s="56">
        <v>18.610758399999995</v>
      </c>
      <c r="N113" s="9">
        <v>0</v>
      </c>
      <c r="O113" s="10">
        <f t="shared" si="29"/>
        <v>18.610758399999995</v>
      </c>
      <c r="P113" s="56">
        <v>44.076804700000004</v>
      </c>
      <c r="Q113" s="57">
        <v>0</v>
      </c>
      <c r="R113" s="10">
        <f t="shared" si="30"/>
        <v>44.076804700000004</v>
      </c>
      <c r="S113" s="58">
        <v>59.813512499999995</v>
      </c>
      <c r="T113" s="59">
        <v>0</v>
      </c>
      <c r="U113" s="10">
        <f t="shared" si="31"/>
        <v>59.813512499999995</v>
      </c>
    </row>
    <row r="114" spans="1:42">
      <c r="A114" s="12" t="s">
        <v>116</v>
      </c>
      <c r="D114" s="8">
        <v>0</v>
      </c>
      <c r="E114" s="9">
        <v>0</v>
      </c>
      <c r="F114" s="10">
        <f t="shared" si="26"/>
        <v>0</v>
      </c>
      <c r="G114" s="8">
        <v>22.505577599999999</v>
      </c>
      <c r="H114" s="9">
        <v>0</v>
      </c>
      <c r="I114" s="10">
        <f t="shared" si="27"/>
        <v>22.505577599999999</v>
      </c>
      <c r="J114" s="56">
        <v>31.704194200000003</v>
      </c>
      <c r="K114" s="11">
        <v>0</v>
      </c>
      <c r="L114" s="10">
        <f t="shared" si="28"/>
        <v>31.704194200000003</v>
      </c>
      <c r="M114" s="56">
        <v>47.7995357</v>
      </c>
      <c r="N114" s="11">
        <v>0</v>
      </c>
      <c r="O114" s="10">
        <f t="shared" si="29"/>
        <v>47.7995357</v>
      </c>
      <c r="P114" s="75">
        <v>58.185790000000011</v>
      </c>
      <c r="Q114" s="76">
        <v>0</v>
      </c>
      <c r="R114" s="10">
        <f t="shared" si="30"/>
        <v>58.185790000000011</v>
      </c>
      <c r="S114" s="77">
        <v>55.58636034482759</v>
      </c>
      <c r="T114" s="78">
        <v>0</v>
      </c>
      <c r="U114" s="10">
        <f t="shared" si="31"/>
        <v>55.58636034482759</v>
      </c>
      <c r="AP114" s="149">
        <f ca="1">IF(ROUND('EBITDA 2010'!Q114,0)=0,0,'EBITDA 2010'!Q114/'EBITDA 2010'!Q31)</f>
        <v>1.1590201047714916</v>
      </c>
    </row>
    <row r="115" spans="1:42">
      <c r="A115" s="12" t="s">
        <v>117</v>
      </c>
      <c r="D115" s="8">
        <v>127.50052000000001</v>
      </c>
      <c r="E115" s="9">
        <v>17.266919500000004</v>
      </c>
      <c r="F115" s="10">
        <f t="shared" si="26"/>
        <v>144.76743950000002</v>
      </c>
      <c r="G115" s="8">
        <v>109.66324780000001</v>
      </c>
      <c r="H115" s="9">
        <v>19.805554999999998</v>
      </c>
      <c r="I115" s="10">
        <f t="shared" si="27"/>
        <v>129.46880279999999</v>
      </c>
      <c r="J115" s="56">
        <v>100.9856503</v>
      </c>
      <c r="K115" s="9">
        <v>16.336257076797477</v>
      </c>
      <c r="L115" s="10">
        <f t="shared" si="28"/>
        <v>117.32190737679748</v>
      </c>
      <c r="M115" s="56">
        <v>129.88247390000001</v>
      </c>
      <c r="N115" s="9">
        <v>17.184316331046276</v>
      </c>
      <c r="O115" s="10">
        <f t="shared" si="29"/>
        <v>147.0667902310463</v>
      </c>
      <c r="P115" s="75">
        <v>127.57769080000001</v>
      </c>
      <c r="Q115" s="57">
        <v>14.2381364</v>
      </c>
      <c r="R115" s="10">
        <f t="shared" si="30"/>
        <v>141.8158272</v>
      </c>
      <c r="S115" s="77">
        <v>131.01735413358867</v>
      </c>
      <c r="T115" s="59">
        <v>13.714973729166665</v>
      </c>
      <c r="U115" s="10">
        <f t="shared" si="31"/>
        <v>144.73232786275534</v>
      </c>
      <c r="AP115" s="149">
        <f ca="1">IF(ROUND('EBITDA 2010'!Q115,0)=0,0,'EBITDA 2010'!Q115/'EBITDA 2010'!Q32)</f>
        <v>1.1638033522732576</v>
      </c>
    </row>
    <row r="116" spans="1:42">
      <c r="A116" s="104" t="s">
        <v>118</v>
      </c>
      <c r="D116" s="8">
        <v>146.6050334</v>
      </c>
      <c r="E116" s="9">
        <v>26.341783700000001</v>
      </c>
      <c r="F116" s="10">
        <f t="shared" si="26"/>
        <v>172.9468171</v>
      </c>
      <c r="G116" s="8">
        <v>181.95683059999999</v>
      </c>
      <c r="H116" s="9">
        <v>29.804604399999999</v>
      </c>
      <c r="I116" s="10">
        <f t="shared" si="27"/>
        <v>211.76143499999998</v>
      </c>
      <c r="J116" s="56">
        <v>128.12607999999997</v>
      </c>
      <c r="K116" s="9">
        <v>31.017008068078116</v>
      </c>
      <c r="L116" s="10">
        <f t="shared" si="28"/>
        <v>159.1430880680781</v>
      </c>
      <c r="M116" s="56">
        <v>125.71927310000004</v>
      </c>
      <c r="N116" s="9">
        <v>17.508642014996816</v>
      </c>
      <c r="O116" s="10">
        <f t="shared" si="29"/>
        <v>143.22791511499685</v>
      </c>
      <c r="P116" s="75">
        <v>155.09340860000003</v>
      </c>
      <c r="Q116" s="57">
        <v>35.531620899999993</v>
      </c>
      <c r="R116" s="10">
        <f t="shared" si="30"/>
        <v>190.62502950000004</v>
      </c>
      <c r="S116" s="77">
        <v>186.15376465517241</v>
      </c>
      <c r="T116" s="59">
        <v>37.133949999999984</v>
      </c>
      <c r="U116" s="10">
        <f t="shared" si="31"/>
        <v>223.28771465517241</v>
      </c>
      <c r="AP116" s="149">
        <f ca="1">IF(ROUND('EBITDA 2010'!Q116,0)=0,0,'EBITDA 2010'!Q116/'EBITDA 2010'!Q33)</f>
        <v>1.1650997939946501</v>
      </c>
    </row>
    <row r="117" spans="1:42">
      <c r="A117" s="12" t="s">
        <v>119</v>
      </c>
      <c r="D117" s="8">
        <v>56.433669099999996</v>
      </c>
      <c r="E117" s="9">
        <v>0</v>
      </c>
      <c r="F117" s="10">
        <f t="shared" si="26"/>
        <v>56.433669099999996</v>
      </c>
      <c r="G117" s="8">
        <v>47.730285199999997</v>
      </c>
      <c r="H117" s="9">
        <v>0</v>
      </c>
      <c r="I117" s="10">
        <f t="shared" si="27"/>
        <v>47.730285199999997</v>
      </c>
      <c r="J117" s="56">
        <v>49.929466599999991</v>
      </c>
      <c r="K117" s="9">
        <v>0</v>
      </c>
      <c r="L117" s="10">
        <f t="shared" si="28"/>
        <v>49.929466599999991</v>
      </c>
      <c r="M117" s="56">
        <v>56.711082200000007</v>
      </c>
      <c r="N117" s="9">
        <v>0</v>
      </c>
      <c r="O117" s="10">
        <f t="shared" si="29"/>
        <v>56.711082200000007</v>
      </c>
      <c r="P117" s="75">
        <v>86.6534659</v>
      </c>
      <c r="Q117" s="57">
        <v>0</v>
      </c>
      <c r="R117" s="10">
        <f t="shared" si="30"/>
        <v>86.6534659</v>
      </c>
      <c r="S117" s="77">
        <v>72.579374999999985</v>
      </c>
      <c r="T117" s="59">
        <v>0</v>
      </c>
      <c r="U117" s="10">
        <f t="shared" si="31"/>
        <v>72.579374999999985</v>
      </c>
      <c r="AP117" s="149">
        <f ca="1">IF(ROUND('EBITDA 2010'!Q117,0)=0,0,'EBITDA 2010'!Q117/'EBITDA 2010'!Q34)</f>
        <v>1.1588698907638004</v>
      </c>
    </row>
    <row r="118" spans="1:42">
      <c r="A118" s="104" t="s">
        <v>120</v>
      </c>
      <c r="D118" s="8">
        <v>0</v>
      </c>
      <c r="E118" s="9">
        <v>6.2824853000000003</v>
      </c>
      <c r="F118" s="10">
        <f t="shared" si="26"/>
        <v>6.2824853000000003</v>
      </c>
      <c r="G118" s="8">
        <v>45.572618800000001</v>
      </c>
      <c r="H118" s="9">
        <v>20.474314</v>
      </c>
      <c r="I118" s="10">
        <f t="shared" si="27"/>
        <v>66.046932800000008</v>
      </c>
      <c r="J118" s="56">
        <v>13.716246499999999</v>
      </c>
      <c r="K118" s="9">
        <v>32.513122399999993</v>
      </c>
      <c r="L118" s="10">
        <f t="shared" si="28"/>
        <v>46.22936889999999</v>
      </c>
      <c r="M118" s="56">
        <v>29.002499</v>
      </c>
      <c r="N118" s="9">
        <v>-6.3870899999999997</v>
      </c>
      <c r="O118" s="10">
        <f t="shared" si="29"/>
        <v>22.615409</v>
      </c>
      <c r="P118" s="75">
        <v>39.839909100000007</v>
      </c>
      <c r="Q118" s="57">
        <v>2.4469710999999998</v>
      </c>
      <c r="R118" s="10">
        <f t="shared" si="30"/>
        <v>42.286880200000006</v>
      </c>
      <c r="S118" s="77">
        <v>37.376070000000006</v>
      </c>
      <c r="T118" s="59">
        <v>2.89</v>
      </c>
      <c r="U118" s="10">
        <f t="shared" si="31"/>
        <v>40.266070000000006</v>
      </c>
      <c r="AP118" s="149">
        <f ca="1">IF(ROUND('EBITDA 2010'!Q118,0)=0,0,'EBITDA 2010'!Q118/'EBITDA 2010'!Q35)</f>
        <v>1.1622646483118217</v>
      </c>
    </row>
    <row r="119" spans="1:42">
      <c r="A119" s="104" t="s">
        <v>121</v>
      </c>
      <c r="D119" s="8">
        <v>-22.250897200000001</v>
      </c>
      <c r="E119" s="9">
        <v>-7.1417918000000009</v>
      </c>
      <c r="F119" s="10">
        <f t="shared" si="26"/>
        <v>-29.392689000000001</v>
      </c>
      <c r="G119" s="8">
        <v>-11.067594</v>
      </c>
      <c r="H119" s="9">
        <v>-3.7670974000000004</v>
      </c>
      <c r="I119" s="10">
        <f t="shared" si="27"/>
        <v>-14.834691400000001</v>
      </c>
      <c r="J119" s="56">
        <v>-59.295706499999987</v>
      </c>
      <c r="K119" s="9">
        <v>-7.8671313999999972</v>
      </c>
      <c r="L119" s="10">
        <f t="shared" si="28"/>
        <v>-67.162837899999985</v>
      </c>
      <c r="M119" s="56">
        <v>-65.964744299999992</v>
      </c>
      <c r="N119" s="9">
        <v>-12.557808591999999</v>
      </c>
      <c r="O119" s="10">
        <f t="shared" si="29"/>
        <v>-78.522552891999993</v>
      </c>
      <c r="P119" s="75">
        <v>32.607968300000003</v>
      </c>
      <c r="Q119" s="57">
        <v>31.952921899999993</v>
      </c>
      <c r="R119" s="10">
        <f t="shared" si="30"/>
        <v>64.560890199999989</v>
      </c>
      <c r="S119" s="77">
        <v>34.625671392024792</v>
      </c>
      <c r="T119" s="59">
        <v>3.6124999999999998</v>
      </c>
      <c r="U119" s="10">
        <f t="shared" si="31"/>
        <v>38.238171392024789</v>
      </c>
    </row>
    <row r="120" spans="1:42">
      <c r="A120" s="104" t="s">
        <v>122</v>
      </c>
      <c r="D120" s="8">
        <v>-14.9357752</v>
      </c>
      <c r="E120" s="9">
        <v>0</v>
      </c>
      <c r="F120" s="10">
        <f t="shared" si="26"/>
        <v>-14.9357752</v>
      </c>
      <c r="G120" s="8">
        <v>0</v>
      </c>
      <c r="H120" s="9">
        <v>0</v>
      </c>
      <c r="I120" s="10">
        <f t="shared" si="27"/>
        <v>0</v>
      </c>
      <c r="J120" s="56"/>
      <c r="K120" s="9"/>
      <c r="L120" s="10"/>
      <c r="M120" s="56"/>
      <c r="N120" s="9"/>
      <c r="O120" s="10"/>
      <c r="P120" s="56"/>
      <c r="Q120" s="57"/>
      <c r="R120" s="10"/>
      <c r="S120" s="58"/>
      <c r="T120" s="59"/>
      <c r="U120" s="10"/>
    </row>
    <row r="121" spans="1:42" ht="13.5" thickBot="1">
      <c r="A121" s="5" t="s">
        <v>123</v>
      </c>
      <c r="D121" s="60">
        <f t="shared" ref="D121:U121" si="32">SUM(D100:D120)</f>
        <v>1652.9223231000001</v>
      </c>
      <c r="E121" s="61">
        <f t="shared" si="32"/>
        <v>274.78124740000004</v>
      </c>
      <c r="F121" s="15">
        <f t="shared" si="32"/>
        <v>1927.7035705000003</v>
      </c>
      <c r="G121" s="60">
        <f t="shared" si="32"/>
        <v>1803.7312109999998</v>
      </c>
      <c r="H121" s="61">
        <f t="shared" si="32"/>
        <v>170.72020959999998</v>
      </c>
      <c r="I121" s="15">
        <f t="shared" si="32"/>
        <v>1974.4514205999997</v>
      </c>
      <c r="J121" s="60">
        <f t="shared" si="32"/>
        <v>1500.9460935</v>
      </c>
      <c r="K121" s="61">
        <f t="shared" si="32"/>
        <v>151.09124674487558</v>
      </c>
      <c r="L121" s="15">
        <f t="shared" si="32"/>
        <v>1652.0373402448761</v>
      </c>
      <c r="M121" s="60">
        <f t="shared" si="32"/>
        <v>1642.2782443999997</v>
      </c>
      <c r="N121" s="61">
        <f t="shared" si="32"/>
        <v>66.996473594043081</v>
      </c>
      <c r="O121" s="15">
        <f t="shared" si="32"/>
        <v>1709.2747179940429</v>
      </c>
      <c r="P121" s="60">
        <f t="shared" si="32"/>
        <v>1980.7914958000001</v>
      </c>
      <c r="Q121" s="61">
        <f t="shared" si="32"/>
        <v>115.48429049999999</v>
      </c>
      <c r="R121" s="15">
        <f t="shared" si="32"/>
        <v>2096.2757863000002</v>
      </c>
      <c r="S121" s="60">
        <f t="shared" si="32"/>
        <v>2230.1999169256123</v>
      </c>
      <c r="T121" s="61">
        <f t="shared" si="32"/>
        <v>105.57477622916664</v>
      </c>
      <c r="U121" s="15">
        <f t="shared" si="32"/>
        <v>2335.7746931547795</v>
      </c>
      <c r="AP121" s="149">
        <f ca="1">IF(ROUND('EBITDA 2010'!Q121,0)=0,0,'EBITDA 2010'!Q121/'EBITDA 2010'!Q38)</f>
        <v>1.1578201459499886</v>
      </c>
    </row>
    <row r="122" spans="1:42" ht="14.25" thickTop="1" thickBot="1">
      <c r="A122" s="5" t="s">
        <v>124</v>
      </c>
      <c r="D122" s="71">
        <f t="shared" ref="D122:U122" si="33">+D90-D97-D121</f>
        <v>32.144105357235503</v>
      </c>
      <c r="E122" s="72">
        <f t="shared" si="33"/>
        <v>0.86077539999968167</v>
      </c>
      <c r="F122" s="39">
        <f t="shared" si="33"/>
        <v>33.272053900002447</v>
      </c>
      <c r="G122" s="71">
        <f t="shared" si="33"/>
        <v>344.86774230818764</v>
      </c>
      <c r="H122" s="72">
        <f t="shared" si="33"/>
        <v>133.07797018999975</v>
      </c>
      <c r="I122" s="39">
        <f t="shared" si="33"/>
        <v>478.28695658999982</v>
      </c>
      <c r="J122" s="71">
        <f t="shared" si="33"/>
        <v>1004.1004471702843</v>
      </c>
      <c r="K122" s="72">
        <f t="shared" si="33"/>
        <v>250.4939186891248</v>
      </c>
      <c r="L122" s="39">
        <f t="shared" si="33"/>
        <v>1254.9105595851231</v>
      </c>
      <c r="M122" s="71">
        <f t="shared" si="33"/>
        <v>1098.1287017986044</v>
      </c>
      <c r="N122" s="72">
        <f t="shared" si="33"/>
        <v>164.04972951877869</v>
      </c>
      <c r="O122" s="39">
        <f t="shared" si="33"/>
        <v>1262.4685950117769</v>
      </c>
      <c r="P122" s="71">
        <f t="shared" si="33"/>
        <v>1913.1345796626829</v>
      </c>
      <c r="Q122" s="72">
        <f t="shared" si="33"/>
        <v>72.866759900000147</v>
      </c>
      <c r="R122" s="39">
        <f t="shared" si="33"/>
        <v>1986.3260370000003</v>
      </c>
      <c r="S122" s="71">
        <f t="shared" si="33"/>
        <v>2743.6541575889732</v>
      </c>
      <c r="T122" s="72">
        <f t="shared" si="33"/>
        <v>78.410301788711507</v>
      </c>
      <c r="U122" s="39">
        <f t="shared" si="33"/>
        <v>2822.4107241298784</v>
      </c>
      <c r="AP122" s="149">
        <f ca="1">IF(ROUND('EBITDA 2010'!Q122,0)=0,0,'EBITDA 2010'!Q122/'EBITDA 2010'!Q39)</f>
        <v>0</v>
      </c>
    </row>
    <row r="123" spans="1:42" ht="13.5" thickTop="1">
      <c r="A123" s="5"/>
      <c r="B123" s="27"/>
      <c r="D123" s="122">
        <f t="shared" ref="D123:U123" si="34">D122/D74</f>
        <v>3.9285672405129481E-3</v>
      </c>
      <c r="E123" s="122">
        <f t="shared" si="34"/>
        <v>4.2140992542610817E-4</v>
      </c>
      <c r="F123" s="63">
        <f t="shared" si="34"/>
        <v>3.2540692386520474E-3</v>
      </c>
      <c r="G123" s="63">
        <f t="shared" si="34"/>
        <v>3.8156479402829978E-2</v>
      </c>
      <c r="H123" s="122">
        <f t="shared" si="34"/>
        <v>5.725169384083735E-2</v>
      </c>
      <c r="I123" s="63">
        <f t="shared" si="34"/>
        <v>4.2092773423604624E-2</v>
      </c>
      <c r="J123" s="63">
        <f t="shared" si="34"/>
        <v>9.0517357444258109E-2</v>
      </c>
      <c r="K123" s="63">
        <f t="shared" si="34"/>
        <v>0.11247765355423106</v>
      </c>
      <c r="L123" s="63">
        <f t="shared" si="34"/>
        <v>9.4212787508517234E-2</v>
      </c>
      <c r="M123" s="63">
        <f t="shared" si="34"/>
        <v>8.1195163569383208E-2</v>
      </c>
      <c r="N123" s="63">
        <f t="shared" si="34"/>
        <v>8.1105599498430228E-2</v>
      </c>
      <c r="O123" s="63">
        <f t="shared" si="34"/>
        <v>8.1202174805960259E-2</v>
      </c>
      <c r="P123" s="63">
        <f t="shared" si="34"/>
        <v>0.1140247592446666</v>
      </c>
      <c r="Q123" s="63">
        <f t="shared" si="34"/>
        <v>4.7159727656385181E-2</v>
      </c>
      <c r="R123" s="63">
        <f t="shared" si="34"/>
        <v>0.10840412368764293</v>
      </c>
      <c r="S123" s="63">
        <f t="shared" si="34"/>
        <v>0.13751077270523093</v>
      </c>
      <c r="T123" s="63">
        <f t="shared" si="34"/>
        <v>5.4263184628866097E-2</v>
      </c>
      <c r="U123" s="63">
        <f t="shared" si="34"/>
        <v>0.13190508493713196</v>
      </c>
      <c r="AP123" s="149">
        <f ca="1">IF(ROUND('EBITDA 2010'!Q123,0)=0,0,'EBITDA 2010'!Q123/'EBITDA 2010'!Q40)</f>
        <v>1.1611735481431937</v>
      </c>
    </row>
    <row r="124" spans="1:42">
      <c r="AP124" s="149">
        <f ca="1">IF(ROUND('EBITDA 2010'!Q124,0)=0,0,'EBITDA 2010'!Q124/'EBITDA 2010'!Q41)</f>
        <v>1.1808173500420593</v>
      </c>
    </row>
    <row r="125" spans="1:42">
      <c r="AP125" s="149">
        <f ca="1">IF(ROUND('EBITDA 2010'!Q125,0)=0,0,'EBITDA 2010'!Q125/'EBITDA 2010'!Q42)</f>
        <v>1.1616660594620105</v>
      </c>
    </row>
    <row r="126" spans="1:42">
      <c r="AP126" s="149">
        <f ca="1">IF(ROUND('EBITDA 2010'!Q126,0)=0,0,'EBITDA 2010'!Q126/'EBITDA 2010'!Q43)</f>
        <v>1.1523137631358857</v>
      </c>
    </row>
    <row r="127" spans="1:42">
      <c r="AP127" s="149">
        <f ca="1">IF(ROUND('EBITDA 2010'!Q127,0)=0,0,'EBITDA 2010'!Q127/'EBITDA 2010'!Q44)</f>
        <v>1.1627441925248589</v>
      </c>
    </row>
    <row r="128" spans="1:42">
      <c r="A128" s="5"/>
      <c r="G128" s="5"/>
      <c r="AP128" s="149">
        <f ca="1">IF(ROUND('EBITDA 2010'!Q128,0)=0,0,'EBITDA 2010'!Q128/'EBITDA 2010'!Q45)</f>
        <v>1.1611595422116527</v>
      </c>
    </row>
    <row r="129" spans="1:42">
      <c r="A129" s="5"/>
      <c r="G129" s="5"/>
      <c r="AP129" s="149">
        <f ca="1">IF(ROUND('EBITDA 2010'!Q129,0)=0,0,'EBITDA 2010'!Q129/'EBITDA 2010'!Q46)</f>
        <v>1.1583787036665194</v>
      </c>
    </row>
    <row r="130" spans="1:42">
      <c r="A130" s="5"/>
      <c r="G130" s="5"/>
      <c r="AP130" s="149">
        <f ca="1">IF(ROUND('EBITDA 2010'!Q130,0)=0,0,'EBITDA 2010'!Q130/'EBITDA 2010'!Q47)</f>
        <v>1.1863688776263346</v>
      </c>
    </row>
    <row r="131" spans="1:42">
      <c r="A131" s="5"/>
      <c r="G131" s="5"/>
      <c r="AP131" s="149">
        <f ca="1">IF(ROUND('EBITDA 2010'!Q131,0)=0,0,'EBITDA 2010'!Q131/'EBITDA 2010'!Q48)</f>
        <v>1.1583791280960718</v>
      </c>
    </row>
    <row r="132" spans="1:42">
      <c r="A132" s="5"/>
      <c r="G132" s="5"/>
      <c r="AP132" s="149">
        <f ca="1">IF(ROUND('EBITDA 2010'!Q132,0)=0,0,'EBITDA 2010'!Q132/'EBITDA 2010'!Q49)</f>
        <v>1.1541755463985492</v>
      </c>
    </row>
    <row r="133" spans="1:42">
      <c r="A133" s="5"/>
      <c r="G133" s="5"/>
      <c r="AP133" s="149">
        <f ca="1">IF(ROUND('EBITDA 2010'!Q133,0)=0,0,'EBITDA 2010'!Q133/'EBITDA 2010'!Q50)</f>
        <v>1.1840782023782035</v>
      </c>
    </row>
    <row r="134" spans="1:42">
      <c r="A134" s="5"/>
      <c r="G134" s="5"/>
      <c r="AP134" s="149">
        <f ca="1">IF(ROUND('EBITDA 2010'!Q134,0)=0,0,'EBITDA 2010'!Q134/'EBITDA 2010'!Q51)</f>
        <v>1.1658988149715648</v>
      </c>
    </row>
    <row r="135" spans="1:42">
      <c r="A135" s="5"/>
      <c r="G135" s="5"/>
      <c r="AP135" s="149">
        <f ca="1">IF(ROUND('EBITDA 2010'!Q135,0)=0,0,'EBITDA 2010'!Q135/'EBITDA 2010'!Q52)</f>
        <v>1.1642979489744874</v>
      </c>
    </row>
    <row r="136" spans="1:42">
      <c r="A136" s="5"/>
      <c r="G136" s="5"/>
      <c r="AP136" s="149">
        <f ca="1">IF(ROUND('EBITDA 2010'!Q136,0)=0,0,'EBITDA 2010'!Q136/'EBITDA 2010'!Q53)</f>
        <v>1.1829455042333379</v>
      </c>
    </row>
    <row r="137" spans="1:42">
      <c r="A137" s="5"/>
      <c r="G137" s="5"/>
      <c r="AP137" s="149">
        <f ca="1">IF(ROUND('EBITDA 2010'!Q137,0)=0,0,'EBITDA 2010'!Q137/'EBITDA 2010'!Q54)</f>
        <v>1.1688373066251534</v>
      </c>
    </row>
    <row r="138" spans="1:42">
      <c r="A138" s="5"/>
      <c r="G138" s="5"/>
      <c r="AP138" s="149">
        <f ca="1">IF(ROUND('EBITDA 2010'!Q138,0)=0,0,'EBITDA 2010'!Q138/'EBITDA 2010'!Q55)</f>
        <v>1.1659037700308115</v>
      </c>
    </row>
    <row r="139" spans="1:42">
      <c r="A139" s="5"/>
      <c r="G139" s="5"/>
      <c r="AP139" s="149">
        <f ca="1">IF(ROUND('EBITDA 2010'!Q139,0)=0,0,'EBITDA 2010'!Q139/'EBITDA 2010'!Q56)</f>
        <v>1.1655378903558338</v>
      </c>
    </row>
    <row r="140" spans="1:42">
      <c r="A140" s="5"/>
      <c r="G140" s="5"/>
      <c r="AP140" s="149">
        <f ca="1">IF(ROUND('EBITDA 2010'!Q140,0)=0,0,'EBITDA 2010'!Q140/'EBITDA 2010'!Q57)</f>
        <v>1.1822606614415467</v>
      </c>
    </row>
    <row r="141" spans="1:42">
      <c r="A141" s="5"/>
      <c r="G141" s="5"/>
    </row>
    <row r="142" spans="1:42">
      <c r="A142" s="5"/>
      <c r="G142" s="5"/>
      <c r="AP142" s="149">
        <f ca="1">IF(ROUND('EBITDA 2010'!Q142,0)=0,0,'EBITDA 2010'!Q142/'EBITDA 2010'!Q59)</f>
        <v>1.1670808315884984</v>
      </c>
    </row>
    <row r="143" spans="1:42">
      <c r="A143" s="5"/>
      <c r="G143" s="5"/>
      <c r="AP143" s="149">
        <f ca="1">IF(ROUND('EBITDA 2010'!Q143,0)=0,0,'EBITDA 2010'!Q143/'EBITDA 2010'!Q60)</f>
        <v>1.1644296932966074</v>
      </c>
    </row>
    <row r="144" spans="1:42">
      <c r="AP144" s="149">
        <f ca="1">IF(ROUND('EBITDA 2010'!Q144,0)=0,0,'EBITDA 2010'!Q144/'EBITDA 2010'!Q61)</f>
        <v>1.1599999999999999</v>
      </c>
    </row>
    <row r="145" spans="42:42">
      <c r="AP145" s="149">
        <f ca="1">IF(ROUND('EBITDA 2010'!Q145,0)=0,0,'EBITDA 2010'!Q145/'EBITDA 2010'!Q62)</f>
        <v>1.1599999999999999</v>
      </c>
    </row>
    <row r="146" spans="42:42">
      <c r="AP146" s="149">
        <f ca="1">IF(ROUND('EBITDA 2010'!Q146,0)=0,0,'EBITDA 2010'!Q146/'EBITDA 2010'!Q63)</f>
        <v>1.165498678184524</v>
      </c>
    </row>
    <row r="162" spans="1:42">
      <c r="AP162" s="149">
        <f ca="1">'EBITDA 2010'!Q162/'EBITDA 2010'!Q79</f>
        <v>1.1644112788340366</v>
      </c>
    </row>
    <row r="163" spans="1:42">
      <c r="AP163" s="149">
        <f ca="1">'EBITDA 2010'!Q163/'EBITDA 2010'!Q80</f>
        <v>1.17</v>
      </c>
    </row>
    <row r="164" spans="1:42">
      <c r="AP164" s="149">
        <f ca="1">'EBITDA 2010'!Q164/'EBITDA 2010'!Q81</f>
        <v>1.1659037700308115</v>
      </c>
    </row>
    <row r="165" spans="1:42">
      <c r="A165" s="5"/>
      <c r="G165" s="5"/>
      <c r="AP165" s="149">
        <f ca="1">'EBITDA 2010'!Q165/'EBITDA 2010'!Q82</f>
        <v>1.1645380319462335</v>
      </c>
    </row>
    <row r="166" spans="1:42">
      <c r="A166" s="5"/>
      <c r="G166" s="5"/>
    </row>
    <row r="167" spans="1:42">
      <c r="A167" s="5"/>
      <c r="G167" s="5"/>
    </row>
    <row r="168" spans="1:42">
      <c r="A168" s="5"/>
      <c r="G168" s="5"/>
    </row>
    <row r="169" spans="1:42">
      <c r="A169" s="5"/>
      <c r="G169" s="5"/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69"/>
  <sheetViews>
    <sheetView topLeftCell="A144" workbookViewId="0">
      <selection activeCell="L165" sqref="L165"/>
    </sheetView>
  </sheetViews>
  <sheetFormatPr baseColWidth="10" defaultColWidth="9.140625" defaultRowHeight="15"/>
  <cols>
    <col min="1" max="1" width="11.85546875" customWidth="1"/>
    <col min="2" max="2" width="11.140625" customWidth="1"/>
    <col min="3" max="3" width="12" customWidth="1"/>
    <col min="4" max="4" width="11.28515625" customWidth="1"/>
    <col min="8" max="8" width="10" customWidth="1"/>
    <col min="9" max="9" width="10.85546875" customWidth="1"/>
    <col min="11" max="11" width="2" customWidth="1"/>
    <col min="15" max="15" width="9.7109375" customWidth="1"/>
    <col min="16" max="16" width="11" customWidth="1"/>
  </cols>
  <sheetData>
    <row r="1" spans="1:17" ht="18">
      <c r="A1" s="79" t="s">
        <v>125</v>
      </c>
      <c r="B1" s="166"/>
      <c r="C1" s="166"/>
      <c r="D1" s="166"/>
      <c r="E1" s="166"/>
      <c r="F1" s="166"/>
      <c r="G1" s="79" t="s">
        <v>126</v>
      </c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7" ht="18">
      <c r="A2" s="42"/>
      <c r="B2" s="43"/>
      <c r="C2" s="103" t="s">
        <v>195</v>
      </c>
      <c r="D2" s="104"/>
      <c r="E2" s="154"/>
      <c r="F2" s="155" t="s">
        <v>8</v>
      </c>
      <c r="G2" s="156"/>
      <c r="H2" s="156"/>
      <c r="I2" s="156"/>
      <c r="J2" s="154"/>
      <c r="K2" s="104"/>
      <c r="L2" s="154"/>
      <c r="M2" s="155" t="s">
        <v>128</v>
      </c>
      <c r="N2" s="156"/>
      <c r="O2" s="156"/>
      <c r="P2" s="156"/>
      <c r="Q2" s="154"/>
    </row>
    <row r="3" spans="1:17">
      <c r="A3" s="42"/>
      <c r="B3" s="5"/>
      <c r="C3" s="104"/>
      <c r="D3" s="104"/>
      <c r="E3" s="80" t="s">
        <v>75</v>
      </c>
      <c r="F3" s="81">
        <f ca="1">'history of trading results'!Q65</f>
        <v>1.1623007650620096</v>
      </c>
      <c r="G3" s="104"/>
      <c r="H3" s="104"/>
      <c r="I3" s="123"/>
      <c r="J3" s="83"/>
      <c r="K3" s="104"/>
      <c r="L3" s="80"/>
      <c r="M3" s="81"/>
      <c r="N3" s="104"/>
      <c r="O3" s="104"/>
      <c r="P3" s="104"/>
      <c r="Q3" s="83"/>
    </row>
    <row r="4" spans="1:17">
      <c r="A4" s="5"/>
      <c r="B4" s="104"/>
      <c r="C4" s="104"/>
      <c r="D4" s="104"/>
      <c r="E4" s="124" t="s">
        <v>10</v>
      </c>
      <c r="F4" s="125" t="s">
        <v>11</v>
      </c>
      <c r="G4" s="123" t="s">
        <v>131</v>
      </c>
      <c r="H4" s="82" t="s">
        <v>132</v>
      </c>
      <c r="I4" s="82" t="s">
        <v>133</v>
      </c>
      <c r="J4" s="126" t="s">
        <v>134</v>
      </c>
      <c r="K4" s="12"/>
      <c r="L4" s="124" t="s">
        <v>10</v>
      </c>
      <c r="M4" s="125" t="s">
        <v>11</v>
      </c>
      <c r="N4" s="123" t="s">
        <v>131</v>
      </c>
      <c r="O4" s="82" t="s">
        <v>132</v>
      </c>
      <c r="P4" s="82" t="s">
        <v>133</v>
      </c>
      <c r="Q4" s="126" t="s">
        <v>134</v>
      </c>
    </row>
    <row r="5" spans="1:17">
      <c r="A5" s="104"/>
      <c r="B5" s="104"/>
      <c r="C5" s="104"/>
      <c r="D5" s="104"/>
      <c r="E5" s="124" t="s">
        <v>13</v>
      </c>
      <c r="F5" s="125" t="s">
        <v>14</v>
      </c>
      <c r="G5" s="123" t="s">
        <v>135</v>
      </c>
      <c r="H5" s="82" t="s">
        <v>136</v>
      </c>
      <c r="I5" s="82" t="s">
        <v>137</v>
      </c>
      <c r="J5" s="126"/>
      <c r="K5" s="12"/>
      <c r="L5" s="124" t="s">
        <v>13</v>
      </c>
      <c r="M5" s="125" t="s">
        <v>14</v>
      </c>
      <c r="N5" s="123" t="s">
        <v>135</v>
      </c>
      <c r="O5" s="82" t="s">
        <v>136</v>
      </c>
      <c r="P5" s="82" t="s">
        <v>137</v>
      </c>
      <c r="Q5" s="126"/>
    </row>
    <row r="6" spans="1:17">
      <c r="A6" s="104"/>
      <c r="B6" s="104"/>
      <c r="C6" s="104"/>
      <c r="D6" s="104"/>
      <c r="E6" s="84"/>
      <c r="F6" s="85"/>
      <c r="G6" s="85"/>
      <c r="H6" s="104"/>
      <c r="I6" s="104"/>
      <c r="J6" s="86"/>
      <c r="K6" s="104"/>
      <c r="L6" s="84"/>
      <c r="M6" s="85"/>
      <c r="N6" s="85"/>
      <c r="O6" s="104"/>
      <c r="P6" s="104"/>
      <c r="Q6" s="86"/>
    </row>
    <row r="7" spans="1:17">
      <c r="A7" s="104" t="s">
        <v>16</v>
      </c>
      <c r="B7" s="104"/>
      <c r="C7" s="104"/>
      <c r="D7" s="104"/>
      <c r="E7" s="87">
        <f ca="1">'history of trading results'!P7</f>
        <v>14457.300999999999</v>
      </c>
      <c r="F7" s="87">
        <f ca="1">'history of trading results'!Q7</f>
        <v>1328.8720000000001</v>
      </c>
      <c r="G7" s="88">
        <v>0</v>
      </c>
      <c r="H7" s="88">
        <v>0</v>
      </c>
      <c r="I7" s="88"/>
      <c r="J7" s="89">
        <f>SUM(E7:I7)</f>
        <v>15786.172999999999</v>
      </c>
      <c r="K7" s="105"/>
      <c r="L7" s="87">
        <f>E7</f>
        <v>14457.300999999999</v>
      </c>
      <c r="M7" s="87">
        <f>F7+15*3</f>
        <v>1373.8720000000001</v>
      </c>
      <c r="N7" s="87">
        <f t="shared" ref="N7:P9" si="0">G7</f>
        <v>0</v>
      </c>
      <c r="O7" s="87">
        <f t="shared" si="0"/>
        <v>0</v>
      </c>
      <c r="P7" s="87">
        <f t="shared" si="0"/>
        <v>0</v>
      </c>
      <c r="Q7" s="89">
        <f>SUM(L7:P7)</f>
        <v>15831.172999999999</v>
      </c>
    </row>
    <row r="8" spans="1:17">
      <c r="A8" s="104" t="s">
        <v>17</v>
      </c>
      <c r="B8" s="104"/>
      <c r="C8" s="104"/>
      <c r="D8" s="104"/>
      <c r="E8" s="87">
        <f ca="1">'history of trading results'!P8</f>
        <v>0</v>
      </c>
      <c r="F8" s="87">
        <f ca="1">'history of trading results'!Q8</f>
        <v>0</v>
      </c>
      <c r="G8" s="88">
        <v>0</v>
      </c>
      <c r="H8" s="88">
        <v>0</v>
      </c>
      <c r="I8" s="88"/>
      <c r="J8" s="89">
        <f>SUM(E8:I8)</f>
        <v>0</v>
      </c>
      <c r="K8" s="105"/>
      <c r="L8" s="87">
        <f>E8</f>
        <v>0</v>
      </c>
      <c r="M8" s="87">
        <f>F8</f>
        <v>0</v>
      </c>
      <c r="N8" s="87">
        <f t="shared" si="0"/>
        <v>0</v>
      </c>
      <c r="O8" s="87">
        <f t="shared" si="0"/>
        <v>0</v>
      </c>
      <c r="P8" s="87">
        <f t="shared" si="0"/>
        <v>0</v>
      </c>
      <c r="Q8" s="89">
        <f>SUM(L8:P8)</f>
        <v>0</v>
      </c>
    </row>
    <row r="9" spans="1:17">
      <c r="A9" s="104" t="s">
        <v>18</v>
      </c>
      <c r="B9" s="104"/>
      <c r="C9" s="104"/>
      <c r="D9" s="104"/>
      <c r="E9" s="87">
        <f ca="1">'history of trading results'!P9</f>
        <v>-27.989000000000001</v>
      </c>
      <c r="F9" s="87">
        <f ca="1">'history of trading results'!Q9</f>
        <v>0</v>
      </c>
      <c r="G9" s="88">
        <v>0</v>
      </c>
      <c r="H9" s="88">
        <v>0</v>
      </c>
      <c r="I9" s="88"/>
      <c r="J9" s="89">
        <f>SUM(E9:I9)</f>
        <v>-27.989000000000001</v>
      </c>
      <c r="K9" s="105"/>
      <c r="L9" s="87">
        <f>E9</f>
        <v>-27.989000000000001</v>
      </c>
      <c r="M9" s="87">
        <f>F9</f>
        <v>0</v>
      </c>
      <c r="N9" s="87">
        <f t="shared" si="0"/>
        <v>0</v>
      </c>
      <c r="O9" s="87">
        <f t="shared" si="0"/>
        <v>0</v>
      </c>
      <c r="P9" s="87">
        <f t="shared" si="0"/>
        <v>0</v>
      </c>
      <c r="Q9" s="89">
        <f>SUM(L9:P9)</f>
        <v>-27.989000000000001</v>
      </c>
    </row>
    <row r="10" spans="1:17">
      <c r="A10" s="12" t="s">
        <v>19</v>
      </c>
      <c r="B10" s="104"/>
      <c r="C10" s="104"/>
      <c r="D10" s="104"/>
      <c r="E10" s="87">
        <f ca="1">'history of trading results'!P10</f>
        <v>0</v>
      </c>
      <c r="F10" s="87">
        <f ca="1">'history of trading results'!Q10</f>
        <v>-1.6E-2</v>
      </c>
      <c r="G10" s="88">
        <v>173</v>
      </c>
      <c r="H10" s="88">
        <v>0</v>
      </c>
      <c r="I10" s="88">
        <v>-173</v>
      </c>
      <c r="J10" s="89">
        <f>SUM(E10:I10)</f>
        <v>-1.5999999999991132E-2</v>
      </c>
      <c r="K10" s="105"/>
      <c r="L10" s="87">
        <f>E10</f>
        <v>0</v>
      </c>
      <c r="M10" s="87">
        <f>F10</f>
        <v>-1.6E-2</v>
      </c>
      <c r="N10" s="87">
        <f>G10-27.2</f>
        <v>145.80000000000001</v>
      </c>
      <c r="O10" s="87">
        <f>H10</f>
        <v>0</v>
      </c>
      <c r="P10" s="87">
        <f>I10+27.2</f>
        <v>-145.80000000000001</v>
      </c>
      <c r="Q10" s="89">
        <f>SUM(L10:P10)</f>
        <v>-1.5999999999991132E-2</v>
      </c>
    </row>
    <row r="11" spans="1:17">
      <c r="A11" s="12" t="s">
        <v>138</v>
      </c>
      <c r="B11" s="104"/>
      <c r="C11" s="104"/>
      <c r="D11" s="104"/>
      <c r="E11" s="87">
        <f ca="1">'history of trading results'!P11</f>
        <v>0</v>
      </c>
      <c r="F11" s="87">
        <f ca="1">'history of trading results'!Q11</f>
        <v>0</v>
      </c>
      <c r="G11" s="88">
        <f>150</f>
        <v>150</v>
      </c>
      <c r="H11" s="88">
        <v>35.200000000000003</v>
      </c>
      <c r="I11" s="88">
        <v>-150</v>
      </c>
      <c r="J11" s="89">
        <f>SUM(E11:I11)</f>
        <v>35.199999999999989</v>
      </c>
      <c r="K11" s="105"/>
      <c r="L11" s="87">
        <f>E11</f>
        <v>0</v>
      </c>
      <c r="M11" s="87">
        <f>F11</f>
        <v>0</v>
      </c>
      <c r="N11" s="87">
        <f>G11-33</f>
        <v>117</v>
      </c>
      <c r="O11" s="87">
        <f>H11+5.4-8</f>
        <v>32.6</v>
      </c>
      <c r="P11" s="87">
        <f>I11+33-5.4+8</f>
        <v>-114.4</v>
      </c>
      <c r="Q11" s="89">
        <f>SUM(L11:P11)</f>
        <v>35.199999999999989</v>
      </c>
    </row>
    <row r="12" spans="1:17">
      <c r="A12" s="5" t="s">
        <v>21</v>
      </c>
      <c r="B12" s="104"/>
      <c r="C12" s="104"/>
      <c r="D12" s="104"/>
      <c r="E12" s="89">
        <f t="shared" ref="E12:J12" si="1">SUM(E7:E11)</f>
        <v>14429.312</v>
      </c>
      <c r="F12" s="89">
        <f t="shared" si="1"/>
        <v>1328.856</v>
      </c>
      <c r="G12" s="89">
        <f t="shared" si="1"/>
        <v>323</v>
      </c>
      <c r="H12" s="89">
        <f t="shared" si="1"/>
        <v>35.200000000000003</v>
      </c>
      <c r="I12" s="89">
        <f t="shared" si="1"/>
        <v>-323</v>
      </c>
      <c r="J12" s="89">
        <f t="shared" si="1"/>
        <v>15793.368</v>
      </c>
      <c r="K12" s="105"/>
      <c r="L12" s="89">
        <f t="shared" ref="L12:Q12" si="2">SUM(L7:L11)</f>
        <v>14429.312</v>
      </c>
      <c r="M12" s="89">
        <f t="shared" si="2"/>
        <v>1373.856</v>
      </c>
      <c r="N12" s="89">
        <f t="shared" si="2"/>
        <v>262.8</v>
      </c>
      <c r="O12" s="89">
        <f t="shared" si="2"/>
        <v>32.6</v>
      </c>
      <c r="P12" s="89">
        <f t="shared" si="2"/>
        <v>-260.20000000000005</v>
      </c>
      <c r="Q12" s="89">
        <f t="shared" si="2"/>
        <v>15838.368</v>
      </c>
    </row>
    <row r="13" spans="1:17">
      <c r="A13" s="104"/>
      <c r="B13" s="104"/>
      <c r="C13" s="104"/>
      <c r="D13" s="104"/>
      <c r="E13" s="105"/>
      <c r="F13" s="105"/>
      <c r="G13" s="105"/>
      <c r="H13" s="90"/>
      <c r="I13" s="90"/>
      <c r="J13" s="91"/>
      <c r="K13" s="105"/>
      <c r="L13" s="105"/>
      <c r="M13" s="105"/>
      <c r="N13" s="105"/>
      <c r="O13" s="90"/>
      <c r="P13" s="90"/>
      <c r="Q13" s="91"/>
    </row>
    <row r="14" spans="1:17">
      <c r="A14" s="5" t="s">
        <v>23</v>
      </c>
      <c r="B14" s="104"/>
      <c r="C14" s="104"/>
      <c r="D14" s="104"/>
      <c r="E14" s="92"/>
      <c r="F14" s="93"/>
      <c r="G14" s="105"/>
      <c r="H14" s="90"/>
      <c r="I14" s="90"/>
      <c r="J14" s="94"/>
      <c r="K14" s="105"/>
      <c r="L14" s="92"/>
      <c r="M14" s="93"/>
      <c r="N14" s="105"/>
      <c r="O14" s="90"/>
      <c r="P14" s="90"/>
      <c r="Q14" s="94"/>
    </row>
    <row r="15" spans="1:17">
      <c r="A15" s="104" t="s">
        <v>24</v>
      </c>
      <c r="B15" s="104"/>
      <c r="C15" s="104"/>
      <c r="D15" s="104"/>
      <c r="E15" s="87">
        <f ca="1">'history of trading results'!P15</f>
        <v>5424.2849999999999</v>
      </c>
      <c r="F15" s="87">
        <f ca="1">'history of trading results'!Q15</f>
        <v>601.52200000000005</v>
      </c>
      <c r="G15" s="88">
        <v>0</v>
      </c>
      <c r="H15" s="88">
        <v>0</v>
      </c>
      <c r="I15" s="90"/>
      <c r="J15" s="89">
        <f>SUM(E15:I15)</f>
        <v>6025.8069999999998</v>
      </c>
      <c r="K15" s="105"/>
      <c r="L15" s="87">
        <f>E15</f>
        <v>5424.2849999999999</v>
      </c>
      <c r="M15" s="87">
        <f>F15+15*3*65%</f>
        <v>630.77200000000005</v>
      </c>
      <c r="N15" s="87">
        <f t="shared" ref="N15:P17" si="3">G15</f>
        <v>0</v>
      </c>
      <c r="O15" s="87">
        <f t="shared" si="3"/>
        <v>0</v>
      </c>
      <c r="P15" s="87">
        <f t="shared" si="3"/>
        <v>0</v>
      </c>
      <c r="Q15" s="89">
        <f>SUM(L15:P15)</f>
        <v>6055.0569999999998</v>
      </c>
    </row>
    <row r="16" spans="1:17">
      <c r="A16" s="104" t="s">
        <v>25</v>
      </c>
      <c r="B16" s="104"/>
      <c r="C16" s="104"/>
      <c r="D16" s="104"/>
      <c r="E16" s="87">
        <f ca="1">'history of trading results'!P16</f>
        <v>411.66899999999998</v>
      </c>
      <c r="F16" s="87">
        <f ca="1">'history of trading results'!Q16</f>
        <v>111.69499999999999</v>
      </c>
      <c r="G16" s="88">
        <v>0</v>
      </c>
      <c r="H16" s="88">
        <v>0</v>
      </c>
      <c r="I16" s="90"/>
      <c r="J16" s="89">
        <f>SUM(E16:I16)</f>
        <v>523.36400000000003</v>
      </c>
      <c r="K16" s="105"/>
      <c r="L16" s="87">
        <f>E16</f>
        <v>411.66899999999998</v>
      </c>
      <c r="M16" s="87">
        <f>F16</f>
        <v>111.69499999999999</v>
      </c>
      <c r="N16" s="87">
        <f t="shared" si="3"/>
        <v>0</v>
      </c>
      <c r="O16" s="87">
        <f t="shared" si="3"/>
        <v>0</v>
      </c>
      <c r="P16" s="87">
        <f t="shared" si="3"/>
        <v>0</v>
      </c>
      <c r="Q16" s="89">
        <f>SUM(L16:P16)</f>
        <v>523.36400000000003</v>
      </c>
    </row>
    <row r="17" spans="1:17">
      <c r="A17" s="104" t="s">
        <v>26</v>
      </c>
      <c r="B17" s="104"/>
      <c r="C17" s="104"/>
      <c r="D17" s="104"/>
      <c r="E17" s="87">
        <f ca="1">'history of trading results'!P17</f>
        <v>273.13799999999998</v>
      </c>
      <c r="F17" s="87">
        <f ca="1">'history of trading results'!Q17</f>
        <v>26.579000000000001</v>
      </c>
      <c r="G17" s="88">
        <v>0</v>
      </c>
      <c r="H17" s="88">
        <v>0</v>
      </c>
      <c r="I17" s="90"/>
      <c r="J17" s="89">
        <f>SUM(E17:I17)</f>
        <v>299.71699999999998</v>
      </c>
      <c r="K17" s="105"/>
      <c r="L17" s="87">
        <f>E17</f>
        <v>273.13799999999998</v>
      </c>
      <c r="M17" s="87">
        <f>F17</f>
        <v>26.579000000000001</v>
      </c>
      <c r="N17" s="87">
        <f t="shared" si="3"/>
        <v>0</v>
      </c>
      <c r="O17" s="87">
        <f t="shared" si="3"/>
        <v>0</v>
      </c>
      <c r="P17" s="87">
        <f t="shared" si="3"/>
        <v>0</v>
      </c>
      <c r="Q17" s="89">
        <f>SUM(L17:P17)</f>
        <v>299.71699999999998</v>
      </c>
    </row>
    <row r="18" spans="1:17">
      <c r="A18" s="104"/>
      <c r="B18" s="104"/>
      <c r="C18" s="104"/>
      <c r="D18" s="104"/>
      <c r="E18" s="89">
        <f t="shared" ref="E18:J18" si="4">SUM(E15:E17)</f>
        <v>6109.0919999999996</v>
      </c>
      <c r="F18" s="89">
        <f t="shared" si="4"/>
        <v>739.79600000000005</v>
      </c>
      <c r="G18" s="89">
        <f t="shared" si="4"/>
        <v>0</v>
      </c>
      <c r="H18" s="89">
        <f t="shared" si="4"/>
        <v>0</v>
      </c>
      <c r="I18" s="89">
        <f t="shared" si="4"/>
        <v>0</v>
      </c>
      <c r="J18" s="89">
        <f t="shared" si="4"/>
        <v>6848.8879999999999</v>
      </c>
      <c r="K18" s="105"/>
      <c r="L18" s="89">
        <f t="shared" ref="L18:Q18" si="5">SUM(L15:L17)</f>
        <v>6109.0919999999996</v>
      </c>
      <c r="M18" s="89">
        <f t="shared" si="5"/>
        <v>769.04600000000005</v>
      </c>
      <c r="N18" s="89">
        <f t="shared" si="5"/>
        <v>0</v>
      </c>
      <c r="O18" s="89">
        <f t="shared" si="5"/>
        <v>0</v>
      </c>
      <c r="P18" s="89">
        <f t="shared" si="5"/>
        <v>0</v>
      </c>
      <c r="Q18" s="89">
        <f t="shared" si="5"/>
        <v>6878.1379999999999</v>
      </c>
    </row>
    <row r="19" spans="1:17">
      <c r="A19" s="5" t="s">
        <v>27</v>
      </c>
      <c r="B19" s="104"/>
      <c r="C19" s="104"/>
      <c r="D19" s="104"/>
      <c r="E19" s="89">
        <f t="shared" ref="E19:J19" si="6">+E12-E18</f>
        <v>8320.2200000000012</v>
      </c>
      <c r="F19" s="89">
        <f t="shared" si="6"/>
        <v>589.05999999999995</v>
      </c>
      <c r="G19" s="89">
        <f t="shared" si="6"/>
        <v>323</v>
      </c>
      <c r="H19" s="89">
        <f t="shared" si="6"/>
        <v>35.200000000000003</v>
      </c>
      <c r="I19" s="89">
        <f t="shared" si="6"/>
        <v>-323</v>
      </c>
      <c r="J19" s="89">
        <f t="shared" si="6"/>
        <v>8944.48</v>
      </c>
      <c r="K19" s="105"/>
      <c r="L19" s="89">
        <f t="shared" ref="L19:Q19" si="7">+L12-L18</f>
        <v>8320.2200000000012</v>
      </c>
      <c r="M19" s="89">
        <f t="shared" si="7"/>
        <v>604.80999999999995</v>
      </c>
      <c r="N19" s="89">
        <f t="shared" si="7"/>
        <v>262.8</v>
      </c>
      <c r="O19" s="89">
        <f t="shared" si="7"/>
        <v>32.6</v>
      </c>
      <c r="P19" s="89">
        <f t="shared" si="7"/>
        <v>-260.20000000000005</v>
      </c>
      <c r="Q19" s="89">
        <f t="shared" si="7"/>
        <v>8960.23</v>
      </c>
    </row>
    <row r="20" spans="1:17">
      <c r="A20" s="5"/>
      <c r="B20" s="104"/>
      <c r="C20" s="104"/>
      <c r="D20" s="104"/>
      <c r="E20" s="105"/>
      <c r="F20" s="105"/>
      <c r="G20" s="95"/>
      <c r="H20" s="90"/>
      <c r="I20" s="90"/>
      <c r="J20" s="91"/>
      <c r="K20" s="105"/>
      <c r="L20" s="105"/>
      <c r="M20" s="105"/>
      <c r="N20" s="95"/>
      <c r="O20" s="90"/>
      <c r="P20" s="90"/>
      <c r="Q20" s="91"/>
    </row>
    <row r="21" spans="1:17">
      <c r="A21" s="5" t="s">
        <v>29</v>
      </c>
      <c r="B21" s="27"/>
      <c r="C21" s="104"/>
      <c r="D21" s="104"/>
      <c r="E21" s="96"/>
      <c r="F21" s="97"/>
      <c r="G21" s="105"/>
      <c r="H21" s="90"/>
      <c r="I21" s="90"/>
      <c r="J21" s="94"/>
      <c r="K21" s="105"/>
      <c r="L21" s="96"/>
      <c r="M21" s="97"/>
      <c r="N21" s="105"/>
      <c r="O21" s="90"/>
      <c r="P21" s="90"/>
      <c r="Q21" s="94"/>
    </row>
    <row r="22" spans="1:17">
      <c r="A22" s="104" t="s">
        <v>30</v>
      </c>
      <c r="B22" s="104"/>
      <c r="C22" s="104"/>
      <c r="D22" s="104"/>
      <c r="E22" s="87">
        <f ca="1">'history of trading results'!P22</f>
        <v>482.27699999999999</v>
      </c>
      <c r="F22" s="87">
        <f ca="1">'history of trading results'!Q22</f>
        <v>41.688000000000002</v>
      </c>
      <c r="G22" s="88">
        <v>0</v>
      </c>
      <c r="H22" s="88">
        <v>0</v>
      </c>
      <c r="I22" s="90"/>
      <c r="J22" s="89">
        <f>SUM(E22:I22)</f>
        <v>523.96500000000003</v>
      </c>
      <c r="K22" s="105"/>
      <c r="L22" s="87">
        <f>E22</f>
        <v>482.27699999999999</v>
      </c>
      <c r="M22" s="87">
        <f>F22</f>
        <v>41.688000000000002</v>
      </c>
      <c r="N22" s="87">
        <f>G22</f>
        <v>0</v>
      </c>
      <c r="O22" s="87">
        <f>H22</f>
        <v>0</v>
      </c>
      <c r="P22" s="87">
        <f>I22</f>
        <v>0</v>
      </c>
      <c r="Q22" s="89">
        <f>SUM(L22:P22)</f>
        <v>523.96500000000003</v>
      </c>
    </row>
    <row r="23" spans="1:17">
      <c r="A23" s="104" t="s">
        <v>31</v>
      </c>
      <c r="B23" s="104"/>
      <c r="C23" s="104"/>
      <c r="D23" s="104"/>
      <c r="E23" s="87">
        <f ca="1">'history of trading results'!P23</f>
        <v>2646.471</v>
      </c>
      <c r="F23" s="87">
        <f ca="1">'history of trading results'!Q23</f>
        <v>62.991999999999997</v>
      </c>
      <c r="G23" s="88">
        <v>0</v>
      </c>
      <c r="H23" s="88">
        <v>0</v>
      </c>
      <c r="I23" s="90"/>
      <c r="J23" s="89">
        <f>SUM(E23:I23)</f>
        <v>2709.4630000000002</v>
      </c>
      <c r="K23" s="105"/>
      <c r="L23" s="87">
        <f>E23</f>
        <v>2646.471</v>
      </c>
      <c r="M23" s="87">
        <f>F23-37.9-4.9</f>
        <v>20.192</v>
      </c>
      <c r="N23" s="87">
        <f t="shared" ref="N23:P26" si="8">G23</f>
        <v>0</v>
      </c>
      <c r="O23" s="87">
        <f t="shared" si="8"/>
        <v>0</v>
      </c>
      <c r="P23" s="87">
        <f t="shared" si="8"/>
        <v>0</v>
      </c>
      <c r="Q23" s="89">
        <f>SUM(L23:P23)</f>
        <v>2666.663</v>
      </c>
    </row>
    <row r="24" spans="1:17">
      <c r="A24" s="104" t="s">
        <v>32</v>
      </c>
      <c r="B24" s="104"/>
      <c r="C24" s="104"/>
      <c r="D24" s="104"/>
      <c r="E24" s="87">
        <f ca="1">'history of trading results'!P24</f>
        <v>112.324</v>
      </c>
      <c r="F24" s="87">
        <f ca="1">'history of trading results'!Q24</f>
        <v>155.05600000000001</v>
      </c>
      <c r="G24" s="88">
        <v>0</v>
      </c>
      <c r="H24" s="88">
        <v>0</v>
      </c>
      <c r="I24" s="90"/>
      <c r="J24" s="89">
        <f>SUM(E24:I24)</f>
        <v>267.38</v>
      </c>
      <c r="K24" s="105"/>
      <c r="L24" s="87">
        <f>E24</f>
        <v>112.324</v>
      </c>
      <c r="M24" s="87">
        <f>F24+0.5*3</f>
        <v>156.55600000000001</v>
      </c>
      <c r="N24" s="87">
        <f t="shared" si="8"/>
        <v>0</v>
      </c>
      <c r="O24" s="87">
        <f t="shared" si="8"/>
        <v>0</v>
      </c>
      <c r="P24" s="87">
        <f t="shared" si="8"/>
        <v>0</v>
      </c>
      <c r="Q24" s="89">
        <f>SUM(L24:P24)</f>
        <v>268.88</v>
      </c>
    </row>
    <row r="25" spans="1:17">
      <c r="A25" s="104" t="s">
        <v>33</v>
      </c>
      <c r="B25" s="104"/>
      <c r="C25" s="104"/>
      <c r="D25" s="104"/>
      <c r="E25" s="87">
        <f ca="1">'history of trading results'!P25</f>
        <v>261.45999999999998</v>
      </c>
      <c r="F25" s="87">
        <f ca="1">'history of trading results'!Q25</f>
        <v>22.736000000000001</v>
      </c>
      <c r="G25" s="88">
        <v>0</v>
      </c>
      <c r="H25" s="88">
        <v>0</v>
      </c>
      <c r="I25" s="90"/>
      <c r="J25" s="89">
        <f>SUM(E25:I25)</f>
        <v>284.19599999999997</v>
      </c>
      <c r="K25" s="105"/>
      <c r="L25" s="87">
        <f>E25</f>
        <v>261.45999999999998</v>
      </c>
      <c r="M25" s="87">
        <f>F25</f>
        <v>22.736000000000001</v>
      </c>
      <c r="N25" s="87">
        <f t="shared" si="8"/>
        <v>0</v>
      </c>
      <c r="O25" s="87">
        <f t="shared" si="8"/>
        <v>0</v>
      </c>
      <c r="P25" s="87">
        <f t="shared" si="8"/>
        <v>0</v>
      </c>
      <c r="Q25" s="89">
        <f>SUM(L25:P25)</f>
        <v>284.19599999999997</v>
      </c>
    </row>
    <row r="26" spans="1:17">
      <c r="A26" s="104" t="s">
        <v>34</v>
      </c>
      <c r="B26" s="104"/>
      <c r="C26" s="104"/>
      <c r="D26" s="104"/>
      <c r="E26" s="87">
        <f ca="1">'history of trading results'!P26</f>
        <v>131.99600000000001</v>
      </c>
      <c r="F26" s="87">
        <f ca="1">'history of trading results'!Q26</f>
        <v>94.867000000000004</v>
      </c>
      <c r="G26" s="88">
        <v>0</v>
      </c>
      <c r="H26" s="88">
        <v>0</v>
      </c>
      <c r="I26" s="90"/>
      <c r="J26" s="89">
        <f>SUM(E26:I26)</f>
        <v>226.863</v>
      </c>
      <c r="K26" s="105"/>
      <c r="L26" s="87">
        <f>E26</f>
        <v>131.99600000000001</v>
      </c>
      <c r="M26" s="87">
        <f>F26+(1.05+0.5)*3</f>
        <v>99.51700000000001</v>
      </c>
      <c r="N26" s="87">
        <f t="shared" si="8"/>
        <v>0</v>
      </c>
      <c r="O26" s="87">
        <f t="shared" si="8"/>
        <v>0</v>
      </c>
      <c r="P26" s="87">
        <f t="shared" si="8"/>
        <v>0</v>
      </c>
      <c r="Q26" s="89">
        <f>SUM(L26:P26)</f>
        <v>231.51300000000003</v>
      </c>
    </row>
    <row r="27" spans="1:17">
      <c r="A27" s="5"/>
      <c r="B27" s="27"/>
      <c r="C27" s="104"/>
      <c r="D27" s="104"/>
      <c r="E27" s="89">
        <f t="shared" ref="E27:J27" si="9">SUM(E22:E26)</f>
        <v>3634.5280000000002</v>
      </c>
      <c r="F27" s="89">
        <f t="shared" si="9"/>
        <v>377.339</v>
      </c>
      <c r="G27" s="89">
        <f t="shared" si="9"/>
        <v>0</v>
      </c>
      <c r="H27" s="89">
        <f t="shared" si="9"/>
        <v>0</v>
      </c>
      <c r="I27" s="89">
        <f t="shared" si="9"/>
        <v>0</v>
      </c>
      <c r="J27" s="89">
        <f t="shared" si="9"/>
        <v>4011.8670000000002</v>
      </c>
      <c r="K27" s="105"/>
      <c r="L27" s="89">
        <f t="shared" ref="L27:Q27" si="10">SUM(L22:L26)</f>
        <v>3634.5280000000002</v>
      </c>
      <c r="M27" s="89">
        <f t="shared" si="10"/>
        <v>340.68900000000002</v>
      </c>
      <c r="N27" s="89">
        <f t="shared" si="10"/>
        <v>0</v>
      </c>
      <c r="O27" s="89">
        <f t="shared" si="10"/>
        <v>0</v>
      </c>
      <c r="P27" s="89">
        <f t="shared" si="10"/>
        <v>0</v>
      </c>
      <c r="Q27" s="89">
        <f t="shared" si="10"/>
        <v>3975.2170000000001</v>
      </c>
    </row>
    <row r="28" spans="1:17">
      <c r="A28" s="5" t="s">
        <v>35</v>
      </c>
      <c r="B28" s="27"/>
      <c r="C28" s="104"/>
      <c r="D28" s="104"/>
      <c r="E28" s="89">
        <f t="shared" ref="E28:J28" si="11">+E19-E27</f>
        <v>4685.6920000000009</v>
      </c>
      <c r="F28" s="89">
        <f t="shared" si="11"/>
        <v>211.72099999999995</v>
      </c>
      <c r="G28" s="89">
        <f t="shared" si="11"/>
        <v>323</v>
      </c>
      <c r="H28" s="89">
        <f t="shared" si="11"/>
        <v>35.200000000000003</v>
      </c>
      <c r="I28" s="89">
        <f t="shared" si="11"/>
        <v>-323</v>
      </c>
      <c r="J28" s="89">
        <f t="shared" si="11"/>
        <v>4932.6129999999994</v>
      </c>
      <c r="K28" s="105"/>
      <c r="L28" s="89">
        <f t="shared" ref="L28:Q28" si="12">+L19-L27</f>
        <v>4685.6920000000009</v>
      </c>
      <c r="M28" s="89">
        <f t="shared" si="12"/>
        <v>264.12099999999992</v>
      </c>
      <c r="N28" s="89">
        <f t="shared" si="12"/>
        <v>262.8</v>
      </c>
      <c r="O28" s="89">
        <f t="shared" si="12"/>
        <v>32.6</v>
      </c>
      <c r="P28" s="89">
        <f t="shared" si="12"/>
        <v>-260.20000000000005</v>
      </c>
      <c r="Q28" s="89">
        <f t="shared" si="12"/>
        <v>4985.012999999999</v>
      </c>
    </row>
    <row r="29" spans="1:17">
      <c r="A29" s="5"/>
      <c r="B29" s="104"/>
      <c r="C29" s="104"/>
      <c r="D29" s="104"/>
      <c r="E29" s="98"/>
      <c r="F29" s="95"/>
      <c r="G29" s="105"/>
      <c r="H29" s="90"/>
      <c r="I29" s="90"/>
      <c r="J29" s="91"/>
      <c r="K29" s="105"/>
      <c r="L29" s="98"/>
      <c r="M29" s="95"/>
      <c r="N29" s="105"/>
      <c r="O29" s="90"/>
      <c r="P29" s="90"/>
      <c r="Q29" s="91"/>
    </row>
    <row r="30" spans="1:17">
      <c r="A30" s="5" t="s">
        <v>37</v>
      </c>
      <c r="B30" s="104"/>
      <c r="C30" s="104"/>
      <c r="D30" s="104"/>
      <c r="E30" s="96"/>
      <c r="F30" s="97"/>
      <c r="G30" s="105"/>
      <c r="H30" s="90"/>
      <c r="I30" s="90"/>
      <c r="J30" s="94"/>
      <c r="K30" s="105"/>
      <c r="L30" s="96"/>
      <c r="M30" s="97"/>
      <c r="N30" s="105"/>
      <c r="O30" s="90"/>
      <c r="P30" s="90"/>
      <c r="Q30" s="94"/>
    </row>
    <row r="31" spans="1:17">
      <c r="A31" s="104" t="s">
        <v>38</v>
      </c>
      <c r="B31" s="104"/>
      <c r="C31" s="104"/>
      <c r="D31" s="104"/>
      <c r="E31" s="87">
        <f ca="1">'history of trading results'!P31</f>
        <v>272.74599999999998</v>
      </c>
      <c r="F31" s="87">
        <f ca="1">'history of trading results'!Q31</f>
        <v>14.355</v>
      </c>
      <c r="G31" s="88">
        <v>0</v>
      </c>
      <c r="H31" s="88">
        <v>0</v>
      </c>
      <c r="I31" s="90"/>
      <c r="J31" s="89">
        <f>SUM(E31:I31)</f>
        <v>287.101</v>
      </c>
      <c r="K31" s="105"/>
      <c r="L31" s="87">
        <f t="shared" ref="L31:P34" si="13">E31</f>
        <v>272.74599999999998</v>
      </c>
      <c r="M31" s="87">
        <f t="shared" si="13"/>
        <v>14.355</v>
      </c>
      <c r="N31" s="87">
        <f t="shared" si="13"/>
        <v>0</v>
      </c>
      <c r="O31" s="87">
        <f t="shared" si="13"/>
        <v>0</v>
      </c>
      <c r="P31" s="87">
        <f t="shared" si="13"/>
        <v>0</v>
      </c>
      <c r="Q31" s="89">
        <f>SUM(L31:P31)</f>
        <v>287.101</v>
      </c>
    </row>
    <row r="32" spans="1:17">
      <c r="A32" s="104" t="s">
        <v>40</v>
      </c>
      <c r="B32" s="104"/>
      <c r="C32" s="104"/>
      <c r="D32" s="104"/>
      <c r="E32" s="87">
        <f ca="1">'history of trading results'!P32</f>
        <v>102.167</v>
      </c>
      <c r="F32" s="87">
        <f ca="1">'history of trading results'!Q32</f>
        <v>5.0140000000000002</v>
      </c>
      <c r="G32" s="88">
        <v>0</v>
      </c>
      <c r="H32" s="88">
        <v>0</v>
      </c>
      <c r="I32" s="90"/>
      <c r="J32" s="89">
        <f>SUM(E32:I32)</f>
        <v>107.181</v>
      </c>
      <c r="K32" s="105"/>
      <c r="L32" s="87">
        <f t="shared" si="13"/>
        <v>102.167</v>
      </c>
      <c r="M32" s="87">
        <f t="shared" si="13"/>
        <v>5.0140000000000002</v>
      </c>
      <c r="N32" s="87">
        <f t="shared" si="13"/>
        <v>0</v>
      </c>
      <c r="O32" s="87">
        <f t="shared" si="13"/>
        <v>0</v>
      </c>
      <c r="P32" s="87">
        <f t="shared" si="13"/>
        <v>0</v>
      </c>
      <c r="Q32" s="89">
        <f>SUM(L32:P32)</f>
        <v>107.181</v>
      </c>
    </row>
    <row r="33" spans="1:17">
      <c r="A33" s="104" t="s">
        <v>41</v>
      </c>
      <c r="B33" s="104"/>
      <c r="C33" s="104"/>
      <c r="D33" s="104"/>
      <c r="E33" s="87">
        <f ca="1">'history of trading results'!P33</f>
        <v>668.88499999999999</v>
      </c>
      <c r="F33" s="87">
        <f ca="1">'history of trading results'!Q33</f>
        <v>-5.31</v>
      </c>
      <c r="G33" s="88">
        <v>0</v>
      </c>
      <c r="H33" s="88">
        <v>0</v>
      </c>
      <c r="I33" s="90"/>
      <c r="J33" s="89">
        <f>SUM(E33:I33)</f>
        <v>663.57500000000005</v>
      </c>
      <c r="K33" s="105"/>
      <c r="L33" s="87">
        <f t="shared" si="13"/>
        <v>668.88499999999999</v>
      </c>
      <c r="M33" s="87">
        <f t="shared" si="13"/>
        <v>-5.31</v>
      </c>
      <c r="N33" s="87">
        <f t="shared" si="13"/>
        <v>0</v>
      </c>
      <c r="O33" s="87">
        <f t="shared" si="13"/>
        <v>0</v>
      </c>
      <c r="P33" s="87">
        <f t="shared" si="13"/>
        <v>0</v>
      </c>
      <c r="Q33" s="89">
        <f>SUM(L33:P33)</f>
        <v>663.57500000000005</v>
      </c>
    </row>
    <row r="34" spans="1:17">
      <c r="A34" s="104" t="s">
        <v>42</v>
      </c>
      <c r="B34" s="104"/>
      <c r="C34" s="104"/>
      <c r="D34" s="104"/>
      <c r="E34" s="87">
        <f ca="1">'history of trading results'!P34</f>
        <v>293.24</v>
      </c>
      <c r="F34" s="87">
        <f ca="1">'history of trading results'!Q34</f>
        <v>35.131</v>
      </c>
      <c r="G34" s="88">
        <v>0</v>
      </c>
      <c r="H34" s="88">
        <v>0</v>
      </c>
      <c r="I34" s="90"/>
      <c r="J34" s="89">
        <f>SUM(E34:I34)</f>
        <v>328.37099999999998</v>
      </c>
      <c r="K34" s="105"/>
      <c r="L34" s="87">
        <f t="shared" si="13"/>
        <v>293.24</v>
      </c>
      <c r="M34" s="87">
        <f t="shared" si="13"/>
        <v>35.131</v>
      </c>
      <c r="N34" s="87">
        <f t="shared" si="13"/>
        <v>0</v>
      </c>
      <c r="O34" s="87">
        <f t="shared" si="13"/>
        <v>0</v>
      </c>
      <c r="P34" s="87">
        <f t="shared" si="13"/>
        <v>0</v>
      </c>
      <c r="Q34" s="89">
        <f>SUM(L34:P34)</f>
        <v>328.37099999999998</v>
      </c>
    </row>
    <row r="35" spans="1:17">
      <c r="A35" s="5"/>
      <c r="B35" s="104"/>
      <c r="C35" s="104"/>
      <c r="D35" s="104"/>
      <c r="E35" s="89">
        <f>SUM(E29:E34)</f>
        <v>1337.038</v>
      </c>
      <c r="F35" s="89">
        <f>SUM(F31:F34)</f>
        <v>49.19</v>
      </c>
      <c r="G35" s="89">
        <f>SUM(G31:G34)</f>
        <v>0</v>
      </c>
      <c r="H35" s="89">
        <f>SUM(H31:H34)</f>
        <v>0</v>
      </c>
      <c r="I35" s="89">
        <f>SUM(I31:I34)</f>
        <v>0</v>
      </c>
      <c r="J35" s="89">
        <f>SUM(J31:J34)</f>
        <v>1386.2280000000001</v>
      </c>
      <c r="K35" s="105"/>
      <c r="L35" s="89">
        <f>SUM(L29:L34)</f>
        <v>1337.038</v>
      </c>
      <c r="M35" s="89">
        <f>SUM(M31:M34)</f>
        <v>49.19</v>
      </c>
      <c r="N35" s="89">
        <f>SUM(N31:N34)</f>
        <v>0</v>
      </c>
      <c r="O35" s="89">
        <f>SUM(O31:O34)</f>
        <v>0</v>
      </c>
      <c r="P35" s="89">
        <f>SUM(P31:P34)</f>
        <v>0</v>
      </c>
      <c r="Q35" s="89">
        <f>SUM(Q31:Q34)</f>
        <v>1386.2280000000001</v>
      </c>
    </row>
    <row r="36" spans="1:17">
      <c r="A36" s="5"/>
      <c r="B36" s="104"/>
      <c r="C36" s="104"/>
      <c r="D36" s="104"/>
      <c r="E36" s="95"/>
      <c r="F36" s="95"/>
      <c r="G36" s="105"/>
      <c r="H36" s="90"/>
      <c r="I36" s="90"/>
      <c r="J36" s="91"/>
      <c r="K36" s="105"/>
      <c r="L36" s="95"/>
      <c r="M36" s="95"/>
      <c r="N36" s="105"/>
      <c r="O36" s="90"/>
      <c r="P36" s="90"/>
      <c r="Q36" s="91"/>
    </row>
    <row r="37" spans="1:17">
      <c r="A37" s="34" t="s">
        <v>43</v>
      </c>
      <c r="B37" s="104"/>
      <c r="C37" s="104"/>
      <c r="D37" s="104"/>
      <c r="E37" s="92"/>
      <c r="F37" s="93"/>
      <c r="G37" s="105"/>
      <c r="H37" s="90"/>
      <c r="I37" s="90"/>
      <c r="J37" s="89"/>
      <c r="K37" s="105"/>
      <c r="L37" s="92"/>
      <c r="M37" s="93"/>
      <c r="N37" s="105"/>
      <c r="O37" s="90"/>
      <c r="P37" s="90"/>
      <c r="Q37" s="89"/>
    </row>
    <row r="38" spans="1:17">
      <c r="A38" s="104" t="s">
        <v>38</v>
      </c>
      <c r="B38" s="141"/>
      <c r="C38" s="104"/>
      <c r="D38" s="104"/>
      <c r="E38" s="87">
        <f ca="1">'history of trading results'!P38</f>
        <v>423.49</v>
      </c>
      <c r="F38" s="87">
        <f ca="1">'history of trading results'!Q38</f>
        <v>0</v>
      </c>
      <c r="G38" s="88">
        <v>121.4</v>
      </c>
      <c r="H38" s="88">
        <v>0</v>
      </c>
      <c r="I38" s="88"/>
      <c r="J38" s="89">
        <f t="shared" ref="J38:J57" si="14">SUM(E38:I38)</f>
        <v>544.89</v>
      </c>
      <c r="K38" s="105"/>
      <c r="L38" s="87">
        <f>E38-17.4</f>
        <v>406.09000000000003</v>
      </c>
      <c r="M38" s="87">
        <f t="shared" ref="M38:M57" si="15">F38</f>
        <v>0</v>
      </c>
      <c r="N38" s="87">
        <f>G38-32.8</f>
        <v>88.600000000000009</v>
      </c>
      <c r="O38" s="87">
        <f>H38</f>
        <v>0</v>
      </c>
      <c r="P38" s="87">
        <f>I38</f>
        <v>0</v>
      </c>
      <c r="Q38" s="89">
        <f t="shared" ref="Q38:Q57" si="16">SUM(L38:P38)</f>
        <v>494.69000000000005</v>
      </c>
    </row>
    <row r="39" spans="1:17">
      <c r="A39" s="104" t="s">
        <v>44</v>
      </c>
      <c r="B39" s="104"/>
      <c r="C39" s="104"/>
      <c r="D39" s="104"/>
      <c r="E39" s="87">
        <f ca="1">'history of trading results'!P39</f>
        <v>173</v>
      </c>
      <c r="F39" s="87">
        <f ca="1">'history of trading results'!Q39</f>
        <v>0</v>
      </c>
      <c r="G39" s="88">
        <v>0</v>
      </c>
      <c r="H39" s="88">
        <v>0</v>
      </c>
      <c r="I39" s="88">
        <v>-173</v>
      </c>
      <c r="J39" s="89">
        <f t="shared" si="14"/>
        <v>0</v>
      </c>
      <c r="K39" s="105"/>
      <c r="L39" s="87">
        <f>E39-27.2</f>
        <v>145.80000000000001</v>
      </c>
      <c r="M39" s="87">
        <f t="shared" si="15"/>
        <v>0</v>
      </c>
      <c r="N39" s="87">
        <f>G39</f>
        <v>0</v>
      </c>
      <c r="O39" s="87">
        <f>H39</f>
        <v>0</v>
      </c>
      <c r="P39" s="87">
        <f>I39+27.2</f>
        <v>-145.80000000000001</v>
      </c>
      <c r="Q39" s="89">
        <f t="shared" si="16"/>
        <v>0</v>
      </c>
    </row>
    <row r="40" spans="1:17">
      <c r="A40" s="104" t="s">
        <v>45</v>
      </c>
      <c r="B40" s="104"/>
      <c r="C40" s="104"/>
      <c r="D40" s="104"/>
      <c r="E40" s="87">
        <f ca="1">'history of trading results'!P40</f>
        <v>34.387</v>
      </c>
      <c r="F40" s="87">
        <f ca="1">'history of trading results'!Q40</f>
        <v>0</v>
      </c>
      <c r="G40" s="88">
        <v>0</v>
      </c>
      <c r="H40" s="88">
        <v>0</v>
      </c>
      <c r="I40" s="88"/>
      <c r="J40" s="89">
        <f t="shared" si="14"/>
        <v>34.387</v>
      </c>
      <c r="K40" s="105"/>
      <c r="L40" s="87">
        <f>E40</f>
        <v>34.387</v>
      </c>
      <c r="M40" s="87">
        <f t="shared" si="15"/>
        <v>0</v>
      </c>
      <c r="N40" s="87">
        <f>G40</f>
        <v>0</v>
      </c>
      <c r="O40" s="87">
        <f>H40</f>
        <v>0</v>
      </c>
      <c r="P40" s="87">
        <f t="shared" ref="P40:P49" si="17">I40</f>
        <v>0</v>
      </c>
      <c r="Q40" s="89">
        <f t="shared" si="16"/>
        <v>34.387</v>
      </c>
    </row>
    <row r="41" spans="1:17">
      <c r="A41" s="104" t="s">
        <v>46</v>
      </c>
      <c r="B41" s="104"/>
      <c r="C41" s="104"/>
      <c r="D41" s="104"/>
      <c r="E41" s="87">
        <f ca="1">'history of trading results'!P41</f>
        <v>124.911</v>
      </c>
      <c r="F41" s="87">
        <f ca="1">'history of trading results'!Q41</f>
        <v>23.215</v>
      </c>
      <c r="G41" s="88">
        <v>5.5</v>
      </c>
      <c r="H41" s="88">
        <v>0</v>
      </c>
      <c r="I41" s="88"/>
      <c r="J41" s="89">
        <f t="shared" si="14"/>
        <v>153.626</v>
      </c>
      <c r="K41" s="105"/>
      <c r="L41" s="87">
        <f>E41-16.8-38.1</f>
        <v>70.010999999999996</v>
      </c>
      <c r="M41" s="87">
        <f t="shared" si="15"/>
        <v>23.215</v>
      </c>
      <c r="N41" s="87">
        <f>G41-6</f>
        <v>-0.5</v>
      </c>
      <c r="O41" s="87">
        <f t="shared" ref="O41:O57" si="18">H41</f>
        <v>0</v>
      </c>
      <c r="P41" s="87">
        <f t="shared" si="17"/>
        <v>0</v>
      </c>
      <c r="Q41" s="89">
        <f t="shared" si="16"/>
        <v>92.725999999999999</v>
      </c>
    </row>
    <row r="42" spans="1:17">
      <c r="A42" s="104" t="s">
        <v>47</v>
      </c>
      <c r="B42" s="104"/>
      <c r="C42" s="104"/>
      <c r="D42" s="104"/>
      <c r="E42" s="87">
        <f ca="1">'history of trading results'!P42</f>
        <v>31.132000000000001</v>
      </c>
      <c r="F42" s="87">
        <f ca="1">'history of trading results'!Q42</f>
        <v>0.65300000000000002</v>
      </c>
      <c r="G42" s="88">
        <v>0</v>
      </c>
      <c r="H42" s="88">
        <v>0</v>
      </c>
      <c r="I42" s="88"/>
      <c r="J42" s="89">
        <f t="shared" si="14"/>
        <v>31.785</v>
      </c>
      <c r="K42" s="105"/>
      <c r="L42" s="87">
        <f t="shared" ref="L42:L49" si="19">E42</f>
        <v>31.132000000000001</v>
      </c>
      <c r="M42" s="87">
        <f t="shared" si="15"/>
        <v>0.65300000000000002</v>
      </c>
      <c r="N42" s="87">
        <f t="shared" ref="N42:N52" si="20">G42</f>
        <v>0</v>
      </c>
      <c r="O42" s="87">
        <f t="shared" si="18"/>
        <v>0</v>
      </c>
      <c r="P42" s="87">
        <f t="shared" si="17"/>
        <v>0</v>
      </c>
      <c r="Q42" s="89">
        <f t="shared" si="16"/>
        <v>31.785</v>
      </c>
    </row>
    <row r="43" spans="1:17">
      <c r="A43" s="104" t="s">
        <v>48</v>
      </c>
      <c r="B43" s="104"/>
      <c r="C43" s="104"/>
      <c r="D43" s="104"/>
      <c r="E43" s="87">
        <f ca="1">'history of trading results'!P43</f>
        <v>26.609000000000002</v>
      </c>
      <c r="F43" s="87">
        <f ca="1">'history of trading results'!Q43</f>
        <v>0.89200000000000002</v>
      </c>
      <c r="G43" s="88">
        <v>0</v>
      </c>
      <c r="H43" s="88">
        <v>0</v>
      </c>
      <c r="I43" s="88"/>
      <c r="J43" s="89">
        <f t="shared" si="14"/>
        <v>27.501000000000001</v>
      </c>
      <c r="K43" s="105"/>
      <c r="L43" s="87">
        <f t="shared" si="19"/>
        <v>26.609000000000002</v>
      </c>
      <c r="M43" s="87">
        <f t="shared" si="15"/>
        <v>0.89200000000000002</v>
      </c>
      <c r="N43" s="87">
        <f t="shared" si="20"/>
        <v>0</v>
      </c>
      <c r="O43" s="87">
        <f t="shared" si="18"/>
        <v>0</v>
      </c>
      <c r="P43" s="87">
        <f t="shared" si="17"/>
        <v>0</v>
      </c>
      <c r="Q43" s="89">
        <f t="shared" si="16"/>
        <v>27.501000000000001</v>
      </c>
    </row>
    <row r="44" spans="1:17">
      <c r="A44" s="104" t="s">
        <v>49</v>
      </c>
      <c r="B44" s="104"/>
      <c r="C44" s="104"/>
      <c r="D44" s="104"/>
      <c r="E44" s="87">
        <f ca="1">'history of trading results'!P44</f>
        <v>78.912000000000006</v>
      </c>
      <c r="F44" s="87">
        <f ca="1">'history of trading results'!Q44</f>
        <v>1.1399999999999999</v>
      </c>
      <c r="G44" s="88">
        <v>0</v>
      </c>
      <c r="H44" s="88">
        <v>0</v>
      </c>
      <c r="I44" s="88"/>
      <c r="J44" s="89">
        <f t="shared" si="14"/>
        <v>80.052000000000007</v>
      </c>
      <c r="K44" s="105"/>
      <c r="L44" s="87">
        <f t="shared" si="19"/>
        <v>78.912000000000006</v>
      </c>
      <c r="M44" s="87">
        <f t="shared" si="15"/>
        <v>1.1399999999999999</v>
      </c>
      <c r="N44" s="87">
        <f t="shared" si="20"/>
        <v>0</v>
      </c>
      <c r="O44" s="87">
        <f t="shared" si="18"/>
        <v>0</v>
      </c>
      <c r="P44" s="87">
        <f t="shared" si="17"/>
        <v>0</v>
      </c>
      <c r="Q44" s="89">
        <f t="shared" si="16"/>
        <v>80.052000000000007</v>
      </c>
    </row>
    <row r="45" spans="1:17">
      <c r="A45" s="104" t="s">
        <v>50</v>
      </c>
      <c r="B45" s="104"/>
      <c r="C45" s="104"/>
      <c r="D45" s="104"/>
      <c r="E45" s="87">
        <f ca="1">'history of trading results'!P45</f>
        <v>13.481999999999999</v>
      </c>
      <c r="F45" s="87">
        <f ca="1">'history of trading results'!Q45</f>
        <v>-2.5999999999999999E-2</v>
      </c>
      <c r="G45" s="88">
        <v>0</v>
      </c>
      <c r="H45" s="88">
        <v>0</v>
      </c>
      <c r="I45" s="88"/>
      <c r="J45" s="89">
        <f t="shared" si="14"/>
        <v>13.456</v>
      </c>
      <c r="K45" s="105"/>
      <c r="L45" s="87">
        <f t="shared" si="19"/>
        <v>13.481999999999999</v>
      </c>
      <c r="M45" s="87">
        <f t="shared" si="15"/>
        <v>-2.5999999999999999E-2</v>
      </c>
      <c r="N45" s="87">
        <f t="shared" si="20"/>
        <v>0</v>
      </c>
      <c r="O45" s="87">
        <f t="shared" si="18"/>
        <v>0</v>
      </c>
      <c r="P45" s="87">
        <f t="shared" si="17"/>
        <v>0</v>
      </c>
      <c r="Q45" s="89">
        <f t="shared" si="16"/>
        <v>13.456</v>
      </c>
    </row>
    <row r="46" spans="1:17">
      <c r="A46" s="104" t="s">
        <v>51</v>
      </c>
      <c r="B46" s="104"/>
      <c r="C46" s="104"/>
      <c r="D46" s="104"/>
      <c r="E46" s="87">
        <f ca="1">'history of trading results'!P46</f>
        <v>24.901</v>
      </c>
      <c r="F46" s="87">
        <f ca="1">'history of trading results'!Q46</f>
        <v>0</v>
      </c>
      <c r="G46" s="88">
        <v>0</v>
      </c>
      <c r="H46" s="88">
        <v>0</v>
      </c>
      <c r="I46" s="88"/>
      <c r="J46" s="89">
        <f t="shared" si="14"/>
        <v>24.901</v>
      </c>
      <c r="K46" s="105"/>
      <c r="L46" s="87">
        <f t="shared" si="19"/>
        <v>24.901</v>
      </c>
      <c r="M46" s="87">
        <f t="shared" si="15"/>
        <v>0</v>
      </c>
      <c r="N46" s="87">
        <f t="shared" si="20"/>
        <v>0</v>
      </c>
      <c r="O46" s="87">
        <f t="shared" si="18"/>
        <v>0</v>
      </c>
      <c r="P46" s="87">
        <f t="shared" si="17"/>
        <v>0</v>
      </c>
      <c r="Q46" s="89">
        <f t="shared" si="16"/>
        <v>24.901</v>
      </c>
    </row>
    <row r="47" spans="1:17">
      <c r="A47" s="104" t="s">
        <v>52</v>
      </c>
      <c r="B47" s="104"/>
      <c r="C47" s="104"/>
      <c r="D47" s="104"/>
      <c r="E47" s="87">
        <f ca="1">'history of trading results'!P47</f>
        <v>19.209</v>
      </c>
      <c r="F47" s="87">
        <f ca="1">'history of trading results'!Q47</f>
        <v>0.91400000000000003</v>
      </c>
      <c r="G47" s="88">
        <v>0.2</v>
      </c>
      <c r="H47" s="88">
        <v>0</v>
      </c>
      <c r="I47" s="88"/>
      <c r="J47" s="89">
        <f t="shared" si="14"/>
        <v>20.323</v>
      </c>
      <c r="K47" s="105"/>
      <c r="L47" s="87">
        <f t="shared" si="19"/>
        <v>19.209</v>
      </c>
      <c r="M47" s="87">
        <f t="shared" si="15"/>
        <v>0.91400000000000003</v>
      </c>
      <c r="N47" s="87">
        <f t="shared" si="20"/>
        <v>0.2</v>
      </c>
      <c r="O47" s="87">
        <f t="shared" si="18"/>
        <v>0</v>
      </c>
      <c r="P47" s="87">
        <f t="shared" si="17"/>
        <v>0</v>
      </c>
      <c r="Q47" s="89">
        <f t="shared" si="16"/>
        <v>20.323</v>
      </c>
    </row>
    <row r="48" spans="1:17">
      <c r="A48" s="104" t="s">
        <v>53</v>
      </c>
      <c r="B48" s="104"/>
      <c r="C48" s="104"/>
      <c r="D48" s="104"/>
      <c r="E48" s="87">
        <f ca="1">'history of trading results'!P48</f>
        <v>15.988</v>
      </c>
      <c r="F48" s="87">
        <f ca="1">'history of trading results'!Q48</f>
        <v>0</v>
      </c>
      <c r="G48" s="88">
        <v>0</v>
      </c>
      <c r="H48" s="88">
        <v>0</v>
      </c>
      <c r="I48" s="88"/>
      <c r="J48" s="89">
        <f t="shared" si="14"/>
        <v>15.988</v>
      </c>
      <c r="K48" s="105"/>
      <c r="L48" s="87">
        <f t="shared" si="19"/>
        <v>15.988</v>
      </c>
      <c r="M48" s="87">
        <f t="shared" si="15"/>
        <v>0</v>
      </c>
      <c r="N48" s="87">
        <f t="shared" si="20"/>
        <v>0</v>
      </c>
      <c r="O48" s="87">
        <f t="shared" si="18"/>
        <v>0</v>
      </c>
      <c r="P48" s="87">
        <f t="shared" si="17"/>
        <v>0</v>
      </c>
      <c r="Q48" s="89">
        <f t="shared" si="16"/>
        <v>15.988</v>
      </c>
    </row>
    <row r="49" spans="1:17">
      <c r="A49" s="12" t="s">
        <v>54</v>
      </c>
      <c r="B49" s="104"/>
      <c r="C49" s="104"/>
      <c r="D49" s="104"/>
      <c r="E49" s="87">
        <f ca="1">'history of trading results'!P49</f>
        <v>29.535</v>
      </c>
      <c r="F49" s="87">
        <f ca="1">'history of trading results'!Q49</f>
        <v>0</v>
      </c>
      <c r="G49" s="88">
        <v>0.8</v>
      </c>
      <c r="H49" s="88">
        <v>0</v>
      </c>
      <c r="I49" s="88"/>
      <c r="J49" s="89">
        <f t="shared" si="14"/>
        <v>30.335000000000001</v>
      </c>
      <c r="K49" s="105"/>
      <c r="L49" s="87">
        <f t="shared" si="19"/>
        <v>29.535</v>
      </c>
      <c r="M49" s="87">
        <f t="shared" si="15"/>
        <v>0</v>
      </c>
      <c r="N49" s="87">
        <f t="shared" si="20"/>
        <v>0.8</v>
      </c>
      <c r="O49" s="87">
        <f t="shared" si="18"/>
        <v>0</v>
      </c>
      <c r="P49" s="87">
        <f t="shared" si="17"/>
        <v>0</v>
      </c>
      <c r="Q49" s="89">
        <f t="shared" si="16"/>
        <v>30.335000000000001</v>
      </c>
    </row>
    <row r="50" spans="1:17">
      <c r="A50" s="104" t="s">
        <v>55</v>
      </c>
      <c r="B50" s="104"/>
      <c r="C50" s="104"/>
      <c r="D50" s="104"/>
      <c r="E50" s="87">
        <f ca="1">'history of trading results'!P50</f>
        <v>240.90899999999999</v>
      </c>
      <c r="F50" s="87">
        <f ca="1">'history of trading results'!Q50</f>
        <v>0</v>
      </c>
      <c r="G50" s="88">
        <v>0</v>
      </c>
      <c r="H50" s="88">
        <v>0</v>
      </c>
      <c r="I50" s="88">
        <v>-150</v>
      </c>
      <c r="J50" s="89">
        <f t="shared" si="14"/>
        <v>90.908999999999992</v>
      </c>
      <c r="K50" s="105"/>
      <c r="L50" s="87">
        <f>E50+5.4-41</f>
        <v>205.309</v>
      </c>
      <c r="M50" s="87">
        <f t="shared" si="15"/>
        <v>0</v>
      </c>
      <c r="N50" s="87">
        <f t="shared" si="20"/>
        <v>0</v>
      </c>
      <c r="O50" s="87">
        <f t="shared" si="18"/>
        <v>0</v>
      </c>
      <c r="P50" s="87">
        <f>I50+41-5.4</f>
        <v>-114.4</v>
      </c>
      <c r="Q50" s="89">
        <f t="shared" si="16"/>
        <v>90.908999999999992</v>
      </c>
    </row>
    <row r="51" spans="1:17">
      <c r="A51" s="104" t="s">
        <v>56</v>
      </c>
      <c r="B51" s="104"/>
      <c r="C51" s="104"/>
      <c r="D51" s="104"/>
      <c r="E51" s="87">
        <f ca="1">'history of trading results'!P51</f>
        <v>37.805</v>
      </c>
      <c r="F51" s="87">
        <f ca="1">'history of trading results'!Q51</f>
        <v>0</v>
      </c>
      <c r="G51" s="88">
        <v>0</v>
      </c>
      <c r="H51" s="88">
        <v>0</v>
      </c>
      <c r="I51" s="88"/>
      <c r="J51" s="89">
        <f t="shared" si="14"/>
        <v>37.805</v>
      </c>
      <c r="K51" s="105"/>
      <c r="L51" s="87">
        <f t="shared" ref="L51:L57" si="21">E51</f>
        <v>37.805</v>
      </c>
      <c r="M51" s="87">
        <f t="shared" si="15"/>
        <v>0</v>
      </c>
      <c r="N51" s="87">
        <f t="shared" si="20"/>
        <v>0</v>
      </c>
      <c r="O51" s="87">
        <f t="shared" si="18"/>
        <v>0</v>
      </c>
      <c r="P51" s="87">
        <f t="shared" ref="P51:P57" si="22">I51</f>
        <v>0</v>
      </c>
      <c r="Q51" s="89">
        <f t="shared" si="16"/>
        <v>37.805</v>
      </c>
    </row>
    <row r="52" spans="1:17">
      <c r="A52" s="104" t="s">
        <v>57</v>
      </c>
      <c r="B52" s="104"/>
      <c r="C52" s="104"/>
      <c r="D52" s="104"/>
      <c r="E52" s="87">
        <f ca="1">'history of trading results'!P52</f>
        <v>49.975000000000001</v>
      </c>
      <c r="F52" s="87">
        <f ca="1">'history of trading results'!Q52</f>
        <v>0</v>
      </c>
      <c r="G52" s="88">
        <v>0</v>
      </c>
      <c r="H52" s="88">
        <v>0</v>
      </c>
      <c r="I52" s="88"/>
      <c r="J52" s="89">
        <f t="shared" si="14"/>
        <v>49.975000000000001</v>
      </c>
      <c r="K52" s="105"/>
      <c r="L52" s="87">
        <f t="shared" si="21"/>
        <v>49.975000000000001</v>
      </c>
      <c r="M52" s="87">
        <f t="shared" si="15"/>
        <v>0</v>
      </c>
      <c r="N52" s="87">
        <f t="shared" si="20"/>
        <v>0</v>
      </c>
      <c r="O52" s="87">
        <f t="shared" si="18"/>
        <v>0</v>
      </c>
      <c r="P52" s="87">
        <f t="shared" si="22"/>
        <v>0</v>
      </c>
      <c r="Q52" s="89">
        <f t="shared" si="16"/>
        <v>49.975000000000001</v>
      </c>
    </row>
    <row r="53" spans="1:17">
      <c r="A53" s="104" t="s">
        <v>58</v>
      </c>
      <c r="B53" s="104"/>
      <c r="C53" s="104"/>
      <c r="D53" s="104"/>
      <c r="E53" s="87">
        <f ca="1">'history of trading results'!P53</f>
        <v>109.794</v>
      </c>
      <c r="F53" s="87">
        <f ca="1">'history of trading results'!Q53</f>
        <v>12.32</v>
      </c>
      <c r="G53" s="88">
        <f>50+3.7</f>
        <v>53.7</v>
      </c>
      <c r="H53" s="88">
        <f>6.4+1.6</f>
        <v>8</v>
      </c>
      <c r="I53" s="88"/>
      <c r="J53" s="89">
        <f t="shared" si="14"/>
        <v>183.81400000000002</v>
      </c>
      <c r="K53" s="105"/>
      <c r="L53" s="87">
        <f t="shared" si="21"/>
        <v>109.794</v>
      </c>
      <c r="M53" s="87">
        <f t="shared" si="15"/>
        <v>12.32</v>
      </c>
      <c r="N53" s="87">
        <f>G53-27.2</f>
        <v>26.500000000000004</v>
      </c>
      <c r="O53" s="87">
        <f t="shared" si="18"/>
        <v>8</v>
      </c>
      <c r="P53" s="87">
        <f t="shared" si="22"/>
        <v>0</v>
      </c>
      <c r="Q53" s="89">
        <f t="shared" si="16"/>
        <v>156.614</v>
      </c>
    </row>
    <row r="54" spans="1:17">
      <c r="A54" s="104" t="s">
        <v>59</v>
      </c>
      <c r="B54" s="104"/>
      <c r="C54" s="104"/>
      <c r="D54" s="104"/>
      <c r="E54" s="87">
        <f ca="1">'history of trading results'!P54</f>
        <v>133.52099999999999</v>
      </c>
      <c r="F54" s="87">
        <f ca="1">'history of trading results'!Q54</f>
        <v>30.558</v>
      </c>
      <c r="G54" s="88">
        <f>1.2+7.8</f>
        <v>9</v>
      </c>
      <c r="H54" s="88">
        <v>1</v>
      </c>
      <c r="I54" s="88"/>
      <c r="J54" s="89">
        <f t="shared" si="14"/>
        <v>174.07899999999998</v>
      </c>
      <c r="K54" s="105"/>
      <c r="L54" s="87">
        <f t="shared" si="21"/>
        <v>133.52099999999999</v>
      </c>
      <c r="M54" s="87">
        <f t="shared" si="15"/>
        <v>30.558</v>
      </c>
      <c r="N54" s="87">
        <f>G54</f>
        <v>9</v>
      </c>
      <c r="O54" s="87">
        <f t="shared" si="18"/>
        <v>1</v>
      </c>
      <c r="P54" s="87">
        <f t="shared" si="22"/>
        <v>0</v>
      </c>
      <c r="Q54" s="89">
        <f t="shared" si="16"/>
        <v>174.07899999999998</v>
      </c>
    </row>
    <row r="55" spans="1:17">
      <c r="A55" s="12" t="s">
        <v>60</v>
      </c>
      <c r="B55" s="104"/>
      <c r="C55" s="104"/>
      <c r="D55" s="104"/>
      <c r="E55" s="87">
        <f ca="1">'history of trading results'!P55</f>
        <v>74.322999999999993</v>
      </c>
      <c r="F55" s="87">
        <f ca="1">'history of trading results'!Q55</f>
        <v>0</v>
      </c>
      <c r="G55" s="88">
        <v>0</v>
      </c>
      <c r="H55" s="88">
        <v>0</v>
      </c>
      <c r="I55" s="88"/>
      <c r="J55" s="89">
        <f t="shared" si="14"/>
        <v>74.322999999999993</v>
      </c>
      <c r="K55" s="105"/>
      <c r="L55" s="87">
        <f t="shared" si="21"/>
        <v>74.322999999999993</v>
      </c>
      <c r="M55" s="87">
        <f t="shared" si="15"/>
        <v>0</v>
      </c>
      <c r="N55" s="87">
        <f>G55</f>
        <v>0</v>
      </c>
      <c r="O55" s="87">
        <f t="shared" si="18"/>
        <v>0</v>
      </c>
      <c r="P55" s="87">
        <f t="shared" si="22"/>
        <v>0</v>
      </c>
      <c r="Q55" s="89">
        <f t="shared" si="16"/>
        <v>74.322999999999993</v>
      </c>
    </row>
    <row r="56" spans="1:17">
      <c r="A56" s="104" t="s">
        <v>61</v>
      </c>
      <c r="B56" s="104"/>
      <c r="C56" s="104"/>
      <c r="D56" s="104"/>
      <c r="E56" s="87">
        <f ca="1">'history of trading results'!P56</f>
        <v>34.158000000000001</v>
      </c>
      <c r="F56" s="87">
        <f ca="1">'history of trading results'!Q56</f>
        <v>2.1230000000000002</v>
      </c>
      <c r="G56" s="88">
        <v>0</v>
      </c>
      <c r="H56" s="88">
        <v>0</v>
      </c>
      <c r="I56" s="88"/>
      <c r="J56" s="89">
        <f t="shared" si="14"/>
        <v>36.280999999999999</v>
      </c>
      <c r="K56" s="105"/>
      <c r="L56" s="87">
        <f t="shared" si="21"/>
        <v>34.158000000000001</v>
      </c>
      <c r="M56" s="87">
        <f t="shared" si="15"/>
        <v>2.1230000000000002</v>
      </c>
      <c r="N56" s="87">
        <f>G56</f>
        <v>0</v>
      </c>
      <c r="O56" s="87">
        <f t="shared" si="18"/>
        <v>0</v>
      </c>
      <c r="P56" s="87">
        <f t="shared" si="22"/>
        <v>0</v>
      </c>
      <c r="Q56" s="89">
        <f t="shared" si="16"/>
        <v>36.280999999999999</v>
      </c>
    </row>
    <row r="57" spans="1:17">
      <c r="A57" s="104" t="s">
        <v>62</v>
      </c>
      <c r="B57" s="104"/>
      <c r="C57" s="104"/>
      <c r="D57" s="104"/>
      <c r="E57" s="87">
        <f ca="1">'history of trading results'!P57</f>
        <v>26.734999999999999</v>
      </c>
      <c r="F57" s="87">
        <f ca="1">'history of trading results'!Q57</f>
        <v>27.873000000000001</v>
      </c>
      <c r="G57" s="88">
        <v>0</v>
      </c>
      <c r="H57" s="88">
        <v>0</v>
      </c>
      <c r="I57" s="88"/>
      <c r="J57" s="89">
        <f t="shared" si="14"/>
        <v>54.608000000000004</v>
      </c>
      <c r="K57" s="105"/>
      <c r="L57" s="87">
        <f t="shared" si="21"/>
        <v>26.734999999999999</v>
      </c>
      <c r="M57" s="87">
        <f t="shared" si="15"/>
        <v>27.873000000000001</v>
      </c>
      <c r="N57" s="87">
        <f>G57</f>
        <v>0</v>
      </c>
      <c r="O57" s="87">
        <f t="shared" si="18"/>
        <v>0</v>
      </c>
      <c r="P57" s="87">
        <f t="shared" si="22"/>
        <v>0</v>
      </c>
      <c r="Q57" s="89">
        <f t="shared" si="16"/>
        <v>54.608000000000004</v>
      </c>
    </row>
    <row r="58" spans="1:17">
      <c r="A58" s="104" t="s">
        <v>63</v>
      </c>
      <c r="B58" s="104"/>
      <c r="C58" s="104"/>
      <c r="D58" s="104"/>
      <c r="E58" s="87"/>
      <c r="F58" s="99"/>
      <c r="G58" s="105"/>
      <c r="H58" s="90"/>
      <c r="I58" s="90"/>
      <c r="J58" s="89"/>
      <c r="K58" s="105"/>
      <c r="L58" s="87"/>
      <c r="M58" s="99"/>
      <c r="N58" s="105"/>
      <c r="O58" s="90"/>
      <c r="P58" s="90"/>
      <c r="Q58" s="89"/>
    </row>
    <row r="59" spans="1:17">
      <c r="A59" s="5" t="s">
        <v>64</v>
      </c>
      <c r="B59" s="104"/>
      <c r="C59" s="104"/>
      <c r="D59" s="104"/>
      <c r="E59" s="89">
        <f t="shared" ref="E59:J59" si="23">SUM(E38:E58)</f>
        <v>1702.7759999999998</v>
      </c>
      <c r="F59" s="89">
        <f t="shared" si="23"/>
        <v>99.662000000000006</v>
      </c>
      <c r="G59" s="89">
        <f t="shared" si="23"/>
        <v>190.60000000000002</v>
      </c>
      <c r="H59" s="89">
        <f t="shared" si="23"/>
        <v>9</v>
      </c>
      <c r="I59" s="89">
        <f t="shared" si="23"/>
        <v>-323</v>
      </c>
      <c r="J59" s="89">
        <f t="shared" si="23"/>
        <v>1679.0379999999998</v>
      </c>
      <c r="K59" s="105"/>
      <c r="L59" s="89">
        <f t="shared" ref="L59:Q59" si="24">SUM(L38:L58)</f>
        <v>1567.6759999999999</v>
      </c>
      <c r="M59" s="89">
        <f t="shared" si="24"/>
        <v>99.662000000000006</v>
      </c>
      <c r="N59" s="89">
        <f t="shared" si="24"/>
        <v>124.60000000000001</v>
      </c>
      <c r="O59" s="89">
        <f t="shared" si="24"/>
        <v>9</v>
      </c>
      <c r="P59" s="89">
        <f t="shared" si="24"/>
        <v>-260.20000000000005</v>
      </c>
      <c r="Q59" s="89">
        <f t="shared" si="24"/>
        <v>1540.7379999999998</v>
      </c>
    </row>
    <row r="60" spans="1:17">
      <c r="A60" s="5" t="s">
        <v>65</v>
      </c>
      <c r="B60" s="104"/>
      <c r="C60" s="104"/>
      <c r="D60" s="104"/>
      <c r="E60" s="89">
        <f t="shared" ref="E60:J60" si="25">+E28-E35-E59</f>
        <v>1645.8780000000011</v>
      </c>
      <c r="F60" s="89">
        <f t="shared" si="25"/>
        <v>62.868999999999943</v>
      </c>
      <c r="G60" s="89">
        <f t="shared" si="25"/>
        <v>132.39999999999998</v>
      </c>
      <c r="H60" s="89">
        <f t="shared" si="25"/>
        <v>26.200000000000003</v>
      </c>
      <c r="I60" s="89">
        <f t="shared" si="25"/>
        <v>0</v>
      </c>
      <c r="J60" s="89">
        <f t="shared" si="25"/>
        <v>1867.3469999999995</v>
      </c>
      <c r="K60" s="105"/>
      <c r="L60" s="89">
        <f t="shared" ref="L60:Q60" si="26">+L28-L35-L59</f>
        <v>1780.978000000001</v>
      </c>
      <c r="M60" s="89">
        <f t="shared" si="26"/>
        <v>115.26899999999992</v>
      </c>
      <c r="N60" s="89">
        <f t="shared" si="26"/>
        <v>138.19999999999999</v>
      </c>
      <c r="O60" s="89">
        <f t="shared" si="26"/>
        <v>23.6</v>
      </c>
      <c r="P60" s="89">
        <f t="shared" si="26"/>
        <v>0</v>
      </c>
      <c r="Q60" s="89">
        <f t="shared" si="26"/>
        <v>2058.0469999999991</v>
      </c>
    </row>
    <row r="61" spans="1:17">
      <c r="A61" s="5" t="s">
        <v>139</v>
      </c>
      <c r="B61" s="104"/>
      <c r="C61" s="104"/>
      <c r="D61" s="104"/>
      <c r="E61" s="90"/>
      <c r="F61" s="90"/>
      <c r="G61" s="90">
        <f>-E62</f>
        <v>300</v>
      </c>
      <c r="H61" s="90"/>
      <c r="I61" s="90"/>
      <c r="J61" s="89">
        <f>SUM(E61:I61)</f>
        <v>300</v>
      </c>
      <c r="K61" s="105"/>
      <c r="L61" s="90"/>
      <c r="M61" s="90"/>
      <c r="N61" s="87">
        <f>G61</f>
        <v>300</v>
      </c>
      <c r="O61" s="90"/>
      <c r="P61" s="90"/>
      <c r="Q61" s="89">
        <f>SUM(L61:P61)</f>
        <v>300</v>
      </c>
    </row>
    <row r="62" spans="1:17">
      <c r="A62" s="5" t="s">
        <v>140</v>
      </c>
      <c r="B62" s="104"/>
      <c r="C62" s="104"/>
      <c r="D62" s="104"/>
      <c r="E62" s="88">
        <v>-300</v>
      </c>
      <c r="F62" s="90"/>
      <c r="G62" s="88">
        <v>-400.1</v>
      </c>
      <c r="H62" s="90"/>
      <c r="I62" s="90"/>
      <c r="J62" s="89">
        <f>SUM(E62:I62)</f>
        <v>-700.1</v>
      </c>
      <c r="K62" s="105"/>
      <c r="L62" s="87">
        <f>E62</f>
        <v>-300</v>
      </c>
      <c r="M62" s="90"/>
      <c r="N62" s="87">
        <f>G62</f>
        <v>-400.1</v>
      </c>
      <c r="O62" s="90"/>
      <c r="P62" s="90"/>
      <c r="Q62" s="89">
        <f>SUM(L62:P62)</f>
        <v>-700.1</v>
      </c>
    </row>
    <row r="63" spans="1:17">
      <c r="A63" s="5" t="s">
        <v>141</v>
      </c>
      <c r="B63" s="104"/>
      <c r="C63" s="104"/>
      <c r="D63" s="104"/>
      <c r="E63" s="157">
        <f>SUM(E60:E62)</f>
        <v>1345.8780000000011</v>
      </c>
      <c r="F63" s="157">
        <f>SUM(F60:F62)</f>
        <v>62.868999999999943</v>
      </c>
      <c r="G63" s="157">
        <f>SUM(G60:G62)</f>
        <v>32.299999999999955</v>
      </c>
      <c r="H63" s="157">
        <f>SUM(H60:H62)</f>
        <v>26.200000000000003</v>
      </c>
      <c r="I63" s="157">
        <f>SUM(I60:I62)</f>
        <v>0</v>
      </c>
      <c r="J63" s="158">
        <f>SUM(E63:I63)</f>
        <v>1467.247000000001</v>
      </c>
      <c r="K63" s="105"/>
      <c r="L63" s="157">
        <f>SUM(L60:L62)</f>
        <v>1480.978000000001</v>
      </c>
      <c r="M63" s="157">
        <f>SUM(M60:M62)</f>
        <v>115.26899999999992</v>
      </c>
      <c r="N63" s="157">
        <f>SUM(N60:N62)</f>
        <v>38.099999999999966</v>
      </c>
      <c r="O63" s="157">
        <f>SUM(O60:O62)</f>
        <v>23.6</v>
      </c>
      <c r="P63" s="157">
        <f>SUM(P60:P62)</f>
        <v>0</v>
      </c>
      <c r="Q63" s="158">
        <f>SUM(L63:P63)</f>
        <v>1657.9470000000008</v>
      </c>
    </row>
    <row r="64" spans="1:17">
      <c r="A64" s="12"/>
      <c r="B64" s="104"/>
      <c r="C64" s="104"/>
      <c r="D64" s="104"/>
      <c r="E64" s="90"/>
      <c r="F64" s="90"/>
      <c r="G64" s="90"/>
      <c r="H64" s="90"/>
      <c r="I64" s="90"/>
      <c r="J64" s="89"/>
      <c r="K64" s="105"/>
      <c r="L64" s="105"/>
      <c r="M64" s="105"/>
      <c r="N64" s="105"/>
      <c r="O64" s="105"/>
      <c r="P64" s="105"/>
      <c r="Q64" s="105"/>
    </row>
    <row r="65" spans="1:17">
      <c r="A65" s="5" t="s">
        <v>142</v>
      </c>
      <c r="B65" s="104"/>
      <c r="C65" s="104"/>
      <c r="D65" s="104"/>
      <c r="E65" s="90">
        <f>E60</f>
        <v>1645.8780000000011</v>
      </c>
      <c r="F65" s="90">
        <f>F60</f>
        <v>62.868999999999943</v>
      </c>
      <c r="G65" s="90">
        <f>G60</f>
        <v>132.39999999999998</v>
      </c>
      <c r="H65" s="90">
        <f>H60</f>
        <v>26.200000000000003</v>
      </c>
      <c r="I65" s="104"/>
      <c r="J65" s="89">
        <f>SUM(E65:I65)</f>
        <v>1867.3470000000009</v>
      </c>
      <c r="K65" s="105"/>
      <c r="L65" s="105"/>
      <c r="M65" s="105"/>
      <c r="N65" s="105"/>
      <c r="O65" s="105"/>
      <c r="P65" s="105"/>
      <c r="Q65" s="105"/>
    </row>
    <row r="66" spans="1:17">
      <c r="A66" s="5" t="s">
        <v>143</v>
      </c>
      <c r="B66" s="104"/>
      <c r="C66" s="104"/>
      <c r="D66" s="104"/>
      <c r="E66" s="100"/>
      <c r="F66" s="100"/>
      <c r="G66" s="100"/>
      <c r="H66" s="90"/>
      <c r="I66" s="104"/>
      <c r="J66" s="89"/>
      <c r="K66" s="105"/>
      <c r="L66" s="105"/>
      <c r="M66" s="105"/>
      <c r="N66" s="105"/>
      <c r="O66" s="105"/>
      <c r="P66" s="105"/>
      <c r="Q66" s="105"/>
    </row>
    <row r="67" spans="1:17">
      <c r="A67" s="12" t="s">
        <v>144</v>
      </c>
      <c r="B67" s="104"/>
      <c r="C67" s="104"/>
      <c r="D67" s="104"/>
      <c r="E67" s="100">
        <f>(22.7-14+5.7+5.6)/1.15</f>
        <v>17.39130434782609</v>
      </c>
      <c r="F67" s="100">
        <f>(34.7+3.7+6)/1.17</f>
        <v>37.948717948717956</v>
      </c>
      <c r="G67" s="100">
        <f>(12+0.8+12+0.8+7.2)</f>
        <v>32.800000000000004</v>
      </c>
      <c r="H67" s="90"/>
      <c r="I67" s="104"/>
      <c r="J67" s="89">
        <f t="shared" ref="J67:J74" si="27">SUM(E67:I67)</f>
        <v>88.140022296544061</v>
      </c>
      <c r="K67" s="105"/>
      <c r="L67" s="101"/>
      <c r="M67" s="105"/>
      <c r="N67" s="105"/>
      <c r="O67" s="105"/>
      <c r="P67" s="105"/>
      <c r="Q67" s="105"/>
    </row>
    <row r="68" spans="1:17">
      <c r="A68" s="12" t="s">
        <v>145</v>
      </c>
      <c r="B68" s="104"/>
      <c r="C68" s="104"/>
      <c r="D68" s="104"/>
      <c r="E68" s="100">
        <f>(21.9*2)/1.15</f>
        <v>38.086956521739133</v>
      </c>
      <c r="F68" s="100">
        <f>(2.7+2.2)</f>
        <v>4.9000000000000004</v>
      </c>
      <c r="G68" s="100"/>
      <c r="H68" s="90"/>
      <c r="I68" s="104"/>
      <c r="J68" s="89">
        <f t="shared" si="27"/>
        <v>42.986956521739131</v>
      </c>
      <c r="K68" s="105"/>
      <c r="L68" s="101" t="s">
        <v>146</v>
      </c>
      <c r="M68" s="105"/>
      <c r="N68" s="105"/>
      <c r="O68" s="105"/>
      <c r="P68" s="105"/>
      <c r="Q68" s="105"/>
    </row>
    <row r="69" spans="1:17">
      <c r="A69" s="12" t="s">
        <v>147</v>
      </c>
      <c r="B69" s="104"/>
      <c r="C69" s="104"/>
      <c r="D69" s="104"/>
      <c r="E69" s="100">
        <f>1.4*12</f>
        <v>16.799999999999997</v>
      </c>
      <c r="F69" s="100"/>
      <c r="G69" s="100">
        <f>0.5*12</f>
        <v>6</v>
      </c>
      <c r="H69" s="90"/>
      <c r="I69" s="104"/>
      <c r="J69" s="89">
        <f t="shared" si="27"/>
        <v>22.799999999999997</v>
      </c>
      <c r="K69" s="105"/>
      <c r="L69" s="101"/>
      <c r="M69" s="105"/>
      <c r="N69" s="105"/>
      <c r="O69" s="105"/>
      <c r="P69" s="105"/>
      <c r="Q69" s="105"/>
    </row>
    <row r="70" spans="1:17">
      <c r="A70" s="12" t="s">
        <v>148</v>
      </c>
      <c r="B70" s="104"/>
      <c r="C70" s="104"/>
      <c r="D70" s="104"/>
      <c r="E70" s="100">
        <f>-10*7/13</f>
        <v>-5.384615384615385</v>
      </c>
      <c r="F70" s="101"/>
      <c r="G70" s="101"/>
      <c r="H70" s="100">
        <f>6.2/1.15</f>
        <v>5.3913043478260878</v>
      </c>
      <c r="I70" s="104"/>
      <c r="J70" s="89">
        <f t="shared" si="27"/>
        <v>6.6889632107027808E-3</v>
      </c>
      <c r="K70" s="105"/>
      <c r="L70" s="105"/>
      <c r="M70" s="105"/>
      <c r="N70" s="105"/>
      <c r="O70" s="105"/>
      <c r="P70" s="105"/>
      <c r="Q70" s="105"/>
    </row>
    <row r="71" spans="1:17">
      <c r="A71" s="102" t="s">
        <v>150</v>
      </c>
      <c r="B71" s="104"/>
      <c r="C71" s="104"/>
      <c r="D71" s="104"/>
      <c r="E71" s="100">
        <f>33+8</f>
        <v>41</v>
      </c>
      <c r="F71" s="101"/>
      <c r="G71" s="100">
        <f>-150+117</f>
        <v>-33</v>
      </c>
      <c r="H71" s="100">
        <f>-8</f>
        <v>-8</v>
      </c>
      <c r="I71" s="104"/>
      <c r="J71" s="89">
        <f t="shared" si="27"/>
        <v>0</v>
      </c>
      <c r="K71" s="105"/>
      <c r="L71" s="105"/>
      <c r="M71" s="105"/>
      <c r="N71" s="105"/>
      <c r="O71" s="105"/>
      <c r="P71" s="105"/>
      <c r="Q71" s="105"/>
    </row>
    <row r="72" spans="1:17">
      <c r="A72" s="12" t="s">
        <v>151</v>
      </c>
      <c r="B72" s="104"/>
      <c r="C72" s="104"/>
      <c r="D72" s="104"/>
      <c r="E72" s="100"/>
      <c r="F72" s="100">
        <f>(15*3*35%-(1.05+0.5+0.5)*3)</f>
        <v>9.5999999999999979</v>
      </c>
      <c r="G72" s="100"/>
      <c r="H72" s="90"/>
      <c r="I72" s="104"/>
      <c r="J72" s="89">
        <f t="shared" si="27"/>
        <v>9.5999999999999979</v>
      </c>
      <c r="K72" s="105"/>
      <c r="L72" s="101"/>
      <c r="M72" s="105"/>
      <c r="N72" s="105"/>
      <c r="O72" s="105"/>
      <c r="P72" s="105"/>
      <c r="Q72" s="105"/>
    </row>
    <row r="73" spans="1:17">
      <c r="A73" s="12" t="s">
        <v>152</v>
      </c>
      <c r="B73" s="104"/>
      <c r="C73" s="104"/>
      <c r="D73" s="104"/>
      <c r="E73" s="100" t="s">
        <v>153</v>
      </c>
      <c r="F73" s="100"/>
      <c r="G73" s="100"/>
      <c r="H73" s="90"/>
      <c r="I73" s="104"/>
      <c r="J73" s="89">
        <f t="shared" si="27"/>
        <v>0</v>
      </c>
      <c r="K73" s="105"/>
      <c r="L73" s="101"/>
      <c r="M73" s="105"/>
      <c r="N73" s="105"/>
      <c r="O73" s="105"/>
      <c r="P73" s="105"/>
      <c r="Q73" s="105"/>
    </row>
    <row r="74" spans="1:17">
      <c r="A74" s="12" t="s">
        <v>154</v>
      </c>
      <c r="B74" s="104"/>
      <c r="C74" s="104"/>
      <c r="D74" s="104"/>
      <c r="E74" s="100">
        <f>(23.2+4)</f>
        <v>27.2</v>
      </c>
      <c r="F74" s="101"/>
      <c r="G74" s="101"/>
      <c r="H74" s="101"/>
      <c r="I74" s="104"/>
      <c r="J74" s="89">
        <f t="shared" si="27"/>
        <v>27.2</v>
      </c>
      <c r="K74" s="105"/>
      <c r="L74" s="105"/>
      <c r="M74" s="105"/>
      <c r="N74" s="105"/>
      <c r="O74" s="105"/>
      <c r="P74" s="105"/>
      <c r="Q74" s="105"/>
    </row>
    <row r="75" spans="1:17">
      <c r="A75" s="5" t="s">
        <v>155</v>
      </c>
      <c r="B75" s="104"/>
      <c r="C75" s="104"/>
      <c r="D75" s="104"/>
      <c r="E75" s="157">
        <f>SUM(E65:E74)</f>
        <v>1780.9716454849508</v>
      </c>
      <c r="F75" s="157">
        <f>SUM(F65:F74)</f>
        <v>115.3177179487179</v>
      </c>
      <c r="G75" s="157">
        <f>SUM(G65:G74)</f>
        <v>138.19999999999999</v>
      </c>
      <c r="H75" s="157">
        <f>SUM(H65:H74)</f>
        <v>23.591304347826089</v>
      </c>
      <c r="I75" s="104"/>
      <c r="J75" s="157">
        <f>SUM(J65:J74)</f>
        <v>2058.0806677814944</v>
      </c>
      <c r="K75" s="105"/>
      <c r="L75" s="105"/>
      <c r="M75" s="105"/>
      <c r="N75" s="105"/>
      <c r="O75" s="105"/>
      <c r="P75" s="105"/>
      <c r="Q75" s="105"/>
    </row>
    <row r="76" spans="1:17">
      <c r="A76" s="12"/>
      <c r="B76" s="104"/>
      <c r="C76" s="104"/>
      <c r="D76" s="104"/>
      <c r="E76" s="105"/>
      <c r="F76" s="105"/>
      <c r="G76" s="105"/>
      <c r="H76" s="105"/>
      <c r="I76" s="104"/>
      <c r="J76" s="105"/>
      <c r="K76" s="105"/>
      <c r="L76" s="105"/>
      <c r="M76" s="105"/>
      <c r="N76" s="105"/>
      <c r="O76" s="105"/>
      <c r="P76" s="105"/>
      <c r="Q76" s="105"/>
    </row>
    <row r="77" spans="1:17">
      <c r="A77" s="147" t="s">
        <v>156</v>
      </c>
      <c r="B77" s="104"/>
      <c r="C77" s="104"/>
      <c r="D77" s="104"/>
      <c r="E77" s="105"/>
      <c r="F77" s="105"/>
      <c r="G77" s="105"/>
      <c r="H77" s="105"/>
      <c r="I77" s="104"/>
      <c r="J77" s="105"/>
      <c r="K77" s="105"/>
      <c r="L77" s="159"/>
      <c r="M77" s="159" t="s">
        <v>157</v>
      </c>
      <c r="N77" s="159"/>
      <c r="O77" s="159"/>
      <c r="P77" s="159"/>
      <c r="Q77" s="159"/>
    </row>
    <row r="78" spans="1:17">
      <c r="A78" s="104" t="s">
        <v>159</v>
      </c>
      <c r="B78" s="104"/>
      <c r="C78" s="104"/>
      <c r="D78" s="104"/>
      <c r="E78" s="105"/>
      <c r="F78" s="105"/>
      <c r="G78" s="105"/>
      <c r="H78" s="105"/>
      <c r="I78" s="104"/>
      <c r="J78" s="105"/>
      <c r="K78" s="105"/>
      <c r="L78" s="105"/>
      <c r="M78" s="105"/>
      <c r="N78" s="105"/>
      <c r="O78" s="105"/>
      <c r="P78" s="105"/>
      <c r="Q78" s="159"/>
    </row>
    <row r="79" spans="1:17">
      <c r="A79" s="104"/>
      <c r="B79" s="104" t="s">
        <v>160</v>
      </c>
      <c r="C79" s="104"/>
      <c r="D79" s="104"/>
      <c r="E79" s="105"/>
      <c r="F79" s="105"/>
      <c r="G79" s="105"/>
      <c r="H79" s="105"/>
      <c r="I79" s="105"/>
      <c r="J79" s="105"/>
      <c r="K79" s="105"/>
      <c r="L79" s="167">
        <f>'[1]P&amp;LSV'!EJ54/1000</f>
        <v>71.006</v>
      </c>
      <c r="M79" s="168">
        <f>'[1]P&amp;LWN'!EE51/1000</f>
        <v>1.998</v>
      </c>
      <c r="N79" s="168">
        <v>0</v>
      </c>
      <c r="O79" s="168">
        <v>0</v>
      </c>
      <c r="P79" s="168"/>
      <c r="Q79" s="160">
        <f>SUM(L79:P79)</f>
        <v>73.004000000000005</v>
      </c>
    </row>
    <row r="80" spans="1:17">
      <c r="A80" s="104"/>
      <c r="B80" s="104" t="s">
        <v>161</v>
      </c>
      <c r="C80" s="104"/>
      <c r="D80" s="104"/>
      <c r="E80" s="105"/>
      <c r="F80" s="105"/>
      <c r="G80" s="105"/>
      <c r="H80" s="105"/>
      <c r="I80" s="105"/>
      <c r="J80" s="105"/>
      <c r="K80" s="105"/>
      <c r="L80" s="168">
        <v>0</v>
      </c>
      <c r="M80" s="168">
        <v>0</v>
      </c>
      <c r="N80" s="168">
        <f>20.5/1.17</f>
        <v>17.521367521367523</v>
      </c>
      <c r="O80" s="168">
        <f>7.5/1.17</f>
        <v>6.4102564102564106</v>
      </c>
      <c r="P80" s="168"/>
      <c r="Q80" s="160">
        <f>SUM(L80:P80)</f>
        <v>23.931623931623932</v>
      </c>
    </row>
    <row r="81" spans="1:18">
      <c r="A81" s="104"/>
      <c r="B81" s="104" t="s">
        <v>60</v>
      </c>
      <c r="C81" s="104"/>
      <c r="D81" s="104"/>
      <c r="E81" s="105"/>
      <c r="F81" s="105"/>
      <c r="G81" s="105"/>
      <c r="H81" s="105"/>
      <c r="I81" s="105"/>
      <c r="J81" s="105"/>
      <c r="K81" s="105"/>
      <c r="L81" s="168">
        <f>E55</f>
        <v>74.322999999999993</v>
      </c>
      <c r="M81" s="168">
        <f>F55</f>
        <v>0</v>
      </c>
      <c r="N81" s="168">
        <f>G55</f>
        <v>0</v>
      </c>
      <c r="O81" s="168">
        <f>H55</f>
        <v>0</v>
      </c>
      <c r="P81" s="168"/>
      <c r="Q81" s="160">
        <f>SUM(L81:P81)</f>
        <v>74.322999999999993</v>
      </c>
    </row>
    <row r="82" spans="1:18">
      <c r="A82" s="148" t="s">
        <v>162</v>
      </c>
      <c r="B82" s="104"/>
      <c r="C82" s="104"/>
      <c r="D82" s="104"/>
      <c r="E82" s="105"/>
      <c r="F82" s="105"/>
      <c r="G82" s="105"/>
      <c r="H82" s="105"/>
      <c r="I82" s="105"/>
      <c r="J82" s="105"/>
      <c r="K82" s="105"/>
      <c r="L82" s="160">
        <f t="shared" ref="L82:Q82" si="28">L60+SUM(L79:L81)</f>
        <v>1926.3070000000009</v>
      </c>
      <c r="M82" s="160">
        <f t="shared" si="28"/>
        <v>117.26699999999992</v>
      </c>
      <c r="N82" s="160">
        <f t="shared" si="28"/>
        <v>155.72136752136751</v>
      </c>
      <c r="O82" s="160">
        <f t="shared" si="28"/>
        <v>30.01025641025641</v>
      </c>
      <c r="P82" s="160">
        <f t="shared" si="28"/>
        <v>0</v>
      </c>
      <c r="Q82" s="160">
        <f t="shared" si="28"/>
        <v>2229.3056239316229</v>
      </c>
    </row>
    <row r="83" spans="1:18">
      <c r="A83" s="104"/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</row>
    <row r="84" spans="1:18" ht="18">
      <c r="A84" s="79" t="s">
        <v>66</v>
      </c>
      <c r="B84" s="166"/>
      <c r="C84" s="166"/>
      <c r="D84" s="104"/>
      <c r="E84" s="104"/>
      <c r="F84" s="104"/>
      <c r="G84" s="79" t="s">
        <v>163</v>
      </c>
      <c r="H84" s="104"/>
      <c r="I84" s="104"/>
      <c r="J84" s="104"/>
      <c r="K84" s="104"/>
      <c r="L84" s="104"/>
      <c r="M84" s="104"/>
      <c r="N84" s="104"/>
      <c r="O84" s="104"/>
      <c r="P84" s="104"/>
      <c r="Q84" s="104"/>
    </row>
    <row r="85" spans="1:18" ht="18">
      <c r="A85" s="42"/>
      <c r="B85" s="43"/>
      <c r="C85" s="103" t="s">
        <v>196</v>
      </c>
      <c r="D85" s="104"/>
      <c r="E85" s="154"/>
      <c r="F85" s="155" t="s">
        <v>164</v>
      </c>
      <c r="G85" s="156"/>
      <c r="H85" s="156"/>
      <c r="I85" s="156"/>
      <c r="J85" s="154"/>
      <c r="K85" s="104"/>
      <c r="L85" s="154"/>
      <c r="M85" s="155" t="s">
        <v>165</v>
      </c>
      <c r="N85" s="156"/>
      <c r="O85" s="156"/>
      <c r="P85" s="156"/>
      <c r="Q85" s="154"/>
    </row>
    <row r="86" spans="1:18">
      <c r="A86" s="42"/>
      <c r="B86" s="5"/>
      <c r="C86" s="104"/>
      <c r="D86" s="104"/>
      <c r="E86" s="80" t="s">
        <v>75</v>
      </c>
      <c r="F86" s="81">
        <f ca="1">'history of trading results'!Q65</f>
        <v>1.1623007650620096</v>
      </c>
      <c r="G86" s="104"/>
      <c r="H86" s="165"/>
      <c r="I86" s="82" t="s">
        <v>168</v>
      </c>
      <c r="J86" s="83"/>
      <c r="K86" s="104"/>
      <c r="L86" s="80"/>
      <c r="M86" s="81"/>
      <c r="N86" s="104"/>
      <c r="O86" s="165"/>
      <c r="P86" s="82" t="s">
        <v>168</v>
      </c>
      <c r="Q86" s="83"/>
    </row>
    <row r="87" spans="1:18">
      <c r="A87" s="5"/>
      <c r="B87" s="104"/>
      <c r="C87" s="104"/>
      <c r="D87" s="104"/>
      <c r="E87" s="124" t="s">
        <v>10</v>
      </c>
      <c r="F87" s="125" t="s">
        <v>11</v>
      </c>
      <c r="G87" s="123" t="s">
        <v>131</v>
      </c>
      <c r="H87" s="82" t="s">
        <v>132</v>
      </c>
      <c r="I87" s="82" t="s">
        <v>169</v>
      </c>
      <c r="J87" s="126" t="s">
        <v>170</v>
      </c>
      <c r="K87" s="12"/>
      <c r="L87" s="124" t="s">
        <v>10</v>
      </c>
      <c r="M87" s="125" t="s">
        <v>11</v>
      </c>
      <c r="N87" s="123" t="s">
        <v>131</v>
      </c>
      <c r="O87" s="82" t="s">
        <v>132</v>
      </c>
      <c r="P87" s="82" t="s">
        <v>169</v>
      </c>
      <c r="Q87" s="126" t="s">
        <v>170</v>
      </c>
    </row>
    <row r="88" spans="1:18">
      <c r="A88" s="104"/>
      <c r="B88" s="104"/>
      <c r="C88" s="104"/>
      <c r="D88" s="104"/>
      <c r="E88" s="124" t="s">
        <v>13</v>
      </c>
      <c r="F88" s="125" t="s">
        <v>14</v>
      </c>
      <c r="G88" s="123" t="s">
        <v>135</v>
      </c>
      <c r="H88" s="107" t="s">
        <v>136</v>
      </c>
      <c r="I88" s="107" t="s">
        <v>171</v>
      </c>
      <c r="J88" s="126"/>
      <c r="K88" s="12"/>
      <c r="L88" s="124" t="s">
        <v>13</v>
      </c>
      <c r="M88" s="125" t="s">
        <v>14</v>
      </c>
      <c r="N88" s="123" t="s">
        <v>135</v>
      </c>
      <c r="O88" s="107" t="s">
        <v>136</v>
      </c>
      <c r="P88" s="107" t="s">
        <v>171</v>
      </c>
      <c r="Q88" s="126"/>
    </row>
    <row r="89" spans="1:18">
      <c r="A89" s="104"/>
      <c r="B89" s="104"/>
      <c r="C89" s="104"/>
      <c r="D89" s="104"/>
      <c r="E89" s="84"/>
      <c r="F89" s="85"/>
      <c r="G89" s="85"/>
      <c r="H89" s="104"/>
      <c r="I89" s="104"/>
      <c r="J89" s="86"/>
      <c r="K89" s="104"/>
      <c r="L89" s="84"/>
      <c r="M89" s="85"/>
      <c r="N89" s="85"/>
      <c r="O89" s="104"/>
      <c r="P89" s="104"/>
      <c r="Q89" s="86"/>
    </row>
    <row r="90" spans="1:18">
      <c r="A90" s="104" t="s">
        <v>77</v>
      </c>
      <c r="B90" s="104"/>
      <c r="C90" s="104"/>
      <c r="D90" s="104"/>
      <c r="E90" s="108">
        <f ca="1">'history of trading results'!P69</f>
        <v>16810.749288499999</v>
      </c>
      <c r="F90" s="108">
        <f ca="1">'history of trading results'!Q69</f>
        <v>1545.1240459000003</v>
      </c>
      <c r="G90" s="109">
        <v>0</v>
      </c>
      <c r="H90" s="109">
        <v>0</v>
      </c>
      <c r="I90" s="109"/>
      <c r="J90" s="110">
        <f>SUM(E90:I90)</f>
        <v>18355.873334399999</v>
      </c>
      <c r="K90" s="149"/>
      <c r="L90" s="108">
        <f>E90</f>
        <v>16810.749288499999</v>
      </c>
      <c r="M90" s="108">
        <f>F90+15*3*1.15</f>
        <v>1596.8740459000003</v>
      </c>
      <c r="N90" s="108">
        <f t="shared" ref="N90:P92" si="29">G90</f>
        <v>0</v>
      </c>
      <c r="O90" s="108">
        <f t="shared" si="29"/>
        <v>0</v>
      </c>
      <c r="P90" s="108">
        <f t="shared" si="29"/>
        <v>0</v>
      </c>
      <c r="Q90" s="110">
        <f>SUM(L90:P90)</f>
        <v>18407.623334399999</v>
      </c>
      <c r="R90" s="149">
        <f t="shared" ref="R90:R95" si="30">IF(ROUND(Q90,0)=0,0,Q90/Q7)</f>
        <v>1.1627453843375977</v>
      </c>
    </row>
    <row r="91" spans="1:18">
      <c r="A91" s="104" t="s">
        <v>78</v>
      </c>
      <c r="B91" s="104"/>
      <c r="C91" s="104"/>
      <c r="D91" s="104"/>
      <c r="E91" s="108">
        <f ca="1">'history of trading results'!P70</f>
        <v>0</v>
      </c>
      <c r="F91" s="108">
        <f ca="1">'history of trading results'!Q70</f>
        <v>0</v>
      </c>
      <c r="G91" s="109">
        <v>0</v>
      </c>
      <c r="H91" s="109">
        <v>0</v>
      </c>
      <c r="I91" s="109"/>
      <c r="J91" s="110">
        <f>SUM(E91:I91)</f>
        <v>0</v>
      </c>
      <c r="K91" s="149"/>
      <c r="L91" s="108">
        <f>E91</f>
        <v>0</v>
      </c>
      <c r="M91" s="108">
        <f>F91</f>
        <v>0</v>
      </c>
      <c r="N91" s="108">
        <f t="shared" si="29"/>
        <v>0</v>
      </c>
      <c r="O91" s="108">
        <f t="shared" si="29"/>
        <v>0</v>
      </c>
      <c r="P91" s="108">
        <f t="shared" si="29"/>
        <v>0</v>
      </c>
      <c r="Q91" s="110">
        <f>SUM(L91:P91)</f>
        <v>0</v>
      </c>
      <c r="R91" s="149">
        <f t="shared" si="30"/>
        <v>0</v>
      </c>
    </row>
    <row r="92" spans="1:18">
      <c r="A92" s="104" t="s">
        <v>79</v>
      </c>
      <c r="B92" s="104"/>
      <c r="C92" s="104"/>
      <c r="D92" s="104"/>
      <c r="E92" s="108">
        <f ca="1">'history of trading results'!P71</f>
        <v>-32.511015200000003</v>
      </c>
      <c r="F92" s="108">
        <f ca="1">'history of trading results'!Q71</f>
        <v>0</v>
      </c>
      <c r="G92" s="109">
        <v>0</v>
      </c>
      <c r="H92" s="109">
        <v>0</v>
      </c>
      <c r="I92" s="109"/>
      <c r="J92" s="110">
        <f>SUM(E92:I92)</f>
        <v>-32.511015200000003</v>
      </c>
      <c r="K92" s="149"/>
      <c r="L92" s="108">
        <f>E92</f>
        <v>-32.511015200000003</v>
      </c>
      <c r="M92" s="108">
        <f>F92</f>
        <v>0</v>
      </c>
      <c r="N92" s="108">
        <f t="shared" si="29"/>
        <v>0</v>
      </c>
      <c r="O92" s="108">
        <f t="shared" si="29"/>
        <v>0</v>
      </c>
      <c r="P92" s="108">
        <f t="shared" si="29"/>
        <v>0</v>
      </c>
      <c r="Q92" s="110">
        <f>SUM(L92:P92)</f>
        <v>-32.511015200000003</v>
      </c>
      <c r="R92" s="149">
        <f t="shared" si="30"/>
        <v>1.1615640144342421</v>
      </c>
    </row>
    <row r="93" spans="1:18">
      <c r="A93" s="12" t="s">
        <v>80</v>
      </c>
      <c r="B93" s="104"/>
      <c r="C93" s="104"/>
      <c r="D93" s="104"/>
      <c r="E93" s="108">
        <f ca="1">'history of trading results'!P72</f>
        <v>0</v>
      </c>
      <c r="F93" s="108">
        <f ca="1">'history of trading results'!Q72</f>
        <v>-1.8433100000000001E-2</v>
      </c>
      <c r="G93" s="109">
        <v>200.6</v>
      </c>
      <c r="H93" s="109">
        <v>0</v>
      </c>
      <c r="I93" s="109">
        <v>-200.6</v>
      </c>
      <c r="J93" s="110">
        <f>SUM(E93:I93)</f>
        <v>-1.8433100000009972E-2</v>
      </c>
      <c r="K93" s="149"/>
      <c r="L93" s="108">
        <f>E93</f>
        <v>0</v>
      </c>
      <c r="M93" s="108">
        <f>F93</f>
        <v>-1.8433100000000001E-2</v>
      </c>
      <c r="N93" s="108">
        <f>G93-31.3</f>
        <v>169.29999999999998</v>
      </c>
      <c r="O93" s="108">
        <f>H93</f>
        <v>0</v>
      </c>
      <c r="P93" s="108">
        <f>I93+31.3</f>
        <v>-169.29999999999998</v>
      </c>
      <c r="Q93" s="110">
        <f>SUM(L93:P93)</f>
        <v>-1.8433100000009972E-2</v>
      </c>
      <c r="R93" s="149">
        <f t="shared" si="30"/>
        <v>0</v>
      </c>
    </row>
    <row r="94" spans="1:18">
      <c r="A94" s="12" t="s">
        <v>172</v>
      </c>
      <c r="B94" s="104"/>
      <c r="C94" s="104"/>
      <c r="D94" s="104"/>
      <c r="E94" s="108">
        <f ca="1">'history of trading results'!P73</f>
        <v>0</v>
      </c>
      <c r="F94" s="108">
        <f ca="1">'history of trading results'!Q73</f>
        <v>0</v>
      </c>
      <c r="G94" s="109">
        <f>150*1.15</f>
        <v>172.5</v>
      </c>
      <c r="H94" s="109">
        <f>38.5*1.15</f>
        <v>44.274999999999999</v>
      </c>
      <c r="I94" s="109">
        <f>-172.5</f>
        <v>-172.5</v>
      </c>
      <c r="J94" s="110">
        <f>SUM(E94:I94)</f>
        <v>44.275000000000006</v>
      </c>
      <c r="K94" s="149"/>
      <c r="L94" s="108">
        <f>E94</f>
        <v>0</v>
      </c>
      <c r="M94" s="108">
        <f>F94</f>
        <v>0</v>
      </c>
      <c r="N94" s="108">
        <f>G94-38</f>
        <v>134.5</v>
      </c>
      <c r="O94" s="108">
        <f>H94+6.2-9.2</f>
        <v>41.275000000000006</v>
      </c>
      <c r="P94" s="108">
        <f>I94+38+9.2-6.2</f>
        <v>-131.5</v>
      </c>
      <c r="Q94" s="110">
        <f>SUM(L94:P94)</f>
        <v>44.275000000000006</v>
      </c>
      <c r="R94" s="149">
        <f t="shared" si="30"/>
        <v>1.2578125000000007</v>
      </c>
    </row>
    <row r="95" spans="1:18">
      <c r="A95" s="5" t="s">
        <v>82</v>
      </c>
      <c r="B95" s="104"/>
      <c r="C95" s="104"/>
      <c r="D95" s="150"/>
      <c r="E95" s="110">
        <f t="shared" ref="E95:J95" si="31">SUM(E90:E94)</f>
        <v>16778.238273299998</v>
      </c>
      <c r="F95" s="110">
        <f t="shared" si="31"/>
        <v>1545.1056128000002</v>
      </c>
      <c r="G95" s="110">
        <f t="shared" si="31"/>
        <v>373.1</v>
      </c>
      <c r="H95" s="110">
        <f t="shared" si="31"/>
        <v>44.274999999999999</v>
      </c>
      <c r="I95" s="110">
        <f t="shared" si="31"/>
        <v>-373.1</v>
      </c>
      <c r="J95" s="110">
        <f t="shared" si="31"/>
        <v>18367.618886100001</v>
      </c>
      <c r="K95" s="149"/>
      <c r="L95" s="110">
        <f t="shared" ref="L95:Q95" si="32">SUM(L90:L94)</f>
        <v>16778.238273299998</v>
      </c>
      <c r="M95" s="110">
        <f t="shared" si="32"/>
        <v>1596.8556128000002</v>
      </c>
      <c r="N95" s="110">
        <f t="shared" si="32"/>
        <v>303.79999999999995</v>
      </c>
      <c r="O95" s="110">
        <f t="shared" si="32"/>
        <v>41.275000000000006</v>
      </c>
      <c r="P95" s="110">
        <f t="shared" si="32"/>
        <v>-300.79999999999995</v>
      </c>
      <c r="Q95" s="110">
        <f t="shared" si="32"/>
        <v>18419.368886100001</v>
      </c>
      <c r="R95" s="149">
        <f t="shared" si="30"/>
        <v>1.1629587648234969</v>
      </c>
    </row>
    <row r="96" spans="1:18">
      <c r="A96" s="104"/>
      <c r="B96" s="104"/>
      <c r="C96" s="104"/>
      <c r="D96" s="104"/>
      <c r="E96" s="106"/>
      <c r="F96" s="106"/>
      <c r="G96" s="106"/>
      <c r="H96" s="109"/>
      <c r="I96" s="109"/>
      <c r="J96" s="111"/>
      <c r="K96" s="151"/>
      <c r="L96" s="106"/>
      <c r="M96" s="106"/>
      <c r="N96" s="106"/>
      <c r="O96" s="109"/>
      <c r="P96" s="109"/>
      <c r="Q96" s="111"/>
    </row>
    <row r="97" spans="1:18">
      <c r="A97" s="5" t="s">
        <v>84</v>
      </c>
      <c r="B97" s="104"/>
      <c r="C97" s="104"/>
      <c r="D97" s="104"/>
      <c r="E97" s="112"/>
      <c r="F97" s="113"/>
      <c r="G97" s="106"/>
      <c r="H97" s="109"/>
      <c r="I97" s="109"/>
      <c r="J97" s="114"/>
      <c r="K97" s="151"/>
      <c r="L97" s="112"/>
      <c r="M97" s="113"/>
      <c r="N97" s="106"/>
      <c r="O97" s="109"/>
      <c r="P97" s="109"/>
      <c r="Q97" s="114"/>
    </row>
    <row r="98" spans="1:18">
      <c r="A98" s="12" t="s">
        <v>85</v>
      </c>
      <c r="B98" s="104"/>
      <c r="C98" s="104"/>
      <c r="D98" s="104"/>
      <c r="E98" s="108">
        <f ca="1">'history of trading results'!P77</f>
        <v>6311.0591397999997</v>
      </c>
      <c r="F98" s="108">
        <f ca="1">'history of trading results'!Q77</f>
        <v>699.85798140000009</v>
      </c>
      <c r="G98" s="109">
        <v>0</v>
      </c>
      <c r="H98" s="109">
        <v>0</v>
      </c>
      <c r="I98" s="109"/>
      <c r="J98" s="110">
        <f>SUM(E98:I98)</f>
        <v>7010.9171212000001</v>
      </c>
      <c r="K98" s="149"/>
      <c r="L98" s="108">
        <f>E98</f>
        <v>6311.0591397999997</v>
      </c>
      <c r="M98" s="108">
        <f>F98+15*3*65%*1.15</f>
        <v>733.49548140000013</v>
      </c>
      <c r="N98" s="108">
        <f t="shared" ref="N98:P100" si="33">G98</f>
        <v>0</v>
      </c>
      <c r="O98" s="108">
        <f t="shared" si="33"/>
        <v>0</v>
      </c>
      <c r="P98" s="108">
        <f t="shared" si="33"/>
        <v>0</v>
      </c>
      <c r="Q98" s="110">
        <f>SUM(L98:P98)</f>
        <v>7044.5546211999999</v>
      </c>
      <c r="R98" s="149">
        <f>IF(ROUND(Q98,0)=0,0,Q98/Q15)</f>
        <v>1.1634167310398564</v>
      </c>
    </row>
    <row r="99" spans="1:18">
      <c r="A99" s="104" t="s">
        <v>86</v>
      </c>
      <c r="B99" s="104"/>
      <c r="C99" s="104"/>
      <c r="D99" s="104"/>
      <c r="E99" s="108">
        <f ca="1">'history of trading results'!P78</f>
        <v>475.44364879999983</v>
      </c>
      <c r="F99" s="108">
        <f ca="1">'history of trading results'!Q78</f>
        <v>129.83580710000001</v>
      </c>
      <c r="G99" s="109">
        <v>0</v>
      </c>
      <c r="H99" s="109">
        <v>0</v>
      </c>
      <c r="I99" s="109"/>
      <c r="J99" s="110">
        <f>SUM(E99:I99)</f>
        <v>605.2794558999999</v>
      </c>
      <c r="K99" s="149"/>
      <c r="L99" s="108">
        <f>E99</f>
        <v>475.44364879999983</v>
      </c>
      <c r="M99" s="108">
        <f>F99</f>
        <v>129.83580710000001</v>
      </c>
      <c r="N99" s="108">
        <f t="shared" si="33"/>
        <v>0</v>
      </c>
      <c r="O99" s="108">
        <f t="shared" si="33"/>
        <v>0</v>
      </c>
      <c r="P99" s="108">
        <f t="shared" si="33"/>
        <v>0</v>
      </c>
      <c r="Q99" s="110">
        <f>SUM(L99:P99)</f>
        <v>605.2794558999999</v>
      </c>
      <c r="R99" s="149">
        <f>IF(ROUND(Q99,0)=0,0,Q99/Q16)</f>
        <v>1.1565171771463072</v>
      </c>
    </row>
    <row r="100" spans="1:18">
      <c r="A100" s="104" t="s">
        <v>87</v>
      </c>
      <c r="B100" s="104"/>
      <c r="C100" s="104"/>
      <c r="D100" s="104"/>
      <c r="E100" s="108">
        <f ca="1">'history of trading results'!P79</f>
        <v>317.79038279999997</v>
      </c>
      <c r="F100" s="108">
        <f ca="1">'history of trading results'!Q79</f>
        <v>30.8507763</v>
      </c>
      <c r="G100" s="109">
        <v>0</v>
      </c>
      <c r="H100" s="109">
        <v>0</v>
      </c>
      <c r="I100" s="109"/>
      <c r="J100" s="110">
        <f>SUM(E100:I100)</f>
        <v>348.64115909999998</v>
      </c>
      <c r="K100" s="149"/>
      <c r="L100" s="108">
        <f>E100</f>
        <v>317.79038279999997</v>
      </c>
      <c r="M100" s="108">
        <f>F100</f>
        <v>30.8507763</v>
      </c>
      <c r="N100" s="108">
        <f t="shared" si="33"/>
        <v>0</v>
      </c>
      <c r="O100" s="108">
        <f t="shared" si="33"/>
        <v>0</v>
      </c>
      <c r="P100" s="108">
        <f t="shared" si="33"/>
        <v>0</v>
      </c>
      <c r="Q100" s="110">
        <f>SUM(L100:P100)</f>
        <v>348.64115909999998</v>
      </c>
      <c r="R100" s="149">
        <f>IF(ROUND(Q100,0)=0,0,Q100/Q17)</f>
        <v>1.1632345148923817</v>
      </c>
    </row>
    <row r="101" spans="1:18">
      <c r="A101" s="104"/>
      <c r="B101" s="104"/>
      <c r="C101" s="104"/>
      <c r="D101" s="104"/>
      <c r="E101" s="110">
        <f t="shared" ref="E101:J101" si="34">SUM(E98:E100)</f>
        <v>7104.2931713999997</v>
      </c>
      <c r="F101" s="110">
        <f t="shared" si="34"/>
        <v>860.5445648000001</v>
      </c>
      <c r="G101" s="110">
        <f t="shared" si="34"/>
        <v>0</v>
      </c>
      <c r="H101" s="110">
        <f t="shared" si="34"/>
        <v>0</v>
      </c>
      <c r="I101" s="110">
        <f t="shared" si="34"/>
        <v>0</v>
      </c>
      <c r="J101" s="110">
        <f t="shared" si="34"/>
        <v>7964.8377361999992</v>
      </c>
      <c r="K101" s="149"/>
      <c r="L101" s="110">
        <f t="shared" ref="L101:Q101" si="35">SUM(L98:L100)</f>
        <v>7104.2931713999997</v>
      </c>
      <c r="M101" s="110">
        <f t="shared" si="35"/>
        <v>894.18206480000015</v>
      </c>
      <c r="N101" s="110">
        <f t="shared" si="35"/>
        <v>0</v>
      </c>
      <c r="O101" s="110">
        <f t="shared" si="35"/>
        <v>0</v>
      </c>
      <c r="P101" s="110">
        <f t="shared" si="35"/>
        <v>0</v>
      </c>
      <c r="Q101" s="110">
        <f t="shared" si="35"/>
        <v>7998.4752361999999</v>
      </c>
      <c r="R101" s="149">
        <f>IF(ROUND(Q101,0)=0,0,Q101/Q18)</f>
        <v>1.1628837973591108</v>
      </c>
    </row>
    <row r="102" spans="1:18">
      <c r="A102" s="5" t="s">
        <v>88</v>
      </c>
      <c r="B102" s="104"/>
      <c r="C102" s="104"/>
      <c r="D102" s="150"/>
      <c r="E102" s="110">
        <f t="shared" ref="E102:J102" si="36">+E95-E101</f>
        <v>9673.9451018999971</v>
      </c>
      <c r="F102" s="110">
        <f t="shared" si="36"/>
        <v>684.56104800000014</v>
      </c>
      <c r="G102" s="110">
        <f t="shared" si="36"/>
        <v>373.1</v>
      </c>
      <c r="H102" s="110">
        <f t="shared" si="36"/>
        <v>44.274999999999999</v>
      </c>
      <c r="I102" s="110">
        <f t="shared" si="36"/>
        <v>-373.1</v>
      </c>
      <c r="J102" s="110">
        <f t="shared" si="36"/>
        <v>10402.781149900002</v>
      </c>
      <c r="K102" s="149"/>
      <c r="L102" s="110">
        <f t="shared" ref="L102:Q102" si="37">+L95-L101</f>
        <v>9673.9451018999971</v>
      </c>
      <c r="M102" s="110">
        <f t="shared" si="37"/>
        <v>702.6735480000001</v>
      </c>
      <c r="N102" s="110">
        <f t="shared" si="37"/>
        <v>303.79999999999995</v>
      </c>
      <c r="O102" s="110">
        <f t="shared" si="37"/>
        <v>41.275000000000006</v>
      </c>
      <c r="P102" s="110">
        <f t="shared" si="37"/>
        <v>-300.79999999999995</v>
      </c>
      <c r="Q102" s="110">
        <f t="shared" si="37"/>
        <v>10420.893649900001</v>
      </c>
      <c r="R102" s="149">
        <f>IF(ROUND(Q102,0)=0,0,Q102/Q19)</f>
        <v>1.1630163120701145</v>
      </c>
    </row>
    <row r="103" spans="1:18">
      <c r="A103" s="5"/>
      <c r="B103" s="104"/>
      <c r="C103" s="104"/>
      <c r="D103" s="104"/>
      <c r="E103" s="106"/>
      <c r="F103" s="106"/>
      <c r="G103" s="18"/>
      <c r="H103" s="109"/>
      <c r="I103" s="109"/>
      <c r="J103" s="111"/>
      <c r="K103" s="151"/>
      <c r="L103" s="106"/>
      <c r="M103" s="106"/>
      <c r="N103" s="18"/>
      <c r="O103" s="109"/>
      <c r="P103" s="109"/>
      <c r="Q103" s="111"/>
    </row>
    <row r="104" spans="1:18">
      <c r="A104" s="5" t="s">
        <v>90</v>
      </c>
      <c r="B104" s="27"/>
      <c r="C104" s="104"/>
      <c r="D104" s="104"/>
      <c r="E104" s="115"/>
      <c r="F104" s="116"/>
      <c r="G104" s="106"/>
      <c r="H104" s="109"/>
      <c r="I104" s="109"/>
      <c r="J104" s="114"/>
      <c r="K104" s="151"/>
      <c r="L104" s="115"/>
      <c r="M104" s="116"/>
      <c r="N104" s="106"/>
      <c r="O104" s="109"/>
      <c r="P104" s="109"/>
      <c r="Q104" s="114"/>
    </row>
    <row r="105" spans="1:18">
      <c r="A105" s="104" t="s">
        <v>91</v>
      </c>
      <c r="B105" s="104"/>
      <c r="C105" s="104"/>
      <c r="D105" s="104"/>
      <c r="E105" s="108">
        <f ca="1">'history of trading results'!P84</f>
        <v>560.94450649999999</v>
      </c>
      <c r="F105" s="108">
        <f ca="1">'history of trading results'!Q84</f>
        <v>48.5725932</v>
      </c>
      <c r="G105" s="109">
        <v>0</v>
      </c>
      <c r="H105" s="109">
        <v>0</v>
      </c>
      <c r="I105" s="109"/>
      <c r="J105" s="110">
        <f>SUM(E105:I105)</f>
        <v>609.51709970000002</v>
      </c>
      <c r="K105" s="149"/>
      <c r="L105" s="108">
        <f>E105</f>
        <v>560.94450649999999</v>
      </c>
      <c r="M105" s="108">
        <f>F105</f>
        <v>48.5725932</v>
      </c>
      <c r="N105" s="108">
        <f>G105</f>
        <v>0</v>
      </c>
      <c r="O105" s="108">
        <f>H105</f>
        <v>0</v>
      </c>
      <c r="P105" s="108">
        <f>I105</f>
        <v>0</v>
      </c>
      <c r="Q105" s="110">
        <f>SUM(L105:P105)</f>
        <v>609.51709970000002</v>
      </c>
      <c r="R105" s="149">
        <f t="shared" ref="R105:R111" si="38">IF(ROUND(Q105,0)=0,0,Q105/Q22)</f>
        <v>1.1632782718311336</v>
      </c>
    </row>
    <row r="106" spans="1:18">
      <c r="A106" s="104" t="s">
        <v>92</v>
      </c>
      <c r="B106" s="104"/>
      <c r="C106" s="104"/>
      <c r="D106" s="104"/>
      <c r="E106" s="108">
        <f ca="1">'history of trading results'!P85</f>
        <v>3076.9972111999991</v>
      </c>
      <c r="F106" s="108">
        <f ca="1">'history of trading results'!Q85</f>
        <v>72.457549699999987</v>
      </c>
      <c r="G106" s="109">
        <v>0</v>
      </c>
      <c r="H106" s="109">
        <v>0</v>
      </c>
      <c r="I106" s="109"/>
      <c r="J106" s="110">
        <f>SUM(E106:I106)</f>
        <v>3149.4547608999992</v>
      </c>
      <c r="K106" s="149"/>
      <c r="L106" s="108">
        <f>E106</f>
        <v>3076.9972111999991</v>
      </c>
      <c r="M106" s="108">
        <f>F106-51.1-5.6</f>
        <v>15.757549699999986</v>
      </c>
      <c r="N106" s="108">
        <f t="shared" ref="N106:P109" si="39">G106</f>
        <v>0</v>
      </c>
      <c r="O106" s="108">
        <f t="shared" si="39"/>
        <v>0</v>
      </c>
      <c r="P106" s="108">
        <f t="shared" si="39"/>
        <v>0</v>
      </c>
      <c r="Q106" s="110">
        <f>SUM(L106:P106)</f>
        <v>3092.7547608999989</v>
      </c>
      <c r="R106" s="149">
        <f t="shared" si="38"/>
        <v>1.1597846300413659</v>
      </c>
    </row>
    <row r="107" spans="1:18">
      <c r="A107" s="104" t="s">
        <v>93</v>
      </c>
      <c r="B107" s="104"/>
      <c r="C107" s="104"/>
      <c r="D107" s="104"/>
      <c r="E107" s="108">
        <f ca="1">'history of trading results'!P86</f>
        <v>130.70683389999999</v>
      </c>
      <c r="F107" s="108">
        <f ca="1">'history of trading results'!Q86</f>
        <v>180.26189019999998</v>
      </c>
      <c r="G107" s="109">
        <v>0</v>
      </c>
      <c r="H107" s="109">
        <v>0</v>
      </c>
      <c r="I107" s="109"/>
      <c r="J107" s="110">
        <f>SUM(E107:I107)</f>
        <v>310.96872409999997</v>
      </c>
      <c r="K107" s="149"/>
      <c r="L107" s="108">
        <f>E107</f>
        <v>130.70683389999999</v>
      </c>
      <c r="M107" s="108">
        <f>F107+0.5*3*1.15</f>
        <v>181.98689019999998</v>
      </c>
      <c r="N107" s="108">
        <f t="shared" si="39"/>
        <v>0</v>
      </c>
      <c r="O107" s="108">
        <f t="shared" si="39"/>
        <v>0</v>
      </c>
      <c r="P107" s="108">
        <f t="shared" si="39"/>
        <v>0</v>
      </c>
      <c r="Q107" s="110">
        <f>SUM(L107:P107)</f>
        <v>312.69372409999994</v>
      </c>
      <c r="R107" s="149">
        <f t="shared" si="38"/>
        <v>1.1629489887682236</v>
      </c>
    </row>
    <row r="108" spans="1:18">
      <c r="A108" s="104" t="s">
        <v>94</v>
      </c>
      <c r="B108" s="104"/>
      <c r="C108" s="104"/>
      <c r="D108" s="104"/>
      <c r="E108" s="108">
        <f ca="1">'history of trading results'!P87</f>
        <v>304.13210960000004</v>
      </c>
      <c r="F108" s="108">
        <f ca="1">'history of trading results'!Q87</f>
        <v>26.730715200000002</v>
      </c>
      <c r="G108" s="109">
        <v>0</v>
      </c>
      <c r="H108" s="109">
        <v>0</v>
      </c>
      <c r="I108" s="109"/>
      <c r="J108" s="110">
        <f>SUM(E108:I108)</f>
        <v>330.86282480000006</v>
      </c>
      <c r="K108" s="149"/>
      <c r="L108" s="108">
        <f>E108</f>
        <v>304.13210960000004</v>
      </c>
      <c r="M108" s="108">
        <f>F108</f>
        <v>26.730715200000002</v>
      </c>
      <c r="N108" s="108">
        <f t="shared" si="39"/>
        <v>0</v>
      </c>
      <c r="O108" s="108">
        <f t="shared" si="39"/>
        <v>0</v>
      </c>
      <c r="P108" s="108">
        <f t="shared" si="39"/>
        <v>0</v>
      </c>
      <c r="Q108" s="110">
        <f>SUM(L108:P108)</f>
        <v>330.86282480000006</v>
      </c>
      <c r="R108" s="149">
        <f t="shared" si="38"/>
        <v>1.1642064800349059</v>
      </c>
    </row>
    <row r="109" spans="1:18">
      <c r="A109" s="104" t="s">
        <v>95</v>
      </c>
      <c r="B109" s="104"/>
      <c r="C109" s="104"/>
      <c r="D109" s="104"/>
      <c r="E109" s="108">
        <f ca="1">'history of trading results'!P88</f>
        <v>153.31347069999998</v>
      </c>
      <c r="F109" s="108">
        <f ca="1">'history of trading results'!Q88</f>
        <v>110.62364750000002</v>
      </c>
      <c r="G109" s="109">
        <v>0</v>
      </c>
      <c r="H109" s="109">
        <v>0</v>
      </c>
      <c r="I109" s="109"/>
      <c r="J109" s="110">
        <f>SUM(E109:I109)</f>
        <v>263.93711819999999</v>
      </c>
      <c r="K109" s="149"/>
      <c r="L109" s="108">
        <f>E109</f>
        <v>153.31347069999998</v>
      </c>
      <c r="M109" s="108">
        <f>F109+(1.05+0.5)*3*1.15</f>
        <v>115.97114750000001</v>
      </c>
      <c r="N109" s="108">
        <f t="shared" si="39"/>
        <v>0</v>
      </c>
      <c r="O109" s="108">
        <f t="shared" si="39"/>
        <v>0</v>
      </c>
      <c r="P109" s="108">
        <f t="shared" si="39"/>
        <v>0</v>
      </c>
      <c r="Q109" s="110">
        <f>SUM(L109:P109)</f>
        <v>269.28461820000001</v>
      </c>
      <c r="R109" s="149">
        <f t="shared" si="38"/>
        <v>1.1631511759598812</v>
      </c>
    </row>
    <row r="110" spans="1:18">
      <c r="A110" s="5"/>
      <c r="B110" s="27"/>
      <c r="C110" s="104"/>
      <c r="D110" s="104"/>
      <c r="E110" s="110">
        <f t="shared" ref="E110:J110" si="40">SUM(E105:E109)</f>
        <v>4226.0941318999994</v>
      </c>
      <c r="F110" s="110">
        <f t="shared" si="40"/>
        <v>438.64639579999999</v>
      </c>
      <c r="G110" s="110">
        <f t="shared" si="40"/>
        <v>0</v>
      </c>
      <c r="H110" s="110">
        <f t="shared" si="40"/>
        <v>0</v>
      </c>
      <c r="I110" s="110">
        <f t="shared" si="40"/>
        <v>0</v>
      </c>
      <c r="J110" s="110">
        <f t="shared" si="40"/>
        <v>4664.7405276999998</v>
      </c>
      <c r="K110" s="149"/>
      <c r="L110" s="110">
        <f t="shared" ref="L110:Q110" si="41">SUM(L105:L109)</f>
        <v>4226.0941318999994</v>
      </c>
      <c r="M110" s="110">
        <f t="shared" si="41"/>
        <v>389.0188958</v>
      </c>
      <c r="N110" s="110">
        <f t="shared" si="41"/>
        <v>0</v>
      </c>
      <c r="O110" s="110">
        <f t="shared" si="41"/>
        <v>0</v>
      </c>
      <c r="P110" s="110">
        <f t="shared" si="41"/>
        <v>0</v>
      </c>
      <c r="Q110" s="110">
        <f t="shared" si="41"/>
        <v>4615.1130276999993</v>
      </c>
      <c r="R110" s="149">
        <f t="shared" si="38"/>
        <v>1.1609713451366301</v>
      </c>
    </row>
    <row r="111" spans="1:18">
      <c r="A111" s="5" t="s">
        <v>96</v>
      </c>
      <c r="B111" s="27"/>
      <c r="C111" s="104"/>
      <c r="D111" s="150"/>
      <c r="E111" s="110">
        <f t="shared" ref="E111:J111" si="42">+E102-E110</f>
        <v>5447.8509699999977</v>
      </c>
      <c r="F111" s="110">
        <f t="shared" si="42"/>
        <v>245.91465220000015</v>
      </c>
      <c r="G111" s="110">
        <f t="shared" si="42"/>
        <v>373.1</v>
      </c>
      <c r="H111" s="110">
        <f t="shared" si="42"/>
        <v>44.274999999999999</v>
      </c>
      <c r="I111" s="110">
        <f t="shared" si="42"/>
        <v>-373.1</v>
      </c>
      <c r="J111" s="110">
        <f t="shared" si="42"/>
        <v>5738.040622200002</v>
      </c>
      <c r="K111" s="149"/>
      <c r="L111" s="110">
        <f t="shared" ref="L111:Q111" si="43">+L102-L110</f>
        <v>5447.8509699999977</v>
      </c>
      <c r="M111" s="110">
        <f t="shared" si="43"/>
        <v>313.6546522000001</v>
      </c>
      <c r="N111" s="110">
        <f t="shared" si="43"/>
        <v>303.79999999999995</v>
      </c>
      <c r="O111" s="110">
        <f t="shared" si="43"/>
        <v>41.275000000000006</v>
      </c>
      <c r="P111" s="110">
        <f t="shared" si="43"/>
        <v>-300.79999999999995</v>
      </c>
      <c r="Q111" s="110">
        <f t="shared" si="43"/>
        <v>5805.7806222000017</v>
      </c>
      <c r="R111" s="149">
        <f t="shared" si="38"/>
        <v>1.1646470374701134</v>
      </c>
    </row>
    <row r="112" spans="1:18">
      <c r="A112" s="5"/>
      <c r="B112" s="104"/>
      <c r="C112" s="104"/>
      <c r="D112" s="104"/>
      <c r="E112" s="63"/>
      <c r="F112" s="18"/>
      <c r="G112" s="152"/>
      <c r="H112" s="109"/>
      <c r="I112" s="109"/>
      <c r="J112" s="111"/>
      <c r="K112" s="151"/>
      <c r="L112" s="63"/>
      <c r="M112" s="18"/>
      <c r="N112" s="152"/>
      <c r="O112" s="109"/>
      <c r="P112" s="109"/>
      <c r="Q112" s="111"/>
    </row>
    <row r="113" spans="1:18">
      <c r="A113" s="5" t="s">
        <v>37</v>
      </c>
      <c r="B113" s="104"/>
      <c r="C113" s="104"/>
      <c r="D113" s="104"/>
      <c r="E113" s="115"/>
      <c r="F113" s="116"/>
      <c r="G113" s="106"/>
      <c r="H113" s="109"/>
      <c r="I113" s="109"/>
      <c r="J113" s="114"/>
      <c r="K113" s="151"/>
      <c r="L113" s="115"/>
      <c r="M113" s="116"/>
      <c r="N113" s="106"/>
      <c r="O113" s="109"/>
      <c r="P113" s="109"/>
      <c r="Q113" s="114"/>
    </row>
    <row r="114" spans="1:18">
      <c r="A114" s="104" t="s">
        <v>98</v>
      </c>
      <c r="B114" s="104"/>
      <c r="C114" s="104"/>
      <c r="D114" s="104"/>
      <c r="E114" s="108">
        <f ca="1">'history of trading results'!P93</f>
        <v>315.8786576</v>
      </c>
      <c r="F114" s="108">
        <f ca="1">'history of trading results'!Q93</f>
        <v>16.877173500000001</v>
      </c>
      <c r="G114" s="109">
        <v>0</v>
      </c>
      <c r="H114" s="109">
        <v>0</v>
      </c>
      <c r="I114" s="109"/>
      <c r="J114" s="110">
        <f>SUM(E114:I114)</f>
        <v>332.75583110000002</v>
      </c>
      <c r="K114" s="149"/>
      <c r="L114" s="108">
        <f t="shared" ref="L114:P117" si="44">E114</f>
        <v>315.8786576</v>
      </c>
      <c r="M114" s="108">
        <f t="shared" si="44"/>
        <v>16.877173500000001</v>
      </c>
      <c r="N114" s="108">
        <f t="shared" si="44"/>
        <v>0</v>
      </c>
      <c r="O114" s="108">
        <f t="shared" si="44"/>
        <v>0</v>
      </c>
      <c r="P114" s="108">
        <f t="shared" si="44"/>
        <v>0</v>
      </c>
      <c r="Q114" s="110">
        <f>SUM(L114:P114)</f>
        <v>332.75583110000002</v>
      </c>
      <c r="R114" s="149">
        <f>IF(ROUND(Q114,0)=0,0,Q114/Q31)</f>
        <v>1.1590201047714916</v>
      </c>
    </row>
    <row r="115" spans="1:18">
      <c r="A115" s="104" t="s">
        <v>99</v>
      </c>
      <c r="B115" s="104"/>
      <c r="C115" s="104"/>
      <c r="D115" s="104"/>
      <c r="E115" s="108">
        <f ca="1">'history of trading results'!P94</f>
        <v>118.83093910000002</v>
      </c>
      <c r="F115" s="108">
        <f ca="1">'history of trading results'!Q94</f>
        <v>5.9066680000000007</v>
      </c>
      <c r="G115" s="109">
        <v>0</v>
      </c>
      <c r="H115" s="109">
        <v>0</v>
      </c>
      <c r="I115" s="109"/>
      <c r="J115" s="110">
        <f>SUM(E115:I115)</f>
        <v>124.73760710000002</v>
      </c>
      <c r="K115" s="149"/>
      <c r="L115" s="108">
        <f t="shared" si="44"/>
        <v>118.83093910000002</v>
      </c>
      <c r="M115" s="108">
        <f t="shared" si="44"/>
        <v>5.9066680000000007</v>
      </c>
      <c r="N115" s="108">
        <f t="shared" si="44"/>
        <v>0</v>
      </c>
      <c r="O115" s="108">
        <f t="shared" si="44"/>
        <v>0</v>
      </c>
      <c r="P115" s="108">
        <f t="shared" si="44"/>
        <v>0</v>
      </c>
      <c r="Q115" s="110">
        <f>SUM(L115:P115)</f>
        <v>124.73760710000002</v>
      </c>
      <c r="R115" s="149">
        <f>IF(ROUND(Q115,0)=0,0,Q115/Q32)</f>
        <v>1.1638033522732576</v>
      </c>
    </row>
    <row r="116" spans="1:18">
      <c r="A116" s="104" t="s">
        <v>100</v>
      </c>
      <c r="B116" s="104"/>
      <c r="C116" s="104"/>
      <c r="D116" s="104"/>
      <c r="E116" s="108">
        <f ca="1">'history of trading results'!P95</f>
        <v>779.23008179999999</v>
      </c>
      <c r="F116" s="108">
        <f ca="1">'history of trading results'!Q95</f>
        <v>-6.098986</v>
      </c>
      <c r="G116" s="109">
        <v>0</v>
      </c>
      <c r="H116" s="109">
        <v>0</v>
      </c>
      <c r="I116" s="109"/>
      <c r="J116" s="110">
        <f>SUM(E116:I116)</f>
        <v>773.13109580000003</v>
      </c>
      <c r="K116" s="149"/>
      <c r="L116" s="108">
        <f t="shared" si="44"/>
        <v>779.23008179999999</v>
      </c>
      <c r="M116" s="108">
        <f t="shared" si="44"/>
        <v>-6.098986</v>
      </c>
      <c r="N116" s="108">
        <f t="shared" si="44"/>
        <v>0</v>
      </c>
      <c r="O116" s="108">
        <f t="shared" si="44"/>
        <v>0</v>
      </c>
      <c r="P116" s="108">
        <f t="shared" si="44"/>
        <v>0</v>
      </c>
      <c r="Q116" s="110">
        <f>SUM(L116:P116)</f>
        <v>773.13109580000003</v>
      </c>
      <c r="R116" s="149">
        <f>IF(ROUND(Q116,0)=0,0,Q116/Q33)</f>
        <v>1.1650997939946501</v>
      </c>
    </row>
    <row r="117" spans="1:18">
      <c r="A117" s="104" t="s">
        <v>101</v>
      </c>
      <c r="B117" s="104"/>
      <c r="C117" s="104"/>
      <c r="D117" s="104"/>
      <c r="E117" s="108">
        <f ca="1">'history of trading results'!P96</f>
        <v>339.66051859999993</v>
      </c>
      <c r="F117" s="108">
        <f ca="1">'history of trading results'!Q96</f>
        <v>40.878746299999996</v>
      </c>
      <c r="G117" s="109">
        <v>0</v>
      </c>
      <c r="H117" s="109">
        <v>0</v>
      </c>
      <c r="I117" s="109"/>
      <c r="J117" s="110">
        <f>SUM(E117:I117)</f>
        <v>380.53926489999992</v>
      </c>
      <c r="K117" s="149"/>
      <c r="L117" s="108">
        <f t="shared" si="44"/>
        <v>339.66051859999993</v>
      </c>
      <c r="M117" s="108">
        <f t="shared" si="44"/>
        <v>40.878746299999996</v>
      </c>
      <c r="N117" s="108">
        <f t="shared" si="44"/>
        <v>0</v>
      </c>
      <c r="O117" s="108">
        <f t="shared" si="44"/>
        <v>0</v>
      </c>
      <c r="P117" s="108">
        <f t="shared" si="44"/>
        <v>0</v>
      </c>
      <c r="Q117" s="110">
        <f>SUM(L117:P117)</f>
        <v>380.53926489999992</v>
      </c>
      <c r="R117" s="149">
        <f>IF(ROUND(Q117,0)=0,0,Q117/Q34)</f>
        <v>1.1588698907638004</v>
      </c>
    </row>
    <row r="118" spans="1:18">
      <c r="A118" s="5"/>
      <c r="B118" s="104"/>
      <c r="C118" s="104"/>
      <c r="D118" s="150"/>
      <c r="E118" s="110">
        <f>SUM(E112:E117)</f>
        <v>1553.6001970999998</v>
      </c>
      <c r="F118" s="110">
        <f>SUM(F114:F117)</f>
        <v>57.563601800000001</v>
      </c>
      <c r="G118" s="110">
        <f>SUM(G114:G117)</f>
        <v>0</v>
      </c>
      <c r="H118" s="110">
        <f>SUM(H114:H117)</f>
        <v>0</v>
      </c>
      <c r="I118" s="110">
        <f>SUM(I114:I117)</f>
        <v>0</v>
      </c>
      <c r="J118" s="110">
        <f>SUM(J114:J117)</f>
        <v>1611.1637989000001</v>
      </c>
      <c r="K118" s="149"/>
      <c r="L118" s="110">
        <f>SUM(L112:L117)</f>
        <v>1553.6001970999998</v>
      </c>
      <c r="M118" s="110">
        <f>SUM(M114:M117)</f>
        <v>57.563601800000001</v>
      </c>
      <c r="N118" s="110">
        <f>SUM(N114:N117)</f>
        <v>0</v>
      </c>
      <c r="O118" s="110">
        <f>SUM(O114:O117)</f>
        <v>0</v>
      </c>
      <c r="P118" s="110">
        <f>SUM(P114:P117)</f>
        <v>0</v>
      </c>
      <c r="Q118" s="110">
        <f>SUM(Q114:Q117)</f>
        <v>1611.1637989000001</v>
      </c>
      <c r="R118" s="149">
        <f>IF(ROUND(Q118,0)=0,0,Q118/Q35)</f>
        <v>1.1622646483118217</v>
      </c>
    </row>
    <row r="119" spans="1:18">
      <c r="A119" s="5"/>
      <c r="B119" s="104"/>
      <c r="C119" s="104"/>
      <c r="D119" s="104"/>
      <c r="E119" s="117"/>
      <c r="F119" s="117"/>
      <c r="G119" s="106"/>
      <c r="H119" s="109"/>
      <c r="I119" s="109"/>
      <c r="J119" s="111"/>
      <c r="K119" s="151"/>
      <c r="L119" s="117"/>
      <c r="M119" s="117"/>
      <c r="N119" s="106"/>
      <c r="O119" s="109"/>
      <c r="P119" s="109"/>
      <c r="Q119" s="111"/>
    </row>
    <row r="120" spans="1:18">
      <c r="A120" s="34" t="s">
        <v>102</v>
      </c>
      <c r="B120" s="104"/>
      <c r="C120" s="104"/>
      <c r="D120" s="104"/>
      <c r="E120" s="112"/>
      <c r="F120" s="113"/>
      <c r="G120" s="106"/>
      <c r="H120" s="109"/>
      <c r="I120" s="109"/>
      <c r="J120" s="110"/>
      <c r="K120" s="151"/>
      <c r="L120" s="112"/>
      <c r="M120" s="113"/>
      <c r="N120" s="106"/>
      <c r="O120" s="109"/>
      <c r="P120" s="109"/>
      <c r="Q120" s="110"/>
    </row>
    <row r="121" spans="1:18">
      <c r="A121" s="104" t="s">
        <v>98</v>
      </c>
      <c r="B121" s="141"/>
      <c r="C121" s="104"/>
      <c r="D121" s="150"/>
      <c r="E121" s="108">
        <f ca="1">'history of trading results'!P100</f>
        <v>492.23204799999996</v>
      </c>
      <c r="F121" s="108">
        <f ca="1">'history of trading results'!Q100</f>
        <v>0</v>
      </c>
      <c r="G121" s="109">
        <f>120.2*1.15</f>
        <v>138.22999999999999</v>
      </c>
      <c r="H121" s="109">
        <v>0</v>
      </c>
      <c r="I121" s="109"/>
      <c r="J121" s="110">
        <f t="shared" ref="J121:J140" si="45">SUM(E121:I121)</f>
        <v>630.46204799999998</v>
      </c>
      <c r="K121" s="149"/>
      <c r="L121" s="108">
        <f>E121-20</f>
        <v>472.23204799999996</v>
      </c>
      <c r="M121" s="108">
        <f t="shared" ref="M121:M140" si="46">F121</f>
        <v>0</v>
      </c>
      <c r="N121" s="108">
        <f>G121-37.7</f>
        <v>100.52999999999999</v>
      </c>
      <c r="O121" s="108">
        <f>H121</f>
        <v>0</v>
      </c>
      <c r="P121" s="108">
        <f>I121</f>
        <v>0</v>
      </c>
      <c r="Q121" s="110">
        <f t="shared" ref="Q121:Q140" si="47">SUM(L121:P121)</f>
        <v>572.76204799999994</v>
      </c>
      <c r="R121" s="149">
        <f t="shared" ref="R121:R140" si="48">IF(ROUND(Q121,0)=0,0,Q121/Q38)</f>
        <v>1.1578201459499886</v>
      </c>
    </row>
    <row r="122" spans="1:18">
      <c r="A122" s="104" t="s">
        <v>103</v>
      </c>
      <c r="B122" s="104"/>
      <c r="C122" s="104"/>
      <c r="D122" s="150"/>
      <c r="E122" s="108">
        <f ca="1">'history of trading results'!P101</f>
        <v>200.6336</v>
      </c>
      <c r="F122" s="108">
        <f ca="1">'history of trading results'!Q101</f>
        <v>0</v>
      </c>
      <c r="G122" s="109">
        <v>0</v>
      </c>
      <c r="H122" s="109">
        <v>0</v>
      </c>
      <c r="I122" s="109">
        <v>-200.6</v>
      </c>
      <c r="J122" s="110">
        <f t="shared" si="45"/>
        <v>3.3600000000006958E-2</v>
      </c>
      <c r="K122" s="149"/>
      <c r="L122" s="108">
        <f>E122-31.3</f>
        <v>169.33359999999999</v>
      </c>
      <c r="M122" s="108">
        <f t="shared" si="46"/>
        <v>0</v>
      </c>
      <c r="N122" s="108">
        <f>G122</f>
        <v>0</v>
      </c>
      <c r="O122" s="108">
        <f>H122</f>
        <v>0</v>
      </c>
      <c r="P122" s="108">
        <f>I122+31.3</f>
        <v>-169.29999999999998</v>
      </c>
      <c r="Q122" s="110">
        <f t="shared" si="47"/>
        <v>3.3600000000006958E-2</v>
      </c>
      <c r="R122" s="149">
        <f t="shared" si="48"/>
        <v>0</v>
      </c>
    </row>
    <row r="123" spans="1:18">
      <c r="A123" s="104" t="s">
        <v>104</v>
      </c>
      <c r="B123" s="104"/>
      <c r="C123" s="104"/>
      <c r="D123" s="150"/>
      <c r="E123" s="108">
        <f ca="1">'history of trading results'!P102</f>
        <v>39.929274800000002</v>
      </c>
      <c r="F123" s="108">
        <f ca="1">'history of trading results'!Q102</f>
        <v>0</v>
      </c>
      <c r="G123" s="109">
        <v>0</v>
      </c>
      <c r="H123" s="109">
        <v>0</v>
      </c>
      <c r="I123" s="109"/>
      <c r="J123" s="110">
        <f t="shared" si="45"/>
        <v>39.929274800000002</v>
      </c>
      <c r="K123" s="149"/>
      <c r="L123" s="108">
        <f>E123</f>
        <v>39.929274800000002</v>
      </c>
      <c r="M123" s="108">
        <f t="shared" si="46"/>
        <v>0</v>
      </c>
      <c r="N123" s="108">
        <f>G123</f>
        <v>0</v>
      </c>
      <c r="O123" s="108">
        <f>H123</f>
        <v>0</v>
      </c>
      <c r="P123" s="108">
        <f t="shared" ref="P123:P132" si="49">I123</f>
        <v>0</v>
      </c>
      <c r="Q123" s="110">
        <f t="shared" si="47"/>
        <v>39.929274800000002</v>
      </c>
      <c r="R123" s="149">
        <f t="shared" si="48"/>
        <v>1.1611735481431937</v>
      </c>
    </row>
    <row r="124" spans="1:18">
      <c r="A124" s="104" t="s">
        <v>105</v>
      </c>
      <c r="B124" s="104"/>
      <c r="C124" s="104"/>
      <c r="D124" s="150"/>
      <c r="E124" s="108">
        <f ca="1">'history of trading results'!P103</f>
        <v>145.47325429999998</v>
      </c>
      <c r="F124" s="108">
        <f ca="1">'history of trading results'!Q103</f>
        <v>27.119215300000004</v>
      </c>
      <c r="G124" s="109">
        <f>6*1.15</f>
        <v>6.8999999999999995</v>
      </c>
      <c r="H124" s="109">
        <v>0</v>
      </c>
      <c r="I124" s="109"/>
      <c r="J124" s="110">
        <f t="shared" si="45"/>
        <v>179.49246959999999</v>
      </c>
      <c r="K124" s="149"/>
      <c r="L124" s="108">
        <f>E124-19.3-43.8</f>
        <v>82.373254299999985</v>
      </c>
      <c r="M124" s="108">
        <f t="shared" si="46"/>
        <v>27.119215300000004</v>
      </c>
      <c r="N124" s="108">
        <f>G124-6.9</f>
        <v>0</v>
      </c>
      <c r="O124" s="108">
        <f t="shared" ref="O124:O140" si="50">H124</f>
        <v>0</v>
      </c>
      <c r="P124" s="108">
        <f t="shared" si="49"/>
        <v>0</v>
      </c>
      <c r="Q124" s="110">
        <f t="shared" si="47"/>
        <v>109.49246959999999</v>
      </c>
      <c r="R124" s="149">
        <f t="shared" si="48"/>
        <v>1.1808173500420593</v>
      </c>
    </row>
    <row r="125" spans="1:18">
      <c r="A125" s="104" t="s">
        <v>106</v>
      </c>
      <c r="B125" s="104"/>
      <c r="C125" s="104"/>
      <c r="D125" s="150"/>
      <c r="E125" s="108">
        <f ca="1">'history of trading results'!P104</f>
        <v>36.149872700000003</v>
      </c>
      <c r="F125" s="108">
        <f ca="1">'history of trading results'!Q104</f>
        <v>0.77368300000000012</v>
      </c>
      <c r="G125" s="109">
        <v>0</v>
      </c>
      <c r="H125" s="109">
        <v>0</v>
      </c>
      <c r="I125" s="109"/>
      <c r="J125" s="110">
        <f t="shared" si="45"/>
        <v>36.923555700000001</v>
      </c>
      <c r="K125" s="149"/>
      <c r="L125" s="108">
        <f t="shared" ref="L125:L132" si="51">E125</f>
        <v>36.149872700000003</v>
      </c>
      <c r="M125" s="108">
        <f t="shared" si="46"/>
        <v>0.77368300000000012</v>
      </c>
      <c r="N125" s="108">
        <f t="shared" ref="N125:N135" si="52">G125</f>
        <v>0</v>
      </c>
      <c r="O125" s="108">
        <f t="shared" si="50"/>
        <v>0</v>
      </c>
      <c r="P125" s="108">
        <f t="shared" si="49"/>
        <v>0</v>
      </c>
      <c r="Q125" s="110">
        <f t="shared" si="47"/>
        <v>36.923555700000001</v>
      </c>
      <c r="R125" s="149">
        <f t="shared" si="48"/>
        <v>1.1616660594620105</v>
      </c>
    </row>
    <row r="126" spans="1:18">
      <c r="A126" s="104" t="s">
        <v>107</v>
      </c>
      <c r="B126" s="104"/>
      <c r="C126" s="104"/>
      <c r="D126" s="150"/>
      <c r="E126" s="108">
        <f ca="1">'history of trading results'!P105</f>
        <v>30.652232799999997</v>
      </c>
      <c r="F126" s="108">
        <f ca="1">'history of trading results'!Q105</f>
        <v>1.0375479999999999</v>
      </c>
      <c r="G126" s="109">
        <v>0</v>
      </c>
      <c r="H126" s="109">
        <v>0</v>
      </c>
      <c r="I126" s="109"/>
      <c r="J126" s="110">
        <f t="shared" si="45"/>
        <v>31.689780799999998</v>
      </c>
      <c r="K126" s="149"/>
      <c r="L126" s="108">
        <f t="shared" si="51"/>
        <v>30.652232799999997</v>
      </c>
      <c r="M126" s="108">
        <f t="shared" si="46"/>
        <v>1.0375479999999999</v>
      </c>
      <c r="N126" s="108">
        <f t="shared" si="52"/>
        <v>0</v>
      </c>
      <c r="O126" s="108">
        <f t="shared" si="50"/>
        <v>0</v>
      </c>
      <c r="P126" s="108">
        <f t="shared" si="49"/>
        <v>0</v>
      </c>
      <c r="Q126" s="110">
        <f t="shared" si="47"/>
        <v>31.689780799999998</v>
      </c>
      <c r="R126" s="149">
        <f t="shared" si="48"/>
        <v>1.1523137631358857</v>
      </c>
    </row>
    <row r="127" spans="1:18">
      <c r="A127" s="104" t="s">
        <v>108</v>
      </c>
      <c r="B127" s="104"/>
      <c r="C127" s="104"/>
      <c r="D127" s="150"/>
      <c r="E127" s="108">
        <f ca="1">'history of trading results'!P106</f>
        <v>91.746640800000009</v>
      </c>
      <c r="F127" s="108">
        <f ca="1">'history of trading results'!Q106</f>
        <v>1.3333573000000001</v>
      </c>
      <c r="G127" s="109">
        <v>0</v>
      </c>
      <c r="H127" s="109">
        <v>0</v>
      </c>
      <c r="I127" s="109"/>
      <c r="J127" s="110">
        <f t="shared" si="45"/>
        <v>93.079998100000012</v>
      </c>
      <c r="K127" s="149"/>
      <c r="L127" s="108">
        <f t="shared" si="51"/>
        <v>91.746640800000009</v>
      </c>
      <c r="M127" s="108">
        <f t="shared" si="46"/>
        <v>1.3333573000000001</v>
      </c>
      <c r="N127" s="108">
        <f t="shared" si="52"/>
        <v>0</v>
      </c>
      <c r="O127" s="108">
        <f t="shared" si="50"/>
        <v>0</v>
      </c>
      <c r="P127" s="108">
        <f t="shared" si="49"/>
        <v>0</v>
      </c>
      <c r="Q127" s="110">
        <f t="shared" si="47"/>
        <v>93.079998100000012</v>
      </c>
      <c r="R127" s="149">
        <f t="shared" si="48"/>
        <v>1.1627441925248589</v>
      </c>
    </row>
    <row r="128" spans="1:18">
      <c r="A128" s="104" t="s">
        <v>109</v>
      </c>
      <c r="B128" s="104"/>
      <c r="C128" s="104"/>
      <c r="D128" s="150"/>
      <c r="E128" s="108">
        <f ca="1">'history of trading results'!P107</f>
        <v>15.65516</v>
      </c>
      <c r="F128" s="108">
        <f ca="1">'history of trading results'!Q107</f>
        <v>-3.0597199999999998E-2</v>
      </c>
      <c r="G128" s="109">
        <v>0</v>
      </c>
      <c r="H128" s="109">
        <v>0</v>
      </c>
      <c r="I128" s="109"/>
      <c r="J128" s="110">
        <f t="shared" si="45"/>
        <v>15.6245628</v>
      </c>
      <c r="K128" s="149"/>
      <c r="L128" s="108">
        <f t="shared" si="51"/>
        <v>15.65516</v>
      </c>
      <c r="M128" s="108">
        <f t="shared" si="46"/>
        <v>-3.0597199999999998E-2</v>
      </c>
      <c r="N128" s="108">
        <f t="shared" si="52"/>
        <v>0</v>
      </c>
      <c r="O128" s="108">
        <f t="shared" si="50"/>
        <v>0</v>
      </c>
      <c r="P128" s="108">
        <f t="shared" si="49"/>
        <v>0</v>
      </c>
      <c r="Q128" s="110">
        <f t="shared" si="47"/>
        <v>15.6245628</v>
      </c>
      <c r="R128" s="149">
        <f t="shared" si="48"/>
        <v>1.1611595422116527</v>
      </c>
    </row>
    <row r="129" spans="1:18">
      <c r="A129" s="104" t="s">
        <v>110</v>
      </c>
      <c r="B129" s="104"/>
      <c r="C129" s="104"/>
      <c r="D129" s="150"/>
      <c r="E129" s="108">
        <f ca="1">'history of trading results'!P108</f>
        <v>28.844788099999999</v>
      </c>
      <c r="F129" s="108">
        <f ca="1">'history of trading results'!Q108</f>
        <v>0</v>
      </c>
      <c r="G129" s="109">
        <v>0</v>
      </c>
      <c r="H129" s="109">
        <v>0</v>
      </c>
      <c r="I129" s="109"/>
      <c r="J129" s="110">
        <f t="shared" si="45"/>
        <v>28.844788099999999</v>
      </c>
      <c r="K129" s="149"/>
      <c r="L129" s="108">
        <f t="shared" si="51"/>
        <v>28.844788099999999</v>
      </c>
      <c r="M129" s="108">
        <f t="shared" si="46"/>
        <v>0</v>
      </c>
      <c r="N129" s="108">
        <f t="shared" si="52"/>
        <v>0</v>
      </c>
      <c r="O129" s="108">
        <f t="shared" si="50"/>
        <v>0</v>
      </c>
      <c r="P129" s="108">
        <f t="shared" si="49"/>
        <v>0</v>
      </c>
      <c r="Q129" s="110">
        <f t="shared" si="47"/>
        <v>28.844788099999999</v>
      </c>
      <c r="R129" s="149">
        <f t="shared" si="48"/>
        <v>1.1583787036665194</v>
      </c>
    </row>
    <row r="130" spans="1:18">
      <c r="A130" s="104" t="s">
        <v>111</v>
      </c>
      <c r="B130" s="104"/>
      <c r="C130" s="104"/>
      <c r="D130" s="150"/>
      <c r="E130" s="108">
        <f ca="1">'history of trading results'!P109</f>
        <v>22.454140899999999</v>
      </c>
      <c r="F130" s="108">
        <f ca="1">'history of trading results'!Q109</f>
        <v>1.0814338000000001</v>
      </c>
      <c r="G130" s="109">
        <f>0.5*1.15</f>
        <v>0.57499999999999996</v>
      </c>
      <c r="H130" s="109">
        <v>0</v>
      </c>
      <c r="I130" s="109"/>
      <c r="J130" s="110">
        <f t="shared" si="45"/>
        <v>24.110574699999997</v>
      </c>
      <c r="K130" s="149"/>
      <c r="L130" s="108">
        <f t="shared" si="51"/>
        <v>22.454140899999999</v>
      </c>
      <c r="M130" s="108">
        <f t="shared" si="46"/>
        <v>1.0814338000000001</v>
      </c>
      <c r="N130" s="108">
        <f t="shared" si="52"/>
        <v>0.57499999999999996</v>
      </c>
      <c r="O130" s="108">
        <f t="shared" si="50"/>
        <v>0</v>
      </c>
      <c r="P130" s="108">
        <f t="shared" si="49"/>
        <v>0</v>
      </c>
      <c r="Q130" s="110">
        <f t="shared" si="47"/>
        <v>24.110574699999997</v>
      </c>
      <c r="R130" s="149">
        <f t="shared" si="48"/>
        <v>1.1863688776263346</v>
      </c>
    </row>
    <row r="131" spans="1:18">
      <c r="A131" s="104" t="s">
        <v>112</v>
      </c>
      <c r="B131" s="104"/>
      <c r="C131" s="104"/>
      <c r="D131" s="150"/>
      <c r="E131" s="108">
        <f ca="1">'history of trading results'!P110</f>
        <v>18.520165499999994</v>
      </c>
      <c r="F131" s="108">
        <f ca="1">'history of trading results'!Q110</f>
        <v>0</v>
      </c>
      <c r="G131" s="109">
        <v>0</v>
      </c>
      <c r="H131" s="109">
        <v>0</v>
      </c>
      <c r="I131" s="109"/>
      <c r="J131" s="110">
        <f t="shared" si="45"/>
        <v>18.520165499999994</v>
      </c>
      <c r="K131" s="149"/>
      <c r="L131" s="108">
        <f t="shared" si="51"/>
        <v>18.520165499999994</v>
      </c>
      <c r="M131" s="108">
        <f t="shared" si="46"/>
        <v>0</v>
      </c>
      <c r="N131" s="108">
        <f t="shared" si="52"/>
        <v>0</v>
      </c>
      <c r="O131" s="108">
        <f t="shared" si="50"/>
        <v>0</v>
      </c>
      <c r="P131" s="108">
        <f t="shared" si="49"/>
        <v>0</v>
      </c>
      <c r="Q131" s="110">
        <f t="shared" si="47"/>
        <v>18.520165499999994</v>
      </c>
      <c r="R131" s="149">
        <f t="shared" si="48"/>
        <v>1.1583791280960718</v>
      </c>
    </row>
    <row r="132" spans="1:18">
      <c r="A132" s="12" t="s">
        <v>113</v>
      </c>
      <c r="B132" s="104"/>
      <c r="C132" s="104"/>
      <c r="D132" s="150"/>
      <c r="E132" s="108">
        <f ca="1">'history of trading results'!P111</f>
        <v>34.321915199999992</v>
      </c>
      <c r="F132" s="108">
        <f ca="1">'history of trading results'!Q111</f>
        <v>0</v>
      </c>
      <c r="G132" s="109">
        <f>0.6*1.15</f>
        <v>0.69</v>
      </c>
      <c r="H132" s="109">
        <v>0</v>
      </c>
      <c r="I132" s="109"/>
      <c r="J132" s="110">
        <f t="shared" si="45"/>
        <v>35.01191519999999</v>
      </c>
      <c r="K132" s="149"/>
      <c r="L132" s="108">
        <f t="shared" si="51"/>
        <v>34.321915199999992</v>
      </c>
      <c r="M132" s="108">
        <f t="shared" si="46"/>
        <v>0</v>
      </c>
      <c r="N132" s="108">
        <f t="shared" si="52"/>
        <v>0.69</v>
      </c>
      <c r="O132" s="108">
        <f t="shared" si="50"/>
        <v>0</v>
      </c>
      <c r="P132" s="108">
        <f t="shared" si="49"/>
        <v>0</v>
      </c>
      <c r="Q132" s="110">
        <f t="shared" si="47"/>
        <v>35.01191519999999</v>
      </c>
      <c r="R132" s="149">
        <f t="shared" si="48"/>
        <v>1.1541755463985492</v>
      </c>
    </row>
    <row r="133" spans="1:18">
      <c r="A133" s="12" t="s">
        <v>173</v>
      </c>
      <c r="B133" s="104"/>
      <c r="C133" s="104"/>
      <c r="D133" s="150"/>
      <c r="E133" s="108">
        <f ca="1">'history of trading results'!P112</f>
        <v>280.14336530000008</v>
      </c>
      <c r="F133" s="108">
        <f ca="1">'history of trading results'!Q112</f>
        <v>0</v>
      </c>
      <c r="G133" s="109">
        <v>0</v>
      </c>
      <c r="H133" s="109">
        <v>0</v>
      </c>
      <c r="I133" s="109">
        <v>-172.5</v>
      </c>
      <c r="J133" s="110">
        <f t="shared" si="45"/>
        <v>107.64336530000008</v>
      </c>
      <c r="K133" s="149"/>
      <c r="L133" s="108">
        <f>E133+6.2-47.2</f>
        <v>239.14336530000008</v>
      </c>
      <c r="M133" s="108">
        <f t="shared" si="46"/>
        <v>0</v>
      </c>
      <c r="N133" s="108">
        <f t="shared" si="52"/>
        <v>0</v>
      </c>
      <c r="O133" s="108">
        <f t="shared" si="50"/>
        <v>0</v>
      </c>
      <c r="P133" s="108">
        <f>I133+47.2-6.2</f>
        <v>-131.5</v>
      </c>
      <c r="Q133" s="110">
        <f t="shared" si="47"/>
        <v>107.64336530000008</v>
      </c>
      <c r="R133" s="149">
        <f t="shared" si="48"/>
        <v>1.1840782023782035</v>
      </c>
    </row>
    <row r="134" spans="1:18">
      <c r="A134" s="104" t="s">
        <v>115</v>
      </c>
      <c r="B134" s="104"/>
      <c r="C134" s="104"/>
      <c r="D134" s="150"/>
      <c r="E134" s="108">
        <f ca="1">'history of trading results'!P113</f>
        <v>44.076804700000004</v>
      </c>
      <c r="F134" s="108">
        <f ca="1">'history of trading results'!Q113</f>
        <v>0</v>
      </c>
      <c r="G134" s="109">
        <v>0</v>
      </c>
      <c r="H134" s="109">
        <v>0</v>
      </c>
      <c r="I134" s="109"/>
      <c r="J134" s="110">
        <f t="shared" si="45"/>
        <v>44.076804700000004</v>
      </c>
      <c r="K134" s="149"/>
      <c r="L134" s="108">
        <f t="shared" ref="L134:L140" si="53">E134</f>
        <v>44.076804700000004</v>
      </c>
      <c r="M134" s="108">
        <f t="shared" si="46"/>
        <v>0</v>
      </c>
      <c r="N134" s="108">
        <f t="shared" si="52"/>
        <v>0</v>
      </c>
      <c r="O134" s="108">
        <f t="shared" si="50"/>
        <v>0</v>
      </c>
      <c r="P134" s="108">
        <f t="shared" ref="P134:P140" si="54">I134</f>
        <v>0</v>
      </c>
      <c r="Q134" s="110">
        <f t="shared" si="47"/>
        <v>44.076804700000004</v>
      </c>
      <c r="R134" s="149">
        <f t="shared" si="48"/>
        <v>1.1658988149715648</v>
      </c>
    </row>
    <row r="135" spans="1:18">
      <c r="A135" s="12" t="s">
        <v>116</v>
      </c>
      <c r="B135" s="104"/>
      <c r="C135" s="104"/>
      <c r="D135" s="150"/>
      <c r="E135" s="108">
        <f ca="1">'history of trading results'!P114</f>
        <v>58.185790000000011</v>
      </c>
      <c r="F135" s="108">
        <f ca="1">'history of trading results'!Q114</f>
        <v>0</v>
      </c>
      <c r="G135" s="109">
        <v>0</v>
      </c>
      <c r="H135" s="109">
        <v>0</v>
      </c>
      <c r="I135" s="109"/>
      <c r="J135" s="110">
        <f t="shared" si="45"/>
        <v>58.185790000000011</v>
      </c>
      <c r="K135" s="149"/>
      <c r="L135" s="108">
        <f t="shared" si="53"/>
        <v>58.185790000000011</v>
      </c>
      <c r="M135" s="108">
        <f t="shared" si="46"/>
        <v>0</v>
      </c>
      <c r="N135" s="108">
        <f t="shared" si="52"/>
        <v>0</v>
      </c>
      <c r="O135" s="108">
        <f t="shared" si="50"/>
        <v>0</v>
      </c>
      <c r="P135" s="108">
        <f t="shared" si="54"/>
        <v>0</v>
      </c>
      <c r="Q135" s="110">
        <f t="shared" si="47"/>
        <v>58.185790000000011</v>
      </c>
      <c r="R135" s="149">
        <f t="shared" si="48"/>
        <v>1.1642979489744874</v>
      </c>
    </row>
    <row r="136" spans="1:18">
      <c r="A136" s="12" t="s">
        <v>117</v>
      </c>
      <c r="B136" s="104"/>
      <c r="C136" s="104"/>
      <c r="D136" s="150"/>
      <c r="E136" s="108">
        <f ca="1">'history of trading results'!P115</f>
        <v>127.57769080000001</v>
      </c>
      <c r="F136" s="108">
        <f ca="1">'history of trading results'!Q115</f>
        <v>14.2381364</v>
      </c>
      <c r="G136" s="118">
        <f>(52+3.6)*1.15</f>
        <v>63.94</v>
      </c>
      <c r="H136" s="109">
        <f>(7.4+2)*1.15</f>
        <v>10.809999999999999</v>
      </c>
      <c r="I136" s="109"/>
      <c r="J136" s="110">
        <f t="shared" si="45"/>
        <v>216.5658272</v>
      </c>
      <c r="K136" s="149"/>
      <c r="L136" s="108">
        <f t="shared" si="53"/>
        <v>127.57769080000001</v>
      </c>
      <c r="M136" s="108">
        <f t="shared" si="46"/>
        <v>14.2381364</v>
      </c>
      <c r="N136" s="108">
        <f>G136-31.3</f>
        <v>32.64</v>
      </c>
      <c r="O136" s="108">
        <f t="shared" si="50"/>
        <v>10.809999999999999</v>
      </c>
      <c r="P136" s="108">
        <f t="shared" si="54"/>
        <v>0</v>
      </c>
      <c r="Q136" s="110">
        <f t="shared" si="47"/>
        <v>185.26582719999999</v>
      </c>
      <c r="R136" s="149">
        <f t="shared" si="48"/>
        <v>1.1829455042333379</v>
      </c>
    </row>
    <row r="137" spans="1:18">
      <c r="A137" s="104" t="s">
        <v>118</v>
      </c>
      <c r="B137" s="104"/>
      <c r="C137" s="104"/>
      <c r="D137" s="150"/>
      <c r="E137" s="108">
        <f ca="1">'history of trading results'!P116</f>
        <v>155.09340860000003</v>
      </c>
      <c r="F137" s="108">
        <f ca="1">'history of trading results'!Q116</f>
        <v>35.531620899999993</v>
      </c>
      <c r="G137" s="109">
        <f>(2.4+7.9)*1.15</f>
        <v>11.845000000000001</v>
      </c>
      <c r="H137" s="109">
        <v>1</v>
      </c>
      <c r="I137" s="109"/>
      <c r="J137" s="110">
        <f t="shared" si="45"/>
        <v>203.47002950000004</v>
      </c>
      <c r="K137" s="149"/>
      <c r="L137" s="108">
        <f t="shared" si="53"/>
        <v>155.09340860000003</v>
      </c>
      <c r="M137" s="108">
        <f t="shared" si="46"/>
        <v>35.531620899999993</v>
      </c>
      <c r="N137" s="108">
        <f>G137</f>
        <v>11.845000000000001</v>
      </c>
      <c r="O137" s="108">
        <f t="shared" si="50"/>
        <v>1</v>
      </c>
      <c r="P137" s="108">
        <f t="shared" si="54"/>
        <v>0</v>
      </c>
      <c r="Q137" s="110">
        <f t="shared" si="47"/>
        <v>203.47002950000004</v>
      </c>
      <c r="R137" s="149">
        <f t="shared" si="48"/>
        <v>1.1688373066251534</v>
      </c>
    </row>
    <row r="138" spans="1:18">
      <c r="A138" s="12" t="s">
        <v>119</v>
      </c>
      <c r="B138" s="104"/>
      <c r="C138" s="104"/>
      <c r="D138" s="150"/>
      <c r="E138" s="108">
        <f ca="1">'history of trading results'!P117</f>
        <v>86.6534659</v>
      </c>
      <c r="F138" s="108">
        <f ca="1">'history of trading results'!Q117</f>
        <v>0</v>
      </c>
      <c r="G138" s="109">
        <v>0</v>
      </c>
      <c r="H138" s="109">
        <v>0</v>
      </c>
      <c r="I138" s="109"/>
      <c r="J138" s="110">
        <f t="shared" si="45"/>
        <v>86.6534659</v>
      </c>
      <c r="K138" s="149"/>
      <c r="L138" s="108">
        <f t="shared" si="53"/>
        <v>86.6534659</v>
      </c>
      <c r="M138" s="108">
        <f t="shared" si="46"/>
        <v>0</v>
      </c>
      <c r="N138" s="108">
        <f>G138</f>
        <v>0</v>
      </c>
      <c r="O138" s="108">
        <f t="shared" si="50"/>
        <v>0</v>
      </c>
      <c r="P138" s="108">
        <f t="shared" si="54"/>
        <v>0</v>
      </c>
      <c r="Q138" s="110">
        <f t="shared" si="47"/>
        <v>86.6534659</v>
      </c>
      <c r="R138" s="149">
        <f t="shared" si="48"/>
        <v>1.1659037700308115</v>
      </c>
    </row>
    <row r="139" spans="1:18">
      <c r="A139" s="104" t="s">
        <v>120</v>
      </c>
      <c r="B139" s="104"/>
      <c r="C139" s="104"/>
      <c r="D139" s="150"/>
      <c r="E139" s="108">
        <f ca="1">'history of trading results'!P118</f>
        <v>39.839909100000007</v>
      </c>
      <c r="F139" s="108">
        <f ca="1">'history of trading results'!Q118</f>
        <v>2.4469710999999998</v>
      </c>
      <c r="G139" s="109">
        <v>0</v>
      </c>
      <c r="H139" s="109">
        <v>0</v>
      </c>
      <c r="I139" s="109"/>
      <c r="J139" s="110">
        <f t="shared" si="45"/>
        <v>42.286880200000006</v>
      </c>
      <c r="K139" s="149"/>
      <c r="L139" s="108">
        <f t="shared" si="53"/>
        <v>39.839909100000007</v>
      </c>
      <c r="M139" s="108">
        <f t="shared" si="46"/>
        <v>2.4469710999999998</v>
      </c>
      <c r="N139" s="108">
        <f>G139</f>
        <v>0</v>
      </c>
      <c r="O139" s="108">
        <f t="shared" si="50"/>
        <v>0</v>
      </c>
      <c r="P139" s="108">
        <f t="shared" si="54"/>
        <v>0</v>
      </c>
      <c r="Q139" s="110">
        <f t="shared" si="47"/>
        <v>42.286880200000006</v>
      </c>
      <c r="R139" s="149">
        <f t="shared" si="48"/>
        <v>1.1655378903558338</v>
      </c>
    </row>
    <row r="140" spans="1:18">
      <c r="A140" s="12" t="s">
        <v>174</v>
      </c>
      <c r="B140" s="104"/>
      <c r="C140" s="104"/>
      <c r="D140" s="150"/>
      <c r="E140" s="108">
        <f ca="1">'history of trading results'!P119</f>
        <v>32.607968300000003</v>
      </c>
      <c r="F140" s="108">
        <f ca="1">'history of trading results'!Q119</f>
        <v>31.952921899999993</v>
      </c>
      <c r="G140" s="109">
        <v>0</v>
      </c>
      <c r="H140" s="109">
        <v>0</v>
      </c>
      <c r="I140" s="109"/>
      <c r="J140" s="110">
        <f t="shared" si="45"/>
        <v>64.560890199999989</v>
      </c>
      <c r="K140" s="149"/>
      <c r="L140" s="108">
        <f t="shared" si="53"/>
        <v>32.607968300000003</v>
      </c>
      <c r="M140" s="108">
        <f t="shared" si="46"/>
        <v>31.952921899999993</v>
      </c>
      <c r="N140" s="108">
        <f>G140</f>
        <v>0</v>
      </c>
      <c r="O140" s="108">
        <f t="shared" si="50"/>
        <v>0</v>
      </c>
      <c r="P140" s="108">
        <f t="shared" si="54"/>
        <v>0</v>
      </c>
      <c r="Q140" s="110">
        <f t="shared" si="47"/>
        <v>64.560890199999989</v>
      </c>
      <c r="R140" s="149">
        <f t="shared" si="48"/>
        <v>1.1822606614415467</v>
      </c>
    </row>
    <row r="141" spans="1:18">
      <c r="A141" s="104"/>
      <c r="B141" s="104"/>
      <c r="C141" s="104"/>
      <c r="D141" s="150"/>
      <c r="E141" s="108"/>
      <c r="F141" s="119"/>
      <c r="G141" s="106"/>
      <c r="H141" s="109"/>
      <c r="I141" s="109"/>
      <c r="J141" s="110"/>
      <c r="K141" s="149"/>
      <c r="L141" s="108"/>
      <c r="M141" s="119"/>
      <c r="N141" s="106"/>
      <c r="O141" s="109"/>
      <c r="P141" s="109"/>
      <c r="Q141" s="110"/>
      <c r="R141" s="149"/>
    </row>
    <row r="142" spans="1:18">
      <c r="A142" s="5" t="s">
        <v>123</v>
      </c>
      <c r="B142" s="104"/>
      <c r="C142" s="104"/>
      <c r="D142" s="150"/>
      <c r="E142" s="110">
        <f t="shared" ref="E142:J142" si="55">SUM(E121:E141)</f>
        <v>1980.7914958000001</v>
      </c>
      <c r="F142" s="110">
        <f t="shared" si="55"/>
        <v>115.48429049999999</v>
      </c>
      <c r="G142" s="110">
        <f t="shared" si="55"/>
        <v>222.17999999999998</v>
      </c>
      <c r="H142" s="110">
        <f t="shared" si="55"/>
        <v>11.809999999999999</v>
      </c>
      <c r="I142" s="110">
        <f t="shared" si="55"/>
        <v>-373.1</v>
      </c>
      <c r="J142" s="110">
        <f t="shared" si="55"/>
        <v>1957.1657862999998</v>
      </c>
      <c r="K142" s="149"/>
      <c r="L142" s="110">
        <f t="shared" ref="L142:Q142" si="56">SUM(L121:L141)</f>
        <v>1825.3914958</v>
      </c>
      <c r="M142" s="110">
        <f t="shared" si="56"/>
        <v>115.48429049999999</v>
      </c>
      <c r="N142" s="110">
        <f t="shared" si="56"/>
        <v>146.28</v>
      </c>
      <c r="O142" s="110">
        <f t="shared" si="56"/>
        <v>11.809999999999999</v>
      </c>
      <c r="P142" s="110">
        <f t="shared" si="56"/>
        <v>-300.79999999999995</v>
      </c>
      <c r="Q142" s="110">
        <f t="shared" si="56"/>
        <v>1798.1657862999996</v>
      </c>
      <c r="R142" s="149">
        <f>IF(ROUND(Q142,0)=0,0,Q142/Q59)</f>
        <v>1.1670808315884984</v>
      </c>
    </row>
    <row r="143" spans="1:18">
      <c r="A143" s="5" t="s">
        <v>124</v>
      </c>
      <c r="B143" s="104"/>
      <c r="C143" s="104"/>
      <c r="D143" s="150"/>
      <c r="E143" s="110">
        <f t="shared" ref="E143:J143" si="57">+E111-E118-E142</f>
        <v>1913.459277099998</v>
      </c>
      <c r="F143" s="110">
        <f t="shared" si="57"/>
        <v>72.866759900000147</v>
      </c>
      <c r="G143" s="110">
        <f t="shared" si="57"/>
        <v>150.92000000000004</v>
      </c>
      <c r="H143" s="110">
        <f t="shared" si="57"/>
        <v>32.465000000000003</v>
      </c>
      <c r="I143" s="110">
        <f t="shared" si="57"/>
        <v>0</v>
      </c>
      <c r="J143" s="110">
        <f t="shared" si="57"/>
        <v>2169.7110370000019</v>
      </c>
      <c r="K143" s="149"/>
      <c r="L143" s="110">
        <f t="shared" ref="L143:Q143" si="58">+L111-L118-L142</f>
        <v>2068.8592770999981</v>
      </c>
      <c r="M143" s="110">
        <f t="shared" si="58"/>
        <v>140.6067599000001</v>
      </c>
      <c r="N143" s="110">
        <f t="shared" si="58"/>
        <v>157.51999999999995</v>
      </c>
      <c r="O143" s="110">
        <f t="shared" si="58"/>
        <v>29.465000000000007</v>
      </c>
      <c r="P143" s="110">
        <f t="shared" si="58"/>
        <v>0</v>
      </c>
      <c r="Q143" s="110">
        <f t="shared" si="58"/>
        <v>2396.4510370000021</v>
      </c>
      <c r="R143" s="149">
        <f>IF(ROUND(Q143,0)=0,0,Q143/Q60)</f>
        <v>1.1644296932966074</v>
      </c>
    </row>
    <row r="144" spans="1:18">
      <c r="A144" s="5" t="s">
        <v>175</v>
      </c>
      <c r="B144" s="104"/>
      <c r="C144" s="104"/>
      <c r="D144" s="150"/>
      <c r="E144" s="109"/>
      <c r="F144" s="109"/>
      <c r="G144" s="109">
        <f>G61*1.16</f>
        <v>348</v>
      </c>
      <c r="H144" s="109"/>
      <c r="I144" s="109"/>
      <c r="J144" s="110">
        <f>SUM(E144:I144)</f>
        <v>348</v>
      </c>
      <c r="K144" s="149"/>
      <c r="L144" s="109"/>
      <c r="M144" s="109"/>
      <c r="N144" s="108">
        <f>G144</f>
        <v>348</v>
      </c>
      <c r="O144" s="109"/>
      <c r="P144" s="109"/>
      <c r="Q144" s="110">
        <f>SUM(L144:P144)</f>
        <v>348</v>
      </c>
      <c r="R144" s="149">
        <f>IF(ROUND(Q144,0)=0,0,Q144/Q61)</f>
        <v>1.1599999999999999</v>
      </c>
    </row>
    <row r="145" spans="1:18">
      <c r="A145" s="5" t="s">
        <v>176</v>
      </c>
      <c r="B145" s="104"/>
      <c r="C145" s="104"/>
      <c r="D145" s="150"/>
      <c r="E145" s="109">
        <f>E62*1.16</f>
        <v>-348</v>
      </c>
      <c r="F145" s="109"/>
      <c r="G145" s="109">
        <f>G62*1.16</f>
        <v>-464.11599999999999</v>
      </c>
      <c r="H145" s="109"/>
      <c r="I145" s="109"/>
      <c r="J145" s="110">
        <f>SUM(E145:I145)</f>
        <v>-812.11599999999999</v>
      </c>
      <c r="K145" s="149"/>
      <c r="L145" s="108">
        <f>E145</f>
        <v>-348</v>
      </c>
      <c r="M145" s="109"/>
      <c r="N145" s="108">
        <f>G145</f>
        <v>-464.11599999999999</v>
      </c>
      <c r="O145" s="109"/>
      <c r="P145" s="109"/>
      <c r="Q145" s="110">
        <f>SUM(L145:P145)</f>
        <v>-812.11599999999999</v>
      </c>
      <c r="R145" s="149">
        <f>IF(ROUND(Q145,0)=0,0,Q145/Q62)</f>
        <v>1.1599999999999999</v>
      </c>
    </row>
    <row r="146" spans="1:18">
      <c r="A146" s="5" t="s">
        <v>177</v>
      </c>
      <c r="B146" s="104"/>
      <c r="C146" s="104"/>
      <c r="D146" s="150"/>
      <c r="E146" s="161">
        <f>SUM(E143:E145)</f>
        <v>1565.459277099998</v>
      </c>
      <c r="F146" s="161">
        <f>SUM(F143:F145)</f>
        <v>72.866759900000147</v>
      </c>
      <c r="G146" s="161">
        <f>SUM(G143:G145)</f>
        <v>34.804000000000087</v>
      </c>
      <c r="H146" s="161">
        <f>SUM(H143:H145)</f>
        <v>32.465000000000003</v>
      </c>
      <c r="I146" s="161">
        <f>SUM(I143:I145)</f>
        <v>0</v>
      </c>
      <c r="J146" s="162">
        <f>SUM(E146:I146)</f>
        <v>1705.595036999998</v>
      </c>
      <c r="K146" s="149"/>
      <c r="L146" s="161">
        <f>SUM(L143:L145)</f>
        <v>1720.8592770999981</v>
      </c>
      <c r="M146" s="161">
        <f>SUM(M143:M145)</f>
        <v>140.6067599000001</v>
      </c>
      <c r="N146" s="161">
        <f>SUM(N143:N145)</f>
        <v>41.403999999999996</v>
      </c>
      <c r="O146" s="161">
        <f>SUM(O143:O145)</f>
        <v>29.465000000000007</v>
      </c>
      <c r="P146" s="161">
        <f>SUM(P143:P145)</f>
        <v>0</v>
      </c>
      <c r="Q146" s="162">
        <f>SUM(L146:P146)</f>
        <v>1932.335036999998</v>
      </c>
      <c r="R146" s="149">
        <f>IF(ROUND(Q146,0)=0,0,Q146/Q63)</f>
        <v>1.165498678184524</v>
      </c>
    </row>
    <row r="147" spans="1:18">
      <c r="A147" s="12"/>
      <c r="B147" s="104"/>
      <c r="C147" s="104"/>
      <c r="D147" s="104"/>
      <c r="E147" s="109"/>
      <c r="F147" s="109"/>
      <c r="G147" s="109"/>
      <c r="H147" s="109"/>
      <c r="I147" s="109"/>
      <c r="J147" s="110"/>
      <c r="K147" s="151"/>
      <c r="L147" s="150"/>
      <c r="M147" s="150"/>
      <c r="N147" s="150"/>
      <c r="O147" s="150"/>
      <c r="P147" s="150"/>
      <c r="Q147" s="150"/>
    </row>
    <row r="148" spans="1:18">
      <c r="A148" s="5" t="s">
        <v>178</v>
      </c>
      <c r="B148" s="104"/>
      <c r="C148" s="104"/>
      <c r="D148" s="104"/>
      <c r="E148" s="109">
        <f>E143</f>
        <v>1913.459277099998</v>
      </c>
      <c r="F148" s="109">
        <f>F143</f>
        <v>72.866759900000147</v>
      </c>
      <c r="G148" s="109">
        <f>G143</f>
        <v>150.92000000000004</v>
      </c>
      <c r="H148" s="109">
        <f>H143</f>
        <v>32.465000000000003</v>
      </c>
      <c r="I148" s="104"/>
      <c r="J148" s="110">
        <f>SUM(E148:I148)</f>
        <v>2169.7110369999982</v>
      </c>
      <c r="K148" s="104"/>
      <c r="L148" s="104"/>
      <c r="M148" s="104"/>
      <c r="N148" s="104"/>
      <c r="O148" s="104"/>
      <c r="P148" s="104"/>
      <c r="Q148" s="104"/>
    </row>
    <row r="149" spans="1:18">
      <c r="A149" s="5" t="s">
        <v>168</v>
      </c>
      <c r="B149" s="104"/>
      <c r="C149" s="104"/>
      <c r="D149" s="104"/>
      <c r="E149" s="118"/>
      <c r="F149" s="118"/>
      <c r="G149" s="118"/>
      <c r="H149" s="109"/>
      <c r="I149" s="104"/>
      <c r="J149" s="110"/>
      <c r="K149" s="104"/>
      <c r="L149" s="104"/>
      <c r="M149" s="104"/>
      <c r="N149" s="104"/>
      <c r="O149" s="104"/>
      <c r="P149" s="104"/>
      <c r="Q149" s="104"/>
    </row>
    <row r="150" spans="1:18">
      <c r="A150" s="12" t="s">
        <v>179</v>
      </c>
      <c r="B150" s="104"/>
      <c r="C150" s="104"/>
      <c r="D150" s="104"/>
      <c r="E150" s="118">
        <f>22.7-14+5.7+5.6</f>
        <v>20</v>
      </c>
      <c r="F150" s="118">
        <f>(34.7+3.7+6)*1.15</f>
        <v>51.06</v>
      </c>
      <c r="G150" s="118">
        <f>(12+0.8+12+0.8+7.2)*1.15</f>
        <v>37.72</v>
      </c>
      <c r="H150" s="109"/>
      <c r="I150" s="104"/>
      <c r="J150" s="110">
        <f t="shared" ref="J150:J157" si="59">SUM(E150:I150)</f>
        <v>108.78</v>
      </c>
      <c r="K150" s="104"/>
      <c r="L150" s="12"/>
      <c r="M150" s="104"/>
      <c r="N150" s="104"/>
      <c r="O150" s="104"/>
      <c r="P150" s="104"/>
      <c r="Q150" s="104"/>
    </row>
    <row r="151" spans="1:18">
      <c r="A151" s="12" t="s">
        <v>180</v>
      </c>
      <c r="B151" s="104"/>
      <c r="C151" s="104"/>
      <c r="D151" s="104"/>
      <c r="E151" s="118">
        <f>21.9*2</f>
        <v>43.8</v>
      </c>
      <c r="F151" s="118">
        <f>(2.7+2.2)*1.15</f>
        <v>5.6349999999999998</v>
      </c>
      <c r="G151" s="118"/>
      <c r="H151" s="109"/>
      <c r="I151" s="104"/>
      <c r="J151" s="110">
        <f t="shared" si="59"/>
        <v>49.434999999999995</v>
      </c>
      <c r="K151" s="104"/>
      <c r="L151" s="12" t="s">
        <v>181</v>
      </c>
      <c r="M151" s="104"/>
      <c r="N151" s="104"/>
      <c r="O151" s="104"/>
      <c r="P151" s="104"/>
      <c r="Q151" s="104"/>
    </row>
    <row r="152" spans="1:18">
      <c r="A152" s="12" t="s">
        <v>182</v>
      </c>
      <c r="B152" s="104"/>
      <c r="C152" s="104"/>
      <c r="D152" s="104"/>
      <c r="E152" s="118">
        <f>1.4*12*1.15</f>
        <v>19.319999999999997</v>
      </c>
      <c r="F152" s="118"/>
      <c r="G152" s="118">
        <f>0.5*12*1.15</f>
        <v>6.8999999999999995</v>
      </c>
      <c r="H152" s="109"/>
      <c r="I152" s="104"/>
      <c r="J152" s="110">
        <f t="shared" si="59"/>
        <v>26.219999999999995</v>
      </c>
      <c r="K152" s="104"/>
      <c r="L152" s="12"/>
      <c r="M152" s="104"/>
      <c r="N152" s="104"/>
      <c r="O152" s="104"/>
      <c r="P152" s="104"/>
      <c r="Q152" s="104"/>
    </row>
    <row r="153" spans="1:18">
      <c r="A153" s="12" t="s">
        <v>183</v>
      </c>
      <c r="B153" s="104"/>
      <c r="C153" s="104"/>
      <c r="D153" s="104"/>
      <c r="E153" s="118">
        <f>-10*7/13*1.15</f>
        <v>-6.1923076923076925</v>
      </c>
      <c r="F153" s="104"/>
      <c r="G153" s="104"/>
      <c r="H153" s="118">
        <v>6.2</v>
      </c>
      <c r="I153" s="104"/>
      <c r="J153" s="110">
        <f t="shared" si="59"/>
        <v>7.692307692307665E-3</v>
      </c>
      <c r="K153" s="104"/>
      <c r="L153" s="104"/>
      <c r="M153" s="104"/>
      <c r="N153" s="104"/>
      <c r="O153" s="104"/>
      <c r="P153" s="104"/>
      <c r="Q153" s="104"/>
    </row>
    <row r="154" spans="1:18">
      <c r="A154" s="102" t="s">
        <v>185</v>
      </c>
      <c r="B154" s="104"/>
      <c r="C154" s="104"/>
      <c r="D154" s="104"/>
      <c r="E154" s="118">
        <f>37.95+9.2</f>
        <v>47.150000000000006</v>
      </c>
      <c r="F154" s="104"/>
      <c r="G154" s="118">
        <f>(-150+117)*1.15</f>
        <v>-37.949999999999996</v>
      </c>
      <c r="H154" s="118">
        <f>-8*1.15</f>
        <v>-9.1999999999999993</v>
      </c>
      <c r="I154" s="104"/>
      <c r="J154" s="110">
        <f t="shared" si="59"/>
        <v>0</v>
      </c>
      <c r="K154" s="104"/>
      <c r="L154" s="104"/>
      <c r="M154" s="104"/>
      <c r="N154" s="104"/>
      <c r="O154" s="104"/>
      <c r="P154" s="104"/>
      <c r="Q154" s="104"/>
    </row>
    <row r="155" spans="1:18">
      <c r="A155" s="12" t="s">
        <v>197</v>
      </c>
      <c r="B155" s="104"/>
      <c r="C155" s="104"/>
      <c r="D155" s="104"/>
      <c r="E155" s="118"/>
      <c r="F155" s="118">
        <f>(15*3*35%-(1.05+0.5+0.5)*3)*1.15</f>
        <v>11.039999999999997</v>
      </c>
      <c r="G155" s="118"/>
      <c r="H155" s="109"/>
      <c r="I155" s="104"/>
      <c r="J155" s="110">
        <f t="shared" si="59"/>
        <v>11.039999999999997</v>
      </c>
      <c r="K155" s="104"/>
      <c r="L155" s="12" t="s">
        <v>181</v>
      </c>
      <c r="M155" s="104"/>
      <c r="N155" s="104"/>
      <c r="O155" s="104"/>
      <c r="P155" s="104"/>
      <c r="Q155" s="104"/>
    </row>
    <row r="156" spans="1:18">
      <c r="A156" s="12" t="s">
        <v>186</v>
      </c>
      <c r="B156" s="104"/>
      <c r="C156" s="104"/>
      <c r="D156" s="104"/>
      <c r="E156" s="118" t="s">
        <v>153</v>
      </c>
      <c r="F156" s="118"/>
      <c r="G156" s="118"/>
      <c r="H156" s="109"/>
      <c r="I156" s="104"/>
      <c r="J156" s="110">
        <f t="shared" si="59"/>
        <v>0</v>
      </c>
      <c r="K156" s="104"/>
      <c r="L156" s="12"/>
      <c r="M156" s="104"/>
      <c r="N156" s="104"/>
      <c r="O156" s="104"/>
      <c r="P156" s="104"/>
      <c r="Q156" s="104"/>
    </row>
    <row r="157" spans="1:18">
      <c r="A157" s="12" t="s">
        <v>187</v>
      </c>
      <c r="B157" s="104"/>
      <c r="C157" s="104"/>
      <c r="D157" s="104"/>
      <c r="E157" s="118">
        <f>(23.2+4)*1.15+0.1</f>
        <v>31.38</v>
      </c>
      <c r="F157" s="104"/>
      <c r="G157" s="104"/>
      <c r="H157" s="104"/>
      <c r="I157" s="104"/>
      <c r="J157" s="110">
        <f t="shared" si="59"/>
        <v>31.38</v>
      </c>
      <c r="K157" s="104"/>
      <c r="L157" s="104"/>
      <c r="M157" s="104"/>
      <c r="N157" s="104"/>
      <c r="O157" s="104"/>
      <c r="P157" s="104"/>
      <c r="Q157" s="104"/>
    </row>
    <row r="158" spans="1:18">
      <c r="A158" s="5" t="s">
        <v>188</v>
      </c>
      <c r="B158" s="104"/>
      <c r="C158" s="104"/>
      <c r="D158" s="104"/>
      <c r="E158" s="161">
        <f>SUM(E148:E157)</f>
        <v>2068.9169694076904</v>
      </c>
      <c r="F158" s="161">
        <f>SUM(F148:F157)</f>
        <v>140.60175990000013</v>
      </c>
      <c r="G158" s="161">
        <f>SUM(G148:G157)</f>
        <v>157.59000000000006</v>
      </c>
      <c r="H158" s="161">
        <f>SUM(H148:H157)</f>
        <v>29.465000000000007</v>
      </c>
      <c r="I158" s="104"/>
      <c r="J158" s="161">
        <f>SUM(J148:J157)</f>
        <v>2396.5737293076904</v>
      </c>
      <c r="K158" s="104"/>
      <c r="L158" s="104"/>
      <c r="M158" s="104"/>
      <c r="N158" s="104"/>
      <c r="O158" s="104"/>
      <c r="P158" s="104"/>
      <c r="Q158" s="104"/>
    </row>
    <row r="159" spans="1:18">
      <c r="A159" s="12"/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</row>
    <row r="160" spans="1:18">
      <c r="A160" s="147" t="s">
        <v>189</v>
      </c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56"/>
      <c r="M160" s="169" t="s">
        <v>157</v>
      </c>
      <c r="N160" s="156"/>
      <c r="O160" s="156"/>
      <c r="P160" s="156"/>
      <c r="Q160" s="156"/>
    </row>
    <row r="161" spans="1:17">
      <c r="A161" s="104" t="s">
        <v>191</v>
      </c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56"/>
    </row>
    <row r="162" spans="1:17">
      <c r="A162" s="104"/>
      <c r="B162" s="104" t="s">
        <v>192</v>
      </c>
      <c r="C162" s="104"/>
      <c r="D162" s="104"/>
      <c r="E162" s="104"/>
      <c r="F162" s="104"/>
      <c r="G162" s="104"/>
      <c r="H162" s="104"/>
      <c r="I162" s="104"/>
      <c r="J162" s="104"/>
      <c r="K162" s="104"/>
      <c r="L162" s="167">
        <f>'[1]P&amp;LSV'!FE54/1000</f>
        <v>82.678164500000008</v>
      </c>
      <c r="M162" s="168">
        <f>'[1]P&amp;LWN'!EZ51/1000</f>
        <v>2.3285164999999997</v>
      </c>
      <c r="N162" s="167">
        <v>0</v>
      </c>
      <c r="O162" s="167">
        <v>0</v>
      </c>
      <c r="P162" s="147"/>
      <c r="Q162" s="163">
        <f>SUM(L162:P162)</f>
        <v>85.006681000000015</v>
      </c>
    </row>
    <row r="163" spans="1:17">
      <c r="A163" s="104"/>
      <c r="B163" s="104" t="s">
        <v>193</v>
      </c>
      <c r="C163" s="104"/>
      <c r="D163" s="104"/>
      <c r="E163" s="104"/>
      <c r="F163" s="104"/>
      <c r="G163" s="104"/>
      <c r="H163" s="104"/>
      <c r="I163" s="104"/>
      <c r="J163" s="104"/>
      <c r="K163" s="104"/>
      <c r="L163" s="167">
        <v>0</v>
      </c>
      <c r="M163" s="167">
        <v>0</v>
      </c>
      <c r="N163" s="167">
        <v>20.5</v>
      </c>
      <c r="O163" s="167">
        <v>7.5</v>
      </c>
      <c r="P163" s="147"/>
      <c r="Q163" s="163">
        <f>SUM(L163:P163)</f>
        <v>28</v>
      </c>
    </row>
    <row r="164" spans="1:17">
      <c r="A164" s="104"/>
      <c r="B164" s="104" t="s">
        <v>119</v>
      </c>
      <c r="C164" s="104"/>
      <c r="D164" s="104"/>
      <c r="E164" s="104"/>
      <c r="F164" s="104"/>
      <c r="G164" s="104"/>
      <c r="H164" s="104"/>
      <c r="I164" s="104"/>
      <c r="J164" s="104"/>
      <c r="K164" s="104"/>
      <c r="L164" s="167">
        <f>E138</f>
        <v>86.6534659</v>
      </c>
      <c r="M164" s="167">
        <f>F138</f>
        <v>0</v>
      </c>
      <c r="N164" s="167">
        <f>G138</f>
        <v>0</v>
      </c>
      <c r="O164" s="167">
        <f>H138</f>
        <v>0</v>
      </c>
      <c r="P164" s="147"/>
      <c r="Q164" s="163">
        <f>SUM(L164:P164)</f>
        <v>86.6534659</v>
      </c>
    </row>
    <row r="165" spans="1:17">
      <c r="A165" s="148" t="s">
        <v>162</v>
      </c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163">
        <f t="shared" ref="L165:Q165" si="60">L143+SUM(L162:L164)</f>
        <v>2238.190907499998</v>
      </c>
      <c r="M165" s="163">
        <f t="shared" si="60"/>
        <v>142.93527640000011</v>
      </c>
      <c r="N165" s="163">
        <f t="shared" si="60"/>
        <v>178.01999999999995</v>
      </c>
      <c r="O165" s="163">
        <f t="shared" si="60"/>
        <v>36.965000000000003</v>
      </c>
      <c r="P165" s="163">
        <f t="shared" si="60"/>
        <v>0</v>
      </c>
      <c r="Q165" s="163">
        <f t="shared" si="60"/>
        <v>2596.1111839000023</v>
      </c>
    </row>
    <row r="166" spans="1:17">
      <c r="A166" s="12"/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</row>
    <row r="167" spans="1:17">
      <c r="A167" s="12"/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</row>
    <row r="168" spans="1:17">
      <c r="A168" s="12"/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</row>
    <row r="169" spans="1:17">
      <c r="A169" s="12"/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</row>
  </sheetData>
  <phoneticPr fontId="0" type="noConversion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54"/>
  <sheetViews>
    <sheetView tabSelected="1" topLeftCell="E76" workbookViewId="0">
      <selection activeCell="Q95" sqref="Q95"/>
    </sheetView>
  </sheetViews>
  <sheetFormatPr baseColWidth="10" defaultColWidth="9.140625" defaultRowHeight="15"/>
  <cols>
    <col min="1" max="1" width="10.28515625" customWidth="1"/>
    <col min="2" max="2" width="10.42578125" customWidth="1"/>
    <col min="3" max="3" width="10.5703125" customWidth="1"/>
    <col min="4" max="4" width="11.5703125" customWidth="1"/>
    <col min="8" max="8" width="10.42578125" customWidth="1"/>
    <col min="9" max="9" width="11" customWidth="1"/>
    <col min="11" max="11" width="2.5703125" customWidth="1"/>
    <col min="15" max="15" width="10.28515625" customWidth="1"/>
    <col min="16" max="16" width="10.5703125" customWidth="1"/>
  </cols>
  <sheetData>
    <row r="1" spans="1:20" ht="18">
      <c r="A1" s="79" t="s">
        <v>125</v>
      </c>
      <c r="B1" s="104"/>
      <c r="C1" s="104"/>
      <c r="D1" s="104"/>
      <c r="E1" s="104"/>
      <c r="F1" s="104"/>
      <c r="G1" s="79" t="s">
        <v>127</v>
      </c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</row>
    <row r="2" spans="1:20" ht="18">
      <c r="A2" s="42"/>
      <c r="B2" s="43"/>
      <c r="C2" s="103" t="s">
        <v>195</v>
      </c>
      <c r="D2" s="104"/>
      <c r="E2" s="154"/>
      <c r="F2" s="155" t="s">
        <v>129</v>
      </c>
      <c r="G2" s="156"/>
      <c r="H2" s="156"/>
      <c r="I2" s="156"/>
      <c r="J2" s="154"/>
      <c r="K2" s="104"/>
      <c r="L2" s="154"/>
      <c r="M2" s="155" t="s">
        <v>130</v>
      </c>
      <c r="N2" s="156"/>
      <c r="O2" s="156"/>
      <c r="P2" s="156"/>
      <c r="Q2" s="154"/>
      <c r="R2" s="104"/>
      <c r="S2" s="104"/>
      <c r="T2" s="104"/>
    </row>
    <row r="3" spans="1:20">
      <c r="A3" s="42"/>
      <c r="B3" s="5"/>
      <c r="C3" s="104"/>
      <c r="D3" s="104"/>
      <c r="E3" s="80" t="s">
        <v>75</v>
      </c>
      <c r="F3" s="81">
        <f ca="1">'history of trading results'!T65</f>
        <v>1.1499999999999999</v>
      </c>
      <c r="G3" s="104"/>
      <c r="H3" s="104"/>
      <c r="I3" s="123"/>
      <c r="J3" s="83"/>
      <c r="K3" s="104"/>
      <c r="L3" s="80"/>
      <c r="M3" s="81"/>
      <c r="N3" s="104"/>
      <c r="O3" s="104"/>
      <c r="P3" s="104"/>
      <c r="Q3" s="83"/>
      <c r="R3" s="104"/>
      <c r="S3" s="104"/>
      <c r="T3" s="104"/>
    </row>
    <row r="4" spans="1:20">
      <c r="A4" s="5"/>
      <c r="B4" s="104"/>
      <c r="C4" s="104"/>
      <c r="D4" s="104"/>
      <c r="E4" s="124" t="s">
        <v>10</v>
      </c>
      <c r="F4" s="125" t="s">
        <v>11</v>
      </c>
      <c r="G4" s="123" t="s">
        <v>131</v>
      </c>
      <c r="H4" s="82" t="s">
        <v>132</v>
      </c>
      <c r="I4" s="82" t="s">
        <v>133</v>
      </c>
      <c r="J4" s="126" t="s">
        <v>134</v>
      </c>
      <c r="K4" s="12"/>
      <c r="L4" s="124" t="s">
        <v>10</v>
      </c>
      <c r="M4" s="125" t="s">
        <v>11</v>
      </c>
      <c r="N4" s="123" t="s">
        <v>131</v>
      </c>
      <c r="O4" s="82" t="s">
        <v>132</v>
      </c>
      <c r="P4" s="82" t="s">
        <v>133</v>
      </c>
      <c r="Q4" s="126" t="s">
        <v>134</v>
      </c>
      <c r="R4" s="104"/>
      <c r="S4" s="104"/>
      <c r="T4" s="104"/>
    </row>
    <row r="5" spans="1:20">
      <c r="A5" s="104"/>
      <c r="B5" s="104"/>
      <c r="C5" s="104"/>
      <c r="D5" s="104"/>
      <c r="E5" s="124" t="s">
        <v>13</v>
      </c>
      <c r="F5" s="125" t="s">
        <v>14</v>
      </c>
      <c r="G5" s="123" t="s">
        <v>135</v>
      </c>
      <c r="H5" s="82" t="s">
        <v>136</v>
      </c>
      <c r="I5" s="82" t="s">
        <v>137</v>
      </c>
      <c r="J5" s="126"/>
      <c r="K5" s="12"/>
      <c r="L5" s="124" t="s">
        <v>13</v>
      </c>
      <c r="M5" s="125" t="s">
        <v>14</v>
      </c>
      <c r="N5" s="123" t="s">
        <v>135</v>
      </c>
      <c r="O5" s="82" t="s">
        <v>136</v>
      </c>
      <c r="P5" s="82" t="s">
        <v>137</v>
      </c>
      <c r="Q5" s="126"/>
      <c r="R5" s="104"/>
      <c r="S5" s="104"/>
      <c r="T5" s="104"/>
    </row>
    <row r="6" spans="1:20">
      <c r="A6" s="104"/>
      <c r="B6" s="104"/>
      <c r="C6" s="104"/>
      <c r="D6" s="104"/>
      <c r="E6" s="84"/>
      <c r="F6" s="85"/>
      <c r="G6" s="85"/>
      <c r="H6" s="104"/>
      <c r="I6" s="104"/>
      <c r="J6" s="86"/>
      <c r="K6" s="104"/>
      <c r="L6" s="84"/>
      <c r="M6" s="85"/>
      <c r="N6" s="85"/>
      <c r="O6" s="104"/>
      <c r="P6" s="104"/>
      <c r="Q6" s="86"/>
      <c r="R6" s="104"/>
      <c r="S6" s="104"/>
      <c r="T6" s="104"/>
    </row>
    <row r="7" spans="1:20">
      <c r="A7" s="104" t="s">
        <v>16</v>
      </c>
      <c r="B7" s="104"/>
      <c r="C7" s="104"/>
      <c r="D7" s="104"/>
      <c r="E7" s="87">
        <f ca="1">'history of trading results'!S7</f>
        <v>17381.334782608697</v>
      </c>
      <c r="F7" s="87">
        <f ca="1">'history of trading results'!T7</f>
        <v>1256.5217391304348</v>
      </c>
      <c r="G7" s="88">
        <v>0</v>
      </c>
      <c r="H7" s="88">
        <v>0</v>
      </c>
      <c r="I7" s="88"/>
      <c r="J7" s="89">
        <f>SUM(E7:I7)</f>
        <v>18637.856521739133</v>
      </c>
      <c r="K7" s="105"/>
      <c r="L7" s="87">
        <f t="shared" ref="L7:P9" si="0">E7</f>
        <v>17381.334782608697</v>
      </c>
      <c r="M7" s="87">
        <f t="shared" si="0"/>
        <v>1256.5217391304348</v>
      </c>
      <c r="N7" s="87">
        <f t="shared" si="0"/>
        <v>0</v>
      </c>
      <c r="O7" s="87">
        <f t="shared" si="0"/>
        <v>0</v>
      </c>
      <c r="P7" s="87">
        <f t="shared" si="0"/>
        <v>0</v>
      </c>
      <c r="Q7" s="89">
        <f>SUM(L7:P7)</f>
        <v>18637.856521739133</v>
      </c>
      <c r="R7" s="104"/>
      <c r="S7" s="104"/>
      <c r="T7" s="104"/>
    </row>
    <row r="8" spans="1:20">
      <c r="A8" s="104" t="s">
        <v>17</v>
      </c>
      <c r="B8" s="104"/>
      <c r="C8" s="104"/>
      <c r="D8" s="104"/>
      <c r="E8" s="87">
        <f ca="1">'history of trading results'!S8</f>
        <v>0</v>
      </c>
      <c r="F8" s="87">
        <f ca="1">'history of trading results'!T8</f>
        <v>0</v>
      </c>
      <c r="G8" s="88">
        <v>0</v>
      </c>
      <c r="H8" s="88">
        <v>0</v>
      </c>
      <c r="I8" s="88"/>
      <c r="J8" s="89">
        <f>SUM(E8:I8)</f>
        <v>0</v>
      </c>
      <c r="K8" s="105"/>
      <c r="L8" s="87">
        <f t="shared" si="0"/>
        <v>0</v>
      </c>
      <c r="M8" s="87">
        <f t="shared" si="0"/>
        <v>0</v>
      </c>
      <c r="N8" s="87">
        <f t="shared" si="0"/>
        <v>0</v>
      </c>
      <c r="O8" s="87">
        <f t="shared" si="0"/>
        <v>0</v>
      </c>
      <c r="P8" s="87">
        <f t="shared" si="0"/>
        <v>0</v>
      </c>
      <c r="Q8" s="89">
        <f>SUM(L8:P8)</f>
        <v>0</v>
      </c>
      <c r="R8" s="104"/>
      <c r="S8" s="104"/>
      <c r="T8" s="104"/>
    </row>
    <row r="9" spans="1:20">
      <c r="A9" s="104" t="s">
        <v>18</v>
      </c>
      <c r="B9" s="104"/>
      <c r="C9" s="104"/>
      <c r="D9" s="104"/>
      <c r="E9" s="87">
        <f ca="1">'history of trading results'!S9</f>
        <v>-31.521549396781026</v>
      </c>
      <c r="F9" s="87">
        <f ca="1">'history of trading results'!T9</f>
        <v>0</v>
      </c>
      <c r="G9" s="88">
        <v>0</v>
      </c>
      <c r="H9" s="88">
        <v>0</v>
      </c>
      <c r="I9" s="88"/>
      <c r="J9" s="89">
        <f>SUM(E9:I9)</f>
        <v>-31.521549396781026</v>
      </c>
      <c r="K9" s="105"/>
      <c r="L9" s="87">
        <f t="shared" si="0"/>
        <v>-31.521549396781026</v>
      </c>
      <c r="M9" s="87">
        <f t="shared" si="0"/>
        <v>0</v>
      </c>
      <c r="N9" s="87">
        <f t="shared" si="0"/>
        <v>0</v>
      </c>
      <c r="O9" s="87">
        <f t="shared" si="0"/>
        <v>0</v>
      </c>
      <c r="P9" s="87">
        <f t="shared" si="0"/>
        <v>0</v>
      </c>
      <c r="Q9" s="89">
        <f>SUM(L9:P9)</f>
        <v>-31.521549396781026</v>
      </c>
      <c r="R9" s="104"/>
      <c r="S9" s="104"/>
      <c r="T9" s="104"/>
    </row>
    <row r="10" spans="1:20">
      <c r="A10" s="12" t="s">
        <v>19</v>
      </c>
      <c r="B10" s="104"/>
      <c r="C10" s="104"/>
      <c r="D10" s="104"/>
      <c r="E10" s="87">
        <f ca="1">'history of trading results'!S10</f>
        <v>0</v>
      </c>
      <c r="F10" s="87">
        <f ca="1">'history of trading results'!T10</f>
        <v>0</v>
      </c>
      <c r="G10" s="88">
        <v>150</v>
      </c>
      <c r="H10" s="88">
        <v>0</v>
      </c>
      <c r="I10" s="88">
        <v>-150</v>
      </c>
      <c r="J10" s="89">
        <f>SUM(E10:I10)</f>
        <v>0</v>
      </c>
      <c r="K10" s="105"/>
      <c r="L10" s="87">
        <f>E10</f>
        <v>0</v>
      </c>
      <c r="M10" s="87">
        <f>F10</f>
        <v>0</v>
      </c>
      <c r="N10" s="87">
        <f>G10</f>
        <v>150</v>
      </c>
      <c r="O10" s="87">
        <f>H10</f>
        <v>0</v>
      </c>
      <c r="P10" s="87">
        <f>-SUM(L10:O10)</f>
        <v>-150</v>
      </c>
      <c r="Q10" s="89">
        <f>SUM(L10:P10)</f>
        <v>0</v>
      </c>
      <c r="R10" s="104"/>
      <c r="S10" s="104"/>
      <c r="T10" s="104"/>
    </row>
    <row r="11" spans="1:20">
      <c r="A11" s="12" t="s">
        <v>138</v>
      </c>
      <c r="B11" s="104"/>
      <c r="C11" s="104"/>
      <c r="D11" s="104"/>
      <c r="E11" s="87">
        <f ca="1">'history of trading results'!S11</f>
        <v>0</v>
      </c>
      <c r="F11" s="87">
        <f ca="1">'history of trading results'!T11</f>
        <v>0</v>
      </c>
      <c r="G11" s="88">
        <f>150</f>
        <v>150</v>
      </c>
      <c r="H11" s="88">
        <v>40</v>
      </c>
      <c r="I11" s="88">
        <v>-150</v>
      </c>
      <c r="J11" s="89">
        <f>SUM(E11:I11)</f>
        <v>40</v>
      </c>
      <c r="K11" s="105"/>
      <c r="L11" s="87">
        <f>E11</f>
        <v>0</v>
      </c>
      <c r="M11" s="87">
        <f>F11</f>
        <v>0</v>
      </c>
      <c r="N11" s="87">
        <f>G11-33</f>
        <v>117</v>
      </c>
      <c r="O11" s="87">
        <f>H11-8</f>
        <v>32</v>
      </c>
      <c r="P11" s="87">
        <f>-N11</f>
        <v>-117</v>
      </c>
      <c r="Q11" s="89">
        <f>SUM(L11:P11)</f>
        <v>32</v>
      </c>
      <c r="R11" s="104"/>
      <c r="S11" s="104"/>
      <c r="T11" s="104"/>
    </row>
    <row r="12" spans="1:20">
      <c r="A12" s="5" t="s">
        <v>21</v>
      </c>
      <c r="B12" s="104"/>
      <c r="C12" s="104"/>
      <c r="D12" s="104"/>
      <c r="E12" s="89">
        <f t="shared" ref="E12:J12" si="1">SUM(E7:E11)</f>
        <v>17349.813233211917</v>
      </c>
      <c r="F12" s="89">
        <f t="shared" si="1"/>
        <v>1256.5217391304348</v>
      </c>
      <c r="G12" s="89">
        <f t="shared" si="1"/>
        <v>300</v>
      </c>
      <c r="H12" s="89">
        <f t="shared" si="1"/>
        <v>40</v>
      </c>
      <c r="I12" s="89">
        <f t="shared" si="1"/>
        <v>-300</v>
      </c>
      <c r="J12" s="89">
        <f t="shared" si="1"/>
        <v>18646.334972342353</v>
      </c>
      <c r="K12" s="105"/>
      <c r="L12" s="89">
        <f t="shared" ref="L12:Q12" si="2">SUM(L7:L11)</f>
        <v>17349.813233211917</v>
      </c>
      <c r="M12" s="89">
        <f t="shared" si="2"/>
        <v>1256.5217391304348</v>
      </c>
      <c r="N12" s="89">
        <f t="shared" si="2"/>
        <v>267</v>
      </c>
      <c r="O12" s="89">
        <f t="shared" si="2"/>
        <v>32</v>
      </c>
      <c r="P12" s="89">
        <f t="shared" si="2"/>
        <v>-267</v>
      </c>
      <c r="Q12" s="89">
        <f t="shared" si="2"/>
        <v>18638.334972342353</v>
      </c>
      <c r="R12" s="104"/>
      <c r="S12" s="104"/>
      <c r="T12" s="104"/>
    </row>
    <row r="13" spans="1:20">
      <c r="A13" s="104"/>
      <c r="B13" s="104"/>
      <c r="C13" s="104"/>
      <c r="D13" s="104"/>
      <c r="E13" s="105"/>
      <c r="F13" s="105"/>
      <c r="G13" s="105"/>
      <c r="H13" s="90"/>
      <c r="I13" s="90"/>
      <c r="J13" s="91"/>
      <c r="K13" s="105"/>
      <c r="L13" s="105"/>
      <c r="M13" s="105"/>
      <c r="N13" s="105"/>
      <c r="O13" s="90"/>
      <c r="P13" s="90"/>
      <c r="Q13" s="91"/>
      <c r="R13" s="104"/>
      <c r="S13" s="104"/>
      <c r="T13" s="104"/>
    </row>
    <row r="14" spans="1:20">
      <c r="A14" s="5" t="s">
        <v>23</v>
      </c>
      <c r="B14" s="104"/>
      <c r="C14" s="104"/>
      <c r="D14" s="104"/>
      <c r="E14" s="92"/>
      <c r="F14" s="93"/>
      <c r="G14" s="105"/>
      <c r="H14" s="90"/>
      <c r="I14" s="90"/>
      <c r="J14" s="94"/>
      <c r="K14" s="105"/>
      <c r="L14" s="92"/>
      <c r="M14" s="93"/>
      <c r="N14" s="105"/>
      <c r="O14" s="90"/>
      <c r="P14" s="90"/>
      <c r="Q14" s="94"/>
      <c r="R14" s="104"/>
      <c r="S14" s="104"/>
      <c r="T14" s="104"/>
    </row>
    <row r="15" spans="1:20">
      <c r="A15" s="104" t="s">
        <v>24</v>
      </c>
      <c r="B15" s="104"/>
      <c r="C15" s="104"/>
      <c r="D15" s="104"/>
      <c r="E15" s="87">
        <f ca="1">'history of trading results'!S15</f>
        <v>6265.5148331295595</v>
      </c>
      <c r="F15" s="87">
        <f ca="1">'history of trading results'!T15</f>
        <v>592.60657588087736</v>
      </c>
      <c r="G15" s="88">
        <v>0</v>
      </c>
      <c r="H15" s="88">
        <v>0</v>
      </c>
      <c r="I15" s="88"/>
      <c r="J15" s="89">
        <f>SUM(E15:I15)</f>
        <v>6858.1214090104368</v>
      </c>
      <c r="K15" s="105"/>
      <c r="L15" s="87">
        <f t="shared" ref="L15:P17" si="3">E15</f>
        <v>6265.5148331295595</v>
      </c>
      <c r="M15" s="87">
        <f t="shared" si="3"/>
        <v>592.60657588087736</v>
      </c>
      <c r="N15" s="87">
        <f t="shared" si="3"/>
        <v>0</v>
      </c>
      <c r="O15" s="87">
        <f t="shared" si="3"/>
        <v>0</v>
      </c>
      <c r="P15" s="87">
        <f t="shared" si="3"/>
        <v>0</v>
      </c>
      <c r="Q15" s="89">
        <f>SUM(L15:P15)</f>
        <v>6858.1214090104368</v>
      </c>
      <c r="R15" s="104"/>
      <c r="S15" s="104"/>
      <c r="T15" s="104"/>
    </row>
    <row r="16" spans="1:20">
      <c r="A16" s="104" t="s">
        <v>25</v>
      </c>
      <c r="B16" s="104"/>
      <c r="C16" s="104"/>
      <c r="D16" s="104"/>
      <c r="E16" s="87">
        <f ca="1">'history of trading results'!S16</f>
        <v>484.53331423448736</v>
      </c>
      <c r="F16" s="87">
        <f ca="1">'history of trading results'!T16</f>
        <v>127.7217391304348</v>
      </c>
      <c r="G16" s="88">
        <v>0</v>
      </c>
      <c r="H16" s="88">
        <v>0</v>
      </c>
      <c r="I16" s="88"/>
      <c r="J16" s="89">
        <f>SUM(E16:I16)</f>
        <v>612.25505336492211</v>
      </c>
      <c r="K16" s="105"/>
      <c r="L16" s="87">
        <f t="shared" si="3"/>
        <v>484.53331423448736</v>
      </c>
      <c r="M16" s="87">
        <f t="shared" si="3"/>
        <v>127.7217391304348</v>
      </c>
      <c r="N16" s="87">
        <f t="shared" si="3"/>
        <v>0</v>
      </c>
      <c r="O16" s="87">
        <f t="shared" si="3"/>
        <v>0</v>
      </c>
      <c r="P16" s="87">
        <f t="shared" si="3"/>
        <v>0</v>
      </c>
      <c r="Q16" s="89">
        <f>SUM(L16:P16)</f>
        <v>612.25505336492211</v>
      </c>
      <c r="R16" s="104"/>
      <c r="S16" s="104"/>
      <c r="T16" s="104"/>
    </row>
    <row r="17" spans="1:20">
      <c r="A17" s="104" t="s">
        <v>26</v>
      </c>
      <c r="B17" s="104"/>
      <c r="C17" s="104"/>
      <c r="D17" s="104"/>
      <c r="E17" s="87">
        <f ca="1">'history of trading results'!S17</f>
        <v>358.13075792028457</v>
      </c>
      <c r="F17" s="87">
        <f ca="1">'history of trading results'!T17</f>
        <v>27.616682364445964</v>
      </c>
      <c r="G17" s="88">
        <v>0</v>
      </c>
      <c r="H17" s="88">
        <v>0</v>
      </c>
      <c r="I17" s="88"/>
      <c r="J17" s="89">
        <f>SUM(E17:I17)</f>
        <v>385.74744028473054</v>
      </c>
      <c r="K17" s="105"/>
      <c r="L17" s="87">
        <f t="shared" si="3"/>
        <v>358.13075792028457</v>
      </c>
      <c r="M17" s="87">
        <f t="shared" si="3"/>
        <v>27.616682364445964</v>
      </c>
      <c r="N17" s="87">
        <f t="shared" si="3"/>
        <v>0</v>
      </c>
      <c r="O17" s="87">
        <f t="shared" si="3"/>
        <v>0</v>
      </c>
      <c r="P17" s="87">
        <f t="shared" si="3"/>
        <v>0</v>
      </c>
      <c r="Q17" s="89">
        <f>SUM(L17:P17)</f>
        <v>385.74744028473054</v>
      </c>
      <c r="R17" s="104"/>
      <c r="S17" s="104"/>
      <c r="T17" s="104"/>
    </row>
    <row r="18" spans="1:20">
      <c r="A18" s="104"/>
      <c r="B18" s="104"/>
      <c r="C18" s="104"/>
      <c r="D18" s="104"/>
      <c r="E18" s="89">
        <f t="shared" ref="E18:J18" si="4">SUM(E15:E17)</f>
        <v>7108.1789052843314</v>
      </c>
      <c r="F18" s="89">
        <f t="shared" si="4"/>
        <v>747.94499737575813</v>
      </c>
      <c r="G18" s="89">
        <f t="shared" si="4"/>
        <v>0</v>
      </c>
      <c r="H18" s="89">
        <f t="shared" si="4"/>
        <v>0</v>
      </c>
      <c r="I18" s="89">
        <f t="shared" si="4"/>
        <v>0</v>
      </c>
      <c r="J18" s="89">
        <f t="shared" si="4"/>
        <v>7856.1239026600888</v>
      </c>
      <c r="K18" s="105"/>
      <c r="L18" s="89">
        <f t="shared" ref="L18:Q18" si="5">SUM(L15:L17)</f>
        <v>7108.1789052843314</v>
      </c>
      <c r="M18" s="89">
        <f t="shared" si="5"/>
        <v>747.94499737575813</v>
      </c>
      <c r="N18" s="89">
        <f t="shared" si="5"/>
        <v>0</v>
      </c>
      <c r="O18" s="89">
        <f t="shared" si="5"/>
        <v>0</v>
      </c>
      <c r="P18" s="89">
        <f t="shared" si="5"/>
        <v>0</v>
      </c>
      <c r="Q18" s="89">
        <f t="shared" si="5"/>
        <v>7856.1239026600888</v>
      </c>
      <c r="R18" s="104"/>
      <c r="S18" s="104"/>
      <c r="T18" s="104"/>
    </row>
    <row r="19" spans="1:20">
      <c r="A19" s="5" t="s">
        <v>27</v>
      </c>
      <c r="B19" s="104"/>
      <c r="C19" s="104"/>
      <c r="D19" s="104"/>
      <c r="E19" s="89">
        <f t="shared" ref="E19:J19" si="6">+E12-E18</f>
        <v>10241.634327927586</v>
      </c>
      <c r="F19" s="89">
        <f t="shared" si="6"/>
        <v>508.57674175467662</v>
      </c>
      <c r="G19" s="89">
        <f t="shared" si="6"/>
        <v>300</v>
      </c>
      <c r="H19" s="89">
        <f t="shared" si="6"/>
        <v>40</v>
      </c>
      <c r="I19" s="89">
        <f t="shared" si="6"/>
        <v>-300</v>
      </c>
      <c r="J19" s="89">
        <f t="shared" si="6"/>
        <v>10790.211069682264</v>
      </c>
      <c r="K19" s="105"/>
      <c r="L19" s="89">
        <f t="shared" ref="L19:Q19" si="7">+L12-L18</f>
        <v>10241.634327927586</v>
      </c>
      <c r="M19" s="89">
        <f t="shared" si="7"/>
        <v>508.57674175467662</v>
      </c>
      <c r="N19" s="89">
        <f t="shared" si="7"/>
        <v>267</v>
      </c>
      <c r="O19" s="89">
        <f t="shared" si="7"/>
        <v>32</v>
      </c>
      <c r="P19" s="89">
        <f t="shared" si="7"/>
        <v>-267</v>
      </c>
      <c r="Q19" s="89">
        <f t="shared" si="7"/>
        <v>10782.211069682264</v>
      </c>
      <c r="R19" s="104"/>
      <c r="S19" s="104"/>
      <c r="T19" s="104"/>
    </row>
    <row r="20" spans="1:20">
      <c r="A20" s="5"/>
      <c r="B20" s="104"/>
      <c r="C20" s="104"/>
      <c r="D20" s="104"/>
      <c r="E20" s="105"/>
      <c r="F20" s="105"/>
      <c r="G20" s="95"/>
      <c r="H20" s="90"/>
      <c r="I20" s="90"/>
      <c r="J20" s="91"/>
      <c r="K20" s="105"/>
      <c r="L20" s="105"/>
      <c r="M20" s="105"/>
      <c r="N20" s="95"/>
      <c r="O20" s="90"/>
      <c r="P20" s="90"/>
      <c r="Q20" s="91"/>
      <c r="R20" s="104"/>
      <c r="S20" s="104"/>
      <c r="T20" s="104"/>
    </row>
    <row r="21" spans="1:20">
      <c r="A21" s="5" t="s">
        <v>29</v>
      </c>
      <c r="B21" s="27"/>
      <c r="C21" s="104"/>
      <c r="D21" s="104"/>
      <c r="E21" s="96"/>
      <c r="F21" s="97"/>
      <c r="G21" s="105"/>
      <c r="H21" s="90"/>
      <c r="I21" s="90"/>
      <c r="J21" s="94"/>
      <c r="K21" s="105"/>
      <c r="L21" s="96"/>
      <c r="M21" s="97"/>
      <c r="N21" s="105"/>
      <c r="O21" s="90"/>
      <c r="P21" s="90"/>
      <c r="Q21" s="94"/>
      <c r="R21" s="104"/>
      <c r="S21" s="104"/>
      <c r="T21" s="104"/>
    </row>
    <row r="22" spans="1:20">
      <c r="A22" s="104" t="s">
        <v>30</v>
      </c>
      <c r="B22" s="104"/>
      <c r="C22" s="104"/>
      <c r="D22" s="104"/>
      <c r="E22" s="87">
        <f ca="1">'history of trading results'!S22</f>
        <v>578.66220711539825</v>
      </c>
      <c r="F22" s="87">
        <f ca="1">'history of trading results'!T22</f>
        <v>42.573913043478264</v>
      </c>
      <c r="G22" s="88">
        <v>0</v>
      </c>
      <c r="H22" s="88">
        <v>0</v>
      </c>
      <c r="I22" s="88"/>
      <c r="J22" s="89">
        <f>SUM(E22:I22)</f>
        <v>621.23612015887647</v>
      </c>
      <c r="K22" s="105"/>
      <c r="L22" s="87">
        <f>E22</f>
        <v>578.66220711539825</v>
      </c>
      <c r="M22" s="87">
        <f>F22</f>
        <v>42.573913043478264</v>
      </c>
      <c r="N22" s="87">
        <f>G22</f>
        <v>0</v>
      </c>
      <c r="O22" s="87">
        <f>H22</f>
        <v>0</v>
      </c>
      <c r="P22" s="87">
        <f>I22</f>
        <v>0</v>
      </c>
      <c r="Q22" s="89">
        <f>SUM(L22:P22)</f>
        <v>621.23612015887647</v>
      </c>
      <c r="R22" s="104"/>
      <c r="S22" s="104"/>
      <c r="T22" s="104"/>
    </row>
    <row r="23" spans="1:20">
      <c r="A23" s="104" t="s">
        <v>31</v>
      </c>
      <c r="B23" s="104"/>
      <c r="C23" s="104"/>
      <c r="D23" s="104"/>
      <c r="E23" s="87">
        <f ca="1">'history of trading results'!S23</f>
        <v>3060.6053721906396</v>
      </c>
      <c r="F23" s="87">
        <f ca="1">'history of trading results'!T23</f>
        <v>18</v>
      </c>
      <c r="G23" s="88">
        <v>0</v>
      </c>
      <c r="H23" s="88">
        <v>0</v>
      </c>
      <c r="I23" s="88"/>
      <c r="J23" s="89">
        <f>SUM(E23:I23)</f>
        <v>3078.6053721906396</v>
      </c>
      <c r="K23" s="105"/>
      <c r="L23" s="87">
        <f>E23</f>
        <v>3060.6053721906396</v>
      </c>
      <c r="M23" s="87">
        <f>F23-5.1-4.9</f>
        <v>8</v>
      </c>
      <c r="N23" s="87">
        <f t="shared" ref="N23:P26" si="8">G23</f>
        <v>0</v>
      </c>
      <c r="O23" s="87">
        <f t="shared" si="8"/>
        <v>0</v>
      </c>
      <c r="P23" s="87">
        <f t="shared" si="8"/>
        <v>0</v>
      </c>
      <c r="Q23" s="89">
        <f>SUM(L23:P23)</f>
        <v>3068.6053721906396</v>
      </c>
      <c r="R23" s="104"/>
      <c r="S23" s="104"/>
      <c r="T23" s="104"/>
    </row>
    <row r="24" spans="1:20">
      <c r="A24" s="104" t="s">
        <v>32</v>
      </c>
      <c r="B24" s="104"/>
      <c r="C24" s="104"/>
      <c r="D24" s="104"/>
      <c r="E24" s="87">
        <f ca="1">'history of trading results'!S24</f>
        <v>173.9443</v>
      </c>
      <c r="F24" s="87">
        <f ca="1">'history of trading results'!T24</f>
        <v>153.17232608695653</v>
      </c>
      <c r="G24" s="88">
        <v>0</v>
      </c>
      <c r="H24" s="88">
        <v>0</v>
      </c>
      <c r="I24" s="88"/>
      <c r="J24" s="89">
        <f>SUM(E24:I24)</f>
        <v>327.11662608695656</v>
      </c>
      <c r="K24" s="105"/>
      <c r="L24" s="87">
        <f>E24</f>
        <v>173.9443</v>
      </c>
      <c r="M24" s="87">
        <f>F24</f>
        <v>153.17232608695653</v>
      </c>
      <c r="N24" s="87">
        <f t="shared" si="8"/>
        <v>0</v>
      </c>
      <c r="O24" s="87">
        <f t="shared" si="8"/>
        <v>0</v>
      </c>
      <c r="P24" s="87">
        <f t="shared" si="8"/>
        <v>0</v>
      </c>
      <c r="Q24" s="89">
        <f>SUM(L24:P24)</f>
        <v>327.11662608695656</v>
      </c>
      <c r="R24" s="104"/>
      <c r="S24" s="104"/>
      <c r="T24" s="104"/>
    </row>
    <row r="25" spans="1:20">
      <c r="A25" s="104" t="s">
        <v>33</v>
      </c>
      <c r="B25" s="104"/>
      <c r="C25" s="104"/>
      <c r="D25" s="104"/>
      <c r="E25" s="87">
        <f ca="1">'history of trading results'!S25</f>
        <v>306.53627751999994</v>
      </c>
      <c r="F25" s="87">
        <f ca="1">'history of trading results'!T25</f>
        <v>0</v>
      </c>
      <c r="G25" s="88">
        <v>0</v>
      </c>
      <c r="H25" s="88">
        <v>0</v>
      </c>
      <c r="I25" s="88"/>
      <c r="J25" s="89">
        <f>SUM(E25:I25)</f>
        <v>306.53627751999994</v>
      </c>
      <c r="K25" s="105"/>
      <c r="L25" s="87">
        <f>E25</f>
        <v>306.53627751999994</v>
      </c>
      <c r="M25" s="87">
        <f>F25</f>
        <v>0</v>
      </c>
      <c r="N25" s="87">
        <f t="shared" si="8"/>
        <v>0</v>
      </c>
      <c r="O25" s="87">
        <f t="shared" si="8"/>
        <v>0</v>
      </c>
      <c r="P25" s="87">
        <f t="shared" si="8"/>
        <v>0</v>
      </c>
      <c r="Q25" s="89">
        <f>SUM(L25:P25)</f>
        <v>306.53627751999994</v>
      </c>
      <c r="R25" s="104"/>
      <c r="S25" s="104"/>
      <c r="T25" s="104"/>
    </row>
    <row r="26" spans="1:20">
      <c r="A26" s="104" t="s">
        <v>34</v>
      </c>
      <c r="B26" s="104"/>
      <c r="C26" s="104"/>
      <c r="D26" s="104"/>
      <c r="E26" s="87">
        <f ca="1">'history of trading results'!S26</f>
        <v>114.25739130434783</v>
      </c>
      <c r="F26" s="87">
        <f ca="1">'history of trading results'!T26</f>
        <v>69.234782608695653</v>
      </c>
      <c r="G26" s="88">
        <v>0</v>
      </c>
      <c r="H26" s="88">
        <v>0</v>
      </c>
      <c r="I26" s="88"/>
      <c r="J26" s="89">
        <f>SUM(E26:I26)</f>
        <v>183.49217391304347</v>
      </c>
      <c r="K26" s="105"/>
      <c r="L26" s="87">
        <f>E26</f>
        <v>114.25739130434783</v>
      </c>
      <c r="M26" s="87">
        <f>F26</f>
        <v>69.234782608695653</v>
      </c>
      <c r="N26" s="87">
        <f t="shared" si="8"/>
        <v>0</v>
      </c>
      <c r="O26" s="87">
        <f t="shared" si="8"/>
        <v>0</v>
      </c>
      <c r="P26" s="87">
        <f t="shared" si="8"/>
        <v>0</v>
      </c>
      <c r="Q26" s="89">
        <f>SUM(L26:P26)</f>
        <v>183.49217391304347</v>
      </c>
      <c r="R26" s="104"/>
      <c r="S26" s="104"/>
      <c r="T26" s="104"/>
    </row>
    <row r="27" spans="1:20">
      <c r="A27" s="5"/>
      <c r="B27" s="27"/>
      <c r="C27" s="104"/>
      <c r="D27" s="104"/>
      <c r="E27" s="89">
        <f t="shared" ref="E27:J27" si="9">SUM(E22:E26)</f>
        <v>4234.0055481303862</v>
      </c>
      <c r="F27" s="89">
        <f t="shared" si="9"/>
        <v>282.98102173913043</v>
      </c>
      <c r="G27" s="89">
        <f t="shared" si="9"/>
        <v>0</v>
      </c>
      <c r="H27" s="89">
        <f t="shared" si="9"/>
        <v>0</v>
      </c>
      <c r="I27" s="89">
        <f t="shared" si="9"/>
        <v>0</v>
      </c>
      <c r="J27" s="89">
        <f t="shared" si="9"/>
        <v>4516.9865698695157</v>
      </c>
      <c r="K27" s="105"/>
      <c r="L27" s="89">
        <f t="shared" ref="L27:Q27" si="10">SUM(L22:L26)</f>
        <v>4234.0055481303862</v>
      </c>
      <c r="M27" s="89">
        <f t="shared" si="10"/>
        <v>272.98102173913043</v>
      </c>
      <c r="N27" s="89">
        <f t="shared" si="10"/>
        <v>0</v>
      </c>
      <c r="O27" s="89">
        <f t="shared" si="10"/>
        <v>0</v>
      </c>
      <c r="P27" s="89">
        <f t="shared" si="10"/>
        <v>0</v>
      </c>
      <c r="Q27" s="89">
        <f t="shared" si="10"/>
        <v>4506.9865698695157</v>
      </c>
      <c r="R27" s="104"/>
      <c r="S27" s="104"/>
      <c r="T27" s="104"/>
    </row>
    <row r="28" spans="1:20">
      <c r="A28" s="5" t="s">
        <v>35</v>
      </c>
      <c r="B28" s="27"/>
      <c r="C28" s="104"/>
      <c r="D28" s="104"/>
      <c r="E28" s="89">
        <f t="shared" ref="E28:J28" si="11">+E19-E27</f>
        <v>6007.6287797972</v>
      </c>
      <c r="F28" s="89">
        <f t="shared" si="11"/>
        <v>225.59572001554619</v>
      </c>
      <c r="G28" s="89">
        <f t="shared" si="11"/>
        <v>300</v>
      </c>
      <c r="H28" s="89">
        <f t="shared" si="11"/>
        <v>40</v>
      </c>
      <c r="I28" s="89">
        <f t="shared" si="11"/>
        <v>-300</v>
      </c>
      <c r="J28" s="89">
        <f t="shared" si="11"/>
        <v>6273.224499812748</v>
      </c>
      <c r="K28" s="105"/>
      <c r="L28" s="89">
        <f t="shared" ref="L28:Q28" si="12">+L19-L27</f>
        <v>6007.6287797972</v>
      </c>
      <c r="M28" s="89">
        <f t="shared" si="12"/>
        <v>235.59572001554619</v>
      </c>
      <c r="N28" s="89">
        <f t="shared" si="12"/>
        <v>267</v>
      </c>
      <c r="O28" s="89">
        <f t="shared" si="12"/>
        <v>32</v>
      </c>
      <c r="P28" s="89">
        <f t="shared" si="12"/>
        <v>-267</v>
      </c>
      <c r="Q28" s="89">
        <f t="shared" si="12"/>
        <v>6275.224499812748</v>
      </c>
      <c r="R28" s="104"/>
      <c r="S28" s="104"/>
      <c r="T28" s="104"/>
    </row>
    <row r="29" spans="1:20">
      <c r="A29" s="5"/>
      <c r="B29" s="104"/>
      <c r="C29" s="104"/>
      <c r="D29" s="104"/>
      <c r="E29" s="98"/>
      <c r="F29" s="95"/>
      <c r="G29" s="105"/>
      <c r="H29" s="90"/>
      <c r="I29" s="90"/>
      <c r="J29" s="91"/>
      <c r="K29" s="105"/>
      <c r="L29" s="98"/>
      <c r="M29" s="95"/>
      <c r="N29" s="105"/>
      <c r="O29" s="90"/>
      <c r="P29" s="90"/>
      <c r="Q29" s="91"/>
      <c r="R29" s="104"/>
      <c r="S29" s="104"/>
      <c r="T29" s="104"/>
    </row>
    <row r="30" spans="1:20">
      <c r="A30" s="5" t="s">
        <v>37</v>
      </c>
      <c r="B30" s="104"/>
      <c r="C30" s="104"/>
      <c r="D30" s="104"/>
      <c r="E30" s="96"/>
      <c r="F30" s="97"/>
      <c r="G30" s="105"/>
      <c r="H30" s="90"/>
      <c r="I30" s="90"/>
      <c r="J30" s="94"/>
      <c r="K30" s="105"/>
      <c r="L30" s="96"/>
      <c r="M30" s="97"/>
      <c r="N30" s="105"/>
      <c r="O30" s="90"/>
      <c r="P30" s="90"/>
      <c r="Q30" s="94"/>
      <c r="R30" s="104"/>
      <c r="S30" s="104"/>
      <c r="T30" s="104"/>
    </row>
    <row r="31" spans="1:20">
      <c r="A31" s="104" t="s">
        <v>38</v>
      </c>
      <c r="B31" s="104"/>
      <c r="C31" s="104"/>
      <c r="D31" s="104"/>
      <c r="E31" s="87">
        <f ca="1">'history of trading results'!S31</f>
        <v>307.82899999999995</v>
      </c>
      <c r="F31" s="87">
        <f ca="1">'history of trading results'!T31</f>
        <v>0</v>
      </c>
      <c r="G31" s="88">
        <v>0</v>
      </c>
      <c r="H31" s="88">
        <v>0</v>
      </c>
      <c r="I31" s="88"/>
      <c r="J31" s="89">
        <f>SUM(E31:I31)</f>
        <v>307.82899999999995</v>
      </c>
      <c r="K31" s="105"/>
      <c r="L31" s="87">
        <f t="shared" ref="L31:P34" si="13">E31</f>
        <v>307.82899999999995</v>
      </c>
      <c r="M31" s="87">
        <f t="shared" si="13"/>
        <v>0</v>
      </c>
      <c r="N31" s="87">
        <f t="shared" si="13"/>
        <v>0</v>
      </c>
      <c r="O31" s="87">
        <f t="shared" si="13"/>
        <v>0</v>
      </c>
      <c r="P31" s="87">
        <f t="shared" si="13"/>
        <v>0</v>
      </c>
      <c r="Q31" s="89">
        <f>SUM(L31:P31)</f>
        <v>307.82899999999995</v>
      </c>
      <c r="R31" s="104"/>
      <c r="S31" s="104"/>
      <c r="T31" s="104"/>
    </row>
    <row r="32" spans="1:20">
      <c r="A32" s="104" t="s">
        <v>40</v>
      </c>
      <c r="B32" s="104"/>
      <c r="C32" s="104"/>
      <c r="D32" s="104"/>
      <c r="E32" s="87">
        <f ca="1">'history of trading results'!S32</f>
        <v>124.66867043478261</v>
      </c>
      <c r="F32" s="87">
        <f ca="1">'history of trading results'!T32</f>
        <v>5.3956521739130432</v>
      </c>
      <c r="G32" s="88">
        <v>0</v>
      </c>
      <c r="H32" s="88">
        <v>0</v>
      </c>
      <c r="I32" s="88"/>
      <c r="J32" s="89">
        <f>SUM(E32:I32)</f>
        <v>130.06432260869565</v>
      </c>
      <c r="K32" s="105"/>
      <c r="L32" s="87">
        <f t="shared" si="13"/>
        <v>124.66867043478261</v>
      </c>
      <c r="M32" s="87">
        <f t="shared" si="13"/>
        <v>5.3956521739130432</v>
      </c>
      <c r="N32" s="87">
        <f t="shared" si="13"/>
        <v>0</v>
      </c>
      <c r="O32" s="87">
        <f t="shared" si="13"/>
        <v>0</v>
      </c>
      <c r="P32" s="87">
        <f t="shared" si="13"/>
        <v>0</v>
      </c>
      <c r="Q32" s="89">
        <f>SUM(L32:P32)</f>
        <v>130.06432260869565</v>
      </c>
      <c r="R32" s="104"/>
      <c r="S32" s="104"/>
      <c r="T32" s="104"/>
    </row>
    <row r="33" spans="1:20">
      <c r="A33" s="104" t="s">
        <v>41</v>
      </c>
      <c r="B33" s="104"/>
      <c r="C33" s="104"/>
      <c r="D33" s="104"/>
      <c r="E33" s="87">
        <f ca="1">'history of trading results'!S33</f>
        <v>812.00037956521749</v>
      </c>
      <c r="F33" s="87">
        <f ca="1">'history of trading results'!T33</f>
        <v>28.700000000000003</v>
      </c>
      <c r="G33" s="88">
        <v>0</v>
      </c>
      <c r="H33" s="88">
        <v>0</v>
      </c>
      <c r="I33" s="88"/>
      <c r="J33" s="89">
        <f>SUM(E33:I33)</f>
        <v>840.70037956521753</v>
      </c>
      <c r="K33" s="105"/>
      <c r="L33" s="87">
        <f t="shared" si="13"/>
        <v>812.00037956521749</v>
      </c>
      <c r="M33" s="87">
        <f t="shared" si="13"/>
        <v>28.700000000000003</v>
      </c>
      <c r="N33" s="87">
        <f t="shared" si="13"/>
        <v>0</v>
      </c>
      <c r="O33" s="87">
        <f t="shared" si="13"/>
        <v>0</v>
      </c>
      <c r="P33" s="87">
        <f t="shared" si="13"/>
        <v>0</v>
      </c>
      <c r="Q33" s="89">
        <f>SUM(L33:P33)</f>
        <v>840.70037956521753</v>
      </c>
      <c r="R33" s="104"/>
      <c r="S33" s="104"/>
      <c r="T33" s="104"/>
    </row>
    <row r="34" spans="1:20">
      <c r="A34" s="104" t="s">
        <v>42</v>
      </c>
      <c r="B34" s="104"/>
      <c r="C34" s="104"/>
      <c r="D34" s="104"/>
      <c r="E34" s="87">
        <f ca="1">'history of trading results'!S34</f>
        <v>437.73913043478274</v>
      </c>
      <c r="F34" s="87">
        <f ca="1">'history of trading results'!T34</f>
        <v>31.513043478260865</v>
      </c>
      <c r="G34" s="88">
        <v>0</v>
      </c>
      <c r="H34" s="88">
        <v>0</v>
      </c>
      <c r="I34" s="88"/>
      <c r="J34" s="89">
        <f>SUM(E34:I34)</f>
        <v>469.25217391304358</v>
      </c>
      <c r="K34" s="105"/>
      <c r="L34" s="87">
        <f t="shared" si="13"/>
        <v>437.73913043478274</v>
      </c>
      <c r="M34" s="87">
        <f t="shared" si="13"/>
        <v>31.513043478260865</v>
      </c>
      <c r="N34" s="87">
        <f t="shared" si="13"/>
        <v>0</v>
      </c>
      <c r="O34" s="87">
        <f t="shared" si="13"/>
        <v>0</v>
      </c>
      <c r="P34" s="87">
        <f t="shared" si="13"/>
        <v>0</v>
      </c>
      <c r="Q34" s="89">
        <f>SUM(L34:P34)</f>
        <v>469.25217391304358</v>
      </c>
      <c r="R34" s="104"/>
      <c r="S34" s="104"/>
      <c r="T34" s="104"/>
    </row>
    <row r="35" spans="1:20">
      <c r="A35" s="5"/>
      <c r="B35" s="104"/>
      <c r="C35" s="104"/>
      <c r="D35" s="104"/>
      <c r="E35" s="89">
        <f>SUM(E29:E34)</f>
        <v>1682.2371804347829</v>
      </c>
      <c r="F35" s="89">
        <f>SUM(F31:F34)</f>
        <v>65.608695652173907</v>
      </c>
      <c r="G35" s="89">
        <f>SUM(G31:G34)</f>
        <v>0</v>
      </c>
      <c r="H35" s="89">
        <f>SUM(H31:H34)</f>
        <v>0</v>
      </c>
      <c r="I35" s="89">
        <f>SUM(I31:I34)</f>
        <v>0</v>
      </c>
      <c r="J35" s="89">
        <f>SUM(J31:J34)</f>
        <v>1747.8458760869569</v>
      </c>
      <c r="K35" s="105"/>
      <c r="L35" s="89">
        <f>SUM(L29:L34)</f>
        <v>1682.2371804347829</v>
      </c>
      <c r="M35" s="89">
        <f>SUM(M31:M34)</f>
        <v>65.608695652173907</v>
      </c>
      <c r="N35" s="89">
        <f>SUM(N31:N34)</f>
        <v>0</v>
      </c>
      <c r="O35" s="89">
        <f>SUM(O31:O34)</f>
        <v>0</v>
      </c>
      <c r="P35" s="89">
        <f>SUM(P31:P34)</f>
        <v>0</v>
      </c>
      <c r="Q35" s="89">
        <f>SUM(Q31:Q34)</f>
        <v>1747.8458760869569</v>
      </c>
      <c r="R35" s="104"/>
      <c r="S35" s="104"/>
      <c r="T35" s="104"/>
    </row>
    <row r="36" spans="1:20">
      <c r="A36" s="5"/>
      <c r="B36" s="104"/>
      <c r="C36" s="104"/>
      <c r="D36" s="104"/>
      <c r="E36" s="95"/>
      <c r="F36" s="95"/>
      <c r="G36" s="105"/>
      <c r="H36" s="90"/>
      <c r="I36" s="90"/>
      <c r="J36" s="91"/>
      <c r="K36" s="105"/>
      <c r="L36" s="95"/>
      <c r="M36" s="95"/>
      <c r="N36" s="105"/>
      <c r="O36" s="90"/>
      <c r="P36" s="90"/>
      <c r="Q36" s="91"/>
      <c r="R36" s="104"/>
      <c r="S36" s="104"/>
      <c r="T36" s="104"/>
    </row>
    <row r="37" spans="1:20">
      <c r="A37" s="34" t="s">
        <v>43</v>
      </c>
      <c r="B37" s="104"/>
      <c r="C37" s="104"/>
      <c r="D37" s="104"/>
      <c r="E37" s="92"/>
      <c r="F37" s="93"/>
      <c r="G37" s="105"/>
      <c r="H37" s="90"/>
      <c r="I37" s="90"/>
      <c r="J37" s="89"/>
      <c r="K37" s="105"/>
      <c r="L37" s="92"/>
      <c r="M37" s="93"/>
      <c r="N37" s="105"/>
      <c r="O37" s="90"/>
      <c r="P37" s="90"/>
      <c r="Q37" s="89"/>
      <c r="R37" s="104"/>
      <c r="S37" s="104"/>
      <c r="T37" s="104"/>
    </row>
    <row r="38" spans="1:20">
      <c r="A38" s="104" t="s">
        <v>38</v>
      </c>
      <c r="B38" s="141"/>
      <c r="C38" s="104"/>
      <c r="D38" s="104"/>
      <c r="E38" s="87">
        <f ca="1">'history of trading results'!S38</f>
        <v>527.29349666666644</v>
      </c>
      <c r="F38" s="87">
        <f ca="1">'history of trading results'!T38</f>
        <v>0</v>
      </c>
      <c r="G38" s="88">
        <v>121.4</v>
      </c>
      <c r="H38" s="88">
        <v>0</v>
      </c>
      <c r="I38" s="88"/>
      <c r="J38" s="89">
        <f t="shared" ref="J38:J57" si="14">SUM(E38:I38)</f>
        <v>648.69349666666642</v>
      </c>
      <c r="K38" s="105"/>
      <c r="L38" s="87">
        <f t="shared" ref="L38:M40" si="15">E38</f>
        <v>527.29349666666644</v>
      </c>
      <c r="M38" s="87">
        <f t="shared" si="15"/>
        <v>0</v>
      </c>
      <c r="N38" s="87">
        <f>G38-32.8</f>
        <v>88.600000000000009</v>
      </c>
      <c r="O38" s="87">
        <f t="shared" ref="O38:O49" si="16">H38</f>
        <v>0</v>
      </c>
      <c r="P38" s="87">
        <f t="shared" ref="P38:P49" si="17">I38</f>
        <v>0</v>
      </c>
      <c r="Q38" s="89">
        <f t="shared" ref="Q38:Q57" si="18">SUM(L38:P38)</f>
        <v>615.89349666666646</v>
      </c>
      <c r="R38" s="104"/>
      <c r="S38" s="104"/>
      <c r="T38" s="104"/>
    </row>
    <row r="39" spans="1:20">
      <c r="A39" s="104" t="s">
        <v>44</v>
      </c>
      <c r="B39" s="104"/>
      <c r="C39" s="104"/>
      <c r="D39" s="104"/>
      <c r="E39" s="87">
        <f ca="1">'history of trading results'!S39</f>
        <v>176.00020000000001</v>
      </c>
      <c r="F39" s="87">
        <f ca="1">'history of trading results'!T39</f>
        <v>0</v>
      </c>
      <c r="G39" s="88">
        <v>0</v>
      </c>
      <c r="H39" s="88">
        <v>0</v>
      </c>
      <c r="I39" s="88">
        <v>-150</v>
      </c>
      <c r="J39" s="89">
        <f t="shared" si="14"/>
        <v>26.000200000000007</v>
      </c>
      <c r="K39" s="105"/>
      <c r="L39" s="87">
        <f t="shared" si="15"/>
        <v>176.00020000000001</v>
      </c>
      <c r="M39" s="87">
        <f t="shared" si="15"/>
        <v>0</v>
      </c>
      <c r="N39" s="87">
        <f>G39</f>
        <v>0</v>
      </c>
      <c r="O39" s="87">
        <f t="shared" si="16"/>
        <v>0</v>
      </c>
      <c r="P39" s="87">
        <f t="shared" si="17"/>
        <v>-150</v>
      </c>
      <c r="Q39" s="89">
        <f t="shared" si="18"/>
        <v>26.000200000000007</v>
      </c>
      <c r="R39" s="104"/>
      <c r="S39" s="104"/>
      <c r="T39" s="104"/>
    </row>
    <row r="40" spans="1:20">
      <c r="A40" s="104" t="s">
        <v>45</v>
      </c>
      <c r="B40" s="104"/>
      <c r="C40" s="104"/>
      <c r="D40" s="104"/>
      <c r="E40" s="87">
        <f ca="1">'history of trading results'!S40</f>
        <v>42.6</v>
      </c>
      <c r="F40" s="87">
        <f ca="1">'history of trading results'!T40</f>
        <v>4.2</v>
      </c>
      <c r="G40" s="88">
        <v>0</v>
      </c>
      <c r="H40" s="88">
        <v>0</v>
      </c>
      <c r="I40" s="88"/>
      <c r="J40" s="89">
        <f t="shared" si="14"/>
        <v>46.800000000000004</v>
      </c>
      <c r="K40" s="105"/>
      <c r="L40" s="87">
        <f t="shared" si="15"/>
        <v>42.6</v>
      </c>
      <c r="M40" s="87">
        <f t="shared" si="15"/>
        <v>4.2</v>
      </c>
      <c r="N40" s="87">
        <f>G40</f>
        <v>0</v>
      </c>
      <c r="O40" s="87">
        <f t="shared" si="16"/>
        <v>0</v>
      </c>
      <c r="P40" s="87">
        <f t="shared" si="17"/>
        <v>0</v>
      </c>
      <c r="Q40" s="89">
        <f t="shared" si="18"/>
        <v>46.800000000000004</v>
      </c>
      <c r="R40" s="104"/>
      <c r="S40" s="104"/>
      <c r="T40" s="104"/>
    </row>
    <row r="41" spans="1:20">
      <c r="A41" s="104" t="s">
        <v>46</v>
      </c>
      <c r="B41" s="104"/>
      <c r="C41" s="104"/>
      <c r="D41" s="104"/>
      <c r="E41" s="87">
        <f ca="1">'history of trading results'!S41</f>
        <v>131.14615000000003</v>
      </c>
      <c r="F41" s="87">
        <f ca="1">'history of trading results'!T41</f>
        <v>29.926900000000003</v>
      </c>
      <c r="G41" s="88">
        <v>6</v>
      </c>
      <c r="H41" s="88">
        <v>0</v>
      </c>
      <c r="I41" s="88"/>
      <c r="J41" s="89">
        <f t="shared" si="14"/>
        <v>167.07305000000002</v>
      </c>
      <c r="K41" s="105"/>
      <c r="L41" s="87">
        <f>E41-16.8-37.4</f>
        <v>76.946150000000046</v>
      </c>
      <c r="M41" s="87">
        <f t="shared" ref="M41:M57" si="19">F41</f>
        <v>29.926900000000003</v>
      </c>
      <c r="N41" s="87">
        <f>G41-6</f>
        <v>0</v>
      </c>
      <c r="O41" s="87">
        <f t="shared" si="16"/>
        <v>0</v>
      </c>
      <c r="P41" s="87">
        <f t="shared" si="17"/>
        <v>0</v>
      </c>
      <c r="Q41" s="89">
        <f t="shared" si="18"/>
        <v>106.87305000000005</v>
      </c>
      <c r="R41" s="104"/>
      <c r="S41" s="104"/>
      <c r="T41" s="104"/>
    </row>
    <row r="42" spans="1:20">
      <c r="A42" s="104" t="s">
        <v>47</v>
      </c>
      <c r="B42" s="104"/>
      <c r="C42" s="104"/>
      <c r="D42" s="104"/>
      <c r="E42" s="87">
        <f ca="1">'history of trading results'!S42</f>
        <v>35.246650000000002</v>
      </c>
      <c r="F42" s="87">
        <f ca="1">'history of trading results'!T42</f>
        <v>0.85004999999999986</v>
      </c>
      <c r="G42" s="88">
        <v>0</v>
      </c>
      <c r="H42" s="88">
        <v>0</v>
      </c>
      <c r="I42" s="88"/>
      <c r="J42" s="89">
        <f t="shared" si="14"/>
        <v>36.096700000000006</v>
      </c>
      <c r="K42" s="105"/>
      <c r="L42" s="87">
        <f t="shared" ref="L42:L49" si="20">E42</f>
        <v>35.246650000000002</v>
      </c>
      <c r="M42" s="87">
        <f t="shared" si="19"/>
        <v>0.85004999999999986</v>
      </c>
      <c r="N42" s="87">
        <f t="shared" ref="N42:N57" si="21">G42</f>
        <v>0</v>
      </c>
      <c r="O42" s="87">
        <f t="shared" si="16"/>
        <v>0</v>
      </c>
      <c r="P42" s="87">
        <f t="shared" si="17"/>
        <v>0</v>
      </c>
      <c r="Q42" s="89">
        <f t="shared" si="18"/>
        <v>36.096700000000006</v>
      </c>
      <c r="R42" s="104"/>
      <c r="S42" s="104"/>
      <c r="T42" s="104"/>
    </row>
    <row r="43" spans="1:20">
      <c r="A43" s="104" t="s">
        <v>48</v>
      </c>
      <c r="B43" s="104"/>
      <c r="C43" s="104"/>
      <c r="D43" s="104"/>
      <c r="E43" s="87">
        <f ca="1">'history of trading results'!S43</f>
        <v>34.981449999999995</v>
      </c>
      <c r="F43" s="87">
        <f ca="1">'history of trading results'!T43</f>
        <v>2.1564000000000005</v>
      </c>
      <c r="G43" s="88">
        <v>0</v>
      </c>
      <c r="H43" s="88">
        <v>0</v>
      </c>
      <c r="I43" s="88"/>
      <c r="J43" s="89">
        <f t="shared" si="14"/>
        <v>37.137849999999993</v>
      </c>
      <c r="K43" s="105"/>
      <c r="L43" s="87">
        <f t="shared" si="20"/>
        <v>34.981449999999995</v>
      </c>
      <c r="M43" s="87">
        <f t="shared" si="19"/>
        <v>2.1564000000000005</v>
      </c>
      <c r="N43" s="87">
        <f t="shared" si="21"/>
        <v>0</v>
      </c>
      <c r="O43" s="87">
        <f t="shared" si="16"/>
        <v>0</v>
      </c>
      <c r="P43" s="87">
        <f t="shared" si="17"/>
        <v>0</v>
      </c>
      <c r="Q43" s="89">
        <f t="shared" si="18"/>
        <v>37.137849999999993</v>
      </c>
      <c r="R43" s="104"/>
      <c r="S43" s="104"/>
      <c r="T43" s="104"/>
    </row>
    <row r="44" spans="1:20">
      <c r="A44" s="104" t="s">
        <v>49</v>
      </c>
      <c r="B44" s="104"/>
      <c r="C44" s="104"/>
      <c r="D44" s="104"/>
      <c r="E44" s="87">
        <f ca="1">'history of trading results'!S44</f>
        <v>90.740199999999987</v>
      </c>
      <c r="F44" s="87">
        <f ca="1">'history of trading results'!T44</f>
        <v>3.42</v>
      </c>
      <c r="G44" s="88">
        <v>0</v>
      </c>
      <c r="H44" s="88">
        <v>0</v>
      </c>
      <c r="I44" s="88"/>
      <c r="J44" s="89">
        <f t="shared" si="14"/>
        <v>94.160199999999989</v>
      </c>
      <c r="K44" s="105"/>
      <c r="L44" s="87">
        <f t="shared" si="20"/>
        <v>90.740199999999987</v>
      </c>
      <c r="M44" s="87">
        <f t="shared" si="19"/>
        <v>3.42</v>
      </c>
      <c r="N44" s="87">
        <f t="shared" si="21"/>
        <v>0</v>
      </c>
      <c r="O44" s="87">
        <f t="shared" si="16"/>
        <v>0</v>
      </c>
      <c r="P44" s="87">
        <f t="shared" si="17"/>
        <v>0</v>
      </c>
      <c r="Q44" s="89">
        <f t="shared" si="18"/>
        <v>94.160199999999989</v>
      </c>
      <c r="R44" s="104"/>
      <c r="S44" s="104"/>
      <c r="T44" s="104"/>
    </row>
    <row r="45" spans="1:20">
      <c r="A45" s="104" t="s">
        <v>50</v>
      </c>
      <c r="B45" s="104"/>
      <c r="C45" s="104"/>
      <c r="D45" s="104"/>
      <c r="E45" s="87">
        <f ca="1">'history of trading results'!S45</f>
        <v>13.085549999999998</v>
      </c>
      <c r="F45" s="87">
        <f ca="1">'history of trading results'!T45</f>
        <v>0.3</v>
      </c>
      <c r="G45" s="88">
        <v>0</v>
      </c>
      <c r="H45" s="88">
        <v>0</v>
      </c>
      <c r="I45" s="88"/>
      <c r="J45" s="89">
        <f t="shared" si="14"/>
        <v>13.385549999999999</v>
      </c>
      <c r="K45" s="105"/>
      <c r="L45" s="87">
        <f t="shared" si="20"/>
        <v>13.085549999999998</v>
      </c>
      <c r="M45" s="87">
        <f t="shared" si="19"/>
        <v>0.3</v>
      </c>
      <c r="N45" s="87">
        <f t="shared" si="21"/>
        <v>0</v>
      </c>
      <c r="O45" s="87">
        <f t="shared" si="16"/>
        <v>0</v>
      </c>
      <c r="P45" s="87">
        <f t="shared" si="17"/>
        <v>0</v>
      </c>
      <c r="Q45" s="89">
        <f t="shared" si="18"/>
        <v>13.385549999999999</v>
      </c>
      <c r="R45" s="104"/>
      <c r="S45" s="104"/>
      <c r="T45" s="104"/>
    </row>
    <row r="46" spans="1:20">
      <c r="A46" s="104" t="s">
        <v>51</v>
      </c>
      <c r="B46" s="104"/>
      <c r="C46" s="104"/>
      <c r="D46" s="104"/>
      <c r="E46" s="87">
        <f ca="1">'history of trading results'!S46</f>
        <v>31.314708333333336</v>
      </c>
      <c r="F46" s="87">
        <f ca="1">'history of trading results'!T46</f>
        <v>0</v>
      </c>
      <c r="G46" s="88">
        <v>0</v>
      </c>
      <c r="H46" s="88">
        <v>0</v>
      </c>
      <c r="I46" s="88"/>
      <c r="J46" s="89">
        <f t="shared" si="14"/>
        <v>31.314708333333336</v>
      </c>
      <c r="K46" s="105"/>
      <c r="L46" s="87">
        <f t="shared" si="20"/>
        <v>31.314708333333336</v>
      </c>
      <c r="M46" s="87">
        <f t="shared" si="19"/>
        <v>0</v>
      </c>
      <c r="N46" s="87">
        <f t="shared" si="21"/>
        <v>0</v>
      </c>
      <c r="O46" s="87">
        <f t="shared" si="16"/>
        <v>0</v>
      </c>
      <c r="P46" s="87">
        <f t="shared" si="17"/>
        <v>0</v>
      </c>
      <c r="Q46" s="89">
        <f t="shared" si="18"/>
        <v>31.314708333333336</v>
      </c>
      <c r="R46" s="104"/>
      <c r="S46" s="104"/>
      <c r="T46" s="104"/>
    </row>
    <row r="47" spans="1:20">
      <c r="A47" s="104" t="s">
        <v>52</v>
      </c>
      <c r="B47" s="104"/>
      <c r="C47" s="104"/>
      <c r="D47" s="104"/>
      <c r="E47" s="87">
        <f ca="1">'history of trading results'!S47</f>
        <v>26.175799999999995</v>
      </c>
      <c r="F47" s="87">
        <f ca="1">'history of trading results'!T47</f>
        <v>0.6</v>
      </c>
      <c r="G47" s="88">
        <v>0.2</v>
      </c>
      <c r="H47" s="88">
        <v>0</v>
      </c>
      <c r="I47" s="88"/>
      <c r="J47" s="89">
        <f t="shared" si="14"/>
        <v>26.975799999999996</v>
      </c>
      <c r="K47" s="105"/>
      <c r="L47" s="87">
        <f t="shared" si="20"/>
        <v>26.175799999999995</v>
      </c>
      <c r="M47" s="87">
        <f t="shared" si="19"/>
        <v>0.6</v>
      </c>
      <c r="N47" s="87">
        <f t="shared" si="21"/>
        <v>0.2</v>
      </c>
      <c r="O47" s="87">
        <f t="shared" si="16"/>
        <v>0</v>
      </c>
      <c r="P47" s="87">
        <f t="shared" si="17"/>
        <v>0</v>
      </c>
      <c r="Q47" s="89">
        <f t="shared" si="18"/>
        <v>26.975799999999996</v>
      </c>
      <c r="R47" s="104"/>
      <c r="S47" s="104"/>
      <c r="T47" s="104"/>
    </row>
    <row r="48" spans="1:20">
      <c r="A48" s="104" t="s">
        <v>53</v>
      </c>
      <c r="B48" s="104"/>
      <c r="C48" s="104"/>
      <c r="D48" s="104"/>
      <c r="E48" s="87">
        <f ca="1">'history of trading results'!S48</f>
        <v>22.456100000000003</v>
      </c>
      <c r="F48" s="87">
        <f ca="1">'history of trading results'!T48</f>
        <v>0.24</v>
      </c>
      <c r="G48" s="88">
        <v>0</v>
      </c>
      <c r="H48" s="88">
        <v>0</v>
      </c>
      <c r="I48" s="88"/>
      <c r="J48" s="89">
        <f t="shared" si="14"/>
        <v>22.696100000000001</v>
      </c>
      <c r="K48" s="105"/>
      <c r="L48" s="87">
        <f t="shared" si="20"/>
        <v>22.456100000000003</v>
      </c>
      <c r="M48" s="87">
        <f t="shared" si="19"/>
        <v>0.24</v>
      </c>
      <c r="N48" s="87">
        <f t="shared" si="21"/>
        <v>0</v>
      </c>
      <c r="O48" s="87">
        <f t="shared" si="16"/>
        <v>0</v>
      </c>
      <c r="P48" s="87">
        <f t="shared" si="17"/>
        <v>0</v>
      </c>
      <c r="Q48" s="89">
        <f t="shared" si="18"/>
        <v>22.696100000000001</v>
      </c>
      <c r="R48" s="104"/>
      <c r="S48" s="104"/>
      <c r="T48" s="104"/>
    </row>
    <row r="49" spans="1:20">
      <c r="A49" s="12" t="s">
        <v>54</v>
      </c>
      <c r="B49" s="104"/>
      <c r="C49" s="104"/>
      <c r="D49" s="104"/>
      <c r="E49" s="87">
        <f ca="1">'history of trading results'!S49</f>
        <v>40.513472304347836</v>
      </c>
      <c r="F49" s="87">
        <f ca="1">'history of trading results'!T49</f>
        <v>0.24</v>
      </c>
      <c r="G49" s="88">
        <v>0.8</v>
      </c>
      <c r="H49" s="88">
        <v>0</v>
      </c>
      <c r="I49" s="88"/>
      <c r="J49" s="89">
        <f t="shared" si="14"/>
        <v>41.553472304347835</v>
      </c>
      <c r="K49" s="105"/>
      <c r="L49" s="87">
        <f t="shared" si="20"/>
        <v>40.513472304347836</v>
      </c>
      <c r="M49" s="87">
        <f t="shared" si="19"/>
        <v>0.24</v>
      </c>
      <c r="N49" s="87">
        <f t="shared" si="21"/>
        <v>0.8</v>
      </c>
      <c r="O49" s="87">
        <f t="shared" si="16"/>
        <v>0</v>
      </c>
      <c r="P49" s="87">
        <f t="shared" si="17"/>
        <v>0</v>
      </c>
      <c r="Q49" s="89">
        <f t="shared" si="18"/>
        <v>41.553472304347835</v>
      </c>
      <c r="R49" s="104"/>
      <c r="S49" s="104"/>
      <c r="T49" s="104"/>
    </row>
    <row r="50" spans="1:20">
      <c r="A50" s="104" t="s">
        <v>55</v>
      </c>
      <c r="B50" s="104"/>
      <c r="C50" s="104"/>
      <c r="D50" s="104"/>
      <c r="E50" s="87">
        <f ca="1">'history of trading results'!S50</f>
        <v>265.87909999999999</v>
      </c>
      <c r="F50" s="87">
        <f ca="1">'history of trading results'!T50</f>
        <v>0</v>
      </c>
      <c r="G50" s="88">
        <v>0</v>
      </c>
      <c r="H50" s="88">
        <v>0</v>
      </c>
      <c r="I50" s="88">
        <v>-150</v>
      </c>
      <c r="J50" s="89">
        <f t="shared" si="14"/>
        <v>115.87909999999999</v>
      </c>
      <c r="K50" s="105"/>
      <c r="L50" s="87">
        <f>E50-41</f>
        <v>224.87909999999999</v>
      </c>
      <c r="M50" s="87">
        <f t="shared" si="19"/>
        <v>0</v>
      </c>
      <c r="N50" s="87">
        <f t="shared" si="21"/>
        <v>0</v>
      </c>
      <c r="O50" s="87">
        <f t="shared" ref="O50:O57" si="22">H50</f>
        <v>0</v>
      </c>
      <c r="P50" s="87">
        <v>-117</v>
      </c>
      <c r="Q50" s="89">
        <f t="shared" si="18"/>
        <v>107.87909999999999</v>
      </c>
      <c r="R50" s="104"/>
      <c r="S50" s="104"/>
      <c r="T50" s="104"/>
    </row>
    <row r="51" spans="1:20">
      <c r="A51" s="104" t="s">
        <v>56</v>
      </c>
      <c r="B51" s="104"/>
      <c r="C51" s="104"/>
      <c r="D51" s="104"/>
      <c r="E51" s="87">
        <f ca="1">'history of trading results'!S51</f>
        <v>52.011749999999985</v>
      </c>
      <c r="F51" s="87">
        <f ca="1">'history of trading results'!T51</f>
        <v>0</v>
      </c>
      <c r="G51" s="88">
        <v>0</v>
      </c>
      <c r="H51" s="88">
        <v>0</v>
      </c>
      <c r="I51" s="88"/>
      <c r="J51" s="89">
        <f t="shared" si="14"/>
        <v>52.011749999999985</v>
      </c>
      <c r="K51" s="105"/>
      <c r="L51" s="87">
        <f>E51</f>
        <v>52.011749999999985</v>
      </c>
      <c r="M51" s="87">
        <f t="shared" si="19"/>
        <v>0</v>
      </c>
      <c r="N51" s="87">
        <f t="shared" si="21"/>
        <v>0</v>
      </c>
      <c r="O51" s="87">
        <f t="shared" si="22"/>
        <v>0</v>
      </c>
      <c r="P51" s="87">
        <f t="shared" ref="P51:P57" si="23">I51</f>
        <v>0</v>
      </c>
      <c r="Q51" s="89">
        <f t="shared" si="18"/>
        <v>52.011749999999985</v>
      </c>
      <c r="R51" s="104"/>
      <c r="S51" s="104"/>
      <c r="T51" s="104"/>
    </row>
    <row r="52" spans="1:20">
      <c r="A52" s="104" t="s">
        <v>57</v>
      </c>
      <c r="B52" s="104"/>
      <c r="C52" s="104"/>
      <c r="D52" s="104"/>
      <c r="E52" s="87">
        <f ca="1">'history of trading results'!S52</f>
        <v>48.335965517241362</v>
      </c>
      <c r="F52" s="87">
        <f ca="1">'history of trading results'!T52</f>
        <v>0</v>
      </c>
      <c r="G52" s="88">
        <v>0</v>
      </c>
      <c r="H52" s="88">
        <v>0</v>
      </c>
      <c r="I52" s="88"/>
      <c r="J52" s="89">
        <f t="shared" si="14"/>
        <v>48.335965517241362</v>
      </c>
      <c r="K52" s="105"/>
      <c r="L52" s="87">
        <f>E52</f>
        <v>48.335965517241362</v>
      </c>
      <c r="M52" s="87">
        <f t="shared" si="19"/>
        <v>0</v>
      </c>
      <c r="N52" s="87">
        <f t="shared" si="21"/>
        <v>0</v>
      </c>
      <c r="O52" s="87">
        <f t="shared" si="22"/>
        <v>0</v>
      </c>
      <c r="P52" s="87">
        <f t="shared" si="23"/>
        <v>0</v>
      </c>
      <c r="Q52" s="89">
        <f t="shared" si="18"/>
        <v>48.335965517241362</v>
      </c>
      <c r="R52" s="104"/>
      <c r="S52" s="104"/>
      <c r="T52" s="104"/>
    </row>
    <row r="53" spans="1:20">
      <c r="A53" s="104" t="s">
        <v>58</v>
      </c>
      <c r="B53" s="104"/>
      <c r="C53" s="104"/>
      <c r="D53" s="104"/>
      <c r="E53" s="87">
        <f ca="1">'history of trading results'!S53</f>
        <v>113.92813402920753</v>
      </c>
      <c r="F53" s="87">
        <f ca="1">'history of trading results'!T53</f>
        <v>11.926064112318839</v>
      </c>
      <c r="G53" s="88">
        <f>20.6+4</f>
        <v>24.6</v>
      </c>
      <c r="H53" s="88">
        <f>(6.4+1.6)*52/46</f>
        <v>9.0434782608695645</v>
      </c>
      <c r="I53" s="88"/>
      <c r="J53" s="89">
        <f t="shared" si="14"/>
        <v>159.49767640239594</v>
      </c>
      <c r="K53" s="105"/>
      <c r="L53" s="87">
        <f>E53</f>
        <v>113.92813402920753</v>
      </c>
      <c r="M53" s="87">
        <f t="shared" si="19"/>
        <v>11.926064112318839</v>
      </c>
      <c r="N53" s="87">
        <f t="shared" si="21"/>
        <v>24.6</v>
      </c>
      <c r="O53" s="87">
        <f t="shared" si="22"/>
        <v>9.0434782608695645</v>
      </c>
      <c r="P53" s="87">
        <f t="shared" si="23"/>
        <v>0</v>
      </c>
      <c r="Q53" s="89">
        <f t="shared" si="18"/>
        <v>159.49767640239594</v>
      </c>
      <c r="R53" s="104"/>
      <c r="S53" s="104"/>
      <c r="T53" s="104"/>
    </row>
    <row r="54" spans="1:20">
      <c r="A54" s="104" t="s">
        <v>59</v>
      </c>
      <c r="B54" s="104"/>
      <c r="C54" s="104"/>
      <c r="D54" s="104"/>
      <c r="E54" s="87">
        <f ca="1">'history of trading results'!S54</f>
        <v>161.8728388305847</v>
      </c>
      <c r="F54" s="87">
        <f ca="1">'history of trading results'!T54</f>
        <v>32.290391304347821</v>
      </c>
      <c r="G54" s="88">
        <v>10</v>
      </c>
      <c r="H54" s="88">
        <v>1</v>
      </c>
      <c r="I54" s="88"/>
      <c r="J54" s="89">
        <f t="shared" si="14"/>
        <v>205.16323013493252</v>
      </c>
      <c r="K54" s="105"/>
      <c r="L54" s="87">
        <f>E54-25.9</f>
        <v>135.97283883058469</v>
      </c>
      <c r="M54" s="87">
        <f t="shared" si="19"/>
        <v>32.290391304347821</v>
      </c>
      <c r="N54" s="87">
        <f t="shared" si="21"/>
        <v>10</v>
      </c>
      <c r="O54" s="87">
        <f t="shared" si="22"/>
        <v>1</v>
      </c>
      <c r="P54" s="87">
        <f t="shared" si="23"/>
        <v>0</v>
      </c>
      <c r="Q54" s="89">
        <f t="shared" si="18"/>
        <v>179.26323013493251</v>
      </c>
      <c r="R54" s="104"/>
      <c r="S54" s="104"/>
      <c r="T54" s="104"/>
    </row>
    <row r="55" spans="1:20">
      <c r="A55" s="12" t="s">
        <v>60</v>
      </c>
      <c r="B55" s="104"/>
      <c r="C55" s="104"/>
      <c r="D55" s="104"/>
      <c r="E55" s="87">
        <f ca="1">'history of trading results'!S55</f>
        <v>63.112499999999997</v>
      </c>
      <c r="F55" s="87">
        <f ca="1">'history of trading results'!T55</f>
        <v>0</v>
      </c>
      <c r="G55" s="88">
        <v>0</v>
      </c>
      <c r="H55" s="88">
        <v>0</v>
      </c>
      <c r="I55" s="88"/>
      <c r="J55" s="89">
        <f t="shared" si="14"/>
        <v>63.112499999999997</v>
      </c>
      <c r="K55" s="105"/>
      <c r="L55" s="87">
        <f>E55</f>
        <v>63.112499999999997</v>
      </c>
      <c r="M55" s="87">
        <f t="shared" si="19"/>
        <v>0</v>
      </c>
      <c r="N55" s="87">
        <f t="shared" si="21"/>
        <v>0</v>
      </c>
      <c r="O55" s="87">
        <f t="shared" si="22"/>
        <v>0</v>
      </c>
      <c r="P55" s="87">
        <f t="shared" si="23"/>
        <v>0</v>
      </c>
      <c r="Q55" s="89">
        <f t="shared" si="18"/>
        <v>63.112499999999997</v>
      </c>
      <c r="R55" s="104"/>
      <c r="S55" s="104"/>
      <c r="T55" s="104"/>
    </row>
    <row r="56" spans="1:20">
      <c r="A56" s="104" t="s">
        <v>61</v>
      </c>
      <c r="B56" s="104"/>
      <c r="C56" s="104"/>
      <c r="D56" s="104"/>
      <c r="E56" s="87">
        <f ca="1">'history of trading results'!S56</f>
        <v>32.500930434782617</v>
      </c>
      <c r="F56" s="87">
        <f ca="1">'history of trading results'!T56</f>
        <v>2.5130434782608697</v>
      </c>
      <c r="G56" s="88">
        <v>0</v>
      </c>
      <c r="H56" s="88">
        <v>0</v>
      </c>
      <c r="I56" s="88"/>
      <c r="J56" s="89">
        <f t="shared" si="14"/>
        <v>35.013973913043486</v>
      </c>
      <c r="K56" s="105"/>
      <c r="L56" s="87">
        <f>E56</f>
        <v>32.500930434782617</v>
      </c>
      <c r="M56" s="87">
        <f t="shared" si="19"/>
        <v>2.5130434782608697</v>
      </c>
      <c r="N56" s="87">
        <f t="shared" si="21"/>
        <v>0</v>
      </c>
      <c r="O56" s="87">
        <f t="shared" si="22"/>
        <v>0</v>
      </c>
      <c r="P56" s="87">
        <f t="shared" si="23"/>
        <v>0</v>
      </c>
      <c r="Q56" s="89">
        <f t="shared" si="18"/>
        <v>35.013973913043486</v>
      </c>
      <c r="R56" s="104"/>
      <c r="S56" s="104"/>
      <c r="T56" s="104"/>
    </row>
    <row r="57" spans="1:20">
      <c r="A57" s="104" t="s">
        <v>62</v>
      </c>
      <c r="B57" s="104"/>
      <c r="C57" s="104"/>
      <c r="D57" s="104"/>
      <c r="E57" s="87">
        <f ca="1">'history of trading results'!S57</f>
        <v>30.109279471325912</v>
      </c>
      <c r="F57" s="87">
        <f ca="1">'history of trading results'!T57</f>
        <v>3.1413043478260869</v>
      </c>
      <c r="G57" s="88">
        <v>0</v>
      </c>
      <c r="H57" s="88">
        <v>0</v>
      </c>
      <c r="I57" s="88"/>
      <c r="J57" s="89">
        <f t="shared" si="14"/>
        <v>33.250583819151998</v>
      </c>
      <c r="K57" s="105"/>
      <c r="L57" s="87">
        <f>E57</f>
        <v>30.109279471325912</v>
      </c>
      <c r="M57" s="87">
        <f t="shared" si="19"/>
        <v>3.1413043478260869</v>
      </c>
      <c r="N57" s="87">
        <f t="shared" si="21"/>
        <v>0</v>
      </c>
      <c r="O57" s="87">
        <f t="shared" si="22"/>
        <v>0</v>
      </c>
      <c r="P57" s="87">
        <f t="shared" si="23"/>
        <v>0</v>
      </c>
      <c r="Q57" s="89">
        <f t="shared" si="18"/>
        <v>33.250583819151998</v>
      </c>
      <c r="R57" s="104"/>
      <c r="S57" s="104"/>
      <c r="T57" s="104"/>
    </row>
    <row r="58" spans="1:20">
      <c r="A58" s="104" t="s">
        <v>63</v>
      </c>
      <c r="B58" s="104"/>
      <c r="C58" s="104"/>
      <c r="D58" s="104"/>
      <c r="E58" s="87"/>
      <c r="F58" s="99"/>
      <c r="G58" s="105"/>
      <c r="H58" s="90"/>
      <c r="I58" s="90"/>
      <c r="J58" s="89"/>
      <c r="K58" s="105"/>
      <c r="L58" s="87"/>
      <c r="M58" s="99"/>
      <c r="N58" s="105"/>
      <c r="O58" s="90"/>
      <c r="P58" s="90"/>
      <c r="Q58" s="89"/>
      <c r="R58" s="104"/>
      <c r="S58" s="104"/>
      <c r="T58" s="104"/>
    </row>
    <row r="59" spans="1:20">
      <c r="A59" s="5" t="s">
        <v>64</v>
      </c>
      <c r="B59" s="104"/>
      <c r="C59" s="104"/>
      <c r="D59" s="104"/>
      <c r="E59" s="89">
        <f t="shared" ref="E59:J59" si="24">SUM(E38:E58)</f>
        <v>1939.3042755874899</v>
      </c>
      <c r="F59" s="89">
        <f t="shared" si="24"/>
        <v>91.804153242753642</v>
      </c>
      <c r="G59" s="89">
        <f t="shared" si="24"/>
        <v>163</v>
      </c>
      <c r="H59" s="89">
        <f t="shared" si="24"/>
        <v>10.043478260869565</v>
      </c>
      <c r="I59" s="89">
        <f t="shared" si="24"/>
        <v>-300</v>
      </c>
      <c r="J59" s="89">
        <f t="shared" si="24"/>
        <v>1904.1519070911127</v>
      </c>
      <c r="K59" s="105"/>
      <c r="L59" s="89">
        <f t="shared" ref="L59:Q59" si="25">SUM(L38:L58)</f>
        <v>1818.2042755874895</v>
      </c>
      <c r="M59" s="89">
        <f t="shared" si="25"/>
        <v>91.804153242753642</v>
      </c>
      <c r="N59" s="89">
        <f t="shared" si="25"/>
        <v>124.20000000000002</v>
      </c>
      <c r="O59" s="89">
        <f t="shared" si="25"/>
        <v>10.043478260869565</v>
      </c>
      <c r="P59" s="89">
        <f t="shared" si="25"/>
        <v>-267</v>
      </c>
      <c r="Q59" s="89">
        <f t="shared" si="25"/>
        <v>1777.251907091113</v>
      </c>
      <c r="R59" s="104"/>
      <c r="S59" s="104"/>
      <c r="T59" s="104"/>
    </row>
    <row r="60" spans="1:20">
      <c r="A60" s="5" t="s">
        <v>65</v>
      </c>
      <c r="B60" s="104"/>
      <c r="C60" s="104"/>
      <c r="D60" s="104"/>
      <c r="E60" s="89">
        <f t="shared" ref="E60:J60" si="26">+E28-E35-E59</f>
        <v>2386.087323774927</v>
      </c>
      <c r="F60" s="89">
        <f t="shared" si="26"/>
        <v>68.182871120618643</v>
      </c>
      <c r="G60" s="89">
        <f t="shared" si="26"/>
        <v>137</v>
      </c>
      <c r="H60" s="89">
        <f t="shared" si="26"/>
        <v>29.956521739130437</v>
      </c>
      <c r="I60" s="89">
        <f t="shared" si="26"/>
        <v>0</v>
      </c>
      <c r="J60" s="89">
        <f t="shared" si="26"/>
        <v>2621.2267166346783</v>
      </c>
      <c r="K60" s="105"/>
      <c r="L60" s="89">
        <f t="shared" ref="L60:Q60" si="27">+L28-L35-L59</f>
        <v>2507.1873237749273</v>
      </c>
      <c r="M60" s="89">
        <f t="shared" si="27"/>
        <v>78.182871120618643</v>
      </c>
      <c r="N60" s="89">
        <f t="shared" si="27"/>
        <v>142.79999999999998</v>
      </c>
      <c r="O60" s="89">
        <f t="shared" si="27"/>
        <v>21.956521739130437</v>
      </c>
      <c r="P60" s="89">
        <f t="shared" si="27"/>
        <v>0</v>
      </c>
      <c r="Q60" s="89">
        <f t="shared" si="27"/>
        <v>2750.1267166346779</v>
      </c>
      <c r="R60" s="104"/>
      <c r="S60" s="104"/>
      <c r="T60" s="104"/>
    </row>
    <row r="61" spans="1:20">
      <c r="A61" s="5" t="s">
        <v>139</v>
      </c>
      <c r="B61" s="104"/>
      <c r="C61" s="104"/>
      <c r="D61" s="104"/>
      <c r="E61" s="90"/>
      <c r="F61" s="90"/>
      <c r="G61" s="90">
        <f>-E62</f>
        <v>850</v>
      </c>
      <c r="H61" s="90"/>
      <c r="I61" s="90"/>
      <c r="J61" s="89">
        <f>SUM(E61:I61)</f>
        <v>850</v>
      </c>
      <c r="K61" s="105"/>
      <c r="L61" s="90"/>
      <c r="M61" s="90"/>
      <c r="N61" s="87">
        <f>G61</f>
        <v>850</v>
      </c>
      <c r="O61" s="90"/>
      <c r="P61" s="90"/>
      <c r="Q61" s="89">
        <f>SUM(L61:P61)</f>
        <v>850</v>
      </c>
      <c r="R61" s="104"/>
      <c r="S61" s="104"/>
      <c r="T61" s="104"/>
    </row>
    <row r="62" spans="1:20">
      <c r="A62" s="5" t="s">
        <v>140</v>
      </c>
      <c r="B62" s="104"/>
      <c r="C62" s="104"/>
      <c r="D62" s="104"/>
      <c r="E62" s="88">
        <v>-850</v>
      </c>
      <c r="F62" s="90"/>
      <c r="G62" s="88">
        <v>-950</v>
      </c>
      <c r="H62" s="90"/>
      <c r="I62" s="90"/>
      <c r="J62" s="89">
        <f>SUM(E62:I62)</f>
        <v>-1800</v>
      </c>
      <c r="K62" s="105"/>
      <c r="L62" s="87">
        <f>E62</f>
        <v>-850</v>
      </c>
      <c r="M62" s="90"/>
      <c r="N62" s="87">
        <f>G62</f>
        <v>-950</v>
      </c>
      <c r="O62" s="90"/>
      <c r="P62" s="90"/>
      <c r="Q62" s="89">
        <f>SUM(L62:P62)</f>
        <v>-1800</v>
      </c>
      <c r="R62" s="104"/>
      <c r="S62" s="104"/>
      <c r="T62" s="104"/>
    </row>
    <row r="63" spans="1:20">
      <c r="A63" s="5" t="s">
        <v>141</v>
      </c>
      <c r="B63" s="104"/>
      <c r="C63" s="104"/>
      <c r="D63" s="104"/>
      <c r="E63" s="157">
        <f>SUM(E60:E62)</f>
        <v>1536.087323774927</v>
      </c>
      <c r="F63" s="157">
        <f>SUM(F60:F62)</f>
        <v>68.182871120618643</v>
      </c>
      <c r="G63" s="157">
        <f>SUM(G60:G62)</f>
        <v>37</v>
      </c>
      <c r="H63" s="157">
        <f>SUM(H60:H62)</f>
        <v>29.956521739130437</v>
      </c>
      <c r="I63" s="157">
        <f>SUM(I60:I62)</f>
        <v>0</v>
      </c>
      <c r="J63" s="158">
        <f>SUM(E63:I63)</f>
        <v>1671.226716634676</v>
      </c>
      <c r="K63" s="105"/>
      <c r="L63" s="157">
        <f>SUM(L60:L62)</f>
        <v>1657.1873237749273</v>
      </c>
      <c r="M63" s="157">
        <f>SUM(M60:M62)</f>
        <v>78.182871120618643</v>
      </c>
      <c r="N63" s="157">
        <f>SUM(N60:N62)</f>
        <v>42.799999999999955</v>
      </c>
      <c r="O63" s="157">
        <f>SUM(O60:O62)</f>
        <v>21.956521739130437</v>
      </c>
      <c r="P63" s="157">
        <f>SUM(P60:P62)</f>
        <v>0</v>
      </c>
      <c r="Q63" s="158">
        <f>SUM(L63:P63)</f>
        <v>1800.1267166346763</v>
      </c>
      <c r="R63" s="104"/>
      <c r="S63" s="104"/>
      <c r="T63" s="104"/>
    </row>
    <row r="64" spans="1:20">
      <c r="A64" s="12"/>
      <c r="B64" s="104"/>
      <c r="C64" s="104"/>
      <c r="D64" s="104"/>
      <c r="E64" s="90"/>
      <c r="F64" s="90"/>
      <c r="G64" s="90"/>
      <c r="H64" s="90"/>
      <c r="I64" s="90"/>
      <c r="J64" s="89"/>
      <c r="K64" s="105"/>
      <c r="L64" s="105"/>
      <c r="M64" s="105"/>
      <c r="N64" s="105"/>
      <c r="O64" s="105"/>
      <c r="P64" s="105"/>
      <c r="Q64" s="105"/>
      <c r="R64" s="104"/>
      <c r="S64" s="104"/>
      <c r="T64" s="104"/>
    </row>
    <row r="65" spans="1:20">
      <c r="A65" s="5" t="s">
        <v>142</v>
      </c>
      <c r="B65" s="104"/>
      <c r="C65" s="104"/>
      <c r="D65" s="104"/>
      <c r="E65" s="90">
        <f>E60</f>
        <v>2386.087323774927</v>
      </c>
      <c r="F65" s="90">
        <f>F60</f>
        <v>68.182871120618643</v>
      </c>
      <c r="G65" s="90">
        <f>G60</f>
        <v>137</v>
      </c>
      <c r="H65" s="90">
        <f>H60</f>
        <v>29.956521739130437</v>
      </c>
      <c r="I65" s="104"/>
      <c r="J65" s="89">
        <f>SUM(E65:I65)</f>
        <v>2621.226716634676</v>
      </c>
      <c r="K65" s="105"/>
      <c r="L65" s="105"/>
      <c r="M65" s="105"/>
      <c r="N65" s="105"/>
      <c r="O65" s="105"/>
      <c r="P65" s="105"/>
      <c r="Q65" s="105"/>
      <c r="R65" s="104"/>
      <c r="S65" s="104"/>
      <c r="T65" s="104"/>
    </row>
    <row r="66" spans="1:20">
      <c r="A66" s="5" t="s">
        <v>143</v>
      </c>
      <c r="B66" s="104"/>
      <c r="C66" s="104"/>
      <c r="D66" s="104"/>
      <c r="E66" s="100"/>
      <c r="F66" s="100"/>
      <c r="G66" s="100"/>
      <c r="H66" s="90"/>
      <c r="I66" s="104"/>
      <c r="J66" s="89"/>
      <c r="K66" s="105"/>
      <c r="L66" s="105"/>
      <c r="M66" s="105"/>
      <c r="N66" s="105"/>
      <c r="O66" s="105"/>
      <c r="P66" s="105"/>
      <c r="Q66" s="105"/>
      <c r="R66" s="104"/>
      <c r="S66" s="104"/>
      <c r="T66" s="104"/>
    </row>
    <row r="67" spans="1:20">
      <c r="A67" s="12" t="s">
        <v>144</v>
      </c>
      <c r="B67" s="104"/>
      <c r="C67" s="104"/>
      <c r="D67" s="104"/>
      <c r="E67" s="100"/>
      <c r="F67" s="100">
        <f>6/1.15</f>
        <v>5.2173913043478262</v>
      </c>
      <c r="G67" s="100">
        <f>(12+0.8+12+0.8+7.2)</f>
        <v>32.800000000000004</v>
      </c>
      <c r="H67" s="90"/>
      <c r="I67" s="104"/>
      <c r="J67" s="89">
        <f t="shared" ref="J67:J74" si="28">SUM(E67:I67)</f>
        <v>38.017391304347832</v>
      </c>
      <c r="K67" s="105"/>
      <c r="L67" s="101"/>
      <c r="M67" s="105"/>
      <c r="N67" s="105"/>
      <c r="O67" s="105"/>
      <c r="P67" s="105"/>
      <c r="Q67" s="105"/>
      <c r="R67" s="104"/>
      <c r="S67" s="104"/>
      <c r="T67" s="104"/>
    </row>
    <row r="68" spans="1:20">
      <c r="A68" s="12" t="s">
        <v>145</v>
      </c>
      <c r="B68" s="104"/>
      <c r="C68" s="104"/>
      <c r="D68" s="104"/>
      <c r="E68" s="100">
        <f>(21.9*2)/1.15</f>
        <v>38.086956521739133</v>
      </c>
      <c r="F68" s="100">
        <f>(2.7+2.2)</f>
        <v>4.9000000000000004</v>
      </c>
      <c r="G68" s="100"/>
      <c r="H68" s="90"/>
      <c r="I68" s="104"/>
      <c r="J68" s="89">
        <f t="shared" si="28"/>
        <v>42.986956521739131</v>
      </c>
      <c r="K68" s="105"/>
      <c r="L68" s="101" t="s">
        <v>146</v>
      </c>
      <c r="M68" s="105"/>
      <c r="N68" s="105"/>
      <c r="O68" s="105"/>
      <c r="P68" s="105"/>
      <c r="Q68" s="105"/>
      <c r="R68" s="104"/>
      <c r="S68" s="104"/>
      <c r="T68" s="104"/>
    </row>
    <row r="69" spans="1:20">
      <c r="A69" s="12" t="s">
        <v>147</v>
      </c>
      <c r="B69" s="104"/>
      <c r="C69" s="104"/>
      <c r="D69" s="104"/>
      <c r="E69" s="100">
        <f>1.4*12</f>
        <v>16.799999999999997</v>
      </c>
      <c r="F69" s="100"/>
      <c r="G69" s="100">
        <f>0.5*12</f>
        <v>6</v>
      </c>
      <c r="H69" s="90"/>
      <c r="I69" s="104"/>
      <c r="J69" s="89">
        <f t="shared" si="28"/>
        <v>22.799999999999997</v>
      </c>
      <c r="K69" s="105"/>
      <c r="L69" s="101"/>
      <c r="M69" s="105"/>
      <c r="N69" s="105"/>
      <c r="O69" s="105"/>
      <c r="P69" s="105"/>
      <c r="Q69" s="105"/>
      <c r="R69" s="104"/>
      <c r="S69" s="104"/>
      <c r="T69" s="104"/>
    </row>
    <row r="70" spans="1:20">
      <c r="A70" s="102" t="s">
        <v>149</v>
      </c>
      <c r="B70" s="104"/>
      <c r="C70" s="104"/>
      <c r="D70" s="104"/>
      <c r="E70" s="100">
        <f>33+8</f>
        <v>41</v>
      </c>
      <c r="F70" s="101"/>
      <c r="G70" s="100">
        <f>-150+117</f>
        <v>-33</v>
      </c>
      <c r="H70" s="100">
        <f>-8</f>
        <v>-8</v>
      </c>
      <c r="I70" s="104"/>
      <c r="J70" s="89">
        <f t="shared" si="28"/>
        <v>0</v>
      </c>
      <c r="K70" s="105"/>
      <c r="L70" s="105"/>
      <c r="M70" s="105"/>
      <c r="N70" s="105"/>
      <c r="O70" s="105"/>
      <c r="P70" s="105"/>
      <c r="Q70" s="105"/>
      <c r="R70" s="104"/>
      <c r="S70" s="104"/>
      <c r="T70" s="104"/>
    </row>
    <row r="71" spans="1:20">
      <c r="A71" s="102" t="s">
        <v>198</v>
      </c>
      <c r="E71" s="100">
        <f>ROUND(2155*12,-2)/1000</f>
        <v>25.9</v>
      </c>
      <c r="F71" s="100"/>
      <c r="G71" s="100"/>
      <c r="H71" s="90"/>
      <c r="I71" s="104"/>
      <c r="J71" s="89">
        <f t="shared" si="28"/>
        <v>25.9</v>
      </c>
      <c r="K71" s="105"/>
      <c r="L71" s="105"/>
      <c r="M71" s="105"/>
      <c r="N71" s="105"/>
      <c r="O71" s="105"/>
      <c r="P71" s="105"/>
      <c r="Q71" s="105"/>
      <c r="R71" s="104"/>
      <c r="S71" s="104"/>
      <c r="T71" s="104"/>
    </row>
    <row r="72" spans="1:20">
      <c r="A72" s="12"/>
      <c r="B72" s="104"/>
      <c r="C72" s="104"/>
      <c r="D72" s="104"/>
      <c r="E72" s="100"/>
      <c r="F72" s="100"/>
      <c r="G72" s="100"/>
      <c r="H72" s="90"/>
      <c r="I72" s="104"/>
      <c r="J72" s="89">
        <f t="shared" si="28"/>
        <v>0</v>
      </c>
      <c r="K72" s="105"/>
      <c r="L72" s="101" t="s">
        <v>146</v>
      </c>
      <c r="M72" s="105"/>
      <c r="N72" s="105"/>
      <c r="O72" s="105"/>
      <c r="P72" s="105"/>
      <c r="Q72" s="105"/>
      <c r="R72" s="104"/>
      <c r="S72" s="104"/>
      <c r="T72" s="104"/>
    </row>
    <row r="73" spans="1:20">
      <c r="A73" s="12"/>
      <c r="B73" s="104"/>
      <c r="C73" s="104"/>
      <c r="D73" s="104"/>
      <c r="E73" s="100"/>
      <c r="F73" s="100"/>
      <c r="G73" s="100"/>
      <c r="H73" s="90"/>
      <c r="I73" s="104"/>
      <c r="J73" s="89">
        <f t="shared" si="28"/>
        <v>0</v>
      </c>
      <c r="K73" s="105"/>
      <c r="L73" s="101"/>
      <c r="M73" s="105"/>
      <c r="N73" s="105"/>
      <c r="O73" s="105"/>
      <c r="P73" s="105"/>
      <c r="Q73" s="105"/>
      <c r="R73" s="104"/>
      <c r="S73" s="104"/>
      <c r="T73" s="104"/>
    </row>
    <row r="74" spans="1:20">
      <c r="A74" s="12"/>
      <c r="B74" s="104"/>
      <c r="C74" s="104"/>
      <c r="D74" s="104"/>
      <c r="E74" s="100"/>
      <c r="F74" s="100"/>
      <c r="G74" s="100"/>
      <c r="H74" s="90"/>
      <c r="I74" s="104"/>
      <c r="J74" s="89">
        <f t="shared" si="28"/>
        <v>0</v>
      </c>
      <c r="K74" s="105"/>
      <c r="L74" s="105"/>
      <c r="M74" s="105"/>
      <c r="N74" s="105"/>
      <c r="O74" s="105"/>
      <c r="P74" s="105"/>
      <c r="Q74" s="105"/>
      <c r="R74" s="104"/>
      <c r="S74" s="104"/>
      <c r="T74" s="104"/>
    </row>
    <row r="75" spans="1:20">
      <c r="A75" s="5" t="s">
        <v>155</v>
      </c>
      <c r="B75" s="104"/>
      <c r="C75" s="104"/>
      <c r="D75" s="104"/>
      <c r="E75" s="157">
        <f>SUM(E65:E74)</f>
        <v>2507.8742802966663</v>
      </c>
      <c r="F75" s="157">
        <f>SUM(F65:F74)</f>
        <v>78.300262424966476</v>
      </c>
      <c r="G75" s="157">
        <f>SUM(G65:G74)</f>
        <v>142.80000000000001</v>
      </c>
      <c r="H75" s="157">
        <f>SUM(H65:H74)</f>
        <v>21.956521739130437</v>
      </c>
      <c r="I75" s="104"/>
      <c r="J75" s="157">
        <f>SUM(J65:J74)</f>
        <v>2750.9310644607631</v>
      </c>
      <c r="K75" s="105"/>
      <c r="L75" s="105"/>
      <c r="M75" s="105"/>
      <c r="N75" s="105"/>
      <c r="O75" s="105"/>
      <c r="P75" s="105"/>
      <c r="Q75" s="105"/>
      <c r="R75" s="104"/>
      <c r="S75" s="104"/>
      <c r="T75" s="104"/>
    </row>
    <row r="76" spans="1:20">
      <c r="A76" s="12"/>
      <c r="B76" s="104"/>
      <c r="C76" s="104"/>
      <c r="D76" s="104"/>
      <c r="E76" s="105"/>
      <c r="F76" s="105"/>
      <c r="G76" s="105"/>
      <c r="H76" s="105"/>
      <c r="I76" s="104"/>
      <c r="J76" s="105"/>
      <c r="K76" s="105"/>
      <c r="L76" s="105"/>
      <c r="M76" s="105"/>
      <c r="N76" s="105"/>
      <c r="O76" s="105"/>
      <c r="P76" s="105"/>
      <c r="Q76" s="105"/>
      <c r="R76" s="104"/>
      <c r="S76" s="104"/>
      <c r="T76" s="104"/>
    </row>
    <row r="77" spans="1:20">
      <c r="A77" s="147" t="s">
        <v>156</v>
      </c>
      <c r="B77" s="104"/>
      <c r="C77" s="104"/>
      <c r="D77" s="104"/>
      <c r="E77" s="105"/>
      <c r="F77" s="105"/>
      <c r="G77" s="105"/>
      <c r="H77" s="105"/>
      <c r="I77" s="104"/>
      <c r="J77" s="105"/>
      <c r="K77" s="105"/>
      <c r="L77" s="159"/>
      <c r="M77" s="159" t="s">
        <v>158</v>
      </c>
      <c r="N77" s="159"/>
      <c r="O77" s="159"/>
      <c r="P77" s="159"/>
      <c r="Q77" s="159"/>
      <c r="R77" s="104"/>
      <c r="S77" s="104"/>
      <c r="T77" s="104"/>
    </row>
    <row r="78" spans="1:20">
      <c r="A78" s="104" t="s">
        <v>159</v>
      </c>
      <c r="B78" s="104"/>
      <c r="C78" s="104"/>
      <c r="D78" s="104"/>
      <c r="E78" s="105"/>
      <c r="F78" s="105"/>
      <c r="G78" s="105"/>
      <c r="H78" s="105"/>
      <c r="I78" s="104"/>
      <c r="J78" s="105"/>
      <c r="K78" s="105"/>
      <c r="L78" s="105"/>
      <c r="M78" s="105"/>
      <c r="N78" s="105"/>
      <c r="O78" s="105"/>
      <c r="P78" s="105"/>
      <c r="Q78" s="159"/>
      <c r="R78" s="104"/>
      <c r="S78" s="104"/>
      <c r="T78" s="104"/>
    </row>
    <row r="79" spans="1:20">
      <c r="A79" s="104"/>
      <c r="B79" s="104" t="s">
        <v>160</v>
      </c>
      <c r="C79" s="104"/>
      <c r="D79" s="104"/>
      <c r="E79" s="105"/>
      <c r="F79" s="105"/>
      <c r="G79" s="105"/>
      <c r="H79" s="105"/>
      <c r="I79" s="105"/>
      <c r="J79" s="105"/>
      <c r="K79" s="105"/>
      <c r="L79" s="106">
        <f>'[1]P&amp;LSV'!FZ54/1000</f>
        <v>67.022149855746875</v>
      </c>
      <c r="M79" s="105">
        <f>'[1]P&amp;LWN'!FT51/1000</f>
        <v>2.7825141123188408</v>
      </c>
      <c r="N79" s="105">
        <v>0</v>
      </c>
      <c r="O79" s="105">
        <v>0</v>
      </c>
      <c r="P79" s="105"/>
      <c r="Q79" s="159">
        <f>SUM(L79:P79)</f>
        <v>69.804663968065711</v>
      </c>
      <c r="R79" s="104"/>
      <c r="S79" s="104"/>
      <c r="T79" s="104"/>
    </row>
    <row r="80" spans="1:20">
      <c r="A80" s="104"/>
      <c r="B80" s="104" t="s">
        <v>161</v>
      </c>
      <c r="C80" s="104"/>
      <c r="D80" s="104"/>
      <c r="E80" s="105"/>
      <c r="F80" s="105"/>
      <c r="G80" s="105"/>
      <c r="H80" s="105"/>
      <c r="I80" s="105"/>
      <c r="J80" s="105"/>
      <c r="K80" s="105"/>
      <c r="L80" s="105">
        <v>0</v>
      </c>
      <c r="M80" s="105">
        <v>0</v>
      </c>
      <c r="N80" s="105">
        <v>20.6</v>
      </c>
      <c r="O80" s="105">
        <v>7.2</v>
      </c>
      <c r="P80" s="105"/>
      <c r="Q80" s="159">
        <f>SUM(L80:P80)</f>
        <v>27.8</v>
      </c>
      <c r="R80" s="104"/>
      <c r="S80" s="104"/>
      <c r="T80" s="104"/>
    </row>
    <row r="81" spans="1:20">
      <c r="A81" s="104"/>
      <c r="B81" s="104" t="s">
        <v>60</v>
      </c>
      <c r="C81" s="104"/>
      <c r="D81" s="104"/>
      <c r="E81" s="105"/>
      <c r="F81" s="105"/>
      <c r="G81" s="105"/>
      <c r="H81" s="105"/>
      <c r="I81" s="105"/>
      <c r="J81" s="105"/>
      <c r="K81" s="105"/>
      <c r="L81" s="105">
        <f>E55</f>
        <v>63.112499999999997</v>
      </c>
      <c r="M81" s="105">
        <f>F55</f>
        <v>0</v>
      </c>
      <c r="N81" s="105">
        <f>G55</f>
        <v>0</v>
      </c>
      <c r="O81" s="105">
        <f>H55</f>
        <v>0</v>
      </c>
      <c r="P81" s="105"/>
      <c r="Q81" s="159">
        <f>SUM(L81:P81)</f>
        <v>63.112499999999997</v>
      </c>
      <c r="R81" s="104"/>
      <c r="S81" s="104"/>
      <c r="T81" s="104"/>
    </row>
    <row r="82" spans="1:20">
      <c r="A82" s="148" t="s">
        <v>162</v>
      </c>
      <c r="B82" s="104"/>
      <c r="C82" s="104"/>
      <c r="D82" s="104"/>
      <c r="E82" s="105"/>
      <c r="F82" s="105"/>
      <c r="G82" s="105"/>
      <c r="H82" s="105"/>
      <c r="I82" s="105"/>
      <c r="J82" s="105"/>
      <c r="K82" s="105"/>
      <c r="L82" s="160">
        <f t="shared" ref="L82:Q82" si="29">L60+SUM(L79:L81)</f>
        <v>2637.3219736306742</v>
      </c>
      <c r="M82" s="160">
        <f t="shared" si="29"/>
        <v>80.965385232937479</v>
      </c>
      <c r="N82" s="160">
        <f t="shared" si="29"/>
        <v>163.39999999999998</v>
      </c>
      <c r="O82" s="160">
        <f t="shared" si="29"/>
        <v>29.156521739130437</v>
      </c>
      <c r="P82" s="160">
        <f t="shared" si="29"/>
        <v>0</v>
      </c>
      <c r="Q82" s="160">
        <f t="shared" si="29"/>
        <v>2910.8438806027434</v>
      </c>
      <c r="R82" s="104"/>
      <c r="S82" s="104"/>
      <c r="T82" s="104"/>
    </row>
    <row r="83" spans="1:20">
      <c r="A83" s="104"/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</row>
    <row r="84" spans="1:20" ht="18">
      <c r="A84" s="79" t="s">
        <v>66</v>
      </c>
      <c r="B84" s="104"/>
      <c r="C84" s="104"/>
      <c r="D84" s="104"/>
      <c r="E84" s="104"/>
      <c r="F84" s="104"/>
      <c r="G84" s="79" t="s">
        <v>194</v>
      </c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</row>
    <row r="85" spans="1:20" ht="18">
      <c r="A85" s="42"/>
      <c r="B85" s="43"/>
      <c r="C85" s="103" t="s">
        <v>196</v>
      </c>
      <c r="D85" s="104"/>
      <c r="E85" s="154"/>
      <c r="F85" s="155" t="s">
        <v>166</v>
      </c>
      <c r="G85" s="156"/>
      <c r="H85" s="156"/>
      <c r="I85" s="156"/>
      <c r="J85" s="154"/>
      <c r="K85" s="104"/>
      <c r="L85" s="154"/>
      <c r="M85" s="155" t="s">
        <v>167</v>
      </c>
      <c r="N85" s="156"/>
      <c r="O85" s="156"/>
      <c r="P85" s="156"/>
      <c r="Q85" s="154"/>
      <c r="R85" s="104"/>
      <c r="S85" s="104"/>
      <c r="T85" s="104"/>
    </row>
    <row r="86" spans="1:20">
      <c r="A86" s="42"/>
      <c r="B86" s="5"/>
      <c r="C86" s="104"/>
      <c r="D86" s="104"/>
      <c r="E86" s="80" t="s">
        <v>75</v>
      </c>
      <c r="F86" s="81">
        <f ca="1">'history of trading results'!T65</f>
        <v>1.1499999999999999</v>
      </c>
      <c r="G86" s="104"/>
      <c r="H86" s="104"/>
      <c r="I86" s="82" t="s">
        <v>168</v>
      </c>
      <c r="J86" s="83"/>
      <c r="K86" s="104"/>
      <c r="L86" s="80"/>
      <c r="M86" s="81"/>
      <c r="N86" s="104"/>
      <c r="O86" s="165"/>
      <c r="P86" s="82" t="s">
        <v>168</v>
      </c>
      <c r="Q86" s="83"/>
      <c r="R86" s="104"/>
      <c r="S86" s="104"/>
      <c r="T86" s="104"/>
    </row>
    <row r="87" spans="1:20">
      <c r="A87" s="5"/>
      <c r="B87" s="104"/>
      <c r="C87" s="104"/>
      <c r="D87" s="104"/>
      <c r="E87" s="124" t="s">
        <v>10</v>
      </c>
      <c r="F87" s="125" t="s">
        <v>11</v>
      </c>
      <c r="G87" s="123" t="s">
        <v>131</v>
      </c>
      <c r="H87" s="82" t="s">
        <v>132</v>
      </c>
      <c r="I87" s="82" t="s">
        <v>169</v>
      </c>
      <c r="J87" s="126" t="s">
        <v>170</v>
      </c>
      <c r="K87" s="12"/>
      <c r="L87" s="124" t="s">
        <v>10</v>
      </c>
      <c r="M87" s="125" t="s">
        <v>11</v>
      </c>
      <c r="N87" s="123" t="s">
        <v>131</v>
      </c>
      <c r="O87" s="82" t="s">
        <v>132</v>
      </c>
      <c r="P87" s="82" t="s">
        <v>169</v>
      </c>
      <c r="Q87" s="126" t="s">
        <v>170</v>
      </c>
      <c r="R87" s="104"/>
      <c r="S87" s="104"/>
      <c r="T87" s="104"/>
    </row>
    <row r="88" spans="1:20">
      <c r="A88" s="104"/>
      <c r="B88" s="104"/>
      <c r="C88" s="104"/>
      <c r="D88" s="104"/>
      <c r="E88" s="124" t="s">
        <v>13</v>
      </c>
      <c r="F88" s="125" t="s">
        <v>14</v>
      </c>
      <c r="G88" s="123" t="s">
        <v>135</v>
      </c>
      <c r="H88" s="107" t="s">
        <v>136</v>
      </c>
      <c r="I88" s="107" t="s">
        <v>171</v>
      </c>
      <c r="J88" s="126"/>
      <c r="K88" s="12"/>
      <c r="L88" s="124" t="s">
        <v>13</v>
      </c>
      <c r="M88" s="125" t="s">
        <v>14</v>
      </c>
      <c r="N88" s="123" t="s">
        <v>135</v>
      </c>
      <c r="O88" s="107" t="s">
        <v>136</v>
      </c>
      <c r="P88" s="107" t="s">
        <v>171</v>
      </c>
      <c r="Q88" s="126"/>
      <c r="R88" s="104"/>
      <c r="S88" s="104"/>
      <c r="T88" s="104"/>
    </row>
    <row r="89" spans="1:20">
      <c r="A89" s="104"/>
      <c r="B89" s="104"/>
      <c r="C89" s="104"/>
      <c r="D89" s="104"/>
      <c r="E89" s="84"/>
      <c r="F89" s="85"/>
      <c r="G89" s="85"/>
      <c r="H89" s="104"/>
      <c r="I89" s="104"/>
      <c r="J89" s="86"/>
      <c r="K89" s="104"/>
      <c r="L89" s="84"/>
      <c r="M89" s="85"/>
      <c r="N89" s="85"/>
      <c r="O89" s="104"/>
      <c r="P89" s="104"/>
      <c r="Q89" s="86"/>
      <c r="R89" s="104"/>
      <c r="S89" s="104"/>
      <c r="T89" s="104"/>
    </row>
    <row r="90" spans="1:20">
      <c r="A90" s="104" t="s">
        <v>77</v>
      </c>
      <c r="B90" s="104"/>
      <c r="C90" s="104"/>
      <c r="D90" s="104"/>
      <c r="E90" s="108">
        <f ca="1">'history of trading results'!S69</f>
        <v>19988.535</v>
      </c>
      <c r="F90" s="108">
        <f ca="1">'history of trading results'!T69</f>
        <v>1445</v>
      </c>
      <c r="G90" s="109">
        <f t="shared" ref="G90:H94" si="30">G7*$F$86</f>
        <v>0</v>
      </c>
      <c r="H90" s="109">
        <f t="shared" si="30"/>
        <v>0</v>
      </c>
      <c r="I90" s="109"/>
      <c r="J90" s="110">
        <f>SUM(E90:I90)</f>
        <v>21433.535</v>
      </c>
      <c r="K90" s="149"/>
      <c r="L90" s="108">
        <f t="shared" ref="L90:P93" si="31">E90</f>
        <v>19988.535</v>
      </c>
      <c r="M90" s="108">
        <f t="shared" si="31"/>
        <v>1445</v>
      </c>
      <c r="N90" s="108">
        <f t="shared" si="31"/>
        <v>0</v>
      </c>
      <c r="O90" s="108">
        <f t="shared" si="31"/>
        <v>0</v>
      </c>
      <c r="P90" s="108">
        <f t="shared" si="31"/>
        <v>0</v>
      </c>
      <c r="Q90" s="110">
        <f>SUM(L90:P90)</f>
        <v>21433.535</v>
      </c>
      <c r="R90" s="149">
        <f t="shared" ref="R90:R95" si="32">IF(ROUND(Q90,0)=0,0,Q90/Q7)</f>
        <v>1.1499999999999999</v>
      </c>
      <c r="S90" s="104"/>
      <c r="T90" s="104"/>
    </row>
    <row r="91" spans="1:20">
      <c r="A91" s="104" t="s">
        <v>78</v>
      </c>
      <c r="B91" s="104"/>
      <c r="C91" s="104"/>
      <c r="D91" s="104"/>
      <c r="E91" s="108">
        <f ca="1">'history of trading results'!S70</f>
        <v>0</v>
      </c>
      <c r="F91" s="108">
        <f ca="1">'history of trading results'!T70</f>
        <v>0</v>
      </c>
      <c r="G91" s="109">
        <f t="shared" si="30"/>
        <v>0</v>
      </c>
      <c r="H91" s="109">
        <f t="shared" si="30"/>
        <v>0</v>
      </c>
      <c r="I91" s="109"/>
      <c r="J91" s="110">
        <f>SUM(E91:I91)</f>
        <v>0</v>
      </c>
      <c r="K91" s="149"/>
      <c r="L91" s="108">
        <f t="shared" si="31"/>
        <v>0</v>
      </c>
      <c r="M91" s="108">
        <f t="shared" si="31"/>
        <v>0</v>
      </c>
      <c r="N91" s="108">
        <f t="shared" si="31"/>
        <v>0</v>
      </c>
      <c r="O91" s="108">
        <f t="shared" si="31"/>
        <v>0</v>
      </c>
      <c r="P91" s="108">
        <f t="shared" si="31"/>
        <v>0</v>
      </c>
      <c r="Q91" s="110">
        <f>SUM(L91:P91)</f>
        <v>0</v>
      </c>
      <c r="R91" s="149">
        <f t="shared" si="32"/>
        <v>0</v>
      </c>
      <c r="S91" s="104"/>
      <c r="T91" s="104"/>
    </row>
    <row r="92" spans="1:20">
      <c r="A92" s="104" t="s">
        <v>79</v>
      </c>
      <c r="B92" s="104"/>
      <c r="C92" s="104"/>
      <c r="D92" s="104"/>
      <c r="E92" s="108">
        <f ca="1">'history of trading results'!S71</f>
        <v>-36.249781806298181</v>
      </c>
      <c r="F92" s="108">
        <f ca="1">'history of trading results'!T71</f>
        <v>0</v>
      </c>
      <c r="G92" s="109">
        <f t="shared" si="30"/>
        <v>0</v>
      </c>
      <c r="H92" s="109">
        <f t="shared" si="30"/>
        <v>0</v>
      </c>
      <c r="I92" s="109"/>
      <c r="J92" s="110">
        <f>SUM(E92:I92)</f>
        <v>-36.249781806298181</v>
      </c>
      <c r="K92" s="149"/>
      <c r="L92" s="108">
        <f t="shared" si="31"/>
        <v>-36.249781806298181</v>
      </c>
      <c r="M92" s="108">
        <f t="shared" si="31"/>
        <v>0</v>
      </c>
      <c r="N92" s="108">
        <f t="shared" si="31"/>
        <v>0</v>
      </c>
      <c r="O92" s="108">
        <f t="shared" si="31"/>
        <v>0</v>
      </c>
      <c r="P92" s="108">
        <f t="shared" si="31"/>
        <v>0</v>
      </c>
      <c r="Q92" s="110">
        <f>SUM(L92:P92)</f>
        <v>-36.249781806298181</v>
      </c>
      <c r="R92" s="149">
        <f t="shared" si="32"/>
        <v>1.1500000000000001</v>
      </c>
      <c r="S92" s="104"/>
      <c r="T92" s="104"/>
    </row>
    <row r="93" spans="1:20">
      <c r="A93" s="12" t="s">
        <v>80</v>
      </c>
      <c r="B93" s="104"/>
      <c r="C93" s="104"/>
      <c r="D93" s="104"/>
      <c r="E93" s="108">
        <f ca="1">'history of trading results'!S72</f>
        <v>0</v>
      </c>
      <c r="F93" s="108">
        <f ca="1">'history of trading results'!T72</f>
        <v>0</v>
      </c>
      <c r="G93" s="109">
        <f t="shared" si="30"/>
        <v>172.5</v>
      </c>
      <c r="H93" s="109">
        <f t="shared" si="30"/>
        <v>0</v>
      </c>
      <c r="I93" s="109">
        <f>-172.5</f>
        <v>-172.5</v>
      </c>
      <c r="J93" s="110">
        <f>SUM(E93:I93)</f>
        <v>0</v>
      </c>
      <c r="K93" s="149"/>
      <c r="L93" s="108">
        <f t="shared" si="31"/>
        <v>0</v>
      </c>
      <c r="M93" s="108">
        <f t="shared" si="31"/>
        <v>0</v>
      </c>
      <c r="N93" s="108">
        <f t="shared" si="31"/>
        <v>172.5</v>
      </c>
      <c r="O93" s="108">
        <f t="shared" si="31"/>
        <v>0</v>
      </c>
      <c r="P93" s="108">
        <f t="shared" si="31"/>
        <v>-172.5</v>
      </c>
      <c r="Q93" s="110">
        <f>SUM(L93:P93)</f>
        <v>0</v>
      </c>
      <c r="R93" s="149">
        <f t="shared" si="32"/>
        <v>0</v>
      </c>
      <c r="S93" s="104"/>
      <c r="T93" s="104"/>
    </row>
    <row r="94" spans="1:20">
      <c r="A94" s="12" t="s">
        <v>172</v>
      </c>
      <c r="B94" s="104"/>
      <c r="C94" s="104"/>
      <c r="D94" s="104"/>
      <c r="E94" s="108">
        <f ca="1">'history of trading results'!S73</f>
        <v>0</v>
      </c>
      <c r="F94" s="108">
        <f ca="1">'history of trading results'!T73</f>
        <v>0</v>
      </c>
      <c r="G94" s="109">
        <f t="shared" si="30"/>
        <v>172.5</v>
      </c>
      <c r="H94" s="109">
        <f t="shared" si="30"/>
        <v>46</v>
      </c>
      <c r="I94" s="109">
        <f>-172.5</f>
        <v>-172.5</v>
      </c>
      <c r="J94" s="110">
        <f>SUM(E94:I94)</f>
        <v>46</v>
      </c>
      <c r="K94" s="149"/>
      <c r="L94" s="108">
        <f>E94</f>
        <v>0</v>
      </c>
      <c r="M94" s="108">
        <f>F94</f>
        <v>0</v>
      </c>
      <c r="N94" s="108">
        <f>G94-38</f>
        <v>134.5</v>
      </c>
      <c r="O94" s="108">
        <f>H94-9.2</f>
        <v>36.799999999999997</v>
      </c>
      <c r="P94" s="108">
        <f>-N94</f>
        <v>-134.5</v>
      </c>
      <c r="Q94" s="110">
        <f>SUM(L94:P94)</f>
        <v>36.800000000000011</v>
      </c>
      <c r="R94" s="149">
        <f t="shared" si="32"/>
        <v>1.1500000000000004</v>
      </c>
      <c r="S94" s="104"/>
      <c r="T94" s="104"/>
    </row>
    <row r="95" spans="1:20">
      <c r="A95" s="5" t="s">
        <v>82</v>
      </c>
      <c r="B95" s="104"/>
      <c r="C95" s="104"/>
      <c r="D95" s="150"/>
      <c r="E95" s="110">
        <f t="shared" ref="E95:J95" si="33">SUM(E90:E94)</f>
        <v>19952.285218193701</v>
      </c>
      <c r="F95" s="110">
        <f t="shared" si="33"/>
        <v>1445</v>
      </c>
      <c r="G95" s="110">
        <f t="shared" si="33"/>
        <v>345</v>
      </c>
      <c r="H95" s="110">
        <f t="shared" si="33"/>
        <v>46</v>
      </c>
      <c r="I95" s="110">
        <f t="shared" si="33"/>
        <v>-345</v>
      </c>
      <c r="J95" s="110">
        <f t="shared" si="33"/>
        <v>21443.285218193701</v>
      </c>
      <c r="K95" s="149"/>
      <c r="L95" s="110">
        <f t="shared" ref="L95:Q95" si="34">SUM(L90:L94)</f>
        <v>19952.285218193701</v>
      </c>
      <c r="M95" s="110">
        <f t="shared" si="34"/>
        <v>1445</v>
      </c>
      <c r="N95" s="110">
        <f t="shared" si="34"/>
        <v>307</v>
      </c>
      <c r="O95" s="110">
        <f t="shared" si="34"/>
        <v>36.799999999999997</v>
      </c>
      <c r="P95" s="110">
        <f t="shared" si="34"/>
        <v>-307</v>
      </c>
      <c r="Q95" s="110">
        <f t="shared" si="34"/>
        <v>21434.085218193701</v>
      </c>
      <c r="R95" s="149">
        <f t="shared" si="32"/>
        <v>1.1499999999999997</v>
      </c>
      <c r="S95" s="104"/>
      <c r="T95" s="104"/>
    </row>
    <row r="96" spans="1:20">
      <c r="A96" s="104"/>
      <c r="B96" s="104"/>
      <c r="C96" s="104"/>
      <c r="D96" s="104"/>
      <c r="E96" s="106"/>
      <c r="F96" s="106"/>
      <c r="G96" s="106"/>
      <c r="H96" s="109"/>
      <c r="I96" s="109"/>
      <c r="J96" s="111"/>
      <c r="K96" s="151"/>
      <c r="L96" s="106"/>
      <c r="M96" s="106"/>
      <c r="N96" s="106"/>
      <c r="O96" s="109"/>
      <c r="P96" s="109"/>
      <c r="Q96" s="111"/>
      <c r="R96" s="104"/>
      <c r="S96" s="104"/>
      <c r="T96" s="104"/>
    </row>
    <row r="97" spans="1:20">
      <c r="A97" s="5" t="s">
        <v>84</v>
      </c>
      <c r="B97" s="104"/>
      <c r="C97" s="104"/>
      <c r="D97" s="104"/>
      <c r="E97" s="112"/>
      <c r="F97" s="113"/>
      <c r="G97" s="106"/>
      <c r="H97" s="109"/>
      <c r="I97" s="109"/>
      <c r="J97" s="114"/>
      <c r="K97" s="151"/>
      <c r="L97" s="112"/>
      <c r="M97" s="113"/>
      <c r="N97" s="106"/>
      <c r="O97" s="109"/>
      <c r="P97" s="109"/>
      <c r="Q97" s="114"/>
      <c r="R97" s="104"/>
      <c r="S97" s="104"/>
      <c r="T97" s="104"/>
    </row>
    <row r="98" spans="1:20">
      <c r="A98" s="12" t="s">
        <v>85</v>
      </c>
      <c r="B98" s="104"/>
      <c r="C98" s="104"/>
      <c r="D98" s="104"/>
      <c r="E98" s="108">
        <f ca="1">'history of trading results'!S77</f>
        <v>7205.3420580989932</v>
      </c>
      <c r="F98" s="108">
        <f ca="1">'history of trading results'!T77</f>
        <v>681.49756226300894</v>
      </c>
      <c r="G98" s="109">
        <f t="shared" ref="G98:H100" si="35">G15*$F$86</f>
        <v>0</v>
      </c>
      <c r="H98" s="109">
        <f t="shared" si="35"/>
        <v>0</v>
      </c>
      <c r="I98" s="109"/>
      <c r="J98" s="110">
        <f>SUM(E98:I98)</f>
        <v>7886.8396203620023</v>
      </c>
      <c r="K98" s="149"/>
      <c r="L98" s="108">
        <f t="shared" ref="L98:P100" si="36">E98</f>
        <v>7205.3420580989932</v>
      </c>
      <c r="M98" s="108">
        <f t="shared" si="36"/>
        <v>681.49756226300894</v>
      </c>
      <c r="N98" s="108">
        <f t="shared" si="36"/>
        <v>0</v>
      </c>
      <c r="O98" s="108">
        <f t="shared" si="36"/>
        <v>0</v>
      </c>
      <c r="P98" s="108">
        <f t="shared" si="36"/>
        <v>0</v>
      </c>
      <c r="Q98" s="110">
        <f>SUM(L98:P98)</f>
        <v>7886.8396203620023</v>
      </c>
      <c r="R98" s="149">
        <f>IF(ROUND(Q98,0)=0,0,Q98/Q15)</f>
        <v>1.1499999999999999</v>
      </c>
      <c r="S98" s="104"/>
      <c r="T98" s="104"/>
    </row>
    <row r="99" spans="1:20">
      <c r="A99" s="104" t="s">
        <v>86</v>
      </c>
      <c r="B99" s="104"/>
      <c r="C99" s="104"/>
      <c r="D99" s="104"/>
      <c r="E99" s="108">
        <f ca="1">'history of trading results'!S78</f>
        <v>557.21331136966046</v>
      </c>
      <c r="F99" s="108">
        <f ca="1">'history of trading results'!T78</f>
        <v>146.88</v>
      </c>
      <c r="G99" s="109">
        <f t="shared" si="35"/>
        <v>0</v>
      </c>
      <c r="H99" s="109">
        <f t="shared" si="35"/>
        <v>0</v>
      </c>
      <c r="I99" s="109"/>
      <c r="J99" s="110">
        <f>SUM(E99:I99)</f>
        <v>704.09331136966046</v>
      </c>
      <c r="K99" s="149"/>
      <c r="L99" s="108">
        <f t="shared" si="36"/>
        <v>557.21331136966046</v>
      </c>
      <c r="M99" s="108">
        <f t="shared" si="36"/>
        <v>146.88</v>
      </c>
      <c r="N99" s="108">
        <f t="shared" si="36"/>
        <v>0</v>
      </c>
      <c r="O99" s="108">
        <f t="shared" si="36"/>
        <v>0</v>
      </c>
      <c r="P99" s="108">
        <f t="shared" si="36"/>
        <v>0</v>
      </c>
      <c r="Q99" s="110">
        <f>SUM(L99:P99)</f>
        <v>704.09331136966046</v>
      </c>
      <c r="R99" s="149">
        <f>IF(ROUND(Q99,0)=0,0,Q99/Q16)</f>
        <v>1.1500000000000001</v>
      </c>
      <c r="S99" s="104"/>
      <c r="T99" s="104"/>
    </row>
    <row r="100" spans="1:20">
      <c r="A100" s="104" t="s">
        <v>87</v>
      </c>
      <c r="B100" s="104"/>
      <c r="C100" s="104"/>
      <c r="D100" s="104"/>
      <c r="E100" s="108">
        <f ca="1">'history of trading results'!S79</f>
        <v>411.85037160832729</v>
      </c>
      <c r="F100" s="108">
        <f ca="1">'history of trading results'!T79</f>
        <v>31.759184719112856</v>
      </c>
      <c r="G100" s="109">
        <f t="shared" si="35"/>
        <v>0</v>
      </c>
      <c r="H100" s="109">
        <f t="shared" si="35"/>
        <v>0</v>
      </c>
      <c r="I100" s="109"/>
      <c r="J100" s="110">
        <f>SUM(E100:I100)</f>
        <v>443.60955632744015</v>
      </c>
      <c r="K100" s="149"/>
      <c r="L100" s="108">
        <f t="shared" si="36"/>
        <v>411.85037160832729</v>
      </c>
      <c r="M100" s="108">
        <f t="shared" si="36"/>
        <v>31.759184719112856</v>
      </c>
      <c r="N100" s="108">
        <f t="shared" si="36"/>
        <v>0</v>
      </c>
      <c r="O100" s="108">
        <f t="shared" si="36"/>
        <v>0</v>
      </c>
      <c r="P100" s="108">
        <f t="shared" si="36"/>
        <v>0</v>
      </c>
      <c r="Q100" s="110">
        <f>SUM(L100:P100)</f>
        <v>443.60955632744015</v>
      </c>
      <c r="R100" s="149">
        <f>IF(ROUND(Q100,0)=0,0,Q100/Q17)</f>
        <v>1.1500000000000001</v>
      </c>
      <c r="S100" s="104"/>
      <c r="T100" s="104"/>
    </row>
    <row r="101" spans="1:20">
      <c r="A101" s="104"/>
      <c r="B101" s="104"/>
      <c r="C101" s="104"/>
      <c r="D101" s="104"/>
      <c r="E101" s="110">
        <f t="shared" ref="E101:J101" si="37">SUM(E98:E100)</f>
        <v>8174.4057410769801</v>
      </c>
      <c r="F101" s="110">
        <f t="shared" si="37"/>
        <v>860.13674698212185</v>
      </c>
      <c r="G101" s="110">
        <f t="shared" si="37"/>
        <v>0</v>
      </c>
      <c r="H101" s="110">
        <f t="shared" si="37"/>
        <v>0</v>
      </c>
      <c r="I101" s="110">
        <f t="shared" si="37"/>
        <v>0</v>
      </c>
      <c r="J101" s="110">
        <f t="shared" si="37"/>
        <v>9034.5424880591017</v>
      </c>
      <c r="K101" s="149"/>
      <c r="L101" s="110">
        <f t="shared" ref="L101:Q101" si="38">SUM(L98:L100)</f>
        <v>8174.4057410769801</v>
      </c>
      <c r="M101" s="110">
        <f t="shared" si="38"/>
        <v>860.13674698212185</v>
      </c>
      <c r="N101" s="110">
        <f t="shared" si="38"/>
        <v>0</v>
      </c>
      <c r="O101" s="110">
        <f t="shared" si="38"/>
        <v>0</v>
      </c>
      <c r="P101" s="110">
        <f t="shared" si="38"/>
        <v>0</v>
      </c>
      <c r="Q101" s="110">
        <f t="shared" si="38"/>
        <v>9034.5424880591017</v>
      </c>
      <c r="R101" s="149">
        <f>IF(ROUND(Q101,0)=0,0,Q101/Q18)</f>
        <v>1.1499999999999999</v>
      </c>
      <c r="S101" s="104"/>
      <c r="T101" s="104"/>
    </row>
    <row r="102" spans="1:20">
      <c r="A102" s="5" t="s">
        <v>88</v>
      </c>
      <c r="B102" s="104"/>
      <c r="C102" s="104"/>
      <c r="D102" s="150"/>
      <c r="E102" s="110">
        <f t="shared" ref="E102:J102" si="39">+E95-E101</f>
        <v>11777.879477116721</v>
      </c>
      <c r="F102" s="110">
        <f t="shared" si="39"/>
        <v>584.86325301787815</v>
      </c>
      <c r="G102" s="110">
        <f t="shared" si="39"/>
        <v>345</v>
      </c>
      <c r="H102" s="110">
        <f t="shared" si="39"/>
        <v>46</v>
      </c>
      <c r="I102" s="110">
        <f t="shared" si="39"/>
        <v>-345</v>
      </c>
      <c r="J102" s="110">
        <f t="shared" si="39"/>
        <v>12408.7427301346</v>
      </c>
      <c r="K102" s="149"/>
      <c r="L102" s="110">
        <f t="shared" ref="L102:Q102" si="40">+L95-L101</f>
        <v>11777.879477116721</v>
      </c>
      <c r="M102" s="110">
        <f t="shared" si="40"/>
        <v>584.86325301787815</v>
      </c>
      <c r="N102" s="110">
        <f t="shared" si="40"/>
        <v>307</v>
      </c>
      <c r="O102" s="110">
        <f t="shared" si="40"/>
        <v>36.799999999999997</v>
      </c>
      <c r="P102" s="110">
        <f t="shared" si="40"/>
        <v>-307</v>
      </c>
      <c r="Q102" s="110">
        <f t="shared" si="40"/>
        <v>12399.542730134599</v>
      </c>
      <c r="R102" s="149">
        <f>IF(ROUND(Q102,0)=0,0,Q102/Q19)</f>
        <v>1.1499999999999997</v>
      </c>
      <c r="S102" s="104"/>
      <c r="T102" s="104"/>
    </row>
    <row r="103" spans="1:20">
      <c r="A103" s="5"/>
      <c r="B103" s="104"/>
      <c r="C103" s="104"/>
      <c r="D103" s="104"/>
      <c r="E103" s="106"/>
      <c r="F103" s="106"/>
      <c r="G103" s="18"/>
      <c r="H103" s="109"/>
      <c r="I103" s="109"/>
      <c r="J103" s="111"/>
      <c r="K103" s="151"/>
      <c r="L103" s="106"/>
      <c r="M103" s="106"/>
      <c r="N103" s="18"/>
      <c r="O103" s="109"/>
      <c r="P103" s="109"/>
      <c r="Q103" s="111"/>
      <c r="R103" s="104"/>
      <c r="S103" s="104"/>
      <c r="T103" s="104"/>
    </row>
    <row r="104" spans="1:20">
      <c r="A104" s="5" t="s">
        <v>90</v>
      </c>
      <c r="B104" s="27"/>
      <c r="C104" s="104"/>
      <c r="D104" s="104"/>
      <c r="E104" s="115"/>
      <c r="F104" s="116"/>
      <c r="G104" s="106"/>
      <c r="H104" s="109"/>
      <c r="I104" s="109"/>
      <c r="J104" s="114"/>
      <c r="K104" s="151"/>
      <c r="L104" s="115"/>
      <c r="M104" s="116"/>
      <c r="N104" s="106"/>
      <c r="O104" s="109"/>
      <c r="P104" s="109"/>
      <c r="Q104" s="114"/>
      <c r="R104" s="104"/>
      <c r="S104" s="104"/>
      <c r="T104" s="104"/>
    </row>
    <row r="105" spans="1:20">
      <c r="A105" s="104" t="s">
        <v>91</v>
      </c>
      <c r="B105" s="104"/>
      <c r="C105" s="104"/>
      <c r="D105" s="104"/>
      <c r="E105" s="108">
        <f ca="1">'history of trading results'!S84</f>
        <v>665.46153818270795</v>
      </c>
      <c r="F105" s="108">
        <f ca="1">'history of trading results'!T84</f>
        <v>48.96</v>
      </c>
      <c r="G105" s="109">
        <f t="shared" ref="G105:H109" si="41">G22*$F$86</f>
        <v>0</v>
      </c>
      <c r="H105" s="109">
        <f t="shared" si="41"/>
        <v>0</v>
      </c>
      <c r="I105" s="109"/>
      <c r="J105" s="110">
        <f>SUM(E105:I105)</f>
        <v>714.42153818270799</v>
      </c>
      <c r="K105" s="149"/>
      <c r="L105" s="108">
        <f>E105</f>
        <v>665.46153818270795</v>
      </c>
      <c r="M105" s="108">
        <f>F105</f>
        <v>48.96</v>
      </c>
      <c r="N105" s="108">
        <f>G105</f>
        <v>0</v>
      </c>
      <c r="O105" s="108">
        <f>H105</f>
        <v>0</v>
      </c>
      <c r="P105" s="108">
        <f>I105</f>
        <v>0</v>
      </c>
      <c r="Q105" s="110">
        <f>SUM(L105:P105)</f>
        <v>714.42153818270799</v>
      </c>
      <c r="R105" s="149">
        <f t="shared" ref="R105:R111" si="42">IF(ROUND(Q105,0)=0,0,Q105/Q22)</f>
        <v>1.1500000000000001</v>
      </c>
      <c r="S105" s="104"/>
      <c r="T105" s="104"/>
    </row>
    <row r="106" spans="1:20">
      <c r="A106" s="104" t="s">
        <v>92</v>
      </c>
      <c r="B106" s="104"/>
      <c r="C106" s="104"/>
      <c r="D106" s="104"/>
      <c r="E106" s="108">
        <f ca="1">'history of trading results'!S85</f>
        <v>3519.6961780192355</v>
      </c>
      <c r="F106" s="108">
        <f ca="1">'history of trading results'!T85</f>
        <v>20.699999999999996</v>
      </c>
      <c r="G106" s="109">
        <f t="shared" si="41"/>
        <v>0</v>
      </c>
      <c r="H106" s="109">
        <f t="shared" si="41"/>
        <v>0</v>
      </c>
      <c r="I106" s="109"/>
      <c r="J106" s="110">
        <f>SUM(E106:I106)</f>
        <v>3540.3961780192353</v>
      </c>
      <c r="K106" s="149"/>
      <c r="L106" s="108">
        <f>E106</f>
        <v>3519.6961780192355</v>
      </c>
      <c r="M106" s="108">
        <f>F106-5.9-5.6</f>
        <v>9.1999999999999957</v>
      </c>
      <c r="N106" s="108">
        <f t="shared" ref="N106:P109" si="43">G106</f>
        <v>0</v>
      </c>
      <c r="O106" s="108">
        <f t="shared" si="43"/>
        <v>0</v>
      </c>
      <c r="P106" s="108">
        <f t="shared" si="43"/>
        <v>0</v>
      </c>
      <c r="Q106" s="110">
        <f>SUM(L106:P106)</f>
        <v>3528.8961780192353</v>
      </c>
      <c r="R106" s="149">
        <f t="shared" si="42"/>
        <v>1.1499999999999999</v>
      </c>
      <c r="S106" s="104"/>
      <c r="T106" s="104"/>
    </row>
    <row r="107" spans="1:20">
      <c r="A107" s="104" t="s">
        <v>93</v>
      </c>
      <c r="B107" s="104"/>
      <c r="C107" s="104"/>
      <c r="D107" s="104"/>
      <c r="E107" s="108">
        <f ca="1">'history of trading results'!S86</f>
        <v>200.035945</v>
      </c>
      <c r="F107" s="108">
        <f ca="1">'history of trading results'!T86</f>
        <v>176.14817500000001</v>
      </c>
      <c r="G107" s="109">
        <f t="shared" si="41"/>
        <v>0</v>
      </c>
      <c r="H107" s="109">
        <f t="shared" si="41"/>
        <v>0</v>
      </c>
      <c r="I107" s="109"/>
      <c r="J107" s="110">
        <f>SUM(E107:I107)</f>
        <v>376.18412000000001</v>
      </c>
      <c r="K107" s="149"/>
      <c r="L107" s="108">
        <f>E107</f>
        <v>200.035945</v>
      </c>
      <c r="M107" s="108">
        <f>F107</f>
        <v>176.14817500000001</v>
      </c>
      <c r="N107" s="108">
        <f t="shared" si="43"/>
        <v>0</v>
      </c>
      <c r="O107" s="108">
        <f t="shared" si="43"/>
        <v>0</v>
      </c>
      <c r="P107" s="108">
        <f t="shared" si="43"/>
        <v>0</v>
      </c>
      <c r="Q107" s="110">
        <f>SUM(L107:P107)</f>
        <v>376.18412000000001</v>
      </c>
      <c r="R107" s="149">
        <f t="shared" si="42"/>
        <v>1.1499999999999999</v>
      </c>
      <c r="S107" s="104"/>
      <c r="T107" s="104"/>
    </row>
    <row r="108" spans="1:20">
      <c r="A108" s="104" t="s">
        <v>94</v>
      </c>
      <c r="B108" s="104"/>
      <c r="C108" s="104"/>
      <c r="D108" s="104"/>
      <c r="E108" s="108">
        <f ca="1">'history of trading results'!S87</f>
        <v>352.51671914799988</v>
      </c>
      <c r="F108" s="108">
        <f ca="1">'history of trading results'!T87</f>
        <v>0</v>
      </c>
      <c r="G108" s="109">
        <f t="shared" si="41"/>
        <v>0</v>
      </c>
      <c r="H108" s="109">
        <f t="shared" si="41"/>
        <v>0</v>
      </c>
      <c r="I108" s="109"/>
      <c r="J108" s="110">
        <f>SUM(E108:I108)</f>
        <v>352.51671914799988</v>
      </c>
      <c r="K108" s="149"/>
      <c r="L108" s="108">
        <f>E108</f>
        <v>352.51671914799988</v>
      </c>
      <c r="M108" s="108">
        <f>F108</f>
        <v>0</v>
      </c>
      <c r="N108" s="108">
        <f t="shared" si="43"/>
        <v>0</v>
      </c>
      <c r="O108" s="108">
        <f t="shared" si="43"/>
        <v>0</v>
      </c>
      <c r="P108" s="108">
        <f t="shared" si="43"/>
        <v>0</v>
      </c>
      <c r="Q108" s="110">
        <f>SUM(L108:P108)</f>
        <v>352.51671914799988</v>
      </c>
      <c r="R108" s="149">
        <f t="shared" si="42"/>
        <v>1.1499999999999999</v>
      </c>
      <c r="S108" s="104"/>
      <c r="T108" s="104"/>
    </row>
    <row r="109" spans="1:20">
      <c r="A109" s="104" t="s">
        <v>95</v>
      </c>
      <c r="B109" s="104"/>
      <c r="C109" s="104"/>
      <c r="D109" s="104"/>
      <c r="E109" s="108">
        <f ca="1">'history of trading results'!S88</f>
        <v>131.39599999999999</v>
      </c>
      <c r="F109" s="108">
        <f ca="1">'history of trading results'!T88</f>
        <v>79.62</v>
      </c>
      <c r="G109" s="109">
        <f t="shared" si="41"/>
        <v>0</v>
      </c>
      <c r="H109" s="109">
        <f t="shared" si="41"/>
        <v>0</v>
      </c>
      <c r="I109" s="109"/>
      <c r="J109" s="110">
        <f>SUM(E109:I109)</f>
        <v>211.01599999999999</v>
      </c>
      <c r="K109" s="149"/>
      <c r="L109" s="108">
        <f>E109</f>
        <v>131.39599999999999</v>
      </c>
      <c r="M109" s="108">
        <f>F109</f>
        <v>79.62</v>
      </c>
      <c r="N109" s="108">
        <f t="shared" si="43"/>
        <v>0</v>
      </c>
      <c r="O109" s="108">
        <f t="shared" si="43"/>
        <v>0</v>
      </c>
      <c r="P109" s="108">
        <f t="shared" si="43"/>
        <v>0</v>
      </c>
      <c r="Q109" s="110">
        <f>SUM(L109:P109)</f>
        <v>211.01599999999999</v>
      </c>
      <c r="R109" s="149">
        <f t="shared" si="42"/>
        <v>1.1499999999999999</v>
      </c>
      <c r="S109" s="104"/>
      <c r="T109" s="104"/>
    </row>
    <row r="110" spans="1:20">
      <c r="A110" s="5"/>
      <c r="B110" s="27"/>
      <c r="C110" s="104"/>
      <c r="D110" s="104"/>
      <c r="E110" s="110">
        <f t="shared" ref="E110:J110" si="44">SUM(E105:E109)</f>
        <v>4869.1063803499428</v>
      </c>
      <c r="F110" s="110">
        <f t="shared" si="44"/>
        <v>325.42817500000001</v>
      </c>
      <c r="G110" s="110">
        <f t="shared" si="44"/>
        <v>0</v>
      </c>
      <c r="H110" s="110">
        <f t="shared" si="44"/>
        <v>0</v>
      </c>
      <c r="I110" s="110">
        <f t="shared" si="44"/>
        <v>0</v>
      </c>
      <c r="J110" s="110">
        <f t="shared" si="44"/>
        <v>5194.5345553499428</v>
      </c>
      <c r="K110" s="149"/>
      <c r="L110" s="110">
        <f t="shared" ref="L110:Q110" si="45">SUM(L105:L109)</f>
        <v>4869.1063803499428</v>
      </c>
      <c r="M110" s="110">
        <f t="shared" si="45"/>
        <v>313.92817500000001</v>
      </c>
      <c r="N110" s="110">
        <f t="shared" si="45"/>
        <v>0</v>
      </c>
      <c r="O110" s="110">
        <f t="shared" si="45"/>
        <v>0</v>
      </c>
      <c r="P110" s="110">
        <f t="shared" si="45"/>
        <v>0</v>
      </c>
      <c r="Q110" s="110">
        <f t="shared" si="45"/>
        <v>5183.0345553499428</v>
      </c>
      <c r="R110" s="149">
        <f t="shared" si="42"/>
        <v>1.1499999999999999</v>
      </c>
      <c r="S110" s="104"/>
      <c r="T110" s="104"/>
    </row>
    <row r="111" spans="1:20">
      <c r="A111" s="5" t="s">
        <v>96</v>
      </c>
      <c r="B111" s="27"/>
      <c r="C111" s="104"/>
      <c r="D111" s="150"/>
      <c r="E111" s="110">
        <f t="shared" ref="E111:J111" si="46">+E102-E110</f>
        <v>6908.7730967667785</v>
      </c>
      <c r="F111" s="110">
        <f t="shared" si="46"/>
        <v>259.43507801787814</v>
      </c>
      <c r="G111" s="110">
        <f t="shared" si="46"/>
        <v>345</v>
      </c>
      <c r="H111" s="110">
        <f t="shared" si="46"/>
        <v>46</v>
      </c>
      <c r="I111" s="110">
        <f t="shared" si="46"/>
        <v>-345</v>
      </c>
      <c r="J111" s="110">
        <f t="shared" si="46"/>
        <v>7214.2081747846569</v>
      </c>
      <c r="K111" s="149"/>
      <c r="L111" s="110">
        <f t="shared" ref="L111:Q111" si="47">+L102-L110</f>
        <v>6908.7730967667785</v>
      </c>
      <c r="M111" s="110">
        <f t="shared" si="47"/>
        <v>270.93507801787814</v>
      </c>
      <c r="N111" s="110">
        <f t="shared" si="47"/>
        <v>307</v>
      </c>
      <c r="O111" s="110">
        <f t="shared" si="47"/>
        <v>36.799999999999997</v>
      </c>
      <c r="P111" s="110">
        <f t="shared" si="47"/>
        <v>-307</v>
      </c>
      <c r="Q111" s="110">
        <f t="shared" si="47"/>
        <v>7216.5081747846561</v>
      </c>
      <c r="R111" s="149">
        <f t="shared" si="42"/>
        <v>1.1499999999999992</v>
      </c>
      <c r="S111" s="104"/>
      <c r="T111" s="104"/>
    </row>
    <row r="112" spans="1:20">
      <c r="A112" s="5"/>
      <c r="B112" s="104"/>
      <c r="C112" s="104"/>
      <c r="D112" s="104"/>
      <c r="E112" s="63"/>
      <c r="F112" s="18"/>
      <c r="G112" s="152"/>
      <c r="H112" s="109"/>
      <c r="I112" s="109"/>
      <c r="J112" s="111"/>
      <c r="K112" s="151"/>
      <c r="L112" s="63"/>
      <c r="M112" s="18"/>
      <c r="N112" s="152"/>
      <c r="O112" s="109"/>
      <c r="P112" s="109"/>
      <c r="Q112" s="111"/>
      <c r="R112" s="104"/>
      <c r="S112" s="104"/>
      <c r="T112" s="104"/>
    </row>
    <row r="113" spans="1:20">
      <c r="A113" s="5" t="s">
        <v>37</v>
      </c>
      <c r="B113" s="104"/>
      <c r="C113" s="104"/>
      <c r="D113" s="104"/>
      <c r="E113" s="115"/>
      <c r="F113" s="116"/>
      <c r="G113" s="106"/>
      <c r="H113" s="109"/>
      <c r="I113" s="109"/>
      <c r="J113" s="114"/>
      <c r="K113" s="151"/>
      <c r="L113" s="115"/>
      <c r="M113" s="116"/>
      <c r="N113" s="106"/>
      <c r="O113" s="109"/>
      <c r="P113" s="109"/>
      <c r="Q113" s="114"/>
      <c r="R113" s="104"/>
      <c r="S113" s="104"/>
      <c r="T113" s="104"/>
    </row>
    <row r="114" spans="1:20">
      <c r="A114" s="104" t="s">
        <v>98</v>
      </c>
      <c r="B114" s="104"/>
      <c r="C114" s="104"/>
      <c r="D114" s="104"/>
      <c r="E114" s="108">
        <f ca="1">'history of trading results'!S93</f>
        <v>354.00334999999995</v>
      </c>
      <c r="F114" s="108">
        <f ca="1">'history of trading results'!T93</f>
        <v>0</v>
      </c>
      <c r="G114" s="109">
        <f t="shared" ref="G114:H117" si="48">G31*$F$86</f>
        <v>0</v>
      </c>
      <c r="H114" s="109">
        <f t="shared" si="48"/>
        <v>0</v>
      </c>
      <c r="I114" s="109"/>
      <c r="J114" s="110">
        <f>SUM(E114:I114)</f>
        <v>354.00334999999995</v>
      </c>
      <c r="K114" s="149"/>
      <c r="L114" s="108">
        <f t="shared" ref="L114:P117" si="49">E114</f>
        <v>354.00334999999995</v>
      </c>
      <c r="M114" s="108">
        <f t="shared" si="49"/>
        <v>0</v>
      </c>
      <c r="N114" s="108">
        <f t="shared" si="49"/>
        <v>0</v>
      </c>
      <c r="O114" s="108">
        <f t="shared" si="49"/>
        <v>0</v>
      </c>
      <c r="P114" s="108">
        <f t="shared" si="49"/>
        <v>0</v>
      </c>
      <c r="Q114" s="110">
        <f>SUM(L114:P114)</f>
        <v>354.00334999999995</v>
      </c>
      <c r="R114" s="149">
        <f>IF(ROUND(Q114,0)=0,0,Q114/Q31)</f>
        <v>1.1500000000000001</v>
      </c>
      <c r="S114" s="104"/>
      <c r="T114" s="104"/>
    </row>
    <row r="115" spans="1:20">
      <c r="A115" s="104" t="s">
        <v>99</v>
      </c>
      <c r="B115" s="104"/>
      <c r="C115" s="104"/>
      <c r="D115" s="104"/>
      <c r="E115" s="108">
        <f ca="1">'history of trading results'!S94</f>
        <v>143.36897100000002</v>
      </c>
      <c r="F115" s="108">
        <f ca="1">'history of trading results'!T94</f>
        <v>6.2050000000000001</v>
      </c>
      <c r="G115" s="109">
        <f t="shared" si="48"/>
        <v>0</v>
      </c>
      <c r="H115" s="109">
        <f t="shared" si="48"/>
        <v>0</v>
      </c>
      <c r="I115" s="109"/>
      <c r="J115" s="110">
        <f>SUM(E115:I115)</f>
        <v>149.57397100000003</v>
      </c>
      <c r="K115" s="149"/>
      <c r="L115" s="108">
        <f t="shared" si="49"/>
        <v>143.36897100000002</v>
      </c>
      <c r="M115" s="108">
        <f t="shared" si="49"/>
        <v>6.2050000000000001</v>
      </c>
      <c r="N115" s="108">
        <f t="shared" si="49"/>
        <v>0</v>
      </c>
      <c r="O115" s="108">
        <f t="shared" si="49"/>
        <v>0</v>
      </c>
      <c r="P115" s="108">
        <f t="shared" si="49"/>
        <v>0</v>
      </c>
      <c r="Q115" s="110">
        <f>SUM(L115:P115)</f>
        <v>149.57397100000003</v>
      </c>
      <c r="R115" s="149">
        <f>IF(ROUND(Q115,0)=0,0,Q115/Q32)</f>
        <v>1.1500000000000004</v>
      </c>
      <c r="S115" s="104"/>
      <c r="T115" s="104"/>
    </row>
    <row r="116" spans="1:20">
      <c r="A116" s="104" t="s">
        <v>100</v>
      </c>
      <c r="B116" s="104"/>
      <c r="C116" s="104"/>
      <c r="D116" s="104"/>
      <c r="E116" s="108">
        <f ca="1">'history of trading results'!S95</f>
        <v>933.80043649999971</v>
      </c>
      <c r="F116" s="108">
        <f ca="1">'history of trading results'!T95</f>
        <v>33.004999999999995</v>
      </c>
      <c r="G116" s="109">
        <f t="shared" si="48"/>
        <v>0</v>
      </c>
      <c r="H116" s="109">
        <f t="shared" si="48"/>
        <v>0</v>
      </c>
      <c r="I116" s="109"/>
      <c r="J116" s="110">
        <f>SUM(E116:I116)</f>
        <v>966.8054364999997</v>
      </c>
      <c r="K116" s="149"/>
      <c r="L116" s="108">
        <f t="shared" si="49"/>
        <v>933.80043649999971</v>
      </c>
      <c r="M116" s="108">
        <f t="shared" si="49"/>
        <v>33.004999999999995</v>
      </c>
      <c r="N116" s="108">
        <f t="shared" si="49"/>
        <v>0</v>
      </c>
      <c r="O116" s="108">
        <f t="shared" si="49"/>
        <v>0</v>
      </c>
      <c r="P116" s="108">
        <f t="shared" si="49"/>
        <v>0</v>
      </c>
      <c r="Q116" s="110">
        <f>SUM(L116:P116)</f>
        <v>966.8054364999997</v>
      </c>
      <c r="R116" s="149">
        <f>IF(ROUND(Q116,0)=0,0,Q116/Q33)</f>
        <v>1.1499999999999995</v>
      </c>
      <c r="S116" s="104"/>
      <c r="T116" s="104"/>
    </row>
    <row r="117" spans="1:20">
      <c r="A117" s="104" t="s">
        <v>101</v>
      </c>
      <c r="B117" s="104"/>
      <c r="C117" s="104"/>
      <c r="D117" s="104"/>
      <c r="E117" s="108">
        <f ca="1">'history of trading results'!S96</f>
        <v>503.4</v>
      </c>
      <c r="F117" s="108">
        <f ca="1">'history of trading results'!T96</f>
        <v>36.24</v>
      </c>
      <c r="G117" s="109">
        <f t="shared" si="48"/>
        <v>0</v>
      </c>
      <c r="H117" s="109">
        <f t="shared" si="48"/>
        <v>0</v>
      </c>
      <c r="I117" s="109"/>
      <c r="J117" s="110">
        <f>SUM(E117:I117)</f>
        <v>539.64</v>
      </c>
      <c r="K117" s="149"/>
      <c r="L117" s="108">
        <f t="shared" si="49"/>
        <v>503.4</v>
      </c>
      <c r="M117" s="108">
        <f t="shared" si="49"/>
        <v>36.24</v>
      </c>
      <c r="N117" s="108">
        <f t="shared" si="49"/>
        <v>0</v>
      </c>
      <c r="O117" s="108">
        <f t="shared" si="49"/>
        <v>0</v>
      </c>
      <c r="P117" s="108">
        <f t="shared" si="49"/>
        <v>0</v>
      </c>
      <c r="Q117" s="110">
        <f>SUM(L117:P117)</f>
        <v>539.64</v>
      </c>
      <c r="R117" s="149">
        <f>IF(ROUND(Q117,0)=0,0,Q117/Q34)</f>
        <v>1.1499999999999997</v>
      </c>
      <c r="S117" s="104"/>
      <c r="T117" s="104"/>
    </row>
    <row r="118" spans="1:20">
      <c r="A118" s="5"/>
      <c r="B118" s="104"/>
      <c r="C118" s="104"/>
      <c r="D118" s="150"/>
      <c r="E118" s="110">
        <f>SUM(E112:E117)</f>
        <v>1934.5727574999996</v>
      </c>
      <c r="F118" s="110">
        <f>SUM(F114:F117)</f>
        <v>75.449999999999989</v>
      </c>
      <c r="G118" s="110">
        <f>SUM(G114:G117)</f>
        <v>0</v>
      </c>
      <c r="H118" s="110">
        <f>SUM(H114:H117)</f>
        <v>0</v>
      </c>
      <c r="I118" s="110">
        <f>SUM(I114:I117)</f>
        <v>0</v>
      </c>
      <c r="J118" s="110">
        <f>SUM(J114:J117)</f>
        <v>2010.0227574999994</v>
      </c>
      <c r="K118" s="149"/>
      <c r="L118" s="110">
        <f>SUM(L112:L117)</f>
        <v>1934.5727574999996</v>
      </c>
      <c r="M118" s="110">
        <f>SUM(M114:M117)</f>
        <v>75.449999999999989</v>
      </c>
      <c r="N118" s="110">
        <f>SUM(N114:N117)</f>
        <v>0</v>
      </c>
      <c r="O118" s="110">
        <f>SUM(O114:O117)</f>
        <v>0</v>
      </c>
      <c r="P118" s="110">
        <f>SUM(P114:P117)</f>
        <v>0</v>
      </c>
      <c r="Q118" s="110">
        <f>SUM(Q114:Q117)</f>
        <v>2010.0227574999994</v>
      </c>
      <c r="R118" s="149">
        <f>IF(ROUND(Q118,0)=0,0,Q118/Q35)</f>
        <v>1.1499999999999995</v>
      </c>
      <c r="S118" s="104"/>
      <c r="T118" s="104"/>
    </row>
    <row r="119" spans="1:20">
      <c r="A119" s="5"/>
      <c r="B119" s="104"/>
      <c r="C119" s="104"/>
      <c r="D119" s="104"/>
      <c r="E119" s="117"/>
      <c r="F119" s="117"/>
      <c r="G119" s="106"/>
      <c r="H119" s="109"/>
      <c r="I119" s="109"/>
      <c r="J119" s="111"/>
      <c r="K119" s="151"/>
      <c r="L119" s="117"/>
      <c r="M119" s="117"/>
      <c r="N119" s="106"/>
      <c r="O119" s="109"/>
      <c r="P119" s="109"/>
      <c r="Q119" s="111"/>
      <c r="R119" s="104"/>
      <c r="S119" s="104"/>
      <c r="T119" s="104"/>
    </row>
    <row r="120" spans="1:20">
      <c r="A120" s="34" t="s">
        <v>102</v>
      </c>
      <c r="B120" s="104"/>
      <c r="C120" s="104"/>
      <c r="D120" s="104"/>
      <c r="E120" s="112"/>
      <c r="F120" s="113"/>
      <c r="G120" s="106"/>
      <c r="H120" s="109"/>
      <c r="I120" s="109"/>
      <c r="J120" s="110"/>
      <c r="K120" s="151"/>
      <c r="L120" s="112"/>
      <c r="M120" s="113"/>
      <c r="N120" s="106"/>
      <c r="O120" s="109"/>
      <c r="P120" s="109"/>
      <c r="Q120" s="110"/>
      <c r="R120" s="104"/>
      <c r="S120" s="104"/>
      <c r="T120" s="104"/>
    </row>
    <row r="121" spans="1:20">
      <c r="A121" s="104" t="s">
        <v>98</v>
      </c>
      <c r="B121" s="141"/>
      <c r="C121" s="104"/>
      <c r="D121" s="150"/>
      <c r="E121" s="108">
        <f ca="1">'history of trading results'!S100</f>
        <v>606.3875211666666</v>
      </c>
      <c r="F121" s="108">
        <f ca="1">'history of trading results'!T100</f>
        <v>0</v>
      </c>
      <c r="G121" s="109">
        <f t="shared" ref="G121:H140" si="50">G38*$F$86</f>
        <v>139.60999999999999</v>
      </c>
      <c r="H121" s="109">
        <f t="shared" si="50"/>
        <v>0</v>
      </c>
      <c r="I121" s="109"/>
      <c r="J121" s="110">
        <f t="shared" ref="J121:J140" si="51">SUM(E121:I121)</f>
        <v>745.99752116666662</v>
      </c>
      <c r="K121" s="149"/>
      <c r="L121" s="108">
        <f t="shared" ref="L121:M123" si="52">E121</f>
        <v>606.3875211666666</v>
      </c>
      <c r="M121" s="108">
        <f t="shared" si="52"/>
        <v>0</v>
      </c>
      <c r="N121" s="108">
        <f>G121-37.7</f>
        <v>101.90999999999998</v>
      </c>
      <c r="O121" s="108">
        <f t="shared" ref="O121:O132" si="53">H121</f>
        <v>0</v>
      </c>
      <c r="P121" s="108">
        <f t="shared" ref="P121:P132" si="54">I121</f>
        <v>0</v>
      </c>
      <c r="Q121" s="110">
        <f t="shared" ref="Q121:Q140" si="55">SUM(L121:P121)</f>
        <v>708.29752116666657</v>
      </c>
      <c r="R121" s="149">
        <f t="shared" ref="R121:R140" si="56">IF(ROUND(Q121,0)=0,0,Q121/Q38)</f>
        <v>1.1500324731469131</v>
      </c>
      <c r="S121" s="104"/>
      <c r="T121" s="104"/>
    </row>
    <row r="122" spans="1:20">
      <c r="A122" s="104" t="s">
        <v>103</v>
      </c>
      <c r="B122" s="104"/>
      <c r="C122" s="104"/>
      <c r="D122" s="150"/>
      <c r="E122" s="108">
        <f ca="1">'history of trading results'!S101</f>
        <v>202.40023000000002</v>
      </c>
      <c r="F122" s="108">
        <f ca="1">'history of trading results'!T101</f>
        <v>0</v>
      </c>
      <c r="G122" s="109">
        <f t="shared" si="50"/>
        <v>0</v>
      </c>
      <c r="H122" s="109">
        <f t="shared" si="50"/>
        <v>0</v>
      </c>
      <c r="I122" s="109">
        <v>-172.5</v>
      </c>
      <c r="J122" s="110">
        <f t="shared" si="51"/>
        <v>29.900230000000022</v>
      </c>
      <c r="K122" s="149"/>
      <c r="L122" s="108">
        <f t="shared" si="52"/>
        <v>202.40023000000002</v>
      </c>
      <c r="M122" s="108">
        <f t="shared" si="52"/>
        <v>0</v>
      </c>
      <c r="N122" s="108">
        <f>G122</f>
        <v>0</v>
      </c>
      <c r="O122" s="108">
        <f t="shared" si="53"/>
        <v>0</v>
      </c>
      <c r="P122" s="108">
        <f t="shared" si="54"/>
        <v>-172.5</v>
      </c>
      <c r="Q122" s="110">
        <f t="shared" si="55"/>
        <v>29.900230000000022</v>
      </c>
      <c r="R122" s="149">
        <f t="shared" si="56"/>
        <v>1.1500000000000006</v>
      </c>
      <c r="S122" s="104"/>
      <c r="T122" s="104"/>
    </row>
    <row r="123" spans="1:20">
      <c r="A123" s="104" t="s">
        <v>104</v>
      </c>
      <c r="B123" s="104"/>
      <c r="C123" s="104"/>
      <c r="D123" s="150"/>
      <c r="E123" s="108">
        <f ca="1">'history of trading results'!S102</f>
        <v>48.989999999999995</v>
      </c>
      <c r="F123" s="108">
        <f ca="1">'history of trading results'!T102</f>
        <v>4.8299999999999992</v>
      </c>
      <c r="G123" s="109">
        <f t="shared" si="50"/>
        <v>0</v>
      </c>
      <c r="H123" s="109">
        <f t="shared" si="50"/>
        <v>0</v>
      </c>
      <c r="I123" s="109"/>
      <c r="J123" s="110">
        <f t="shared" si="51"/>
        <v>53.819999999999993</v>
      </c>
      <c r="K123" s="149"/>
      <c r="L123" s="108">
        <f t="shared" si="52"/>
        <v>48.989999999999995</v>
      </c>
      <c r="M123" s="108">
        <f t="shared" si="52"/>
        <v>4.8299999999999992</v>
      </c>
      <c r="N123" s="108">
        <f>G123</f>
        <v>0</v>
      </c>
      <c r="O123" s="108">
        <f t="shared" si="53"/>
        <v>0</v>
      </c>
      <c r="P123" s="108">
        <f t="shared" si="54"/>
        <v>0</v>
      </c>
      <c r="Q123" s="110">
        <f t="shared" si="55"/>
        <v>53.819999999999993</v>
      </c>
      <c r="R123" s="149">
        <f t="shared" si="56"/>
        <v>1.1499999999999997</v>
      </c>
      <c r="S123" s="104"/>
      <c r="T123" s="104"/>
    </row>
    <row r="124" spans="1:20">
      <c r="A124" s="104" t="s">
        <v>105</v>
      </c>
      <c r="B124" s="104"/>
      <c r="C124" s="104"/>
      <c r="D124" s="150"/>
      <c r="E124" s="108">
        <f ca="1">'history of trading results'!S103</f>
        <v>150.81807249999991</v>
      </c>
      <c r="F124" s="108">
        <f ca="1">'history of trading results'!T103</f>
        <v>34.415934999999998</v>
      </c>
      <c r="G124" s="109">
        <f t="shared" si="50"/>
        <v>6.8999999999999995</v>
      </c>
      <c r="H124" s="109">
        <f t="shared" si="50"/>
        <v>0</v>
      </c>
      <c r="I124" s="109"/>
      <c r="J124" s="110">
        <f t="shared" si="51"/>
        <v>192.13400749999991</v>
      </c>
      <c r="K124" s="149"/>
      <c r="L124" s="108">
        <f>E124-19.3-43.8</f>
        <v>87.718072499999906</v>
      </c>
      <c r="M124" s="108">
        <f t="shared" ref="M124:M140" si="57">F124</f>
        <v>34.415934999999998</v>
      </c>
      <c r="N124" s="108">
        <f>G124-6.9</f>
        <v>0</v>
      </c>
      <c r="O124" s="108">
        <f t="shared" si="53"/>
        <v>0</v>
      </c>
      <c r="P124" s="108">
        <f t="shared" si="54"/>
        <v>0</v>
      </c>
      <c r="Q124" s="110">
        <f t="shared" si="55"/>
        <v>122.13400749999991</v>
      </c>
      <c r="R124" s="149">
        <f t="shared" si="56"/>
        <v>1.1427951901812463</v>
      </c>
      <c r="S124" s="104"/>
      <c r="T124" s="104"/>
    </row>
    <row r="125" spans="1:20">
      <c r="A125" s="104" t="s">
        <v>106</v>
      </c>
      <c r="B125" s="104"/>
      <c r="C125" s="104"/>
      <c r="D125" s="150"/>
      <c r="E125" s="108">
        <f ca="1">'history of trading results'!S104</f>
        <v>40.533647499999994</v>
      </c>
      <c r="F125" s="108">
        <f ca="1">'history of trading results'!T104</f>
        <v>0.97755749999999997</v>
      </c>
      <c r="G125" s="109">
        <f t="shared" si="50"/>
        <v>0</v>
      </c>
      <c r="H125" s="109">
        <f t="shared" si="50"/>
        <v>0</v>
      </c>
      <c r="I125" s="109"/>
      <c r="J125" s="110">
        <f t="shared" si="51"/>
        <v>41.511204999999997</v>
      </c>
      <c r="K125" s="149"/>
      <c r="L125" s="108">
        <f t="shared" ref="L125:L132" si="58">E125</f>
        <v>40.533647499999994</v>
      </c>
      <c r="M125" s="108">
        <f t="shared" si="57"/>
        <v>0.97755749999999997</v>
      </c>
      <c r="N125" s="108">
        <f t="shared" ref="N125:N140" si="59">G125</f>
        <v>0</v>
      </c>
      <c r="O125" s="108">
        <f t="shared" si="53"/>
        <v>0</v>
      </c>
      <c r="P125" s="108">
        <f t="shared" si="54"/>
        <v>0</v>
      </c>
      <c r="Q125" s="110">
        <f t="shared" si="55"/>
        <v>41.511204999999997</v>
      </c>
      <c r="R125" s="149">
        <f t="shared" si="56"/>
        <v>1.1499999999999997</v>
      </c>
      <c r="S125" s="104"/>
      <c r="T125" s="104"/>
    </row>
    <row r="126" spans="1:20">
      <c r="A126" s="104" t="s">
        <v>107</v>
      </c>
      <c r="B126" s="104"/>
      <c r="C126" s="104"/>
      <c r="D126" s="150"/>
      <c r="E126" s="108">
        <f ca="1">'history of trading results'!S105</f>
        <v>40.228667499999993</v>
      </c>
      <c r="F126" s="108">
        <f ca="1">'history of trading results'!T105</f>
        <v>2.4798599999999995</v>
      </c>
      <c r="G126" s="109">
        <f t="shared" si="50"/>
        <v>0</v>
      </c>
      <c r="H126" s="109">
        <f t="shared" si="50"/>
        <v>0</v>
      </c>
      <c r="I126" s="109"/>
      <c r="J126" s="110">
        <f t="shared" si="51"/>
        <v>42.708527499999995</v>
      </c>
      <c r="K126" s="149"/>
      <c r="L126" s="108">
        <f t="shared" si="58"/>
        <v>40.228667499999993</v>
      </c>
      <c r="M126" s="108">
        <f t="shared" si="57"/>
        <v>2.4798599999999995</v>
      </c>
      <c r="N126" s="108">
        <f t="shared" si="59"/>
        <v>0</v>
      </c>
      <c r="O126" s="108">
        <f t="shared" si="53"/>
        <v>0</v>
      </c>
      <c r="P126" s="108">
        <f t="shared" si="54"/>
        <v>0</v>
      </c>
      <c r="Q126" s="110">
        <f t="shared" si="55"/>
        <v>42.708527499999995</v>
      </c>
      <c r="R126" s="149">
        <f t="shared" si="56"/>
        <v>1.1500000000000001</v>
      </c>
      <c r="S126" s="104"/>
      <c r="T126" s="104"/>
    </row>
    <row r="127" spans="1:20">
      <c r="A127" s="104" t="s">
        <v>108</v>
      </c>
      <c r="B127" s="104"/>
      <c r="C127" s="104"/>
      <c r="D127" s="150"/>
      <c r="E127" s="108">
        <f ca="1">'history of trading results'!S106</f>
        <v>104.35122999999999</v>
      </c>
      <c r="F127" s="108">
        <f ca="1">'history of trading results'!T106</f>
        <v>3.9329999999999998</v>
      </c>
      <c r="G127" s="109">
        <f t="shared" si="50"/>
        <v>0</v>
      </c>
      <c r="H127" s="109">
        <f t="shared" si="50"/>
        <v>0</v>
      </c>
      <c r="I127" s="109"/>
      <c r="J127" s="110">
        <f t="shared" si="51"/>
        <v>108.28422999999998</v>
      </c>
      <c r="K127" s="149"/>
      <c r="L127" s="108">
        <f t="shared" si="58"/>
        <v>104.35122999999999</v>
      </c>
      <c r="M127" s="108">
        <f t="shared" si="57"/>
        <v>3.9329999999999998</v>
      </c>
      <c r="N127" s="108">
        <f t="shared" si="59"/>
        <v>0</v>
      </c>
      <c r="O127" s="108">
        <f t="shared" si="53"/>
        <v>0</v>
      </c>
      <c r="P127" s="108">
        <f t="shared" si="54"/>
        <v>0</v>
      </c>
      <c r="Q127" s="110">
        <f t="shared" si="55"/>
        <v>108.28422999999998</v>
      </c>
      <c r="R127" s="149">
        <f t="shared" si="56"/>
        <v>1.1499999999999999</v>
      </c>
      <c r="S127" s="104"/>
      <c r="T127" s="104"/>
    </row>
    <row r="128" spans="1:20">
      <c r="A128" s="104" t="s">
        <v>109</v>
      </c>
      <c r="B128" s="104"/>
      <c r="C128" s="104"/>
      <c r="D128" s="150"/>
      <c r="E128" s="108">
        <f ca="1">'history of trading results'!S107</f>
        <v>15.048382500000001</v>
      </c>
      <c r="F128" s="108">
        <f ca="1">'history of trading results'!T107</f>
        <v>0.34499999999999992</v>
      </c>
      <c r="G128" s="109">
        <f t="shared" si="50"/>
        <v>0</v>
      </c>
      <c r="H128" s="109">
        <f t="shared" si="50"/>
        <v>0</v>
      </c>
      <c r="I128" s="109"/>
      <c r="J128" s="110">
        <f t="shared" si="51"/>
        <v>15.393382500000001</v>
      </c>
      <c r="K128" s="149"/>
      <c r="L128" s="108">
        <f t="shared" si="58"/>
        <v>15.048382500000001</v>
      </c>
      <c r="M128" s="108">
        <f t="shared" si="57"/>
        <v>0.34499999999999992</v>
      </c>
      <c r="N128" s="108">
        <f t="shared" si="59"/>
        <v>0</v>
      </c>
      <c r="O128" s="108">
        <f t="shared" si="53"/>
        <v>0</v>
      </c>
      <c r="P128" s="108">
        <f t="shared" si="54"/>
        <v>0</v>
      </c>
      <c r="Q128" s="110">
        <f t="shared" si="55"/>
        <v>15.393382500000001</v>
      </c>
      <c r="R128" s="149">
        <f t="shared" si="56"/>
        <v>1.1500000000000001</v>
      </c>
      <c r="S128" s="104"/>
      <c r="T128" s="104"/>
    </row>
    <row r="129" spans="1:20">
      <c r="A129" s="104" t="s">
        <v>110</v>
      </c>
      <c r="B129" s="104"/>
      <c r="C129" s="104"/>
      <c r="D129" s="150"/>
      <c r="E129" s="108">
        <f ca="1">'history of trading results'!S108</f>
        <v>36.011914583333329</v>
      </c>
      <c r="F129" s="108">
        <f ca="1">'history of trading results'!T108</f>
        <v>0</v>
      </c>
      <c r="G129" s="109">
        <f t="shared" si="50"/>
        <v>0</v>
      </c>
      <c r="H129" s="109">
        <f t="shared" si="50"/>
        <v>0</v>
      </c>
      <c r="I129" s="109"/>
      <c r="J129" s="110">
        <f t="shared" si="51"/>
        <v>36.011914583333329</v>
      </c>
      <c r="K129" s="149"/>
      <c r="L129" s="108">
        <f t="shared" si="58"/>
        <v>36.011914583333329</v>
      </c>
      <c r="M129" s="108">
        <f t="shared" si="57"/>
        <v>0</v>
      </c>
      <c r="N129" s="108">
        <f t="shared" si="59"/>
        <v>0</v>
      </c>
      <c r="O129" s="108">
        <f t="shared" si="53"/>
        <v>0</v>
      </c>
      <c r="P129" s="108">
        <f t="shared" si="54"/>
        <v>0</v>
      </c>
      <c r="Q129" s="110">
        <f t="shared" si="55"/>
        <v>36.011914583333329</v>
      </c>
      <c r="R129" s="149">
        <f t="shared" si="56"/>
        <v>1.1499999999999997</v>
      </c>
      <c r="S129" s="104"/>
      <c r="T129" s="104"/>
    </row>
    <row r="130" spans="1:20">
      <c r="A130" s="104" t="s">
        <v>111</v>
      </c>
      <c r="B130" s="104"/>
      <c r="C130" s="104"/>
      <c r="D130" s="150"/>
      <c r="E130" s="108">
        <f ca="1">'history of trading results'!S109</f>
        <v>30.102169999999997</v>
      </c>
      <c r="F130" s="108">
        <f ca="1">'history of trading results'!T109</f>
        <v>0.68999999999999984</v>
      </c>
      <c r="G130" s="109">
        <f t="shared" si="50"/>
        <v>0.22999999999999998</v>
      </c>
      <c r="H130" s="109">
        <f t="shared" si="50"/>
        <v>0</v>
      </c>
      <c r="I130" s="109"/>
      <c r="J130" s="110">
        <f t="shared" si="51"/>
        <v>31.022169999999999</v>
      </c>
      <c r="K130" s="149"/>
      <c r="L130" s="108">
        <f t="shared" si="58"/>
        <v>30.102169999999997</v>
      </c>
      <c r="M130" s="108">
        <f t="shared" si="57"/>
        <v>0.68999999999999984</v>
      </c>
      <c r="N130" s="108">
        <f t="shared" si="59"/>
        <v>0.22999999999999998</v>
      </c>
      <c r="O130" s="108">
        <f t="shared" si="53"/>
        <v>0</v>
      </c>
      <c r="P130" s="108">
        <f t="shared" si="54"/>
        <v>0</v>
      </c>
      <c r="Q130" s="110">
        <f t="shared" si="55"/>
        <v>31.022169999999999</v>
      </c>
      <c r="R130" s="149">
        <f t="shared" si="56"/>
        <v>1.1500000000000001</v>
      </c>
      <c r="S130" s="104"/>
      <c r="T130" s="104"/>
    </row>
    <row r="131" spans="1:20">
      <c r="A131" s="104" t="s">
        <v>112</v>
      </c>
      <c r="B131" s="104"/>
      <c r="C131" s="104"/>
      <c r="D131" s="150"/>
      <c r="E131" s="108">
        <f ca="1">'history of trading results'!S110</f>
        <v>25.824514999999987</v>
      </c>
      <c r="F131" s="108">
        <f ca="1">'history of trading results'!T110</f>
        <v>0.27599999999999997</v>
      </c>
      <c r="G131" s="109">
        <f t="shared" si="50"/>
        <v>0</v>
      </c>
      <c r="H131" s="109">
        <f t="shared" si="50"/>
        <v>0</v>
      </c>
      <c r="I131" s="109"/>
      <c r="J131" s="110">
        <f t="shared" si="51"/>
        <v>26.100514999999987</v>
      </c>
      <c r="K131" s="149"/>
      <c r="L131" s="108">
        <f t="shared" si="58"/>
        <v>25.824514999999987</v>
      </c>
      <c r="M131" s="108">
        <f t="shared" si="57"/>
        <v>0.27599999999999997</v>
      </c>
      <c r="N131" s="108">
        <f t="shared" si="59"/>
        <v>0</v>
      </c>
      <c r="O131" s="108">
        <f t="shared" si="53"/>
        <v>0</v>
      </c>
      <c r="P131" s="108">
        <f t="shared" si="54"/>
        <v>0</v>
      </c>
      <c r="Q131" s="110">
        <f t="shared" si="55"/>
        <v>26.100514999999987</v>
      </c>
      <c r="R131" s="149">
        <f t="shared" si="56"/>
        <v>1.1499999999999995</v>
      </c>
      <c r="S131" s="104"/>
      <c r="T131" s="104"/>
    </row>
    <row r="132" spans="1:20">
      <c r="A132" s="12" t="s">
        <v>113</v>
      </c>
      <c r="B132" s="104"/>
      <c r="C132" s="104"/>
      <c r="D132" s="150"/>
      <c r="E132" s="108">
        <f ca="1">'history of trading results'!S111</f>
        <v>46.590493149999993</v>
      </c>
      <c r="F132" s="108">
        <f ca="1">'history of trading results'!T111</f>
        <v>0.27599999999999997</v>
      </c>
      <c r="G132" s="109">
        <f t="shared" si="50"/>
        <v>0.91999999999999993</v>
      </c>
      <c r="H132" s="109">
        <f t="shared" si="50"/>
        <v>0</v>
      </c>
      <c r="I132" s="109"/>
      <c r="J132" s="110">
        <f t="shared" si="51"/>
        <v>47.786493149999998</v>
      </c>
      <c r="K132" s="149"/>
      <c r="L132" s="108">
        <f t="shared" si="58"/>
        <v>46.590493149999993</v>
      </c>
      <c r="M132" s="108">
        <f t="shared" si="57"/>
        <v>0.27599999999999997</v>
      </c>
      <c r="N132" s="108">
        <f t="shared" si="59"/>
        <v>0.91999999999999993</v>
      </c>
      <c r="O132" s="108">
        <f t="shared" si="53"/>
        <v>0</v>
      </c>
      <c r="P132" s="108">
        <f t="shared" si="54"/>
        <v>0</v>
      </c>
      <c r="Q132" s="110">
        <f t="shared" si="55"/>
        <v>47.786493149999998</v>
      </c>
      <c r="R132" s="149">
        <f t="shared" si="56"/>
        <v>1.1499999999999997</v>
      </c>
      <c r="S132" s="104"/>
      <c r="T132" s="104"/>
    </row>
    <row r="133" spans="1:20">
      <c r="A133" s="12" t="s">
        <v>173</v>
      </c>
      <c r="B133" s="104"/>
      <c r="C133" s="104"/>
      <c r="D133" s="150"/>
      <c r="E133" s="108">
        <f ca="1">'history of trading results'!S112</f>
        <v>305.76096499999994</v>
      </c>
      <c r="F133" s="108">
        <f ca="1">'history of trading results'!T112</f>
        <v>0</v>
      </c>
      <c r="G133" s="109">
        <f t="shared" si="50"/>
        <v>0</v>
      </c>
      <c r="H133" s="109">
        <f t="shared" si="50"/>
        <v>0</v>
      </c>
      <c r="I133" s="109">
        <v>-172.5</v>
      </c>
      <c r="J133" s="110">
        <f t="shared" si="51"/>
        <v>133.26096499999994</v>
      </c>
      <c r="K133" s="149"/>
      <c r="L133" s="108">
        <f>E133-47.2</f>
        <v>258.56096499999995</v>
      </c>
      <c r="M133" s="108">
        <f t="shared" si="57"/>
        <v>0</v>
      </c>
      <c r="N133" s="108">
        <f t="shared" si="59"/>
        <v>0</v>
      </c>
      <c r="O133" s="108">
        <f t="shared" ref="O133:O140" si="60">H133</f>
        <v>0</v>
      </c>
      <c r="P133" s="108">
        <v>-134.5</v>
      </c>
      <c r="Q133" s="110">
        <f t="shared" si="55"/>
        <v>124.06096499999995</v>
      </c>
      <c r="R133" s="149">
        <f t="shared" si="56"/>
        <v>1.1499999999999997</v>
      </c>
      <c r="S133" s="104"/>
      <c r="T133" s="104"/>
    </row>
    <row r="134" spans="1:20">
      <c r="A134" s="104" t="s">
        <v>115</v>
      </c>
      <c r="B134" s="104"/>
      <c r="C134" s="104"/>
      <c r="D134" s="150"/>
      <c r="E134" s="108">
        <f ca="1">'history of trading results'!S113</f>
        <v>59.813512499999995</v>
      </c>
      <c r="F134" s="108">
        <f ca="1">'history of trading results'!T113</f>
        <v>0</v>
      </c>
      <c r="G134" s="109">
        <f t="shared" si="50"/>
        <v>0</v>
      </c>
      <c r="H134" s="109">
        <f t="shared" si="50"/>
        <v>0</v>
      </c>
      <c r="I134" s="109"/>
      <c r="J134" s="110">
        <f t="shared" si="51"/>
        <v>59.813512499999995</v>
      </c>
      <c r="K134" s="149"/>
      <c r="L134" s="108">
        <f>E134</f>
        <v>59.813512499999995</v>
      </c>
      <c r="M134" s="108">
        <f t="shared" si="57"/>
        <v>0</v>
      </c>
      <c r="N134" s="108">
        <f t="shared" si="59"/>
        <v>0</v>
      </c>
      <c r="O134" s="108">
        <f t="shared" si="60"/>
        <v>0</v>
      </c>
      <c r="P134" s="108">
        <f t="shared" ref="P134:P140" si="61">I134</f>
        <v>0</v>
      </c>
      <c r="Q134" s="110">
        <f t="shared" si="55"/>
        <v>59.813512499999995</v>
      </c>
      <c r="R134" s="149">
        <f t="shared" si="56"/>
        <v>1.1500000000000001</v>
      </c>
      <c r="S134" s="104"/>
      <c r="T134" s="104"/>
    </row>
    <row r="135" spans="1:20">
      <c r="A135" s="12" t="s">
        <v>116</v>
      </c>
      <c r="B135" s="104"/>
      <c r="C135" s="104"/>
      <c r="D135" s="150"/>
      <c r="E135" s="108">
        <f ca="1">'history of trading results'!S114</f>
        <v>55.58636034482759</v>
      </c>
      <c r="F135" s="108">
        <f ca="1">'history of trading results'!T114</f>
        <v>0</v>
      </c>
      <c r="G135" s="109">
        <f t="shared" si="50"/>
        <v>0</v>
      </c>
      <c r="H135" s="109">
        <f t="shared" si="50"/>
        <v>0</v>
      </c>
      <c r="I135" s="109"/>
      <c r="J135" s="110">
        <f t="shared" si="51"/>
        <v>55.58636034482759</v>
      </c>
      <c r="K135" s="149"/>
      <c r="L135" s="108">
        <f>E135</f>
        <v>55.58636034482759</v>
      </c>
      <c r="M135" s="108">
        <f t="shared" si="57"/>
        <v>0</v>
      </c>
      <c r="N135" s="108">
        <f t="shared" si="59"/>
        <v>0</v>
      </c>
      <c r="O135" s="108">
        <f t="shared" si="60"/>
        <v>0</v>
      </c>
      <c r="P135" s="108">
        <f t="shared" si="61"/>
        <v>0</v>
      </c>
      <c r="Q135" s="110">
        <f t="shared" si="55"/>
        <v>55.58636034482759</v>
      </c>
      <c r="R135" s="149">
        <f t="shared" si="56"/>
        <v>1.1500000000000006</v>
      </c>
      <c r="S135" s="104"/>
      <c r="T135" s="104"/>
    </row>
    <row r="136" spans="1:20">
      <c r="A136" s="12" t="s">
        <v>117</v>
      </c>
      <c r="B136" s="104"/>
      <c r="C136" s="104"/>
      <c r="D136" s="150"/>
      <c r="E136" s="108">
        <f ca="1">'history of trading results'!S115</f>
        <v>131.01735413358867</v>
      </c>
      <c r="F136" s="108">
        <f ca="1">'history of trading results'!T115</f>
        <v>13.714973729166665</v>
      </c>
      <c r="G136" s="109">
        <f t="shared" si="50"/>
        <v>28.29</v>
      </c>
      <c r="H136" s="109">
        <f t="shared" si="50"/>
        <v>10.399999999999999</v>
      </c>
      <c r="I136" s="109"/>
      <c r="J136" s="110">
        <f t="shared" si="51"/>
        <v>183.42232786275534</v>
      </c>
      <c r="K136" s="149"/>
      <c r="L136" s="108">
        <f>E136</f>
        <v>131.01735413358867</v>
      </c>
      <c r="M136" s="108">
        <f t="shared" si="57"/>
        <v>13.714973729166665</v>
      </c>
      <c r="N136" s="108">
        <f t="shared" si="59"/>
        <v>28.29</v>
      </c>
      <c r="O136" s="108">
        <f t="shared" si="60"/>
        <v>10.399999999999999</v>
      </c>
      <c r="P136" s="108">
        <f t="shared" si="61"/>
        <v>0</v>
      </c>
      <c r="Q136" s="110">
        <f t="shared" si="55"/>
        <v>183.42232786275534</v>
      </c>
      <c r="R136" s="149">
        <f t="shared" si="56"/>
        <v>1.1500000000000001</v>
      </c>
      <c r="S136" s="104"/>
      <c r="T136" s="104"/>
    </row>
    <row r="137" spans="1:20">
      <c r="A137" s="104" t="s">
        <v>118</v>
      </c>
      <c r="B137" s="104"/>
      <c r="C137" s="104"/>
      <c r="D137" s="150"/>
      <c r="E137" s="108">
        <f ca="1">'history of trading results'!S116</f>
        <v>186.15376465517241</v>
      </c>
      <c r="F137" s="108">
        <f ca="1">'history of trading results'!T116</f>
        <v>37.133949999999984</v>
      </c>
      <c r="G137" s="109">
        <f t="shared" si="50"/>
        <v>11.5</v>
      </c>
      <c r="H137" s="109">
        <f t="shared" si="50"/>
        <v>1.1499999999999999</v>
      </c>
      <c r="I137" s="109"/>
      <c r="J137" s="110">
        <f t="shared" si="51"/>
        <v>235.93771465517241</v>
      </c>
      <c r="K137" s="149"/>
      <c r="L137" s="108">
        <f>E137-29.8</f>
        <v>156.3537646551724</v>
      </c>
      <c r="M137" s="108">
        <f t="shared" si="57"/>
        <v>37.133949999999984</v>
      </c>
      <c r="N137" s="108">
        <f t="shared" si="59"/>
        <v>11.5</v>
      </c>
      <c r="O137" s="108">
        <f t="shared" si="60"/>
        <v>1.1499999999999999</v>
      </c>
      <c r="P137" s="108">
        <f t="shared" si="61"/>
        <v>0</v>
      </c>
      <c r="Q137" s="110">
        <f t="shared" si="55"/>
        <v>206.1377146551724</v>
      </c>
      <c r="R137" s="149">
        <f t="shared" si="56"/>
        <v>1.1499163241676016</v>
      </c>
      <c r="S137" s="104"/>
      <c r="T137" s="104"/>
    </row>
    <row r="138" spans="1:20">
      <c r="A138" s="12" t="s">
        <v>119</v>
      </c>
      <c r="B138" s="104"/>
      <c r="C138" s="104"/>
      <c r="D138" s="150"/>
      <c r="E138" s="108">
        <f ca="1">'history of trading results'!S117</f>
        <v>72.579374999999985</v>
      </c>
      <c r="F138" s="108">
        <f ca="1">'history of trading results'!T117</f>
        <v>0</v>
      </c>
      <c r="G138" s="109">
        <f t="shared" si="50"/>
        <v>0</v>
      </c>
      <c r="H138" s="109">
        <f t="shared" si="50"/>
        <v>0</v>
      </c>
      <c r="I138" s="109"/>
      <c r="J138" s="110">
        <f t="shared" si="51"/>
        <v>72.579374999999985</v>
      </c>
      <c r="K138" s="149"/>
      <c r="L138" s="108">
        <f>E138</f>
        <v>72.579374999999985</v>
      </c>
      <c r="M138" s="108">
        <f t="shared" si="57"/>
        <v>0</v>
      </c>
      <c r="N138" s="108">
        <f t="shared" si="59"/>
        <v>0</v>
      </c>
      <c r="O138" s="108">
        <f t="shared" si="60"/>
        <v>0</v>
      </c>
      <c r="P138" s="108">
        <f t="shared" si="61"/>
        <v>0</v>
      </c>
      <c r="Q138" s="110">
        <f t="shared" si="55"/>
        <v>72.579374999999985</v>
      </c>
      <c r="R138" s="149">
        <f t="shared" si="56"/>
        <v>1.1499999999999999</v>
      </c>
      <c r="S138" s="104"/>
      <c r="T138" s="104"/>
    </row>
    <row r="139" spans="1:20">
      <c r="A139" s="104" t="s">
        <v>120</v>
      </c>
      <c r="B139" s="104"/>
      <c r="C139" s="104"/>
      <c r="D139" s="150"/>
      <c r="E139" s="108">
        <f ca="1">'history of trading results'!S118</f>
        <v>37.376070000000006</v>
      </c>
      <c r="F139" s="108">
        <f ca="1">'history of trading results'!T118</f>
        <v>2.89</v>
      </c>
      <c r="G139" s="109">
        <f t="shared" si="50"/>
        <v>0</v>
      </c>
      <c r="H139" s="109">
        <f t="shared" si="50"/>
        <v>0</v>
      </c>
      <c r="I139" s="109"/>
      <c r="J139" s="110">
        <f t="shared" si="51"/>
        <v>40.266070000000006</v>
      </c>
      <c r="K139" s="149"/>
      <c r="L139" s="108">
        <f>E139</f>
        <v>37.376070000000006</v>
      </c>
      <c r="M139" s="108">
        <f t="shared" si="57"/>
        <v>2.89</v>
      </c>
      <c r="N139" s="108">
        <f t="shared" si="59"/>
        <v>0</v>
      </c>
      <c r="O139" s="108">
        <f t="shared" si="60"/>
        <v>0</v>
      </c>
      <c r="P139" s="108">
        <f t="shared" si="61"/>
        <v>0</v>
      </c>
      <c r="Q139" s="110">
        <f t="shared" si="55"/>
        <v>40.266070000000006</v>
      </c>
      <c r="R139" s="149">
        <f t="shared" si="56"/>
        <v>1.1499999999999999</v>
      </c>
      <c r="S139" s="104"/>
      <c r="T139" s="104"/>
    </row>
    <row r="140" spans="1:20">
      <c r="A140" s="12" t="s">
        <v>174</v>
      </c>
      <c r="B140" s="104"/>
      <c r="C140" s="104"/>
      <c r="D140" s="150"/>
      <c r="E140" s="108">
        <f ca="1">'history of trading results'!S119</f>
        <v>34.625671392024792</v>
      </c>
      <c r="F140" s="108">
        <f ca="1">'history of trading results'!T119</f>
        <v>3.6124999999999998</v>
      </c>
      <c r="G140" s="109">
        <f t="shared" si="50"/>
        <v>0</v>
      </c>
      <c r="H140" s="109">
        <f t="shared" si="50"/>
        <v>0</v>
      </c>
      <c r="I140" s="109"/>
      <c r="J140" s="110">
        <f t="shared" si="51"/>
        <v>38.238171392024789</v>
      </c>
      <c r="K140" s="149"/>
      <c r="L140" s="108">
        <f>E140</f>
        <v>34.625671392024792</v>
      </c>
      <c r="M140" s="108">
        <f t="shared" si="57"/>
        <v>3.6124999999999998</v>
      </c>
      <c r="N140" s="108">
        <f t="shared" si="59"/>
        <v>0</v>
      </c>
      <c r="O140" s="108">
        <f t="shared" si="60"/>
        <v>0</v>
      </c>
      <c r="P140" s="108">
        <f t="shared" si="61"/>
        <v>0</v>
      </c>
      <c r="Q140" s="110">
        <f t="shared" si="55"/>
        <v>38.238171392024789</v>
      </c>
      <c r="R140" s="149">
        <f t="shared" si="56"/>
        <v>1.1499999999999997</v>
      </c>
      <c r="S140" s="104"/>
      <c r="T140" s="104"/>
    </row>
    <row r="141" spans="1:20">
      <c r="A141" s="104"/>
      <c r="B141" s="104"/>
      <c r="C141" s="104"/>
      <c r="D141" s="150"/>
      <c r="E141" s="108"/>
      <c r="F141" s="119"/>
      <c r="G141" s="106"/>
      <c r="H141" s="109"/>
      <c r="I141" s="109"/>
      <c r="J141" s="110"/>
      <c r="K141" s="149"/>
      <c r="L141" s="108"/>
      <c r="M141" s="119"/>
      <c r="N141" s="106"/>
      <c r="O141" s="109"/>
      <c r="P141" s="109"/>
      <c r="Q141" s="110"/>
      <c r="R141" s="104"/>
      <c r="S141" s="104"/>
      <c r="T141" s="104"/>
    </row>
    <row r="142" spans="1:20">
      <c r="A142" s="5" t="s">
        <v>123</v>
      </c>
      <c r="B142" s="104"/>
      <c r="C142" s="104"/>
      <c r="D142" s="150"/>
      <c r="E142" s="110">
        <f t="shared" ref="E142:J142" si="62">SUM(E121:E141)</f>
        <v>2230.1999169256123</v>
      </c>
      <c r="F142" s="110">
        <f t="shared" si="62"/>
        <v>105.57477622916664</v>
      </c>
      <c r="G142" s="110">
        <f t="shared" si="62"/>
        <v>187.44999999999996</v>
      </c>
      <c r="H142" s="110">
        <f t="shared" si="62"/>
        <v>11.549999999999999</v>
      </c>
      <c r="I142" s="110">
        <f t="shared" si="62"/>
        <v>-345</v>
      </c>
      <c r="J142" s="110">
        <f t="shared" si="62"/>
        <v>2189.7746931547799</v>
      </c>
      <c r="K142" s="149"/>
      <c r="L142" s="110">
        <f t="shared" ref="L142:Q142" si="63">SUM(L121:L141)</f>
        <v>2090.0999169256129</v>
      </c>
      <c r="M142" s="110">
        <f t="shared" si="63"/>
        <v>105.57477622916664</v>
      </c>
      <c r="N142" s="110">
        <f t="shared" si="63"/>
        <v>142.85</v>
      </c>
      <c r="O142" s="110">
        <f t="shared" si="63"/>
        <v>11.549999999999999</v>
      </c>
      <c r="P142" s="110">
        <f t="shared" si="63"/>
        <v>-307</v>
      </c>
      <c r="Q142" s="110">
        <f t="shared" si="63"/>
        <v>2043.0746931547794</v>
      </c>
      <c r="R142" s="149">
        <f>IF(ROUND(Q142,0)=0,0,Q142/Q59)</f>
        <v>1.1495695601749261</v>
      </c>
      <c r="S142" s="104"/>
      <c r="T142" s="104"/>
    </row>
    <row r="143" spans="1:20">
      <c r="A143" s="5" t="s">
        <v>124</v>
      </c>
      <c r="B143" s="104"/>
      <c r="C143" s="104"/>
      <c r="D143" s="150"/>
      <c r="E143" s="110">
        <f t="shared" ref="E143:J143" si="64">+E111-E118-E142</f>
        <v>2744.000422341167</v>
      </c>
      <c r="F143" s="110">
        <f t="shared" si="64"/>
        <v>78.410301788711507</v>
      </c>
      <c r="G143" s="110">
        <f t="shared" si="64"/>
        <v>157.55000000000004</v>
      </c>
      <c r="H143" s="110">
        <f t="shared" si="64"/>
        <v>34.450000000000003</v>
      </c>
      <c r="I143" s="110">
        <f t="shared" si="64"/>
        <v>0</v>
      </c>
      <c r="J143" s="110">
        <f t="shared" si="64"/>
        <v>3014.410724129878</v>
      </c>
      <c r="K143" s="149"/>
      <c r="L143" s="110">
        <f t="shared" ref="L143:Q143" si="65">+L111-L118-L142</f>
        <v>2884.1004223411664</v>
      </c>
      <c r="M143" s="110">
        <f t="shared" si="65"/>
        <v>89.910301788711507</v>
      </c>
      <c r="N143" s="110">
        <f t="shared" si="65"/>
        <v>164.15</v>
      </c>
      <c r="O143" s="110">
        <f t="shared" si="65"/>
        <v>25.25</v>
      </c>
      <c r="P143" s="110">
        <f t="shared" si="65"/>
        <v>0</v>
      </c>
      <c r="Q143" s="110">
        <f t="shared" si="65"/>
        <v>3163.410724129878</v>
      </c>
      <c r="R143" s="149">
        <f>IF(ROUND(Q143,0)=0,0,Q143/Q60)</f>
        <v>1.1502781690004942</v>
      </c>
      <c r="S143" s="104"/>
      <c r="T143" s="104"/>
    </row>
    <row r="144" spans="1:20">
      <c r="A144" s="5" t="s">
        <v>175</v>
      </c>
      <c r="B144" s="104"/>
      <c r="C144" s="104"/>
      <c r="D144" s="150"/>
      <c r="E144" s="109"/>
      <c r="F144" s="109"/>
      <c r="G144" s="109">
        <f>G61*$F$86</f>
        <v>977.49999999999989</v>
      </c>
      <c r="H144" s="109"/>
      <c r="I144" s="109"/>
      <c r="J144" s="110">
        <f>SUM(E144:I144)</f>
        <v>977.49999999999989</v>
      </c>
      <c r="K144" s="149"/>
      <c r="L144" s="109"/>
      <c r="M144" s="109"/>
      <c r="N144" s="108">
        <f>G144</f>
        <v>977.49999999999989</v>
      </c>
      <c r="O144" s="109"/>
      <c r="P144" s="109"/>
      <c r="Q144" s="110">
        <f>SUM(L144:P144)</f>
        <v>977.49999999999989</v>
      </c>
      <c r="R144" s="149">
        <f>IF(ROUND(Q144,0)=0,0,Q144/Q61)</f>
        <v>1.1499999999999999</v>
      </c>
      <c r="S144" s="104"/>
      <c r="T144" s="104"/>
    </row>
    <row r="145" spans="1:20">
      <c r="A145" s="5" t="s">
        <v>176</v>
      </c>
      <c r="B145" s="104"/>
      <c r="C145" s="104"/>
      <c r="D145" s="150"/>
      <c r="E145" s="109">
        <f>E62*$F$86</f>
        <v>-977.49999999999989</v>
      </c>
      <c r="F145" s="109"/>
      <c r="G145" s="109">
        <f>G62*$F$86</f>
        <v>-1092.5</v>
      </c>
      <c r="H145" s="109"/>
      <c r="I145" s="109"/>
      <c r="J145" s="110">
        <f>SUM(E145:I145)</f>
        <v>-2070</v>
      </c>
      <c r="K145" s="149"/>
      <c r="L145" s="108">
        <f>E145</f>
        <v>-977.49999999999989</v>
      </c>
      <c r="M145" s="109"/>
      <c r="N145" s="108">
        <f>G145</f>
        <v>-1092.5</v>
      </c>
      <c r="O145" s="109"/>
      <c r="P145" s="109"/>
      <c r="Q145" s="110">
        <f>SUM(L145:P145)</f>
        <v>-2070</v>
      </c>
      <c r="R145" s="149">
        <f>IF(ROUND(Q145,0)=0,0,Q145/Q62)</f>
        <v>1.1499999999999999</v>
      </c>
      <c r="S145" s="104"/>
      <c r="T145" s="104"/>
    </row>
    <row r="146" spans="1:20">
      <c r="A146" s="5" t="s">
        <v>177</v>
      </c>
      <c r="B146" s="104"/>
      <c r="C146" s="104"/>
      <c r="D146" s="150"/>
      <c r="E146" s="161">
        <f>SUM(E143:E145)</f>
        <v>1766.500422341167</v>
      </c>
      <c r="F146" s="161">
        <f>SUM(F143:F145)</f>
        <v>78.410301788711507</v>
      </c>
      <c r="G146" s="161">
        <f>SUM(G143:G145)</f>
        <v>42.549999999999955</v>
      </c>
      <c r="H146" s="161">
        <f>SUM(H143:H145)</f>
        <v>34.450000000000003</v>
      </c>
      <c r="I146" s="161">
        <f>SUM(I143:I145)</f>
        <v>0</v>
      </c>
      <c r="J146" s="162">
        <f>SUM(E146:I146)</f>
        <v>1921.9107241298784</v>
      </c>
      <c r="K146" s="149"/>
      <c r="L146" s="161">
        <f>SUM(L143:L145)</f>
        <v>1906.6004223411664</v>
      </c>
      <c r="M146" s="161">
        <f>SUM(M143:M145)</f>
        <v>89.910301788711507</v>
      </c>
      <c r="N146" s="161">
        <f>SUM(N143:N145)</f>
        <v>49.149999999999864</v>
      </c>
      <c r="O146" s="161">
        <f>SUM(O143:O145)</f>
        <v>25.25</v>
      </c>
      <c r="P146" s="161">
        <f>SUM(P143:P145)</f>
        <v>0</v>
      </c>
      <c r="Q146" s="162">
        <f>SUM(L146:P146)</f>
        <v>2070.910724129878</v>
      </c>
      <c r="R146" s="149">
        <f>IF(ROUND(Q146,0)=0,0,Q146/Q63)</f>
        <v>1.1504249700829008</v>
      </c>
      <c r="S146" s="104"/>
      <c r="T146" s="104"/>
    </row>
    <row r="147" spans="1:20">
      <c r="A147" s="12"/>
      <c r="B147" s="104"/>
      <c r="C147" s="104"/>
      <c r="D147" s="104"/>
      <c r="E147" s="109"/>
      <c r="F147" s="109"/>
      <c r="G147" s="109"/>
      <c r="H147" s="109"/>
      <c r="I147" s="109"/>
      <c r="J147" s="110"/>
      <c r="K147" s="151"/>
      <c r="L147" s="150"/>
      <c r="M147" s="150"/>
      <c r="N147" s="150"/>
      <c r="O147" s="150"/>
      <c r="P147" s="150"/>
      <c r="Q147" s="150"/>
      <c r="R147" s="104"/>
      <c r="S147" s="104"/>
      <c r="T147" s="104"/>
    </row>
    <row r="148" spans="1:20">
      <c r="A148" s="5" t="s">
        <v>178</v>
      </c>
      <c r="B148" s="104"/>
      <c r="C148" s="104"/>
      <c r="D148" s="104"/>
      <c r="E148" s="109">
        <f>E143</f>
        <v>2744.000422341167</v>
      </c>
      <c r="F148" s="109">
        <f>F143</f>
        <v>78.410301788711507</v>
      </c>
      <c r="G148" s="109">
        <f>G143</f>
        <v>157.55000000000004</v>
      </c>
      <c r="H148" s="109">
        <f>H143</f>
        <v>34.450000000000003</v>
      </c>
      <c r="I148" s="104"/>
      <c r="J148" s="110">
        <f>SUM(E148:I148)</f>
        <v>3014.4107241298784</v>
      </c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</row>
    <row r="149" spans="1:20">
      <c r="A149" s="5" t="s">
        <v>168</v>
      </c>
      <c r="B149" s="104"/>
      <c r="C149" s="104"/>
      <c r="D149" s="104"/>
      <c r="E149" s="118"/>
      <c r="F149" s="118"/>
      <c r="G149" s="118"/>
      <c r="H149" s="109"/>
      <c r="I149" s="104"/>
      <c r="J149" s="110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</row>
    <row r="150" spans="1:20">
      <c r="A150" s="12" t="s">
        <v>179</v>
      </c>
      <c r="B150" s="104"/>
      <c r="C150" s="104"/>
      <c r="D150" s="104"/>
      <c r="E150" s="104"/>
      <c r="F150" s="109">
        <f>F67*$F$86</f>
        <v>6</v>
      </c>
      <c r="G150" s="109">
        <f>G67*$F$86</f>
        <v>37.72</v>
      </c>
      <c r="H150" s="109"/>
      <c r="I150" s="104"/>
      <c r="J150" s="110">
        <f>SUM(E150:I150)</f>
        <v>43.72</v>
      </c>
      <c r="K150" s="104"/>
      <c r="L150" s="12"/>
      <c r="M150" s="104"/>
      <c r="N150" s="104"/>
      <c r="O150" s="104"/>
      <c r="P150" s="104"/>
      <c r="Q150" s="104"/>
      <c r="R150" s="104"/>
      <c r="S150" s="104"/>
      <c r="T150" s="104"/>
    </row>
    <row r="151" spans="1:20">
      <c r="A151" s="12" t="s">
        <v>180</v>
      </c>
      <c r="B151" s="104"/>
      <c r="C151" s="104"/>
      <c r="D151" s="104"/>
      <c r="E151" s="109">
        <f>E68*$F$86</f>
        <v>43.8</v>
      </c>
      <c r="F151" s="109">
        <f>F68*$F$86</f>
        <v>5.6349999999999998</v>
      </c>
      <c r="G151" s="109"/>
      <c r="H151" s="109"/>
      <c r="I151" s="104"/>
      <c r="J151" s="110">
        <f>SUM(E151:I151)</f>
        <v>49.434999999999995</v>
      </c>
      <c r="K151" s="104"/>
      <c r="L151" s="12" t="s">
        <v>181</v>
      </c>
      <c r="M151" s="104"/>
      <c r="N151" s="104"/>
      <c r="O151" s="104"/>
      <c r="P151" s="104"/>
      <c r="Q151" s="104"/>
      <c r="R151" s="104"/>
      <c r="S151" s="104"/>
      <c r="T151" s="104"/>
    </row>
    <row r="152" spans="1:20">
      <c r="A152" s="12" t="s">
        <v>182</v>
      </c>
      <c r="B152" s="104"/>
      <c r="C152" s="104"/>
      <c r="D152" s="104"/>
      <c r="E152" s="109">
        <f>E69*$F$86</f>
        <v>19.319999999999997</v>
      </c>
      <c r="F152" s="104"/>
      <c r="G152" s="109">
        <f>G69*$F$86</f>
        <v>6.8999999999999995</v>
      </c>
      <c r="H152" s="109"/>
      <c r="I152" s="104"/>
      <c r="J152" s="110">
        <f>SUM(E152:I152)</f>
        <v>26.219999999999995</v>
      </c>
      <c r="K152" s="104"/>
      <c r="L152" s="12"/>
      <c r="M152" s="104"/>
      <c r="N152" s="104"/>
      <c r="O152" s="104"/>
      <c r="P152" s="104"/>
      <c r="Q152" s="104"/>
      <c r="R152" s="104"/>
      <c r="S152" s="104"/>
      <c r="T152" s="104"/>
    </row>
    <row r="153" spans="1:20">
      <c r="A153" s="102" t="s">
        <v>184</v>
      </c>
      <c r="B153" s="104"/>
      <c r="C153" s="104"/>
      <c r="D153" s="104"/>
      <c r="E153" s="109">
        <f>E70*$F$86</f>
        <v>47.15</v>
      </c>
      <c r="F153" s="104"/>
      <c r="G153" s="109">
        <f>G70*$F$86</f>
        <v>-37.949999999999996</v>
      </c>
      <c r="H153" s="109">
        <f>H70*$F$86</f>
        <v>-9.1999999999999993</v>
      </c>
      <c r="I153" s="104"/>
      <c r="J153" s="110">
        <f>SUM(E153:I153)</f>
        <v>0</v>
      </c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</row>
    <row r="154" spans="1:20">
      <c r="A154" s="104" t="s">
        <v>199</v>
      </c>
      <c r="B154" s="104"/>
      <c r="C154" s="104"/>
      <c r="D154" s="104"/>
      <c r="E154" s="109">
        <f>E71*$F$86</f>
        <v>29.784999999999997</v>
      </c>
      <c r="F154" s="104"/>
      <c r="G154" s="104"/>
      <c r="H154" s="104"/>
      <c r="I154" s="104"/>
      <c r="J154" s="110">
        <f>SUM(E154:I154)</f>
        <v>29.784999999999997</v>
      </c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</row>
    <row r="155" spans="1:20">
      <c r="A155" s="12"/>
      <c r="B155" s="104"/>
      <c r="C155" s="104"/>
      <c r="D155" s="104"/>
      <c r="E155" s="104"/>
      <c r="F155" s="104"/>
      <c r="G155" s="104"/>
      <c r="H155" s="104"/>
      <c r="I155" s="104"/>
      <c r="J155" s="156"/>
      <c r="K155" s="104"/>
      <c r="L155" s="104"/>
      <c r="M155" s="104"/>
      <c r="N155" s="104"/>
      <c r="O155" s="104"/>
      <c r="P155" s="104"/>
      <c r="Q155" s="104"/>
      <c r="R155" s="104"/>
      <c r="S155" s="104"/>
      <c r="T155" s="104"/>
    </row>
    <row r="156" spans="1:20">
      <c r="A156" s="12"/>
      <c r="B156" s="104"/>
      <c r="C156" s="104"/>
      <c r="D156" s="104"/>
      <c r="E156" s="104"/>
      <c r="F156" s="104"/>
      <c r="G156" s="104"/>
      <c r="H156" s="104"/>
      <c r="I156" s="104"/>
      <c r="J156" s="156"/>
      <c r="K156" s="104"/>
      <c r="L156" s="12"/>
      <c r="M156" s="104"/>
      <c r="N156" s="104"/>
      <c r="O156" s="104"/>
      <c r="P156" s="104"/>
      <c r="Q156" s="104"/>
      <c r="R156" s="104"/>
      <c r="S156" s="104"/>
      <c r="T156" s="104"/>
    </row>
    <row r="157" spans="1:20">
      <c r="A157" s="12"/>
      <c r="B157" s="104"/>
      <c r="C157" s="104"/>
      <c r="D157" s="104"/>
      <c r="E157" s="104"/>
      <c r="F157" s="104"/>
      <c r="G157" s="104"/>
      <c r="H157" s="104"/>
      <c r="I157" s="104"/>
      <c r="J157" s="156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</row>
    <row r="158" spans="1:20">
      <c r="A158" s="5" t="s">
        <v>188</v>
      </c>
      <c r="B158" s="104"/>
      <c r="C158" s="104"/>
      <c r="D158" s="104"/>
      <c r="E158" s="161">
        <f>SUM(E148:E157)</f>
        <v>2884.0554223411673</v>
      </c>
      <c r="F158" s="161">
        <f>SUM(F148:F157)</f>
        <v>90.045301788711512</v>
      </c>
      <c r="G158" s="161">
        <f>SUM(G148:G157)</f>
        <v>164.22000000000006</v>
      </c>
      <c r="H158" s="161">
        <f>SUM(H148:H157)</f>
        <v>25.250000000000004</v>
      </c>
      <c r="I158" s="104"/>
      <c r="J158" s="161">
        <f>SUM(J148:J157)</f>
        <v>3163.5707241298778</v>
      </c>
      <c r="K158" s="104"/>
      <c r="L158" s="104"/>
      <c r="M158" s="104"/>
      <c r="N158" s="104"/>
      <c r="O158" s="104"/>
      <c r="P158" s="104"/>
      <c r="Q158" s="104"/>
      <c r="R158" s="104"/>
      <c r="S158" s="104"/>
      <c r="T158" s="104"/>
    </row>
    <row r="159" spans="1:20">
      <c r="A159" s="12"/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  <c r="T159" s="104"/>
    </row>
    <row r="160" spans="1:20">
      <c r="A160" s="147" t="s">
        <v>189</v>
      </c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56"/>
      <c r="M160" s="169" t="s">
        <v>190</v>
      </c>
      <c r="N160" s="156"/>
      <c r="O160" s="156"/>
      <c r="P160" s="156"/>
      <c r="Q160" s="156"/>
      <c r="R160" s="104"/>
      <c r="S160" s="104"/>
      <c r="T160" s="104"/>
    </row>
    <row r="161" spans="1:20">
      <c r="A161" s="104" t="s">
        <v>191</v>
      </c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56"/>
      <c r="R161" s="104"/>
      <c r="S161" s="104"/>
      <c r="T161" s="104"/>
    </row>
    <row r="162" spans="1:20">
      <c r="A162" s="104"/>
      <c r="B162" s="104" t="s">
        <v>192</v>
      </c>
      <c r="C162" s="104"/>
      <c r="D162" s="104"/>
      <c r="E162" s="104"/>
      <c r="F162" s="104"/>
      <c r="G162" s="104"/>
      <c r="H162" s="104"/>
      <c r="I162" s="104"/>
      <c r="J162" s="104"/>
      <c r="K162" s="104"/>
      <c r="L162" s="106">
        <f>'[1]P&amp;LSV'!GT54/1000</f>
        <v>77.075472334108895</v>
      </c>
      <c r="M162" s="105">
        <f>'[1]P&amp;LWN'!GN51/1000</f>
        <v>3.1998912291666679</v>
      </c>
      <c r="N162" s="106">
        <v>0</v>
      </c>
      <c r="O162" s="106">
        <v>0</v>
      </c>
      <c r="P162" s="104"/>
      <c r="Q162" s="164">
        <f>SUM(L162:P162)</f>
        <v>80.275363563275562</v>
      </c>
      <c r="R162" s="149">
        <f>Q162/Q79</f>
        <v>1.1499999999999999</v>
      </c>
      <c r="S162" s="104"/>
      <c r="T162" s="104"/>
    </row>
    <row r="163" spans="1:20">
      <c r="A163" s="104"/>
      <c r="B163" s="104" t="s">
        <v>193</v>
      </c>
      <c r="C163" s="104"/>
      <c r="D163" s="104"/>
      <c r="E163" s="104"/>
      <c r="F163" s="104"/>
      <c r="G163" s="104"/>
      <c r="H163" s="104"/>
      <c r="I163" s="104"/>
      <c r="J163" s="104"/>
      <c r="K163" s="104"/>
      <c r="L163" s="106">
        <v>0</v>
      </c>
      <c r="M163" s="106">
        <v>0</v>
      </c>
      <c r="N163" s="121">
        <f>N80*$F$86</f>
        <v>23.69</v>
      </c>
      <c r="O163" s="121">
        <f>O80*$F$86</f>
        <v>8.2799999999999994</v>
      </c>
      <c r="P163" s="104"/>
      <c r="Q163" s="164">
        <f>SUM(L163:P163)</f>
        <v>31.97</v>
      </c>
      <c r="R163" s="149">
        <f>Q163/Q80</f>
        <v>1.1499999999999999</v>
      </c>
      <c r="S163" s="104"/>
      <c r="T163" s="104"/>
    </row>
    <row r="164" spans="1:20">
      <c r="A164" s="104"/>
      <c r="B164" s="104" t="s">
        <v>119</v>
      </c>
      <c r="C164" s="104"/>
      <c r="D164" s="104"/>
      <c r="E164" s="104"/>
      <c r="F164" s="104"/>
      <c r="G164" s="104"/>
      <c r="H164" s="104"/>
      <c r="I164" s="104"/>
      <c r="J164" s="104"/>
      <c r="K164" s="104"/>
      <c r="L164" s="106">
        <f>E138</f>
        <v>72.579374999999985</v>
      </c>
      <c r="M164" s="106">
        <f>F138</f>
        <v>0</v>
      </c>
      <c r="N164" s="106">
        <f>G138</f>
        <v>0</v>
      </c>
      <c r="O164" s="106">
        <f>H138</f>
        <v>0</v>
      </c>
      <c r="P164" s="104"/>
      <c r="Q164" s="164">
        <f>SUM(L164:P164)</f>
        <v>72.579374999999985</v>
      </c>
      <c r="R164" s="149">
        <f>Q164/Q81</f>
        <v>1.1499999999999999</v>
      </c>
      <c r="S164" s="104"/>
      <c r="T164" s="104"/>
    </row>
    <row r="165" spans="1:20">
      <c r="A165" s="148" t="s">
        <v>162</v>
      </c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163">
        <f t="shared" ref="L165:Q165" si="66">L143+SUM(L162:L164)</f>
        <v>3033.7552696752755</v>
      </c>
      <c r="M165" s="163">
        <f t="shared" si="66"/>
        <v>93.110193017878174</v>
      </c>
      <c r="N165" s="163">
        <f t="shared" si="66"/>
        <v>187.84</v>
      </c>
      <c r="O165" s="163">
        <f t="shared" si="66"/>
        <v>33.53</v>
      </c>
      <c r="P165" s="163">
        <f t="shared" si="66"/>
        <v>0</v>
      </c>
      <c r="Q165" s="163">
        <f t="shared" si="66"/>
        <v>3348.2354626931537</v>
      </c>
      <c r="R165" s="149">
        <f>Q165/Q82</f>
        <v>1.1502628103846779</v>
      </c>
      <c r="S165" s="104"/>
      <c r="T165" s="104"/>
    </row>
    <row r="166" spans="1:20">
      <c r="A166" s="104"/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  <c r="S166" s="104"/>
      <c r="T166" s="104"/>
    </row>
    <row r="167" spans="1:20">
      <c r="A167" s="104"/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104"/>
      <c r="T167" s="104"/>
    </row>
    <row r="168" spans="1:20">
      <c r="A168" s="104"/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  <c r="T168" s="104"/>
    </row>
    <row r="169" spans="1:20">
      <c r="A169" s="104"/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04"/>
    </row>
    <row r="170" spans="1:20">
      <c r="A170" s="104"/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04"/>
    </row>
    <row r="171" spans="1:20">
      <c r="A171" s="104"/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</row>
    <row r="172" spans="1:20">
      <c r="A172" s="104"/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</row>
    <row r="173" spans="1:20">
      <c r="A173" s="104"/>
      <c r="B173" s="104"/>
      <c r="C173" s="104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  <c r="R173" s="104"/>
      <c r="S173" s="104"/>
      <c r="T173" s="104"/>
    </row>
    <row r="174" spans="1:20">
      <c r="A174" s="104"/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  <c r="R174" s="104"/>
      <c r="S174" s="104"/>
      <c r="T174" s="104"/>
    </row>
    <row r="175" spans="1:20">
      <c r="A175" s="104"/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</row>
    <row r="176" spans="1:20">
      <c r="A176" s="104"/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  <c r="S176" s="104"/>
      <c r="T176" s="104"/>
    </row>
    <row r="177" spans="1:20">
      <c r="A177" s="104"/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  <c r="R177" s="104"/>
      <c r="S177" s="104"/>
      <c r="T177" s="104"/>
    </row>
    <row r="178" spans="1:20">
      <c r="A178" s="104"/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  <c r="S178" s="104"/>
      <c r="T178" s="104"/>
    </row>
    <row r="179" spans="1:20">
      <c r="A179" s="104"/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  <c r="S179" s="104"/>
      <c r="T179" s="104"/>
    </row>
    <row r="180" spans="1:20">
      <c r="A180" s="104"/>
      <c r="B180" s="104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  <c r="S180" s="104"/>
      <c r="T180" s="104"/>
    </row>
    <row r="181" spans="1:20">
      <c r="A181" s="104"/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104"/>
      <c r="T181" s="104"/>
    </row>
    <row r="182" spans="1:20">
      <c r="A182" s="104"/>
      <c r="B182" s="104"/>
      <c r="C182" s="104"/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  <c r="R182" s="104"/>
      <c r="S182" s="104"/>
      <c r="T182" s="104"/>
    </row>
    <row r="183" spans="1:20">
      <c r="A183" s="104"/>
      <c r="B183" s="104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  <c r="R183" s="104"/>
      <c r="S183" s="104"/>
      <c r="T183" s="104"/>
    </row>
    <row r="184" spans="1:20">
      <c r="A184" s="104"/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  <c r="R184" s="104"/>
      <c r="S184" s="104"/>
      <c r="T184" s="104"/>
    </row>
    <row r="185" spans="1:20">
      <c r="A185" s="104"/>
      <c r="B185" s="104"/>
      <c r="C185" s="104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  <c r="R185" s="104"/>
      <c r="S185" s="104"/>
      <c r="T185" s="104"/>
    </row>
    <row r="186" spans="1:20">
      <c r="A186" s="104"/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</row>
    <row r="187" spans="1:20">
      <c r="A187" s="104"/>
      <c r="B187" s="104"/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  <c r="S187" s="104"/>
      <c r="T187" s="104"/>
    </row>
    <row r="188" spans="1:20">
      <c r="A188" s="104"/>
      <c r="B188" s="104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</row>
    <row r="189" spans="1:20">
      <c r="A189" s="104"/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  <c r="T189" s="104"/>
    </row>
    <row r="190" spans="1:20">
      <c r="A190" s="104"/>
      <c r="B190" s="104"/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104"/>
    </row>
    <row r="191" spans="1:20">
      <c r="A191" s="104"/>
      <c r="B191" s="104"/>
      <c r="C191" s="104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</row>
    <row r="192" spans="1:20">
      <c r="A192" s="104"/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</row>
    <row r="193" spans="1:20">
      <c r="A193" s="104"/>
      <c r="B193" s="104"/>
      <c r="C193" s="104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</row>
    <row r="194" spans="1:20">
      <c r="A194" s="104"/>
      <c r="B194" s="104"/>
      <c r="C194" s="104"/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04"/>
      <c r="T194" s="104"/>
    </row>
    <row r="195" spans="1:20">
      <c r="A195" s="104"/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104"/>
      <c r="T195" s="104"/>
    </row>
    <row r="196" spans="1:20">
      <c r="A196" s="104"/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</row>
    <row r="197" spans="1:20">
      <c r="A197" s="104"/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  <c r="S197" s="104"/>
      <c r="T197" s="104"/>
    </row>
    <row r="198" spans="1:20">
      <c r="A198" s="104"/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104"/>
    </row>
    <row r="199" spans="1:20">
      <c r="A199" s="104"/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</row>
    <row r="200" spans="1:20">
      <c r="A200" s="104"/>
      <c r="B200" s="104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  <c r="S200" s="104"/>
      <c r="T200" s="104"/>
    </row>
    <row r="201" spans="1:20">
      <c r="A201" s="104"/>
      <c r="B201" s="104"/>
      <c r="C201" s="104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  <c r="T201" s="104"/>
    </row>
    <row r="202" spans="1:20">
      <c r="A202" s="104"/>
      <c r="B202" s="104"/>
      <c r="C202" s="104"/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  <c r="R202" s="104"/>
      <c r="S202" s="104"/>
      <c r="T202" s="104"/>
    </row>
    <row r="203" spans="1:20">
      <c r="A203" s="104"/>
      <c r="B203" s="104"/>
      <c r="C203" s="104"/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  <c r="R203" s="104"/>
      <c r="S203" s="104"/>
      <c r="T203" s="104"/>
    </row>
    <row r="204" spans="1:20">
      <c r="A204" s="104"/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104"/>
    </row>
    <row r="205" spans="1:20">
      <c r="A205" s="104"/>
      <c r="B205" s="104"/>
      <c r="C205" s="104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  <c r="S205" s="104"/>
      <c r="T205" s="104"/>
    </row>
    <row r="206" spans="1:20">
      <c r="A206" s="104"/>
      <c r="B206" s="104"/>
      <c r="C206" s="104"/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  <c r="R206" s="104"/>
      <c r="S206" s="104"/>
      <c r="T206" s="104"/>
    </row>
    <row r="207" spans="1:20">
      <c r="A207" s="104"/>
      <c r="B207" s="104"/>
      <c r="C207" s="104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  <c r="S207" s="104"/>
      <c r="T207" s="104"/>
    </row>
    <row r="208" spans="1:20">
      <c r="A208" s="104"/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  <c r="T208" s="104"/>
    </row>
    <row r="209" spans="1:20">
      <c r="A209" s="104"/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  <c r="R209" s="104"/>
      <c r="S209" s="104"/>
      <c r="T209" s="104"/>
    </row>
    <row r="210" spans="1:20">
      <c r="A210" s="104"/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  <c r="S210" s="104"/>
      <c r="T210" s="104"/>
    </row>
    <row r="211" spans="1:20">
      <c r="A211" s="104"/>
      <c r="B211" s="104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  <c r="S211" s="104"/>
      <c r="T211" s="104"/>
    </row>
    <row r="212" spans="1:20">
      <c r="A212" s="104"/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</row>
    <row r="213" spans="1:20">
      <c r="A213" s="104"/>
      <c r="B213" s="104"/>
      <c r="C213" s="104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  <c r="R213" s="104"/>
      <c r="S213" s="104"/>
      <c r="T213" s="104"/>
    </row>
    <row r="214" spans="1:20">
      <c r="A214" s="104"/>
      <c r="B214" s="104"/>
      <c r="C214" s="104"/>
      <c r="D214" s="104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  <c r="R214" s="104"/>
      <c r="S214" s="104"/>
      <c r="T214" s="104"/>
    </row>
    <row r="215" spans="1:20">
      <c r="A215" s="104"/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  <c r="R215" s="104"/>
      <c r="S215" s="104"/>
      <c r="T215" s="104"/>
    </row>
    <row r="216" spans="1:20">
      <c r="A216" s="104"/>
      <c r="B216" s="104"/>
      <c r="C216" s="104"/>
      <c r="D216" s="104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  <c r="R216" s="104"/>
      <c r="S216" s="104"/>
      <c r="T216" s="104"/>
    </row>
    <row r="217" spans="1:20">
      <c r="A217" s="104"/>
      <c r="B217" s="104"/>
      <c r="C217" s="104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  <c r="R217" s="104"/>
      <c r="S217" s="104"/>
      <c r="T217" s="104"/>
    </row>
    <row r="218" spans="1:20">
      <c r="A218" s="104"/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  <c r="S218" s="104"/>
      <c r="T218" s="104"/>
    </row>
    <row r="219" spans="1:20">
      <c r="A219" s="104"/>
      <c r="B219" s="104"/>
      <c r="C219" s="104"/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  <c r="R219" s="104"/>
      <c r="S219" s="104"/>
      <c r="T219" s="104"/>
    </row>
    <row r="220" spans="1:20">
      <c r="A220" s="104"/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  <c r="R220" s="104"/>
      <c r="S220" s="104"/>
      <c r="T220" s="104"/>
    </row>
    <row r="221" spans="1:20">
      <c r="A221" s="104"/>
      <c r="B221" s="104"/>
      <c r="C221" s="104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  <c r="R221" s="104"/>
      <c r="S221" s="104"/>
      <c r="T221" s="104"/>
    </row>
    <row r="222" spans="1:20">
      <c r="A222" s="104"/>
      <c r="B222" s="104"/>
      <c r="C222" s="104"/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  <c r="R222" s="104"/>
      <c r="S222" s="104"/>
      <c r="T222" s="104"/>
    </row>
    <row r="223" spans="1:20">
      <c r="A223" s="104"/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  <c r="R223" s="104"/>
      <c r="S223" s="104"/>
      <c r="T223" s="104"/>
    </row>
    <row r="224" spans="1:20">
      <c r="A224" s="104"/>
      <c r="B224" s="104"/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  <c r="R224" s="104"/>
      <c r="S224" s="104"/>
      <c r="T224" s="104"/>
    </row>
    <row r="225" spans="1:20">
      <c r="A225" s="104"/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  <c r="R225" s="104"/>
      <c r="S225" s="104"/>
      <c r="T225" s="104"/>
    </row>
    <row r="226" spans="1:20">
      <c r="A226" s="104"/>
      <c r="B226" s="104"/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  <c r="R226" s="104"/>
      <c r="S226" s="104"/>
      <c r="T226" s="104"/>
    </row>
    <row r="227" spans="1:20">
      <c r="A227" s="104"/>
      <c r="B227" s="104"/>
      <c r="C227" s="104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  <c r="R227" s="104"/>
      <c r="S227" s="104"/>
      <c r="T227" s="104"/>
    </row>
    <row r="228" spans="1:20">
      <c r="A228" s="104"/>
      <c r="B228" s="104"/>
      <c r="C228" s="104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</row>
    <row r="229" spans="1:20">
      <c r="A229" s="104"/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  <c r="R229" s="104"/>
      <c r="S229" s="104"/>
      <c r="T229" s="104"/>
    </row>
    <row r="230" spans="1:20">
      <c r="A230" s="104"/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  <c r="R230" s="104"/>
      <c r="S230" s="104"/>
      <c r="T230" s="104"/>
    </row>
    <row r="231" spans="1:20">
      <c r="A231" s="104"/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  <c r="S231" s="104"/>
      <c r="T231" s="104"/>
    </row>
    <row r="232" spans="1:20">
      <c r="A232" s="104"/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  <c r="S232" s="104"/>
      <c r="T232" s="104"/>
    </row>
    <row r="233" spans="1:20">
      <c r="A233" s="104"/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  <c r="T233" s="104"/>
    </row>
    <row r="234" spans="1:20">
      <c r="A234" s="104"/>
      <c r="B234" s="104"/>
      <c r="C234" s="104"/>
      <c r="D234" s="104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  <c r="R234" s="104"/>
      <c r="S234" s="104"/>
      <c r="T234" s="104"/>
    </row>
    <row r="235" spans="1:20">
      <c r="A235" s="104"/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  <c r="S235" s="104"/>
      <c r="T235" s="104"/>
    </row>
    <row r="236" spans="1:20">
      <c r="A236" s="104"/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  <c r="S236" s="104"/>
      <c r="T236" s="104"/>
    </row>
    <row r="237" spans="1:20">
      <c r="A237" s="104"/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  <c r="R237" s="104"/>
      <c r="S237" s="104"/>
      <c r="T237" s="104"/>
    </row>
    <row r="238" spans="1:20">
      <c r="A238" s="104"/>
      <c r="B238" s="104"/>
      <c r="C238" s="104"/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  <c r="R238" s="104"/>
      <c r="S238" s="104"/>
      <c r="T238" s="104"/>
    </row>
    <row r="239" spans="1:20">
      <c r="A239" s="104"/>
      <c r="B239" s="104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  <c r="R239" s="104"/>
      <c r="S239" s="104"/>
      <c r="T239" s="104"/>
    </row>
    <row r="240" spans="1:20">
      <c r="A240" s="104"/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  <c r="R240" s="104"/>
      <c r="S240" s="104"/>
      <c r="T240" s="104"/>
    </row>
    <row r="241" spans="1:20">
      <c r="A241" s="104"/>
      <c r="B241" s="104"/>
      <c r="C241" s="104"/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  <c r="R241" s="104"/>
      <c r="S241" s="104"/>
      <c r="T241" s="104"/>
    </row>
    <row r="242" spans="1:20">
      <c r="A242" s="104"/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  <c r="R242" s="104"/>
      <c r="S242" s="104"/>
      <c r="T242" s="104"/>
    </row>
    <row r="243" spans="1:20">
      <c r="A243" s="104"/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  <c r="R243" s="104"/>
      <c r="S243" s="104"/>
      <c r="T243" s="104"/>
    </row>
    <row r="244" spans="1:20">
      <c r="A244" s="104"/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</row>
    <row r="245" spans="1:20">
      <c r="A245" s="104"/>
      <c r="B245" s="104"/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  <c r="R245" s="104"/>
      <c r="S245" s="104"/>
      <c r="T245" s="104"/>
    </row>
    <row r="246" spans="1:20">
      <c r="A246" s="104"/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  <c r="R246" s="104"/>
      <c r="S246" s="104"/>
      <c r="T246" s="104"/>
    </row>
    <row r="247" spans="1:20">
      <c r="A247" s="104"/>
      <c r="B247" s="104"/>
      <c r="C247" s="104"/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  <c r="R247" s="104"/>
      <c r="S247" s="104"/>
      <c r="T247" s="104"/>
    </row>
    <row r="248" spans="1:20">
      <c r="A248" s="104"/>
      <c r="B248" s="104"/>
      <c r="C248" s="104"/>
      <c r="D248" s="104"/>
      <c r="E248" s="104"/>
      <c r="F248" s="104"/>
      <c r="G248" s="104"/>
      <c r="H248" s="104"/>
      <c r="I248" s="104"/>
      <c r="J248" s="104"/>
      <c r="K248" s="104"/>
      <c r="L248" s="104"/>
      <c r="M248" s="104"/>
      <c r="N248" s="104"/>
      <c r="O248" s="104"/>
      <c r="P248" s="104"/>
      <c r="Q248" s="104"/>
      <c r="R248" s="104"/>
      <c r="S248" s="104"/>
      <c r="T248" s="104"/>
    </row>
    <row r="249" spans="1:20">
      <c r="A249" s="104"/>
      <c r="B249" s="104"/>
      <c r="C249" s="104"/>
      <c r="D249" s="104"/>
      <c r="E249" s="104"/>
      <c r="F249" s="104"/>
      <c r="G249" s="104"/>
      <c r="H249" s="104"/>
      <c r="I249" s="104"/>
      <c r="J249" s="104"/>
      <c r="K249" s="104"/>
      <c r="L249" s="104"/>
      <c r="M249" s="104"/>
      <c r="N249" s="104"/>
      <c r="O249" s="104"/>
      <c r="P249" s="104"/>
      <c r="Q249" s="104"/>
      <c r="R249" s="104"/>
      <c r="S249" s="104"/>
      <c r="T249" s="104"/>
    </row>
    <row r="250" spans="1:20">
      <c r="A250" s="104"/>
      <c r="B250" s="104"/>
      <c r="C250" s="104"/>
      <c r="D250" s="104"/>
      <c r="E250" s="104"/>
      <c r="F250" s="104"/>
      <c r="G250" s="104"/>
      <c r="H250" s="104"/>
      <c r="I250" s="104"/>
      <c r="J250" s="104"/>
      <c r="K250" s="104"/>
      <c r="L250" s="104"/>
      <c r="M250" s="104"/>
      <c r="N250" s="104"/>
      <c r="O250" s="104"/>
      <c r="P250" s="104"/>
      <c r="Q250" s="104"/>
      <c r="R250" s="104"/>
      <c r="S250" s="104"/>
      <c r="T250" s="104"/>
    </row>
    <row r="251" spans="1:20">
      <c r="A251" s="104"/>
      <c r="B251" s="104"/>
      <c r="C251" s="104"/>
      <c r="D251" s="104"/>
      <c r="E251" s="104"/>
      <c r="F251" s="104"/>
      <c r="G251" s="104"/>
      <c r="H251" s="104"/>
      <c r="I251" s="104"/>
      <c r="J251" s="104"/>
      <c r="K251" s="104"/>
      <c r="L251" s="104"/>
      <c r="M251" s="104"/>
      <c r="N251" s="104"/>
      <c r="O251" s="104"/>
      <c r="P251" s="104"/>
      <c r="Q251" s="104"/>
      <c r="R251" s="104"/>
      <c r="S251" s="104"/>
      <c r="T251" s="104"/>
    </row>
    <row r="252" spans="1:20">
      <c r="A252" s="104"/>
      <c r="B252" s="104"/>
      <c r="C252" s="104"/>
      <c r="D252" s="104"/>
      <c r="E252" s="104"/>
      <c r="F252" s="104"/>
      <c r="G252" s="104"/>
      <c r="H252" s="104"/>
      <c r="I252" s="104"/>
      <c r="J252" s="104"/>
      <c r="K252" s="104"/>
      <c r="L252" s="104"/>
      <c r="M252" s="104"/>
      <c r="N252" s="104"/>
      <c r="O252" s="104"/>
      <c r="P252" s="104"/>
      <c r="Q252" s="104"/>
      <c r="R252" s="104"/>
      <c r="S252" s="104"/>
      <c r="T252" s="104"/>
    </row>
    <row r="253" spans="1:20">
      <c r="A253" s="104"/>
      <c r="B253" s="104"/>
      <c r="C253" s="104"/>
      <c r="D253" s="104"/>
      <c r="E253" s="104"/>
      <c r="F253" s="104"/>
      <c r="G253" s="104"/>
      <c r="H253" s="104"/>
      <c r="I253" s="104"/>
      <c r="J253" s="104"/>
      <c r="K253" s="104"/>
      <c r="L253" s="104"/>
      <c r="M253" s="104"/>
      <c r="N253" s="104"/>
      <c r="O253" s="104"/>
      <c r="P253" s="104"/>
      <c r="Q253" s="104"/>
      <c r="R253" s="104"/>
      <c r="S253" s="104"/>
      <c r="T253" s="104"/>
    </row>
    <row r="254" spans="1:20">
      <c r="A254" s="104"/>
      <c r="B254" s="104"/>
      <c r="C254" s="104"/>
      <c r="D254" s="104"/>
      <c r="E254" s="104"/>
      <c r="F254" s="104"/>
      <c r="G254" s="104"/>
      <c r="H254" s="104"/>
      <c r="I254" s="104"/>
      <c r="J254" s="104"/>
      <c r="K254" s="104"/>
      <c r="L254" s="104"/>
      <c r="M254" s="104"/>
      <c r="N254" s="104"/>
      <c r="O254" s="104"/>
      <c r="P254" s="104"/>
      <c r="Q254" s="104"/>
      <c r="R254" s="104"/>
      <c r="S254" s="104"/>
      <c r="T254" s="104"/>
    </row>
    <row r="255" spans="1:20">
      <c r="A255" s="104"/>
      <c r="B255" s="104"/>
      <c r="C255" s="104"/>
      <c r="D255" s="104"/>
      <c r="E255" s="104"/>
      <c r="F255" s="104"/>
      <c r="G255" s="104"/>
      <c r="H255" s="104"/>
      <c r="I255" s="104"/>
      <c r="J255" s="104"/>
      <c r="K255" s="104"/>
      <c r="L255" s="104"/>
      <c r="M255" s="104"/>
      <c r="N255" s="104"/>
      <c r="O255" s="104"/>
      <c r="P255" s="104"/>
      <c r="Q255" s="104"/>
      <c r="R255" s="104"/>
      <c r="S255" s="104"/>
      <c r="T255" s="104"/>
    </row>
    <row r="256" spans="1:20">
      <c r="A256" s="104"/>
      <c r="B256" s="104"/>
      <c r="C256" s="104"/>
      <c r="D256" s="104"/>
      <c r="E256" s="104"/>
      <c r="F256" s="104"/>
      <c r="G256" s="104"/>
      <c r="H256" s="104"/>
      <c r="I256" s="104"/>
      <c r="J256" s="104"/>
      <c r="K256" s="104"/>
      <c r="L256" s="104"/>
      <c r="M256" s="104"/>
      <c r="N256" s="104"/>
      <c r="O256" s="104"/>
      <c r="P256" s="104"/>
      <c r="Q256" s="104"/>
      <c r="R256" s="104"/>
      <c r="S256" s="104"/>
      <c r="T256" s="104"/>
    </row>
    <row r="257" spans="1:20">
      <c r="A257" s="104"/>
      <c r="B257" s="104"/>
      <c r="C257" s="104"/>
      <c r="D257" s="104"/>
      <c r="E257" s="104"/>
      <c r="F257" s="104"/>
      <c r="G257" s="104"/>
      <c r="H257" s="104"/>
      <c r="I257" s="104"/>
      <c r="J257" s="104"/>
      <c r="K257" s="104"/>
      <c r="L257" s="104"/>
      <c r="M257" s="104"/>
      <c r="N257" s="104"/>
      <c r="O257" s="104"/>
      <c r="P257" s="104"/>
      <c r="Q257" s="104"/>
      <c r="R257" s="104"/>
      <c r="S257" s="104"/>
      <c r="T257" s="104"/>
    </row>
    <row r="258" spans="1:20">
      <c r="A258" s="104"/>
      <c r="B258" s="104"/>
      <c r="C258" s="104"/>
      <c r="D258" s="104"/>
      <c r="E258" s="104"/>
      <c r="F258" s="104"/>
      <c r="G258" s="104"/>
      <c r="H258" s="104"/>
      <c r="I258" s="104"/>
      <c r="J258" s="104"/>
      <c r="K258" s="104"/>
      <c r="L258" s="104"/>
      <c r="M258" s="104"/>
      <c r="N258" s="104"/>
      <c r="O258" s="104"/>
      <c r="P258" s="104"/>
      <c r="Q258" s="104"/>
      <c r="R258" s="104"/>
      <c r="S258" s="104"/>
      <c r="T258" s="104"/>
    </row>
    <row r="259" spans="1:20">
      <c r="A259" s="104"/>
      <c r="B259" s="104"/>
      <c r="C259" s="104"/>
      <c r="D259" s="104"/>
      <c r="E259" s="104"/>
      <c r="F259" s="104"/>
      <c r="G259" s="104"/>
      <c r="H259" s="104"/>
      <c r="I259" s="104"/>
      <c r="J259" s="104"/>
      <c r="K259" s="104"/>
      <c r="L259" s="104"/>
      <c r="M259" s="104"/>
      <c r="N259" s="104"/>
      <c r="O259" s="104"/>
      <c r="P259" s="104"/>
      <c r="Q259" s="104"/>
      <c r="R259" s="104"/>
      <c r="S259" s="104"/>
      <c r="T259" s="104"/>
    </row>
    <row r="260" spans="1:20">
      <c r="A260" s="104"/>
      <c r="B260" s="104"/>
      <c r="C260" s="104"/>
      <c r="D260" s="104"/>
      <c r="E260" s="104"/>
      <c r="F260" s="104"/>
      <c r="G260" s="104"/>
      <c r="H260" s="104"/>
      <c r="I260" s="104"/>
      <c r="J260" s="104"/>
      <c r="K260" s="104"/>
      <c r="L260" s="104"/>
      <c r="M260" s="104"/>
      <c r="N260" s="104"/>
      <c r="O260" s="104"/>
      <c r="P260" s="104"/>
      <c r="Q260" s="104"/>
      <c r="R260" s="104"/>
      <c r="S260" s="104"/>
      <c r="T260" s="104"/>
    </row>
    <row r="261" spans="1:20">
      <c r="A261" s="104"/>
      <c r="B261" s="104"/>
      <c r="C261" s="104"/>
      <c r="D261" s="104"/>
      <c r="E261" s="104"/>
      <c r="F261" s="104"/>
      <c r="G261" s="104"/>
      <c r="H261" s="104"/>
      <c r="I261" s="104"/>
      <c r="J261" s="104"/>
      <c r="K261" s="104"/>
      <c r="L261" s="104"/>
      <c r="M261" s="104"/>
      <c r="N261" s="104"/>
      <c r="O261" s="104"/>
      <c r="P261" s="104"/>
      <c r="Q261" s="104"/>
      <c r="R261" s="104"/>
      <c r="S261" s="104"/>
      <c r="T261" s="104"/>
    </row>
    <row r="262" spans="1:20">
      <c r="A262" s="104"/>
      <c r="B262" s="104"/>
      <c r="C262" s="104"/>
      <c r="D262" s="104"/>
      <c r="E262" s="104"/>
      <c r="F262" s="104"/>
      <c r="G262" s="104"/>
      <c r="H262" s="104"/>
      <c r="I262" s="104"/>
      <c r="J262" s="104"/>
      <c r="K262" s="104"/>
      <c r="L262" s="104"/>
      <c r="M262" s="104"/>
      <c r="N262" s="104"/>
      <c r="O262" s="104"/>
      <c r="P262" s="104"/>
      <c r="Q262" s="104"/>
      <c r="R262" s="104"/>
      <c r="S262" s="104"/>
      <c r="T262" s="104"/>
    </row>
    <row r="263" spans="1:20">
      <c r="A263" s="104"/>
      <c r="B263" s="104"/>
      <c r="C263" s="104"/>
      <c r="D263" s="104"/>
      <c r="E263" s="104"/>
      <c r="F263" s="104"/>
      <c r="G263" s="104"/>
      <c r="H263" s="104"/>
      <c r="I263" s="104"/>
      <c r="J263" s="104"/>
      <c r="K263" s="104"/>
      <c r="L263" s="104"/>
      <c r="M263" s="104"/>
      <c r="N263" s="104"/>
      <c r="O263" s="104"/>
      <c r="P263" s="104"/>
      <c r="Q263" s="104"/>
      <c r="R263" s="104"/>
      <c r="S263" s="104"/>
      <c r="T263" s="104"/>
    </row>
    <row r="264" spans="1:20">
      <c r="A264" s="104"/>
      <c r="B264" s="104"/>
      <c r="C264" s="104"/>
      <c r="D264" s="104"/>
      <c r="E264" s="104"/>
      <c r="F264" s="104"/>
      <c r="G264" s="104"/>
      <c r="H264" s="104"/>
      <c r="I264" s="104"/>
      <c r="J264" s="104"/>
      <c r="K264" s="104"/>
      <c r="L264" s="104"/>
      <c r="M264" s="104"/>
      <c r="N264" s="104"/>
      <c r="O264" s="104"/>
      <c r="P264" s="104"/>
      <c r="Q264" s="104"/>
      <c r="R264" s="104"/>
      <c r="S264" s="104"/>
      <c r="T264" s="104"/>
    </row>
    <row r="265" spans="1:20">
      <c r="A265" s="104"/>
      <c r="B265" s="104"/>
      <c r="C265" s="104"/>
      <c r="D265" s="104"/>
      <c r="E265" s="104"/>
      <c r="F265" s="104"/>
      <c r="G265" s="104"/>
      <c r="H265" s="104"/>
      <c r="I265" s="104"/>
      <c r="J265" s="104"/>
      <c r="K265" s="104"/>
      <c r="L265" s="104"/>
      <c r="M265" s="104"/>
      <c r="N265" s="104"/>
      <c r="O265" s="104"/>
      <c r="P265" s="104"/>
      <c r="Q265" s="104"/>
      <c r="R265" s="104"/>
      <c r="S265" s="104"/>
      <c r="T265" s="104"/>
    </row>
    <row r="266" spans="1:20">
      <c r="A266" s="104"/>
      <c r="B266" s="104"/>
      <c r="C266" s="104"/>
      <c r="D266" s="104"/>
      <c r="E266" s="104"/>
      <c r="F266" s="104"/>
      <c r="G266" s="104"/>
      <c r="H266" s="104"/>
      <c r="I266" s="104"/>
      <c r="J266" s="104"/>
      <c r="K266" s="104"/>
      <c r="L266" s="104"/>
      <c r="M266" s="104"/>
      <c r="N266" s="104"/>
      <c r="O266" s="104"/>
      <c r="P266" s="104"/>
      <c r="Q266" s="104"/>
      <c r="R266" s="104"/>
      <c r="S266" s="104"/>
      <c r="T266" s="104"/>
    </row>
    <row r="267" spans="1:20">
      <c r="A267" s="104"/>
      <c r="B267" s="104"/>
      <c r="C267" s="104"/>
      <c r="D267" s="104"/>
      <c r="E267" s="104"/>
      <c r="F267" s="104"/>
      <c r="G267" s="104"/>
      <c r="H267" s="104"/>
      <c r="I267" s="104"/>
      <c r="J267" s="104"/>
      <c r="K267" s="104"/>
      <c r="L267" s="104"/>
      <c r="M267" s="104"/>
      <c r="N267" s="104"/>
      <c r="O267" s="104"/>
      <c r="P267" s="104"/>
      <c r="Q267" s="104"/>
      <c r="R267" s="104"/>
      <c r="S267" s="104"/>
      <c r="T267" s="104"/>
    </row>
    <row r="268" spans="1:20">
      <c r="A268" s="104"/>
      <c r="B268" s="104"/>
      <c r="C268" s="104"/>
      <c r="D268" s="104"/>
      <c r="E268" s="104"/>
      <c r="F268" s="104"/>
      <c r="G268" s="104"/>
      <c r="H268" s="104"/>
      <c r="I268" s="104"/>
      <c r="J268" s="104"/>
      <c r="K268" s="104"/>
      <c r="L268" s="104"/>
      <c r="M268" s="104"/>
      <c r="N268" s="104"/>
      <c r="O268" s="104"/>
      <c r="P268" s="104"/>
      <c r="Q268" s="104"/>
      <c r="R268" s="104"/>
      <c r="S268" s="104"/>
      <c r="T268" s="104"/>
    </row>
    <row r="269" spans="1:20">
      <c r="A269" s="104"/>
      <c r="B269" s="104"/>
      <c r="C269" s="104"/>
      <c r="D269" s="104"/>
      <c r="E269" s="104"/>
      <c r="F269" s="104"/>
      <c r="G269" s="104"/>
      <c r="H269" s="104"/>
      <c r="I269" s="104"/>
      <c r="J269" s="104"/>
      <c r="K269" s="104"/>
      <c r="L269" s="104"/>
      <c r="M269" s="104"/>
      <c r="N269" s="104"/>
      <c r="O269" s="104"/>
      <c r="P269" s="104"/>
      <c r="Q269" s="104"/>
      <c r="R269" s="104"/>
      <c r="S269" s="104"/>
      <c r="T269" s="104"/>
    </row>
    <row r="270" spans="1:20">
      <c r="A270" s="104"/>
      <c r="B270" s="104"/>
      <c r="C270" s="104"/>
      <c r="D270" s="104"/>
      <c r="E270" s="104"/>
      <c r="F270" s="104"/>
      <c r="G270" s="104"/>
      <c r="H270" s="104"/>
      <c r="I270" s="104"/>
      <c r="J270" s="104"/>
      <c r="K270" s="104"/>
      <c r="L270" s="104"/>
      <c r="M270" s="104"/>
      <c r="N270" s="104"/>
      <c r="O270" s="104"/>
      <c r="P270" s="104"/>
      <c r="Q270" s="104"/>
      <c r="R270" s="104"/>
      <c r="S270" s="104"/>
      <c r="T270" s="104"/>
    </row>
    <row r="271" spans="1:20">
      <c r="A271" s="104"/>
      <c r="B271" s="104"/>
      <c r="C271" s="104"/>
      <c r="D271" s="104"/>
      <c r="E271" s="104"/>
      <c r="F271" s="104"/>
      <c r="G271" s="104"/>
      <c r="H271" s="104"/>
      <c r="I271" s="104"/>
      <c r="J271" s="104"/>
      <c r="K271" s="104"/>
      <c r="L271" s="104"/>
      <c r="M271" s="104"/>
      <c r="N271" s="104"/>
      <c r="O271" s="104"/>
      <c r="P271" s="104"/>
      <c r="Q271" s="104"/>
      <c r="R271" s="104"/>
      <c r="S271" s="104"/>
      <c r="T271" s="104"/>
    </row>
    <row r="272" spans="1:20">
      <c r="A272" s="104"/>
      <c r="B272" s="104"/>
      <c r="C272" s="104"/>
      <c r="D272" s="104"/>
      <c r="E272" s="104"/>
      <c r="F272" s="104"/>
      <c r="G272" s="104"/>
      <c r="H272" s="104"/>
      <c r="I272" s="104"/>
      <c r="J272" s="104"/>
      <c r="K272" s="104"/>
      <c r="L272" s="104"/>
      <c r="M272" s="104"/>
      <c r="N272" s="104"/>
      <c r="O272" s="104"/>
      <c r="P272" s="104"/>
      <c r="Q272" s="104"/>
      <c r="R272" s="104"/>
      <c r="S272" s="104"/>
      <c r="T272" s="104"/>
    </row>
    <row r="273" spans="1:20">
      <c r="A273" s="104"/>
      <c r="B273" s="104"/>
      <c r="C273" s="104"/>
      <c r="D273" s="104"/>
      <c r="E273" s="104"/>
      <c r="F273" s="104"/>
      <c r="G273" s="104"/>
      <c r="H273" s="104"/>
      <c r="I273" s="104"/>
      <c r="J273" s="104"/>
      <c r="K273" s="104"/>
      <c r="L273" s="104"/>
      <c r="M273" s="104"/>
      <c r="N273" s="104"/>
      <c r="O273" s="104"/>
      <c r="P273" s="104"/>
      <c r="Q273" s="104"/>
      <c r="R273" s="104"/>
      <c r="S273" s="104"/>
      <c r="T273" s="104"/>
    </row>
    <row r="274" spans="1:20">
      <c r="A274" s="104"/>
      <c r="B274" s="104"/>
      <c r="C274" s="104"/>
      <c r="D274" s="104"/>
      <c r="E274" s="104"/>
      <c r="F274" s="104"/>
      <c r="G274" s="104"/>
      <c r="H274" s="104"/>
      <c r="I274" s="104"/>
      <c r="J274" s="104"/>
      <c r="K274" s="104"/>
      <c r="L274" s="104"/>
      <c r="M274" s="104"/>
      <c r="N274" s="104"/>
      <c r="O274" s="104"/>
      <c r="P274" s="104"/>
      <c r="Q274" s="104"/>
      <c r="R274" s="104"/>
      <c r="S274" s="104"/>
      <c r="T274" s="104"/>
    </row>
    <row r="275" spans="1:20">
      <c r="A275" s="104"/>
      <c r="B275" s="104"/>
      <c r="C275" s="104"/>
      <c r="D275" s="104"/>
      <c r="E275" s="104"/>
      <c r="F275" s="104"/>
      <c r="G275" s="104"/>
      <c r="H275" s="104"/>
      <c r="I275" s="104"/>
      <c r="J275" s="104"/>
      <c r="K275" s="104"/>
      <c r="L275" s="104"/>
      <c r="M275" s="104"/>
      <c r="N275" s="104"/>
      <c r="O275" s="104"/>
      <c r="P275" s="104"/>
      <c r="Q275" s="104"/>
      <c r="R275" s="104"/>
      <c r="S275" s="104"/>
      <c r="T275" s="104"/>
    </row>
    <row r="276" spans="1:20">
      <c r="A276" s="104"/>
      <c r="B276" s="104"/>
      <c r="C276" s="104"/>
      <c r="D276" s="104"/>
      <c r="E276" s="104"/>
      <c r="F276" s="104"/>
      <c r="G276" s="104"/>
      <c r="H276" s="104"/>
      <c r="I276" s="104"/>
      <c r="J276" s="104"/>
      <c r="K276" s="104"/>
      <c r="L276" s="104"/>
      <c r="M276" s="104"/>
      <c r="N276" s="104"/>
      <c r="O276" s="104"/>
      <c r="P276" s="104"/>
      <c r="Q276" s="104"/>
      <c r="R276" s="104"/>
      <c r="S276" s="104"/>
      <c r="T276" s="104"/>
    </row>
    <row r="277" spans="1:20">
      <c r="A277" s="104"/>
      <c r="B277" s="104"/>
      <c r="C277" s="104"/>
      <c r="D277" s="104"/>
      <c r="E277" s="104"/>
      <c r="F277" s="104"/>
      <c r="G277" s="104"/>
      <c r="H277" s="104"/>
      <c r="I277" s="104"/>
      <c r="J277" s="104"/>
      <c r="K277" s="104"/>
      <c r="L277" s="104"/>
      <c r="M277" s="104"/>
      <c r="N277" s="104"/>
      <c r="O277" s="104"/>
      <c r="P277" s="104"/>
      <c r="Q277" s="104"/>
      <c r="R277" s="104"/>
      <c r="S277" s="104"/>
      <c r="T277" s="104"/>
    </row>
    <row r="278" spans="1:20">
      <c r="A278" s="104"/>
      <c r="B278" s="104"/>
      <c r="C278" s="104"/>
      <c r="D278" s="104"/>
      <c r="E278" s="104"/>
      <c r="F278" s="104"/>
      <c r="G278" s="104"/>
      <c r="H278" s="104"/>
      <c r="I278" s="104"/>
      <c r="J278" s="104"/>
      <c r="K278" s="104"/>
      <c r="L278" s="104"/>
      <c r="M278" s="104"/>
      <c r="N278" s="104"/>
      <c r="O278" s="104"/>
      <c r="P278" s="104"/>
      <c r="Q278" s="104"/>
      <c r="R278" s="104"/>
      <c r="S278" s="104"/>
      <c r="T278" s="104"/>
    </row>
    <row r="279" spans="1:20">
      <c r="A279" s="104"/>
      <c r="B279" s="104"/>
      <c r="C279" s="104"/>
      <c r="D279" s="104"/>
      <c r="E279" s="104"/>
      <c r="F279" s="104"/>
      <c r="G279" s="104"/>
      <c r="H279" s="104"/>
      <c r="I279" s="104"/>
      <c r="J279" s="104"/>
      <c r="K279" s="104"/>
      <c r="L279" s="104"/>
      <c r="M279" s="104"/>
      <c r="N279" s="104"/>
      <c r="O279" s="104"/>
      <c r="P279" s="104"/>
      <c r="Q279" s="104"/>
      <c r="R279" s="104"/>
      <c r="S279" s="104"/>
      <c r="T279" s="104"/>
    </row>
    <row r="280" spans="1:20">
      <c r="A280" s="104"/>
      <c r="B280" s="104"/>
      <c r="C280" s="104"/>
      <c r="D280" s="104"/>
      <c r="E280" s="104"/>
      <c r="F280" s="104"/>
      <c r="G280" s="104"/>
      <c r="H280" s="104"/>
      <c r="I280" s="104"/>
      <c r="J280" s="104"/>
      <c r="K280" s="104"/>
      <c r="L280" s="104"/>
      <c r="M280" s="104"/>
      <c r="N280" s="104"/>
      <c r="O280" s="104"/>
      <c r="P280" s="104"/>
      <c r="Q280" s="104"/>
      <c r="R280" s="104"/>
      <c r="S280" s="104"/>
      <c r="T280" s="104"/>
    </row>
    <row r="281" spans="1:20">
      <c r="A281" s="104"/>
      <c r="B281" s="104"/>
      <c r="C281" s="104"/>
      <c r="D281" s="104"/>
      <c r="E281" s="104"/>
      <c r="F281" s="104"/>
      <c r="G281" s="104"/>
      <c r="H281" s="104"/>
      <c r="I281" s="104"/>
      <c r="J281" s="104"/>
      <c r="K281" s="104"/>
      <c r="L281" s="104"/>
      <c r="M281" s="104"/>
      <c r="N281" s="104"/>
      <c r="O281" s="104"/>
      <c r="P281" s="104"/>
      <c r="Q281" s="104"/>
      <c r="R281" s="104"/>
      <c r="S281" s="104"/>
      <c r="T281" s="104"/>
    </row>
    <row r="282" spans="1:20">
      <c r="A282" s="104"/>
      <c r="B282" s="104"/>
      <c r="C282" s="104"/>
      <c r="D282" s="104"/>
      <c r="E282" s="104"/>
      <c r="F282" s="104"/>
      <c r="G282" s="104"/>
      <c r="H282" s="104"/>
      <c r="I282" s="104"/>
      <c r="J282" s="104"/>
      <c r="K282" s="104"/>
      <c r="L282" s="104"/>
      <c r="M282" s="104"/>
      <c r="N282" s="104"/>
      <c r="O282" s="104"/>
      <c r="P282" s="104"/>
      <c r="Q282" s="104"/>
      <c r="R282" s="104"/>
      <c r="S282" s="104"/>
      <c r="T282" s="104"/>
    </row>
    <row r="283" spans="1:20">
      <c r="A283" s="104"/>
      <c r="B283" s="104"/>
      <c r="C283" s="104"/>
      <c r="D283" s="104"/>
      <c r="E283" s="104"/>
      <c r="F283" s="104"/>
      <c r="G283" s="104"/>
      <c r="H283" s="104"/>
      <c r="I283" s="104"/>
      <c r="J283" s="104"/>
      <c r="K283" s="104"/>
      <c r="L283" s="104"/>
      <c r="M283" s="104"/>
      <c r="N283" s="104"/>
      <c r="O283" s="104"/>
      <c r="P283" s="104"/>
      <c r="Q283" s="104"/>
      <c r="R283" s="104"/>
      <c r="S283" s="104"/>
      <c r="T283" s="104"/>
    </row>
    <row r="284" spans="1:20">
      <c r="A284" s="104"/>
      <c r="B284" s="104"/>
      <c r="C284" s="104"/>
      <c r="D284" s="104"/>
      <c r="E284" s="104"/>
      <c r="F284" s="104"/>
      <c r="G284" s="104"/>
      <c r="H284" s="104"/>
      <c r="I284" s="104"/>
      <c r="J284" s="104"/>
      <c r="K284" s="104"/>
      <c r="L284" s="104"/>
      <c r="M284" s="104"/>
      <c r="N284" s="104"/>
      <c r="O284" s="104"/>
      <c r="P284" s="104"/>
      <c r="Q284" s="104"/>
      <c r="R284" s="104"/>
      <c r="S284" s="104"/>
      <c r="T284" s="104"/>
    </row>
    <row r="285" spans="1:20">
      <c r="A285" s="104"/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4"/>
      <c r="O285" s="104"/>
      <c r="P285" s="104"/>
      <c r="Q285" s="104"/>
      <c r="R285" s="104"/>
      <c r="S285" s="104"/>
      <c r="T285" s="104"/>
    </row>
    <row r="286" spans="1:20">
      <c r="A286" s="104"/>
      <c r="B286" s="104"/>
      <c r="C286" s="104"/>
      <c r="D286" s="104"/>
      <c r="E286" s="104"/>
      <c r="F286" s="104"/>
      <c r="G286" s="104"/>
      <c r="H286" s="104"/>
      <c r="I286" s="104"/>
      <c r="J286" s="104"/>
      <c r="K286" s="104"/>
      <c r="L286" s="104"/>
      <c r="M286" s="104"/>
      <c r="N286" s="104"/>
      <c r="O286" s="104"/>
      <c r="P286" s="104"/>
      <c r="Q286" s="104"/>
      <c r="R286" s="104"/>
      <c r="S286" s="104"/>
      <c r="T286" s="104"/>
    </row>
    <row r="287" spans="1:20">
      <c r="A287" s="104"/>
      <c r="B287" s="104"/>
      <c r="C287" s="104"/>
      <c r="D287" s="104"/>
      <c r="E287" s="104"/>
      <c r="F287" s="104"/>
      <c r="G287" s="104"/>
      <c r="H287" s="104"/>
      <c r="I287" s="104"/>
      <c r="J287" s="104"/>
      <c r="K287" s="104"/>
      <c r="L287" s="104"/>
      <c r="M287" s="104"/>
      <c r="N287" s="104"/>
      <c r="O287" s="104"/>
      <c r="P287" s="104"/>
      <c r="Q287" s="104"/>
      <c r="R287" s="104"/>
      <c r="S287" s="104"/>
      <c r="T287" s="104"/>
    </row>
    <row r="288" spans="1:20">
      <c r="A288" s="104"/>
      <c r="B288" s="104"/>
      <c r="C288" s="104"/>
      <c r="D288" s="104"/>
      <c r="E288" s="104"/>
      <c r="F288" s="104"/>
      <c r="G288" s="104"/>
      <c r="H288" s="104"/>
      <c r="I288" s="104"/>
      <c r="J288" s="104"/>
      <c r="K288" s="104"/>
      <c r="L288" s="104"/>
      <c r="M288" s="104"/>
      <c r="N288" s="104"/>
      <c r="O288" s="104"/>
      <c r="P288" s="104"/>
      <c r="Q288" s="104"/>
      <c r="R288" s="104"/>
      <c r="S288" s="104"/>
      <c r="T288" s="104"/>
    </row>
    <row r="289" spans="1:20">
      <c r="A289" s="104"/>
      <c r="B289" s="104"/>
      <c r="C289" s="104"/>
      <c r="D289" s="104"/>
      <c r="E289" s="104"/>
      <c r="F289" s="104"/>
      <c r="G289" s="104"/>
      <c r="H289" s="104"/>
      <c r="I289" s="104"/>
      <c r="J289" s="104"/>
      <c r="K289" s="104"/>
      <c r="L289" s="104"/>
      <c r="M289" s="104"/>
      <c r="N289" s="104"/>
      <c r="O289" s="104"/>
      <c r="P289" s="104"/>
      <c r="Q289" s="104"/>
      <c r="R289" s="104"/>
      <c r="S289" s="104"/>
      <c r="T289" s="104"/>
    </row>
    <row r="290" spans="1:20">
      <c r="A290" s="104"/>
      <c r="B290" s="104"/>
      <c r="C290" s="104"/>
      <c r="D290" s="104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104"/>
      <c r="S290" s="104"/>
      <c r="T290" s="104"/>
    </row>
    <row r="291" spans="1:20">
      <c r="A291" s="104"/>
      <c r="B291" s="104"/>
      <c r="C291" s="104"/>
      <c r="D291" s="104"/>
      <c r="E291" s="104"/>
      <c r="F291" s="104"/>
      <c r="G291" s="104"/>
      <c r="H291" s="104"/>
      <c r="I291" s="104"/>
      <c r="J291" s="104"/>
      <c r="K291" s="104"/>
      <c r="L291" s="104"/>
      <c r="M291" s="104"/>
      <c r="N291" s="104"/>
      <c r="O291" s="104"/>
      <c r="P291" s="104"/>
      <c r="Q291" s="104"/>
      <c r="R291" s="104"/>
      <c r="S291" s="104"/>
      <c r="T291" s="104"/>
    </row>
    <row r="292" spans="1:20">
      <c r="A292" s="104"/>
      <c r="B292" s="104"/>
      <c r="C292" s="104"/>
      <c r="D292" s="104"/>
      <c r="E292" s="104"/>
      <c r="F292" s="104"/>
      <c r="G292" s="104"/>
      <c r="H292" s="104"/>
      <c r="I292" s="104"/>
      <c r="J292" s="104"/>
      <c r="K292" s="104"/>
      <c r="L292" s="104"/>
      <c r="M292" s="104"/>
      <c r="N292" s="104"/>
      <c r="O292" s="104"/>
      <c r="P292" s="104"/>
      <c r="Q292" s="104"/>
      <c r="R292" s="104"/>
      <c r="S292" s="104"/>
      <c r="T292" s="104"/>
    </row>
    <row r="293" spans="1:20">
      <c r="A293" s="104"/>
      <c r="B293" s="104"/>
      <c r="C293" s="104"/>
      <c r="D293" s="104"/>
      <c r="E293" s="104"/>
      <c r="F293" s="104"/>
      <c r="G293" s="104"/>
      <c r="H293" s="104"/>
      <c r="I293" s="104"/>
      <c r="J293" s="104"/>
      <c r="K293" s="104"/>
      <c r="L293" s="104"/>
      <c r="M293" s="104"/>
      <c r="N293" s="104"/>
      <c r="O293" s="104"/>
      <c r="P293" s="104"/>
      <c r="Q293" s="104"/>
      <c r="R293" s="104"/>
      <c r="S293" s="104"/>
      <c r="T293" s="104"/>
    </row>
    <row r="294" spans="1:20">
      <c r="A294" s="104"/>
      <c r="B294" s="104"/>
      <c r="C294" s="104"/>
      <c r="D294" s="104"/>
      <c r="E294" s="104"/>
      <c r="F294" s="104"/>
      <c r="G294" s="104"/>
      <c r="H294" s="104"/>
      <c r="I294" s="104"/>
      <c r="J294" s="104"/>
      <c r="K294" s="104"/>
      <c r="L294" s="104"/>
      <c r="M294" s="104"/>
      <c r="N294" s="104"/>
      <c r="O294" s="104"/>
      <c r="P294" s="104"/>
      <c r="Q294" s="104"/>
      <c r="R294" s="104"/>
      <c r="S294" s="104"/>
      <c r="T294" s="104"/>
    </row>
    <row r="295" spans="1:20">
      <c r="A295" s="104"/>
      <c r="B295" s="104"/>
      <c r="C295" s="104"/>
      <c r="D295" s="104"/>
      <c r="E295" s="104"/>
      <c r="F295" s="104"/>
      <c r="G295" s="104"/>
      <c r="H295" s="104"/>
      <c r="I295" s="104"/>
      <c r="J295" s="104"/>
      <c r="K295" s="104"/>
      <c r="L295" s="104"/>
      <c r="M295" s="104"/>
      <c r="N295" s="104"/>
      <c r="O295" s="104"/>
      <c r="P295" s="104"/>
      <c r="Q295" s="104"/>
      <c r="R295" s="104"/>
      <c r="S295" s="104"/>
      <c r="T295" s="104"/>
    </row>
    <row r="296" spans="1:20">
      <c r="A296" s="104"/>
      <c r="B296" s="104"/>
      <c r="C296" s="104"/>
      <c r="D296" s="104"/>
      <c r="E296" s="104"/>
      <c r="F296" s="104"/>
      <c r="G296" s="104"/>
      <c r="H296" s="104"/>
      <c r="I296" s="104"/>
      <c r="J296" s="104"/>
      <c r="K296" s="104"/>
      <c r="L296" s="104"/>
      <c r="M296" s="104"/>
      <c r="N296" s="104"/>
      <c r="O296" s="104"/>
      <c r="P296" s="104"/>
      <c r="Q296" s="104"/>
      <c r="R296" s="104"/>
      <c r="S296" s="104"/>
      <c r="T296" s="104"/>
    </row>
    <row r="297" spans="1:20">
      <c r="A297" s="104"/>
      <c r="B297" s="104"/>
      <c r="C297" s="104"/>
      <c r="D297" s="104"/>
      <c r="E297" s="104"/>
      <c r="F297" s="104"/>
      <c r="G297" s="104"/>
      <c r="H297" s="104"/>
      <c r="I297" s="104"/>
      <c r="J297" s="104"/>
      <c r="K297" s="104"/>
      <c r="L297" s="104"/>
      <c r="M297" s="104"/>
      <c r="N297" s="104"/>
      <c r="O297" s="104"/>
      <c r="P297" s="104"/>
      <c r="Q297" s="104"/>
      <c r="R297" s="104"/>
      <c r="S297" s="104"/>
      <c r="T297" s="104"/>
    </row>
    <row r="298" spans="1:20">
      <c r="A298" s="104"/>
      <c r="B298" s="104"/>
      <c r="C298" s="104"/>
      <c r="D298" s="104"/>
      <c r="E298" s="104"/>
      <c r="F298" s="104"/>
      <c r="G298" s="104"/>
      <c r="H298" s="104"/>
      <c r="I298" s="104"/>
      <c r="J298" s="104"/>
      <c r="K298" s="104"/>
      <c r="L298" s="104"/>
      <c r="M298" s="104"/>
      <c r="N298" s="104"/>
      <c r="O298" s="104"/>
      <c r="P298" s="104"/>
      <c r="Q298" s="104"/>
      <c r="R298" s="104"/>
      <c r="S298" s="104"/>
      <c r="T298" s="104"/>
    </row>
    <row r="299" spans="1:20">
      <c r="A299" s="104"/>
      <c r="B299" s="104"/>
      <c r="C299" s="104"/>
      <c r="D299" s="104"/>
      <c r="E299" s="104"/>
      <c r="F299" s="104"/>
      <c r="G299" s="104"/>
      <c r="H299" s="104"/>
      <c r="I299" s="104"/>
      <c r="J299" s="104"/>
      <c r="K299" s="104"/>
      <c r="L299" s="104"/>
      <c r="M299" s="104"/>
      <c r="N299" s="104"/>
      <c r="O299" s="104"/>
      <c r="P299" s="104"/>
      <c r="Q299" s="104"/>
      <c r="R299" s="104"/>
      <c r="S299" s="104"/>
      <c r="T299" s="104"/>
    </row>
    <row r="300" spans="1:20">
      <c r="A300" s="104"/>
      <c r="B300" s="104"/>
      <c r="C300" s="104"/>
      <c r="D300" s="104"/>
      <c r="E300" s="104"/>
      <c r="F300" s="104"/>
      <c r="G300" s="104"/>
      <c r="H300" s="104"/>
      <c r="I300" s="104"/>
      <c r="J300" s="104"/>
      <c r="K300" s="104"/>
      <c r="L300" s="104"/>
      <c r="M300" s="104"/>
      <c r="N300" s="104"/>
      <c r="O300" s="104"/>
      <c r="P300" s="104"/>
      <c r="Q300" s="104"/>
      <c r="R300" s="104"/>
      <c r="S300" s="104"/>
      <c r="T300" s="104"/>
    </row>
    <row r="301" spans="1:20">
      <c r="A301" s="104"/>
      <c r="B301" s="104"/>
      <c r="C301" s="104"/>
      <c r="D301" s="104"/>
      <c r="E301" s="104"/>
      <c r="F301" s="104"/>
      <c r="G301" s="104"/>
      <c r="H301" s="104"/>
      <c r="I301" s="104"/>
      <c r="J301" s="104"/>
      <c r="K301" s="104"/>
      <c r="L301" s="104"/>
      <c r="M301" s="104"/>
      <c r="N301" s="104"/>
      <c r="O301" s="104"/>
      <c r="P301" s="104"/>
      <c r="Q301" s="104"/>
      <c r="R301" s="104"/>
      <c r="S301" s="104"/>
      <c r="T301" s="104"/>
    </row>
    <row r="302" spans="1:20">
      <c r="A302" s="104"/>
      <c r="B302" s="104"/>
      <c r="C302" s="104"/>
      <c r="D302" s="104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104"/>
      <c r="P302" s="104"/>
      <c r="Q302" s="104"/>
      <c r="R302" s="104"/>
      <c r="S302" s="104"/>
      <c r="T302" s="104"/>
    </row>
    <row r="303" spans="1:20">
      <c r="A303" s="104"/>
      <c r="B303" s="104"/>
      <c r="C303" s="104"/>
      <c r="D303" s="104"/>
      <c r="E303" s="104"/>
      <c r="F303" s="104"/>
      <c r="G303" s="104"/>
      <c r="H303" s="104"/>
      <c r="I303" s="104"/>
      <c r="J303" s="104"/>
      <c r="K303" s="104"/>
      <c r="L303" s="104"/>
      <c r="M303" s="104"/>
      <c r="N303" s="104"/>
      <c r="O303" s="104"/>
      <c r="P303" s="104"/>
      <c r="Q303" s="104"/>
      <c r="R303" s="104"/>
      <c r="S303" s="104"/>
      <c r="T303" s="104"/>
    </row>
    <row r="304" spans="1:20">
      <c r="A304" s="104"/>
      <c r="B304" s="104"/>
      <c r="C304" s="104"/>
      <c r="D304" s="104"/>
      <c r="E304" s="104"/>
      <c r="F304" s="104"/>
      <c r="G304" s="104"/>
      <c r="H304" s="104"/>
      <c r="I304" s="104"/>
      <c r="J304" s="104"/>
      <c r="K304" s="104"/>
      <c r="L304" s="104"/>
      <c r="M304" s="104"/>
      <c r="N304" s="104"/>
      <c r="O304" s="104"/>
      <c r="P304" s="104"/>
      <c r="Q304" s="104"/>
      <c r="R304" s="104"/>
      <c r="S304" s="104"/>
      <c r="T304" s="104"/>
    </row>
    <row r="305" spans="1:20">
      <c r="A305" s="104"/>
      <c r="B305" s="104"/>
      <c r="C305" s="104"/>
      <c r="D305" s="104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104"/>
      <c r="P305" s="104"/>
      <c r="Q305" s="104"/>
      <c r="R305" s="104"/>
      <c r="S305" s="104"/>
      <c r="T305" s="104"/>
    </row>
    <row r="306" spans="1:20">
      <c r="A306" s="104"/>
      <c r="B306" s="104"/>
      <c r="C306" s="104"/>
      <c r="D306" s="104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104"/>
      <c r="P306" s="104"/>
      <c r="Q306" s="104"/>
      <c r="R306" s="104"/>
      <c r="S306" s="104"/>
      <c r="T306" s="104"/>
    </row>
    <row r="307" spans="1:20">
      <c r="A307" s="104"/>
      <c r="B307" s="104"/>
      <c r="C307" s="104"/>
      <c r="D307" s="104"/>
      <c r="E307" s="104"/>
      <c r="F307" s="104"/>
      <c r="G307" s="104"/>
      <c r="H307" s="104"/>
      <c r="I307" s="104"/>
      <c r="J307" s="104"/>
      <c r="K307" s="104"/>
      <c r="L307" s="104"/>
      <c r="M307" s="104"/>
      <c r="N307" s="104"/>
      <c r="O307" s="104"/>
      <c r="P307" s="104"/>
      <c r="Q307" s="104"/>
      <c r="R307" s="104"/>
      <c r="S307" s="104"/>
      <c r="T307" s="104"/>
    </row>
    <row r="308" spans="1:20">
      <c r="A308" s="104"/>
      <c r="B308" s="104"/>
      <c r="C308" s="104"/>
      <c r="D308" s="104"/>
      <c r="E308" s="104"/>
      <c r="F308" s="104"/>
      <c r="G308" s="104"/>
      <c r="H308" s="104"/>
      <c r="I308" s="104"/>
      <c r="J308" s="104"/>
      <c r="K308" s="104"/>
      <c r="L308" s="104"/>
      <c r="M308" s="104"/>
      <c r="N308" s="104"/>
      <c r="O308" s="104"/>
      <c r="P308" s="104"/>
      <c r="Q308" s="104"/>
      <c r="R308" s="104"/>
      <c r="S308" s="104"/>
      <c r="T308" s="104"/>
    </row>
    <row r="309" spans="1:20">
      <c r="A309" s="104"/>
      <c r="B309" s="104"/>
      <c r="C309" s="104"/>
      <c r="D309" s="104"/>
      <c r="E309" s="104"/>
      <c r="F309" s="104"/>
      <c r="G309" s="104"/>
      <c r="H309" s="104"/>
      <c r="I309" s="104"/>
      <c r="J309" s="104"/>
      <c r="K309" s="104"/>
      <c r="L309" s="104"/>
      <c r="M309" s="104"/>
      <c r="N309" s="104"/>
      <c r="O309" s="104"/>
      <c r="P309" s="104"/>
      <c r="Q309" s="104"/>
      <c r="R309" s="104"/>
      <c r="S309" s="104"/>
      <c r="T309" s="104"/>
    </row>
    <row r="310" spans="1:20">
      <c r="A310" s="104"/>
      <c r="B310" s="104"/>
      <c r="C310" s="104"/>
      <c r="D310" s="104"/>
      <c r="E310" s="104"/>
      <c r="F310" s="104"/>
      <c r="G310" s="104"/>
      <c r="H310" s="104"/>
      <c r="I310" s="104"/>
      <c r="J310" s="104"/>
      <c r="K310" s="104"/>
      <c r="L310" s="104"/>
      <c r="M310" s="104"/>
      <c r="N310" s="104"/>
      <c r="O310" s="104"/>
      <c r="P310" s="104"/>
      <c r="Q310" s="104"/>
      <c r="R310" s="104"/>
      <c r="S310" s="104"/>
      <c r="T310" s="104"/>
    </row>
    <row r="311" spans="1:20">
      <c r="A311" s="104"/>
      <c r="B311" s="104"/>
      <c r="C311" s="104"/>
      <c r="D311" s="104"/>
      <c r="E311" s="104"/>
      <c r="F311" s="104"/>
      <c r="G311" s="104"/>
      <c r="H311" s="104"/>
      <c r="I311" s="104"/>
      <c r="J311" s="104"/>
      <c r="K311" s="104"/>
      <c r="L311" s="104"/>
      <c r="M311" s="104"/>
      <c r="N311" s="104"/>
      <c r="O311" s="104"/>
      <c r="P311" s="104"/>
      <c r="Q311" s="104"/>
      <c r="R311" s="104"/>
      <c r="S311" s="104"/>
      <c r="T311" s="104"/>
    </row>
    <row r="312" spans="1:20">
      <c r="A312" s="104"/>
      <c r="B312" s="104"/>
      <c r="C312" s="104"/>
      <c r="D312" s="104"/>
      <c r="E312" s="104"/>
      <c r="F312" s="104"/>
      <c r="G312" s="104"/>
      <c r="H312" s="104"/>
      <c r="I312" s="104"/>
      <c r="J312" s="104"/>
      <c r="K312" s="104"/>
      <c r="L312" s="104"/>
      <c r="M312" s="104"/>
      <c r="N312" s="104"/>
      <c r="O312" s="104"/>
      <c r="P312" s="104"/>
      <c r="Q312" s="104"/>
      <c r="R312" s="104"/>
      <c r="S312" s="104"/>
      <c r="T312" s="104"/>
    </row>
    <row r="313" spans="1:20">
      <c r="A313" s="104"/>
      <c r="B313" s="104"/>
      <c r="C313" s="104"/>
      <c r="D313" s="104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104"/>
      <c r="P313" s="104"/>
      <c r="Q313" s="104"/>
      <c r="R313" s="104"/>
      <c r="S313" s="104"/>
      <c r="T313" s="104"/>
    </row>
    <row r="314" spans="1:20">
      <c r="A314" s="104"/>
      <c r="B314" s="104"/>
      <c r="C314" s="104"/>
      <c r="D314" s="104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104"/>
      <c r="P314" s="104"/>
      <c r="Q314" s="104"/>
      <c r="R314" s="104"/>
      <c r="S314" s="104"/>
      <c r="T314" s="104"/>
    </row>
    <row r="315" spans="1:20">
      <c r="A315" s="104"/>
      <c r="B315" s="104"/>
      <c r="C315" s="104"/>
      <c r="D315" s="104"/>
      <c r="E315" s="104"/>
      <c r="F315" s="104"/>
      <c r="G315" s="104"/>
      <c r="H315" s="104"/>
      <c r="I315" s="104"/>
      <c r="J315" s="104"/>
      <c r="K315" s="104"/>
      <c r="L315" s="104"/>
      <c r="M315" s="104"/>
      <c r="N315" s="104"/>
      <c r="O315" s="104"/>
      <c r="P315" s="104"/>
      <c r="Q315" s="104"/>
      <c r="R315" s="104"/>
      <c r="S315" s="104"/>
      <c r="T315" s="104"/>
    </row>
    <row r="316" spans="1:20">
      <c r="A316" s="104"/>
      <c r="B316" s="104"/>
      <c r="C316" s="104"/>
      <c r="D316" s="104"/>
      <c r="E316" s="104"/>
      <c r="F316" s="104"/>
      <c r="G316" s="104"/>
      <c r="H316" s="104"/>
      <c r="I316" s="104"/>
      <c r="J316" s="104"/>
      <c r="K316" s="104"/>
      <c r="L316" s="104"/>
      <c r="M316" s="104"/>
      <c r="N316" s="104"/>
      <c r="O316" s="104"/>
      <c r="P316" s="104"/>
      <c r="Q316" s="104"/>
      <c r="R316" s="104"/>
      <c r="S316" s="104"/>
      <c r="T316" s="104"/>
    </row>
    <row r="317" spans="1:20">
      <c r="A317" s="104"/>
      <c r="B317" s="104"/>
      <c r="C317" s="104"/>
      <c r="D317" s="104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104"/>
      <c r="P317" s="104"/>
      <c r="Q317" s="104"/>
      <c r="R317" s="104"/>
      <c r="S317" s="104"/>
      <c r="T317" s="104"/>
    </row>
    <row r="318" spans="1:20">
      <c r="A318" s="104"/>
      <c r="B318" s="104"/>
      <c r="C318" s="104"/>
      <c r="D318" s="104"/>
      <c r="E318" s="104"/>
      <c r="F318" s="104"/>
      <c r="G318" s="104"/>
      <c r="H318" s="104"/>
      <c r="I318" s="104"/>
      <c r="J318" s="104"/>
      <c r="K318" s="104"/>
      <c r="L318" s="104"/>
      <c r="M318" s="104"/>
      <c r="N318" s="104"/>
      <c r="O318" s="104"/>
      <c r="P318" s="104"/>
      <c r="Q318" s="104"/>
      <c r="R318" s="104"/>
      <c r="S318" s="104"/>
      <c r="T318" s="104"/>
    </row>
    <row r="319" spans="1:20">
      <c r="A319" s="104"/>
      <c r="B319" s="104"/>
      <c r="C319" s="104"/>
      <c r="D319" s="104"/>
      <c r="E319" s="104"/>
      <c r="F319" s="104"/>
      <c r="G319" s="104"/>
      <c r="H319" s="104"/>
      <c r="I319" s="104"/>
      <c r="J319" s="104"/>
      <c r="K319" s="104"/>
      <c r="L319" s="104"/>
      <c r="M319" s="104"/>
      <c r="N319" s="104"/>
      <c r="O319" s="104"/>
      <c r="P319" s="104"/>
      <c r="Q319" s="104"/>
      <c r="R319" s="104"/>
      <c r="S319" s="104"/>
      <c r="T319" s="104"/>
    </row>
    <row r="320" spans="1:20">
      <c r="A320" s="104"/>
      <c r="B320" s="104"/>
      <c r="C320" s="104"/>
      <c r="D320" s="104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104"/>
      <c r="P320" s="104"/>
      <c r="Q320" s="104"/>
      <c r="R320" s="104"/>
      <c r="S320" s="104"/>
      <c r="T320" s="104"/>
    </row>
    <row r="321" spans="1:20">
      <c r="A321" s="104"/>
      <c r="B321" s="104"/>
      <c r="C321" s="104"/>
      <c r="D321" s="104"/>
      <c r="E321" s="104"/>
      <c r="F321" s="104"/>
      <c r="G321" s="104"/>
      <c r="H321" s="104"/>
      <c r="I321" s="104"/>
      <c r="J321" s="104"/>
      <c r="K321" s="104"/>
      <c r="L321" s="104"/>
      <c r="M321" s="104"/>
      <c r="N321" s="104"/>
      <c r="O321" s="104"/>
      <c r="P321" s="104"/>
      <c r="Q321" s="104"/>
      <c r="R321" s="104"/>
      <c r="S321" s="104"/>
      <c r="T321" s="104"/>
    </row>
    <row r="322" spans="1:20">
      <c r="A322" s="104"/>
      <c r="B322" s="104"/>
      <c r="C322" s="104"/>
      <c r="D322" s="104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104"/>
      <c r="P322" s="104"/>
      <c r="Q322" s="104"/>
      <c r="R322" s="104"/>
      <c r="S322" s="104"/>
      <c r="T322" s="104"/>
    </row>
    <row r="323" spans="1:20">
      <c r="A323" s="104"/>
      <c r="B323" s="104"/>
      <c r="C323" s="104"/>
      <c r="D323" s="104"/>
      <c r="E323" s="104"/>
      <c r="F323" s="104"/>
      <c r="G323" s="104"/>
      <c r="H323" s="104"/>
      <c r="I323" s="104"/>
      <c r="J323" s="104"/>
      <c r="K323" s="104"/>
      <c r="L323" s="104"/>
      <c r="M323" s="104"/>
      <c r="N323" s="104"/>
      <c r="O323" s="104"/>
      <c r="P323" s="104"/>
      <c r="Q323" s="104"/>
      <c r="R323" s="104"/>
      <c r="S323" s="104"/>
      <c r="T323" s="104"/>
    </row>
    <row r="324" spans="1:20">
      <c r="A324" s="104"/>
      <c r="B324" s="104"/>
      <c r="C324" s="104"/>
      <c r="D324" s="104"/>
      <c r="E324" s="104"/>
      <c r="F324" s="104"/>
      <c r="G324" s="104"/>
      <c r="H324" s="104"/>
      <c r="I324" s="104"/>
      <c r="J324" s="104"/>
      <c r="K324" s="104"/>
      <c r="L324" s="104"/>
      <c r="M324" s="104"/>
      <c r="N324" s="104"/>
      <c r="O324" s="104"/>
      <c r="P324" s="104"/>
      <c r="Q324" s="104"/>
      <c r="R324" s="104"/>
      <c r="S324" s="104"/>
      <c r="T324" s="104"/>
    </row>
    <row r="325" spans="1:20">
      <c r="A325" s="104"/>
      <c r="B325" s="104"/>
      <c r="C325" s="104"/>
      <c r="D325" s="104"/>
      <c r="E325" s="104"/>
      <c r="F325" s="104"/>
      <c r="G325" s="104"/>
      <c r="H325" s="104"/>
      <c r="I325" s="104"/>
      <c r="J325" s="104"/>
      <c r="K325" s="104"/>
      <c r="L325" s="104"/>
      <c r="M325" s="104"/>
      <c r="N325" s="104"/>
      <c r="O325" s="104"/>
      <c r="P325" s="104"/>
      <c r="Q325" s="104"/>
      <c r="R325" s="104"/>
      <c r="S325" s="104"/>
      <c r="T325" s="104"/>
    </row>
    <row r="326" spans="1:20">
      <c r="A326" s="104"/>
      <c r="B326" s="104"/>
      <c r="C326" s="104"/>
      <c r="D326" s="104"/>
      <c r="E326" s="104"/>
      <c r="F326" s="104"/>
      <c r="G326" s="104"/>
      <c r="H326" s="104"/>
      <c r="I326" s="104"/>
      <c r="J326" s="104"/>
      <c r="K326" s="104"/>
      <c r="L326" s="104"/>
      <c r="M326" s="104"/>
      <c r="N326" s="104"/>
      <c r="O326" s="104"/>
      <c r="P326" s="104"/>
      <c r="Q326" s="104"/>
      <c r="R326" s="104"/>
      <c r="S326" s="104"/>
      <c r="T326" s="104"/>
    </row>
    <row r="327" spans="1:20">
      <c r="A327" s="104"/>
      <c r="B327" s="104"/>
      <c r="C327" s="104"/>
      <c r="D327" s="104"/>
      <c r="E327" s="104"/>
      <c r="F327" s="104"/>
      <c r="G327" s="104"/>
      <c r="H327" s="104"/>
      <c r="I327" s="104"/>
      <c r="J327" s="104"/>
      <c r="K327" s="104"/>
      <c r="L327" s="104"/>
      <c r="M327" s="104"/>
      <c r="N327" s="104"/>
      <c r="O327" s="104"/>
      <c r="P327" s="104"/>
      <c r="Q327" s="104"/>
      <c r="R327" s="104"/>
      <c r="S327" s="104"/>
      <c r="T327" s="104"/>
    </row>
    <row r="328" spans="1:20">
      <c r="A328" s="104"/>
      <c r="B328" s="104"/>
      <c r="C328" s="104"/>
      <c r="D328" s="104"/>
      <c r="E328" s="104"/>
      <c r="F328" s="104"/>
      <c r="G328" s="104"/>
      <c r="H328" s="104"/>
      <c r="I328" s="104"/>
      <c r="J328" s="104"/>
      <c r="K328" s="104"/>
      <c r="L328" s="104"/>
      <c r="M328" s="104"/>
      <c r="N328" s="104"/>
      <c r="O328" s="104"/>
      <c r="P328" s="104"/>
      <c r="Q328" s="104"/>
      <c r="R328" s="104"/>
      <c r="S328" s="104"/>
      <c r="T328" s="104"/>
    </row>
    <row r="329" spans="1:20">
      <c r="A329" s="104"/>
      <c r="B329" s="104"/>
      <c r="C329" s="104"/>
      <c r="D329" s="104"/>
      <c r="E329" s="104"/>
      <c r="F329" s="104"/>
      <c r="G329" s="104"/>
      <c r="H329" s="104"/>
      <c r="I329" s="104"/>
      <c r="J329" s="104"/>
      <c r="K329" s="104"/>
      <c r="L329" s="104"/>
      <c r="M329" s="104"/>
      <c r="N329" s="104"/>
      <c r="O329" s="104"/>
      <c r="P329" s="104"/>
      <c r="Q329" s="104"/>
      <c r="R329" s="104"/>
      <c r="S329" s="104"/>
      <c r="T329" s="104"/>
    </row>
    <row r="330" spans="1:20">
      <c r="A330" s="104"/>
      <c r="B330" s="104"/>
      <c r="C330" s="104"/>
      <c r="D330" s="104"/>
      <c r="E330" s="104"/>
      <c r="F330" s="104"/>
      <c r="G330" s="104"/>
      <c r="H330" s="104"/>
      <c r="I330" s="104"/>
      <c r="J330" s="104"/>
      <c r="K330" s="104"/>
      <c r="L330" s="104"/>
      <c r="M330" s="104"/>
      <c r="N330" s="104"/>
      <c r="O330" s="104"/>
      <c r="P330" s="104"/>
      <c r="Q330" s="104"/>
      <c r="R330" s="104"/>
      <c r="S330" s="104"/>
      <c r="T330" s="104"/>
    </row>
    <row r="331" spans="1:20">
      <c r="A331" s="104"/>
      <c r="B331" s="104"/>
      <c r="C331" s="104"/>
      <c r="D331" s="104"/>
      <c r="E331" s="104"/>
      <c r="F331" s="104"/>
      <c r="G331" s="104"/>
      <c r="H331" s="104"/>
      <c r="I331" s="104"/>
      <c r="J331" s="104"/>
      <c r="K331" s="104"/>
      <c r="L331" s="104"/>
      <c r="M331" s="104"/>
      <c r="N331" s="104"/>
      <c r="O331" s="104"/>
      <c r="P331" s="104"/>
      <c r="Q331" s="104"/>
      <c r="R331" s="104"/>
      <c r="S331" s="104"/>
      <c r="T331" s="104"/>
    </row>
    <row r="332" spans="1:20">
      <c r="A332" s="104"/>
      <c r="B332" s="104"/>
      <c r="C332" s="104"/>
      <c r="D332" s="104"/>
      <c r="E332" s="104"/>
      <c r="F332" s="104"/>
      <c r="G332" s="104"/>
      <c r="H332" s="104"/>
      <c r="I332" s="104"/>
      <c r="J332" s="104"/>
      <c r="K332" s="104"/>
      <c r="L332" s="104"/>
      <c r="M332" s="104"/>
      <c r="N332" s="104"/>
      <c r="O332" s="104"/>
      <c r="P332" s="104"/>
      <c r="Q332" s="104"/>
      <c r="R332" s="104"/>
      <c r="S332" s="104"/>
      <c r="T332" s="104"/>
    </row>
    <row r="333" spans="1:20">
      <c r="A333" s="104"/>
      <c r="B333" s="104"/>
      <c r="C333" s="104"/>
      <c r="D333" s="104"/>
      <c r="E333" s="104"/>
      <c r="F333" s="104"/>
      <c r="G333" s="104"/>
      <c r="H333" s="104"/>
      <c r="I333" s="104"/>
      <c r="J333" s="104"/>
      <c r="K333" s="104"/>
      <c r="L333" s="104"/>
      <c r="M333" s="104"/>
      <c r="N333" s="104"/>
      <c r="O333" s="104"/>
      <c r="P333" s="104"/>
      <c r="Q333" s="104"/>
      <c r="R333" s="104"/>
      <c r="S333" s="104"/>
      <c r="T333" s="104"/>
    </row>
    <row r="334" spans="1:20">
      <c r="A334" s="104"/>
      <c r="B334" s="104"/>
      <c r="C334" s="104"/>
      <c r="D334" s="104"/>
      <c r="E334" s="104"/>
      <c r="F334" s="104"/>
      <c r="G334" s="104"/>
      <c r="H334" s="104"/>
      <c r="I334" s="104"/>
      <c r="J334" s="104"/>
      <c r="K334" s="104"/>
      <c r="L334" s="104"/>
      <c r="M334" s="104"/>
      <c r="N334" s="104"/>
      <c r="O334" s="104"/>
      <c r="P334" s="104"/>
      <c r="Q334" s="104"/>
      <c r="R334" s="104"/>
      <c r="S334" s="104"/>
      <c r="T334" s="104"/>
    </row>
    <row r="335" spans="1:20">
      <c r="A335" s="104"/>
      <c r="B335" s="104"/>
      <c r="C335" s="104"/>
      <c r="D335" s="104"/>
      <c r="E335" s="104"/>
      <c r="F335" s="104"/>
      <c r="G335" s="104"/>
      <c r="H335" s="104"/>
      <c r="I335" s="104"/>
      <c r="J335" s="104"/>
      <c r="K335" s="104"/>
      <c r="L335" s="104"/>
      <c r="M335" s="104"/>
      <c r="N335" s="104"/>
      <c r="O335" s="104"/>
      <c r="P335" s="104"/>
      <c r="Q335" s="104"/>
      <c r="R335" s="104"/>
      <c r="S335" s="104"/>
      <c r="T335" s="104"/>
    </row>
    <row r="336" spans="1:20">
      <c r="A336" s="104"/>
      <c r="B336" s="104"/>
      <c r="C336" s="104"/>
      <c r="D336" s="104"/>
      <c r="E336" s="104"/>
      <c r="F336" s="104"/>
      <c r="G336" s="104"/>
      <c r="H336" s="104"/>
      <c r="I336" s="104"/>
      <c r="J336" s="104"/>
      <c r="K336" s="104"/>
      <c r="L336" s="104"/>
      <c r="M336" s="104"/>
      <c r="N336" s="104"/>
      <c r="O336" s="104"/>
      <c r="P336" s="104"/>
      <c r="Q336" s="104"/>
      <c r="R336" s="104"/>
      <c r="S336" s="104"/>
      <c r="T336" s="104"/>
    </row>
    <row r="337" spans="1:20">
      <c r="A337" s="104"/>
      <c r="B337" s="104"/>
      <c r="C337" s="104"/>
      <c r="D337" s="104"/>
      <c r="E337" s="104"/>
      <c r="F337" s="104"/>
      <c r="G337" s="104"/>
      <c r="H337" s="104"/>
      <c r="I337" s="104"/>
      <c r="J337" s="104"/>
      <c r="K337" s="104"/>
      <c r="L337" s="104"/>
      <c r="M337" s="104"/>
      <c r="N337" s="104"/>
      <c r="O337" s="104"/>
      <c r="P337" s="104"/>
      <c r="Q337" s="104"/>
      <c r="R337" s="104"/>
      <c r="S337" s="104"/>
      <c r="T337" s="104"/>
    </row>
    <row r="338" spans="1:20">
      <c r="A338" s="104"/>
      <c r="B338" s="104"/>
      <c r="C338" s="104"/>
      <c r="D338" s="104"/>
      <c r="E338" s="104"/>
      <c r="F338" s="104"/>
      <c r="G338" s="104"/>
      <c r="H338" s="104"/>
      <c r="I338" s="104"/>
      <c r="J338" s="104"/>
      <c r="K338" s="104"/>
      <c r="L338" s="104"/>
      <c r="M338" s="104"/>
      <c r="N338" s="104"/>
      <c r="O338" s="104"/>
      <c r="P338" s="104"/>
      <c r="Q338" s="104"/>
      <c r="R338" s="104"/>
      <c r="S338" s="104"/>
      <c r="T338" s="104"/>
    </row>
    <row r="339" spans="1:20">
      <c r="A339" s="104"/>
      <c r="B339" s="104"/>
      <c r="C339" s="104"/>
      <c r="D339" s="104"/>
      <c r="E339" s="104"/>
      <c r="F339" s="104"/>
      <c r="G339" s="104"/>
      <c r="H339" s="104"/>
      <c r="I339" s="104"/>
      <c r="J339" s="104"/>
      <c r="K339" s="104"/>
      <c r="L339" s="104"/>
      <c r="M339" s="104"/>
      <c r="N339" s="104"/>
      <c r="O339" s="104"/>
      <c r="P339" s="104"/>
      <c r="Q339" s="104"/>
      <c r="R339" s="104"/>
      <c r="S339" s="104"/>
      <c r="T339" s="104"/>
    </row>
    <row r="340" spans="1:20">
      <c r="A340" s="104"/>
      <c r="B340" s="104"/>
      <c r="C340" s="104"/>
      <c r="D340" s="104"/>
      <c r="E340" s="104"/>
      <c r="F340" s="104"/>
      <c r="G340" s="104"/>
      <c r="H340" s="104"/>
      <c r="I340" s="104"/>
      <c r="J340" s="104"/>
      <c r="K340" s="104"/>
      <c r="L340" s="104"/>
      <c r="M340" s="104"/>
      <c r="N340" s="104"/>
      <c r="O340" s="104"/>
      <c r="P340" s="104"/>
      <c r="Q340" s="104"/>
      <c r="R340" s="104"/>
      <c r="S340" s="104"/>
      <c r="T340" s="104"/>
    </row>
    <row r="341" spans="1:20">
      <c r="A341" s="104"/>
      <c r="B341" s="104"/>
      <c r="C341" s="104"/>
      <c r="D341" s="104"/>
      <c r="E341" s="104"/>
      <c r="F341" s="104"/>
      <c r="G341" s="104"/>
      <c r="H341" s="104"/>
      <c r="I341" s="104"/>
      <c r="J341" s="104"/>
      <c r="K341" s="104"/>
      <c r="L341" s="104"/>
      <c r="M341" s="104"/>
      <c r="N341" s="104"/>
      <c r="O341" s="104"/>
      <c r="P341" s="104"/>
      <c r="Q341" s="104"/>
      <c r="R341" s="104"/>
      <c r="S341" s="104"/>
      <c r="T341" s="104"/>
    </row>
    <row r="342" spans="1:20">
      <c r="A342" s="104"/>
      <c r="B342" s="104"/>
      <c r="C342" s="104"/>
      <c r="D342" s="104"/>
      <c r="E342" s="104"/>
      <c r="F342" s="104"/>
      <c r="G342" s="104"/>
      <c r="H342" s="104"/>
      <c r="I342" s="104"/>
      <c r="J342" s="104"/>
      <c r="K342" s="104"/>
      <c r="L342" s="104"/>
      <c r="M342" s="104"/>
      <c r="N342" s="104"/>
      <c r="O342" s="104"/>
      <c r="P342" s="104"/>
      <c r="Q342" s="104"/>
      <c r="R342" s="104"/>
      <c r="S342" s="104"/>
      <c r="T342" s="104"/>
    </row>
    <row r="343" spans="1:20">
      <c r="A343" s="104"/>
      <c r="B343" s="104"/>
      <c r="C343" s="104"/>
      <c r="D343" s="104"/>
      <c r="E343" s="104"/>
      <c r="F343" s="104"/>
      <c r="G343" s="104"/>
      <c r="H343" s="104"/>
      <c r="I343" s="104"/>
      <c r="J343" s="104"/>
      <c r="K343" s="104"/>
      <c r="L343" s="104"/>
      <c r="M343" s="104"/>
      <c r="N343" s="104"/>
      <c r="O343" s="104"/>
      <c r="P343" s="104"/>
      <c r="Q343" s="104"/>
      <c r="R343" s="104"/>
      <c r="S343" s="104"/>
      <c r="T343" s="104"/>
    </row>
    <row r="344" spans="1:20">
      <c r="A344" s="104"/>
      <c r="B344" s="104"/>
      <c r="C344" s="104"/>
      <c r="D344" s="104"/>
      <c r="E344" s="104"/>
      <c r="F344" s="104"/>
      <c r="G344" s="104"/>
      <c r="H344" s="104"/>
      <c r="I344" s="104"/>
      <c r="J344" s="104"/>
      <c r="K344" s="104"/>
      <c r="L344" s="104"/>
      <c r="M344" s="104"/>
      <c r="N344" s="104"/>
      <c r="O344" s="104"/>
      <c r="P344" s="104"/>
      <c r="Q344" s="104"/>
      <c r="R344" s="104"/>
      <c r="S344" s="104"/>
      <c r="T344" s="104"/>
    </row>
    <row r="345" spans="1:20">
      <c r="A345" s="104"/>
      <c r="B345" s="104"/>
      <c r="C345" s="104"/>
      <c r="D345" s="104"/>
      <c r="E345" s="104"/>
      <c r="F345" s="104"/>
      <c r="G345" s="104"/>
      <c r="H345" s="104"/>
      <c r="I345" s="104"/>
      <c r="J345" s="104"/>
      <c r="K345" s="104"/>
      <c r="L345" s="104"/>
      <c r="M345" s="104"/>
      <c r="N345" s="104"/>
      <c r="O345" s="104"/>
      <c r="P345" s="104"/>
      <c r="Q345" s="104"/>
      <c r="R345" s="104"/>
      <c r="S345" s="104"/>
      <c r="T345" s="104"/>
    </row>
    <row r="346" spans="1:20">
      <c r="A346" s="104"/>
      <c r="B346" s="104"/>
      <c r="C346" s="104"/>
      <c r="D346" s="104"/>
      <c r="E346" s="104"/>
      <c r="F346" s="104"/>
      <c r="G346" s="104"/>
      <c r="H346" s="104"/>
      <c r="I346" s="104"/>
      <c r="J346" s="104"/>
      <c r="K346" s="104"/>
      <c r="L346" s="104"/>
      <c r="M346" s="104"/>
      <c r="N346" s="104"/>
      <c r="O346" s="104"/>
      <c r="P346" s="104"/>
      <c r="Q346" s="104"/>
      <c r="R346" s="104"/>
      <c r="S346" s="104"/>
      <c r="T346" s="104"/>
    </row>
    <row r="347" spans="1:20">
      <c r="A347" s="104"/>
      <c r="B347" s="104"/>
      <c r="C347" s="104"/>
      <c r="D347" s="104"/>
      <c r="E347" s="104"/>
      <c r="F347" s="104"/>
      <c r="G347" s="104"/>
      <c r="H347" s="104"/>
      <c r="I347" s="104"/>
      <c r="J347" s="104"/>
      <c r="K347" s="104"/>
      <c r="L347" s="104"/>
      <c r="M347" s="104"/>
      <c r="N347" s="104"/>
      <c r="O347" s="104"/>
      <c r="P347" s="104"/>
      <c r="Q347" s="104"/>
      <c r="R347" s="104"/>
      <c r="S347" s="104"/>
      <c r="T347" s="104"/>
    </row>
    <row r="348" spans="1:20">
      <c r="A348" s="104"/>
      <c r="B348" s="104"/>
      <c r="C348" s="104"/>
      <c r="D348" s="104"/>
      <c r="E348" s="104"/>
      <c r="F348" s="104"/>
      <c r="G348" s="104"/>
      <c r="H348" s="104"/>
      <c r="I348" s="104"/>
      <c r="J348" s="104"/>
      <c r="K348" s="104"/>
      <c r="L348" s="104"/>
      <c r="M348" s="104"/>
      <c r="N348" s="104"/>
      <c r="O348" s="104"/>
      <c r="P348" s="104"/>
      <c r="Q348" s="104"/>
      <c r="R348" s="104"/>
      <c r="S348" s="104"/>
      <c r="T348" s="104"/>
    </row>
    <row r="349" spans="1:20">
      <c r="A349" s="104"/>
      <c r="B349" s="104"/>
      <c r="C349" s="104"/>
      <c r="D349" s="104"/>
      <c r="E349" s="104"/>
      <c r="F349" s="104"/>
      <c r="G349" s="104"/>
      <c r="H349" s="104"/>
      <c r="I349" s="104"/>
      <c r="J349" s="104"/>
      <c r="K349" s="104"/>
      <c r="L349" s="104"/>
      <c r="M349" s="104"/>
      <c r="N349" s="104"/>
      <c r="O349" s="104"/>
      <c r="P349" s="104"/>
      <c r="Q349" s="104"/>
      <c r="R349" s="104"/>
      <c r="S349" s="104"/>
      <c r="T349" s="104"/>
    </row>
    <row r="350" spans="1:20">
      <c r="A350" s="104"/>
      <c r="B350" s="104"/>
      <c r="C350" s="104"/>
      <c r="D350" s="104"/>
      <c r="E350" s="104"/>
      <c r="F350" s="104"/>
      <c r="G350" s="104"/>
      <c r="H350" s="104"/>
      <c r="I350" s="104"/>
      <c r="J350" s="104"/>
      <c r="K350" s="104"/>
      <c r="L350" s="104"/>
      <c r="M350" s="104"/>
      <c r="N350" s="104"/>
      <c r="O350" s="104"/>
      <c r="P350" s="104"/>
      <c r="Q350" s="104"/>
      <c r="R350" s="104"/>
      <c r="S350" s="104"/>
      <c r="T350" s="104"/>
    </row>
    <row r="351" spans="1:20">
      <c r="A351" s="104"/>
      <c r="B351" s="104"/>
      <c r="C351" s="104"/>
      <c r="D351" s="104"/>
      <c r="E351" s="104"/>
      <c r="F351" s="104"/>
      <c r="G351" s="104"/>
      <c r="H351" s="104"/>
      <c r="I351" s="104"/>
      <c r="J351" s="104"/>
      <c r="K351" s="104"/>
      <c r="L351" s="104"/>
      <c r="M351" s="104"/>
      <c r="N351" s="104"/>
      <c r="O351" s="104"/>
      <c r="P351" s="104"/>
      <c r="Q351" s="104"/>
      <c r="R351" s="104"/>
      <c r="S351" s="104"/>
      <c r="T351" s="104"/>
    </row>
    <row r="352" spans="1:20">
      <c r="A352" s="104"/>
      <c r="B352" s="104"/>
      <c r="C352" s="104"/>
      <c r="D352" s="104"/>
      <c r="E352" s="104"/>
      <c r="F352" s="104"/>
      <c r="G352" s="104"/>
      <c r="H352" s="104"/>
      <c r="I352" s="104"/>
      <c r="J352" s="104"/>
      <c r="K352" s="104"/>
      <c r="L352" s="104"/>
      <c r="M352" s="104"/>
      <c r="N352" s="104"/>
      <c r="O352" s="104"/>
      <c r="P352" s="104"/>
      <c r="Q352" s="104"/>
      <c r="R352" s="104"/>
      <c r="S352" s="104"/>
      <c r="T352" s="104"/>
    </row>
    <row r="353" spans="1:20">
      <c r="A353" s="104"/>
      <c r="B353" s="104"/>
      <c r="C353" s="104"/>
      <c r="D353" s="104"/>
      <c r="E353" s="104"/>
      <c r="F353" s="104"/>
      <c r="G353" s="104"/>
      <c r="H353" s="104"/>
      <c r="I353" s="104"/>
      <c r="J353" s="104"/>
      <c r="K353" s="104"/>
      <c r="L353" s="104"/>
      <c r="M353" s="104"/>
      <c r="N353" s="104"/>
      <c r="O353" s="104"/>
      <c r="P353" s="104"/>
      <c r="Q353" s="104"/>
      <c r="R353" s="104"/>
      <c r="S353" s="104"/>
      <c r="T353" s="104"/>
    </row>
    <row r="354" spans="1:20">
      <c r="A354" s="104"/>
      <c r="B354" s="104"/>
      <c r="C354" s="104"/>
      <c r="D354" s="104"/>
      <c r="E354" s="104"/>
      <c r="F354" s="104"/>
      <c r="G354" s="104"/>
      <c r="H354" s="104"/>
      <c r="I354" s="104"/>
      <c r="J354" s="104"/>
      <c r="K354" s="104"/>
      <c r="L354" s="104"/>
      <c r="M354" s="104"/>
      <c r="N354" s="104"/>
      <c r="O354" s="104"/>
      <c r="P354" s="104"/>
      <c r="Q354" s="104"/>
      <c r="R354" s="104"/>
      <c r="S354" s="104"/>
      <c r="T354" s="104"/>
    </row>
  </sheetData>
  <phoneticPr fontId="0" type="noConversion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history of trading results</vt:lpstr>
      <vt:lpstr>EBITDA 2010</vt:lpstr>
      <vt:lpstr>EBITDA 2011</vt:lpstr>
    </vt:vector>
  </TitlesOfParts>
  <Company>Sante Verte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jsaintcricq</cp:lastModifiedBy>
  <dcterms:created xsi:type="dcterms:W3CDTF">2011-03-01T09:39:13Z</dcterms:created>
  <dcterms:modified xsi:type="dcterms:W3CDTF">2011-03-10T13:27:38Z</dcterms:modified>
</cp:coreProperties>
</file>