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5480" windowHeight="10860" firstSheet="3" activeTab="5"/>
  </bookViews>
  <sheets>
    <sheet name="Intro" sheetId="26" r:id="rId1"/>
    <sheet name="Sales &amp; Costs" sheetId="7" r:id="rId2"/>
    <sheet name="Ventes Graph" sheetId="35" r:id="rId3"/>
    <sheet name="P&amp;L Year" sheetId="14" r:id="rId4"/>
    <sheet name="Bilan" sheetId="16" r:id="rId5"/>
    <sheet name="BP1Bis" sheetId="36" r:id="rId6"/>
    <sheet name="Valo BP0 JSC" sheetId="38" r:id="rId7"/>
    <sheet name="modèle prev (2)" sheetId="37" r:id="rId8"/>
    <sheet name="P&amp;L Month" sheetId="12" r:id="rId9"/>
    <sheet name="Capital" sheetId="28" r:id="rId10"/>
    <sheet name="invest base" sheetId="21" r:id="rId11"/>
    <sheet name="invest" sheetId="15" r:id="rId12"/>
    <sheet name="fincmt" sheetId="18" r:id="rId13"/>
    <sheet name="Staff" sheetId="13" r:id="rId14"/>
    <sheet name="Missions" sheetId="29" r:id="rId15"/>
    <sheet name="Cash Flow" sheetId="20" r:id="rId16"/>
    <sheet name="Détail CF" sheetId="19" r:id="rId17"/>
    <sheet name="TP" sheetId="25" r:id="rId18"/>
  </sheets>
  <externalReferences>
    <externalReference r:id="rId19"/>
  </externalReferences>
  <definedNames>
    <definedName name="_xlnm.Print_Titles" localSheetId="4">Bilan!$A:$E</definedName>
    <definedName name="_xlnm.Print_Titles" localSheetId="15">'Cash Flow'!$A:$E</definedName>
    <definedName name="_xlnm.Print_Titles" localSheetId="11">invest!$A:$F</definedName>
    <definedName name="_xlnm.Print_Titles" localSheetId="8">'P&amp;L Month'!$B:$G</definedName>
    <definedName name="_xlnm.Print_Titles" localSheetId="1">'Sales &amp; Costs'!$A:$E</definedName>
    <definedName name="_xlnm.Print_Area" localSheetId="4">Bilan!$A$1:$K$43</definedName>
    <definedName name="_xlnm.Print_Area" localSheetId="0">Intro!$A$1:$A$17</definedName>
    <definedName name="_xlnm.Print_Area" localSheetId="8">'P&amp;L Month'!$A$1:$CG$119</definedName>
    <definedName name="_xlnm.Print_Area" localSheetId="3">'P&amp;L Year'!$A$1:$O$119</definedName>
    <definedName name="_xlnm.Print_Area" localSheetId="6">'Valo BP0 JSC'!$A$18:$L$46</definedName>
  </definedNames>
  <calcPr calcId="125725"/>
</workbook>
</file>

<file path=xl/calcChain.xml><?xml version="1.0" encoding="utf-8"?>
<calcChain xmlns="http://schemas.openxmlformats.org/spreadsheetml/2006/main">
  <c r="C21" i="37"/>
  <c r="D21"/>
  <c r="E21"/>
  <c r="B21"/>
  <c r="L35" i="36"/>
  <c r="M34" s="1"/>
  <c r="M35"/>
  <c r="F26" i="19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F28"/>
  <c r="G28"/>
  <c r="H28"/>
  <c r="I28"/>
  <c r="J28"/>
  <c r="K28"/>
  <c r="F29"/>
  <c r="G29"/>
  <c r="H29"/>
  <c r="I29"/>
  <c r="J29"/>
  <c r="K29"/>
  <c r="L29"/>
  <c r="I22" i="13"/>
  <c r="I21"/>
  <c r="I20"/>
  <c r="I19"/>
  <c r="I18"/>
  <c r="I17"/>
  <c r="I16"/>
  <c r="I15"/>
  <c r="I14"/>
  <c r="I11"/>
  <c r="I38"/>
  <c r="I37"/>
  <c r="I36"/>
  <c r="I35"/>
  <c r="I34"/>
  <c r="I33"/>
  <c r="I32"/>
  <c r="I31"/>
  <c r="I30"/>
  <c r="I29"/>
  <c r="I26" s="1"/>
  <c r="I51"/>
  <c r="I50"/>
  <c r="I49"/>
  <c r="I48"/>
  <c r="I47"/>
  <c r="I46"/>
  <c r="I45"/>
  <c r="AA22"/>
  <c r="AA21"/>
  <c r="AA20"/>
  <c r="AA19"/>
  <c r="AA18"/>
  <c r="AA17"/>
  <c r="AA16"/>
  <c r="AA38"/>
  <c r="AA37"/>
  <c r="AA36"/>
  <c r="AA35"/>
  <c r="AA34"/>
  <c r="AA33"/>
  <c r="AA32"/>
  <c r="AA31"/>
  <c r="AA30"/>
  <c r="AA29"/>
  <c r="AA51"/>
  <c r="AA50"/>
  <c r="AA49"/>
  <c r="AA48"/>
  <c r="AA47"/>
  <c r="AA46"/>
  <c r="AA45"/>
  <c r="AA42" s="1"/>
  <c r="AB22"/>
  <c r="AB21"/>
  <c r="AB20"/>
  <c r="AB19"/>
  <c r="AB18"/>
  <c r="AB17"/>
  <c r="AB16"/>
  <c r="AB38"/>
  <c r="AB37"/>
  <c r="AB36"/>
  <c r="AB35"/>
  <c r="AB34"/>
  <c r="AB33"/>
  <c r="AB32"/>
  <c r="AB31"/>
  <c r="AB30"/>
  <c r="AB29"/>
  <c r="AB51"/>
  <c r="AB50"/>
  <c r="AB49"/>
  <c r="AB48"/>
  <c r="AB46"/>
  <c r="AB45"/>
  <c r="AC22"/>
  <c r="AC21"/>
  <c r="AC20"/>
  <c r="AC19"/>
  <c r="AC18"/>
  <c r="AC17"/>
  <c r="AC16"/>
  <c r="AC38"/>
  <c r="AC37"/>
  <c r="AC36"/>
  <c r="AC35"/>
  <c r="AC34"/>
  <c r="AC33"/>
  <c r="AC32"/>
  <c r="AC31"/>
  <c r="AC30"/>
  <c r="AC29"/>
  <c r="AC26" s="1"/>
  <c r="AC51"/>
  <c r="AC50"/>
  <c r="AC49"/>
  <c r="AC48"/>
  <c r="AC46"/>
  <c r="AD22"/>
  <c r="AD21"/>
  <c r="AD20"/>
  <c r="AD19"/>
  <c r="AD18"/>
  <c r="AD17"/>
  <c r="AD16"/>
  <c r="AD38"/>
  <c r="AD37"/>
  <c r="AD36"/>
  <c r="AD35"/>
  <c r="AD34"/>
  <c r="AD33"/>
  <c r="AD32"/>
  <c r="AD31"/>
  <c r="AD30"/>
  <c r="AD29"/>
  <c r="AD26" s="1"/>
  <c r="AD51"/>
  <c r="AD50"/>
  <c r="AD49"/>
  <c r="AD48"/>
  <c r="AD46"/>
  <c r="AE22"/>
  <c r="AE21"/>
  <c r="AE20"/>
  <c r="AE19"/>
  <c r="AE18"/>
  <c r="AE17"/>
  <c r="AE38"/>
  <c r="AE37"/>
  <c r="AE36"/>
  <c r="AE35"/>
  <c r="AE34"/>
  <c r="AE33"/>
  <c r="AE32"/>
  <c r="AE31"/>
  <c r="AE30"/>
  <c r="AE29"/>
  <c r="AE51"/>
  <c r="AE50"/>
  <c r="AE49"/>
  <c r="AE48"/>
  <c r="AE46"/>
  <c r="F30" i="19"/>
  <c r="G30"/>
  <c r="H30"/>
  <c r="I30"/>
  <c r="J30"/>
  <c r="K30"/>
  <c r="F31"/>
  <c r="G31"/>
  <c r="H31"/>
  <c r="I31"/>
  <c r="J31"/>
  <c r="K31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F36"/>
  <c r="G36"/>
  <c r="H36"/>
  <c r="I36"/>
  <c r="J36"/>
  <c r="K36"/>
  <c r="H22" i="13"/>
  <c r="H21"/>
  <c r="H20"/>
  <c r="H19"/>
  <c r="H18"/>
  <c r="H17"/>
  <c r="H16"/>
  <c r="H15"/>
  <c r="H14"/>
  <c r="H11" s="1"/>
  <c r="H38"/>
  <c r="H37"/>
  <c r="H36"/>
  <c r="H35"/>
  <c r="H34"/>
  <c r="H33"/>
  <c r="H32"/>
  <c r="H31"/>
  <c r="H30"/>
  <c r="H29"/>
  <c r="H26" s="1"/>
  <c r="H51"/>
  <c r="H50"/>
  <c r="H49"/>
  <c r="H48"/>
  <c r="H47"/>
  <c r="H46"/>
  <c r="H45"/>
  <c r="H42" s="1"/>
  <c r="J22"/>
  <c r="J21"/>
  <c r="J20"/>
  <c r="J19"/>
  <c r="J18"/>
  <c r="J17"/>
  <c r="J16"/>
  <c r="J15"/>
  <c r="J14"/>
  <c r="J38"/>
  <c r="J37"/>
  <c r="J36"/>
  <c r="J35"/>
  <c r="J34"/>
  <c r="J33"/>
  <c r="J32"/>
  <c r="J31"/>
  <c r="J30"/>
  <c r="J29"/>
  <c r="J26"/>
  <c r="J51"/>
  <c r="J50"/>
  <c r="J49"/>
  <c r="J48"/>
  <c r="J47"/>
  <c r="J46"/>
  <c r="J45"/>
  <c r="J42"/>
  <c r="K22"/>
  <c r="K21"/>
  <c r="K20"/>
  <c r="K19"/>
  <c r="K18"/>
  <c r="K17"/>
  <c r="K16"/>
  <c r="K15"/>
  <c r="K14"/>
  <c r="K38"/>
  <c r="K37"/>
  <c r="K36"/>
  <c r="K35"/>
  <c r="K34"/>
  <c r="K33"/>
  <c r="K32"/>
  <c r="K31"/>
  <c r="K30"/>
  <c r="K29"/>
  <c r="K26"/>
  <c r="K51"/>
  <c r="K50"/>
  <c r="K49"/>
  <c r="K48"/>
  <c r="K47"/>
  <c r="K46"/>
  <c r="K45"/>
  <c r="K42"/>
  <c r="L22"/>
  <c r="L21"/>
  <c r="L20"/>
  <c r="L19"/>
  <c r="L18"/>
  <c r="L17"/>
  <c r="L16"/>
  <c r="L15"/>
  <c r="L14"/>
  <c r="L11" s="1"/>
  <c r="L38"/>
  <c r="L37"/>
  <c r="L36"/>
  <c r="L35"/>
  <c r="L34"/>
  <c r="L33"/>
  <c r="L32"/>
  <c r="L31"/>
  <c r="L30"/>
  <c r="L29"/>
  <c r="L26" s="1"/>
  <c r="L51"/>
  <c r="L50"/>
  <c r="L49"/>
  <c r="L48"/>
  <c r="L47"/>
  <c r="L46"/>
  <c r="L45"/>
  <c r="L42" s="1"/>
  <c r="M22"/>
  <c r="M21"/>
  <c r="M20"/>
  <c r="M19"/>
  <c r="M18"/>
  <c r="M17"/>
  <c r="M16"/>
  <c r="M15"/>
  <c r="M14"/>
  <c r="M11" s="1"/>
  <c r="M38"/>
  <c r="M37"/>
  <c r="M36"/>
  <c r="M35"/>
  <c r="M34"/>
  <c r="M33"/>
  <c r="M32"/>
  <c r="M31"/>
  <c r="M30"/>
  <c r="M29"/>
  <c r="M26" s="1"/>
  <c r="M51"/>
  <c r="M50"/>
  <c r="M49"/>
  <c r="M48"/>
  <c r="M47"/>
  <c r="M46"/>
  <c r="M45"/>
  <c r="M42" s="1"/>
  <c r="N22"/>
  <c r="N21"/>
  <c r="N20"/>
  <c r="N19"/>
  <c r="N18"/>
  <c r="N17"/>
  <c r="N16"/>
  <c r="N15"/>
  <c r="N14"/>
  <c r="N38"/>
  <c r="N37"/>
  <c r="N36"/>
  <c r="N35"/>
  <c r="N34"/>
  <c r="N33"/>
  <c r="N32"/>
  <c r="N31"/>
  <c r="N30"/>
  <c r="N29"/>
  <c r="N26"/>
  <c r="N51"/>
  <c r="N50"/>
  <c r="N49"/>
  <c r="N48"/>
  <c r="N47"/>
  <c r="N46"/>
  <c r="N45"/>
  <c r="N42"/>
  <c r="O22"/>
  <c r="O21"/>
  <c r="O20"/>
  <c r="O19"/>
  <c r="O18"/>
  <c r="O17"/>
  <c r="O16"/>
  <c r="O15"/>
  <c r="O14"/>
  <c r="O38"/>
  <c r="O37"/>
  <c r="O36"/>
  <c r="O35"/>
  <c r="O34"/>
  <c r="O33"/>
  <c r="O32"/>
  <c r="O31"/>
  <c r="O30"/>
  <c r="O29"/>
  <c r="O26"/>
  <c r="O51"/>
  <c r="O50"/>
  <c r="O49"/>
  <c r="O48"/>
  <c r="O47"/>
  <c r="O46"/>
  <c r="O45"/>
  <c r="O42"/>
  <c r="T36" i="19"/>
  <c r="Q22" i="13"/>
  <c r="Q21"/>
  <c r="Q20"/>
  <c r="Q19"/>
  <c r="Q18"/>
  <c r="Q17"/>
  <c r="Q16"/>
  <c r="Q15"/>
  <c r="Q14"/>
  <c r="Q11"/>
  <c r="Q38"/>
  <c r="Q37"/>
  <c r="Q36"/>
  <c r="Q35"/>
  <c r="Q34"/>
  <c r="Q33"/>
  <c r="Q32"/>
  <c r="Q31"/>
  <c r="Q30"/>
  <c r="Q29"/>
  <c r="Q26" s="1"/>
  <c r="Q51"/>
  <c r="Q50"/>
  <c r="Q49"/>
  <c r="Q48"/>
  <c r="Q47"/>
  <c r="Q46"/>
  <c r="Q45"/>
  <c r="R22"/>
  <c r="R21"/>
  <c r="R20"/>
  <c r="R19"/>
  <c r="R18"/>
  <c r="R17"/>
  <c r="R16"/>
  <c r="R15"/>
  <c r="R14"/>
  <c r="R11" s="1"/>
  <c r="R38"/>
  <c r="R37"/>
  <c r="R36"/>
  <c r="R35"/>
  <c r="R34"/>
  <c r="R33"/>
  <c r="R32"/>
  <c r="R31"/>
  <c r="R30"/>
  <c r="R29"/>
  <c r="R51"/>
  <c r="R50"/>
  <c r="R49"/>
  <c r="R48"/>
  <c r="R47"/>
  <c r="R46"/>
  <c r="R45"/>
  <c r="R42" s="1"/>
  <c r="S22"/>
  <c r="S21"/>
  <c r="S20"/>
  <c r="S19"/>
  <c r="S18"/>
  <c r="S17"/>
  <c r="S16"/>
  <c r="S15"/>
  <c r="S14"/>
  <c r="S11" s="1"/>
  <c r="S38"/>
  <c r="S37"/>
  <c r="S36"/>
  <c r="S35"/>
  <c r="S34"/>
  <c r="S33"/>
  <c r="S32"/>
  <c r="S31"/>
  <c r="S30"/>
  <c r="S29"/>
  <c r="S51"/>
  <c r="S50"/>
  <c r="S49"/>
  <c r="S48"/>
  <c r="S47"/>
  <c r="S46"/>
  <c r="S45"/>
  <c r="S42" s="1"/>
  <c r="T22"/>
  <c r="T21"/>
  <c r="T20"/>
  <c r="T19"/>
  <c r="T18"/>
  <c r="T17"/>
  <c r="T16"/>
  <c r="T38"/>
  <c r="T37"/>
  <c r="T36"/>
  <c r="T35"/>
  <c r="T34"/>
  <c r="T33"/>
  <c r="T32"/>
  <c r="T31"/>
  <c r="T30"/>
  <c r="T29"/>
  <c r="T51"/>
  <c r="T50"/>
  <c r="T49"/>
  <c r="T48"/>
  <c r="T47"/>
  <c r="T46"/>
  <c r="T45"/>
  <c r="T42" s="1"/>
  <c r="U22"/>
  <c r="U21"/>
  <c r="U20"/>
  <c r="U19"/>
  <c r="U18"/>
  <c r="U17"/>
  <c r="U16"/>
  <c r="U38"/>
  <c r="U37"/>
  <c r="U36"/>
  <c r="U35"/>
  <c r="U34"/>
  <c r="U33"/>
  <c r="U32"/>
  <c r="U31"/>
  <c r="U30"/>
  <c r="U29"/>
  <c r="U51"/>
  <c r="U50"/>
  <c r="U49"/>
  <c r="U48"/>
  <c r="U47"/>
  <c r="U46"/>
  <c r="U45"/>
  <c r="U42" s="1"/>
  <c r="V22"/>
  <c r="V21"/>
  <c r="V20"/>
  <c r="V19"/>
  <c r="V18"/>
  <c r="V17"/>
  <c r="V16"/>
  <c r="V38"/>
  <c r="V37"/>
  <c r="V36"/>
  <c r="V35"/>
  <c r="V34"/>
  <c r="V33"/>
  <c r="V32"/>
  <c r="V31"/>
  <c r="V30"/>
  <c r="V29"/>
  <c r="V51"/>
  <c r="V50"/>
  <c r="V49"/>
  <c r="V48"/>
  <c r="V47"/>
  <c r="V46"/>
  <c r="V45"/>
  <c r="V42" s="1"/>
  <c r="W22"/>
  <c r="W21"/>
  <c r="W20"/>
  <c r="W19"/>
  <c r="W18"/>
  <c r="W17"/>
  <c r="W16"/>
  <c r="W38"/>
  <c r="W37"/>
  <c r="W36"/>
  <c r="W35"/>
  <c r="W34"/>
  <c r="W33"/>
  <c r="W32"/>
  <c r="W31"/>
  <c r="W30"/>
  <c r="W29"/>
  <c r="W51"/>
  <c r="W50"/>
  <c r="W49"/>
  <c r="W48"/>
  <c r="W47"/>
  <c r="W46"/>
  <c r="W45"/>
  <c r="W42" s="1"/>
  <c r="X22"/>
  <c r="X21"/>
  <c r="X20"/>
  <c r="X19"/>
  <c r="X18"/>
  <c r="X17"/>
  <c r="X16"/>
  <c r="X38"/>
  <c r="X37"/>
  <c r="X36"/>
  <c r="X35"/>
  <c r="X34"/>
  <c r="X33"/>
  <c r="X32"/>
  <c r="X31"/>
  <c r="X30"/>
  <c r="X29"/>
  <c r="X51"/>
  <c r="X50"/>
  <c r="X49"/>
  <c r="X48"/>
  <c r="X47"/>
  <c r="X46"/>
  <c r="X45"/>
  <c r="X42" s="1"/>
  <c r="Y22"/>
  <c r="Y21"/>
  <c r="Y20"/>
  <c r="Y19"/>
  <c r="Y18"/>
  <c r="Y17"/>
  <c r="Y16"/>
  <c r="Y38"/>
  <c r="Y37"/>
  <c r="Y36"/>
  <c r="Y35"/>
  <c r="Y34"/>
  <c r="Y33"/>
  <c r="Y32"/>
  <c r="Y31"/>
  <c r="Y30"/>
  <c r="Y29"/>
  <c r="Y51"/>
  <c r="Y50"/>
  <c r="Y49"/>
  <c r="Y48"/>
  <c r="Y47"/>
  <c r="Y46"/>
  <c r="Y45"/>
  <c r="Y42" s="1"/>
  <c r="Z22"/>
  <c r="Z21"/>
  <c r="Z20"/>
  <c r="Z19"/>
  <c r="Z18"/>
  <c r="Z17"/>
  <c r="Z16"/>
  <c r="Z38"/>
  <c r="Z37"/>
  <c r="Z36"/>
  <c r="Z35"/>
  <c r="Z34"/>
  <c r="Z33"/>
  <c r="Z32"/>
  <c r="Z31"/>
  <c r="Z30"/>
  <c r="Z29"/>
  <c r="Z51"/>
  <c r="Z50"/>
  <c r="Z49"/>
  <c r="Z48"/>
  <c r="Z47"/>
  <c r="Z46"/>
  <c r="Z45"/>
  <c r="Z42" s="1"/>
  <c r="F37" i="19"/>
  <c r="G37"/>
  <c r="H37"/>
  <c r="I37"/>
  <c r="J37"/>
  <c r="K37"/>
  <c r="L37"/>
  <c r="M37"/>
  <c r="P22" i="13"/>
  <c r="P21"/>
  <c r="P20"/>
  <c r="P19"/>
  <c r="P18"/>
  <c r="P17"/>
  <c r="P16"/>
  <c r="P15"/>
  <c r="P14"/>
  <c r="P11" s="1"/>
  <c r="P38"/>
  <c r="P37"/>
  <c r="P36"/>
  <c r="P35"/>
  <c r="P34"/>
  <c r="P33"/>
  <c r="P32"/>
  <c r="P31"/>
  <c r="P30"/>
  <c r="P29"/>
  <c r="P51"/>
  <c r="P50"/>
  <c r="P49"/>
  <c r="P48"/>
  <c r="P47"/>
  <c r="P46"/>
  <c r="P45"/>
  <c r="P42" s="1"/>
  <c r="F38" i="19"/>
  <c r="G38"/>
  <c r="H38"/>
  <c r="I38"/>
  <c r="J38"/>
  <c r="K38"/>
  <c r="L38"/>
  <c r="M38"/>
  <c r="N38"/>
  <c r="O38"/>
  <c r="P38"/>
  <c r="Q38"/>
  <c r="R38"/>
  <c r="S38"/>
  <c r="F39"/>
  <c r="G39"/>
  <c r="H39"/>
  <c r="I39"/>
  <c r="J39"/>
  <c r="K39"/>
  <c r="L39"/>
  <c r="M39"/>
  <c r="T40"/>
  <c r="V40"/>
  <c r="F41"/>
  <c r="G41"/>
  <c r="H41"/>
  <c r="I41"/>
  <c r="J41"/>
  <c r="K41"/>
  <c r="L41"/>
  <c r="M41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AA43"/>
  <c r="AD43"/>
  <c r="AH43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G42"/>
  <c r="AF22" i="13"/>
  <c r="AF21"/>
  <c r="AF19"/>
  <c r="AF18"/>
  <c r="AF17"/>
  <c r="AF38"/>
  <c r="AF37"/>
  <c r="AF36"/>
  <c r="AF35"/>
  <c r="AF34"/>
  <c r="AF33"/>
  <c r="AF32"/>
  <c r="AF31"/>
  <c r="AF30"/>
  <c r="AF29"/>
  <c r="AF26" s="1"/>
  <c r="AF51"/>
  <c r="AF50"/>
  <c r="AF49"/>
  <c r="AF48"/>
  <c r="AG22"/>
  <c r="AG21"/>
  <c r="AG18"/>
  <c r="AG17"/>
  <c r="AG38"/>
  <c r="AG37"/>
  <c r="AG36"/>
  <c r="AG35"/>
  <c r="AG34"/>
  <c r="AG33"/>
  <c r="AG32"/>
  <c r="AG31"/>
  <c r="AG30"/>
  <c r="AG29"/>
  <c r="AG26" s="1"/>
  <c r="AG51"/>
  <c r="AG50"/>
  <c r="AG49"/>
  <c r="AG48"/>
  <c r="AH22"/>
  <c r="AH21"/>
  <c r="AH17"/>
  <c r="AH38"/>
  <c r="AH37"/>
  <c r="AH36"/>
  <c r="AH35"/>
  <c r="AH34"/>
  <c r="AH33"/>
  <c r="AH32"/>
  <c r="AH31"/>
  <c r="AH30"/>
  <c r="AH51"/>
  <c r="AH50"/>
  <c r="AH49"/>
  <c r="AH48"/>
  <c r="AI22"/>
  <c r="AI21"/>
  <c r="AI17"/>
  <c r="AI38"/>
  <c r="AI37"/>
  <c r="AI36"/>
  <c r="AI35"/>
  <c r="AI34"/>
  <c r="AI33"/>
  <c r="AI32"/>
  <c r="AI31"/>
  <c r="AI30"/>
  <c r="AI51"/>
  <c r="AI50"/>
  <c r="AI49"/>
  <c r="AI48"/>
  <c r="AJ22"/>
  <c r="AJ21"/>
  <c r="AJ38"/>
  <c r="AJ37"/>
  <c r="AJ36"/>
  <c r="AJ35"/>
  <c r="AJ34"/>
  <c r="AJ33"/>
  <c r="AJ32"/>
  <c r="AJ31"/>
  <c r="AJ30"/>
  <c r="AJ51"/>
  <c r="AJ50"/>
  <c r="AJ49"/>
  <c r="AJ48"/>
  <c r="AK22"/>
  <c r="AK21"/>
  <c r="AK38"/>
  <c r="AK37"/>
  <c r="AK36"/>
  <c r="AK35"/>
  <c r="AK34"/>
  <c r="AK33"/>
  <c r="AK31"/>
  <c r="AK30"/>
  <c r="AK51"/>
  <c r="AK49"/>
  <c r="AK48"/>
  <c r="AL22"/>
  <c r="AL21"/>
  <c r="AL38"/>
  <c r="AL37"/>
  <c r="AL36"/>
  <c r="AL35"/>
  <c r="AL34"/>
  <c r="AL31"/>
  <c r="AL30"/>
  <c r="AL51"/>
  <c r="AL49"/>
  <c r="AL48"/>
  <c r="AM22"/>
  <c r="AM21"/>
  <c r="AM38"/>
  <c r="AM37"/>
  <c r="AM36"/>
  <c r="AM35"/>
  <c r="AM34"/>
  <c r="AM31"/>
  <c r="AM30"/>
  <c r="AM51"/>
  <c r="AM49"/>
  <c r="AM48"/>
  <c r="AN22"/>
  <c r="AN21"/>
  <c r="AN38"/>
  <c r="AN37"/>
  <c r="AN36"/>
  <c r="AN35"/>
  <c r="AN34"/>
  <c r="AN31"/>
  <c r="AN49"/>
  <c r="AO22"/>
  <c r="AO21"/>
  <c r="AO38"/>
  <c r="AO37"/>
  <c r="AO36"/>
  <c r="AO35"/>
  <c r="AO34"/>
  <c r="AO31"/>
  <c r="AO49"/>
  <c r="AP22"/>
  <c r="AP21"/>
  <c r="AP38"/>
  <c r="AP37"/>
  <c r="AP36"/>
  <c r="AP35"/>
  <c r="AP34"/>
  <c r="AP31"/>
  <c r="AP49"/>
  <c r="AQ22"/>
  <c r="AQ21"/>
  <c r="AQ38"/>
  <c r="AQ37"/>
  <c r="AQ36"/>
  <c r="AQ35"/>
  <c r="AQ34"/>
  <c r="AQ31"/>
  <c r="AQ49"/>
  <c r="G29" i="15"/>
  <c r="H29"/>
  <c r="I29"/>
  <c r="J29"/>
  <c r="K29"/>
  <c r="L29"/>
  <c r="M29"/>
  <c r="M30"/>
  <c r="M31"/>
  <c r="N29"/>
  <c r="N30"/>
  <c r="N31"/>
  <c r="O29"/>
  <c r="O30"/>
  <c r="O31"/>
  <c r="P29"/>
  <c r="P30"/>
  <c r="P31"/>
  <c r="Q29"/>
  <c r="Q30"/>
  <c r="Q31"/>
  <c r="R29"/>
  <c r="R30"/>
  <c r="R31"/>
  <c r="S29"/>
  <c r="S30"/>
  <c r="S31"/>
  <c r="T29"/>
  <c r="T30"/>
  <c r="T31"/>
  <c r="U29"/>
  <c r="U30"/>
  <c r="U31"/>
  <c r="V29"/>
  <c r="V30"/>
  <c r="V31"/>
  <c r="W29"/>
  <c r="W30"/>
  <c r="W31"/>
  <c r="X30"/>
  <c r="X31"/>
  <c r="Y29"/>
  <c r="Y30"/>
  <c r="Y31"/>
  <c r="Z29"/>
  <c r="Z30"/>
  <c r="Z31"/>
  <c r="AA29"/>
  <c r="AA30"/>
  <c r="AA31"/>
  <c r="AB29"/>
  <c r="AB30"/>
  <c r="AB31"/>
  <c r="AC29"/>
  <c r="AC30"/>
  <c r="AC31"/>
  <c r="AD29"/>
  <c r="AD30"/>
  <c r="AD31"/>
  <c r="AE29"/>
  <c r="AE30"/>
  <c r="AE31"/>
  <c r="AF29"/>
  <c r="AF30"/>
  <c r="AF31"/>
  <c r="AG29"/>
  <c r="AG30"/>
  <c r="AG31"/>
  <c r="AH29"/>
  <c r="AH30"/>
  <c r="AH31"/>
  <c r="AI29"/>
  <c r="AI30"/>
  <c r="AI31"/>
  <c r="AJ29"/>
  <c r="AJ30"/>
  <c r="AJ31"/>
  <c r="AK29"/>
  <c r="AK30"/>
  <c r="AK31"/>
  <c r="AL29"/>
  <c r="AL30"/>
  <c r="AL31"/>
  <c r="AM29"/>
  <c r="AM30"/>
  <c r="AM31"/>
  <c r="AN29"/>
  <c r="AN30"/>
  <c r="AN31"/>
  <c r="AO29"/>
  <c r="AO30"/>
  <c r="AO31"/>
  <c r="AP29"/>
  <c r="AP30"/>
  <c r="AP31"/>
  <c r="AQ29"/>
  <c r="AQ30"/>
  <c r="AQ31"/>
  <c r="AR29"/>
  <c r="AR30"/>
  <c r="AR31"/>
  <c r="AS29"/>
  <c r="AS30"/>
  <c r="AS31"/>
  <c r="AT29"/>
  <c r="AT30"/>
  <c r="AT31"/>
  <c r="AU29"/>
  <c r="AU30"/>
  <c r="AU31"/>
  <c r="AV29"/>
  <c r="AV30"/>
  <c r="AV31"/>
  <c r="AF27" i="13"/>
  <c r="AL57" i="12"/>
  <c r="AG27" i="13"/>
  <c r="AM57" i="12"/>
  <c r="AL48"/>
  <c r="AM48"/>
  <c r="AN48"/>
  <c r="AO48"/>
  <c r="AP48"/>
  <c r="AQ48"/>
  <c r="AR48"/>
  <c r="AS48"/>
  <c r="AT48"/>
  <c r="AU48"/>
  <c r="AV48"/>
  <c r="AR22" i="13"/>
  <c r="AR21"/>
  <c r="AR38"/>
  <c r="AR37"/>
  <c r="AR34"/>
  <c r="AR49"/>
  <c r="AS22"/>
  <c r="AS21"/>
  <c r="AS38"/>
  <c r="AS37"/>
  <c r="AS34"/>
  <c r="AS49"/>
  <c r="AT22"/>
  <c r="AT21"/>
  <c r="AT38"/>
  <c r="AT37"/>
  <c r="AT34"/>
  <c r="AT49"/>
  <c r="AU22"/>
  <c r="AU21"/>
  <c r="AU38"/>
  <c r="AU37"/>
  <c r="AU34"/>
  <c r="AU49"/>
  <c r="AV22"/>
  <c r="AV21"/>
  <c r="AV38"/>
  <c r="AV37"/>
  <c r="AV49"/>
  <c r="AW22"/>
  <c r="AW21"/>
  <c r="AW38"/>
  <c r="AW37"/>
  <c r="AW49"/>
  <c r="AX22"/>
  <c r="AX38"/>
  <c r="AX49"/>
  <c r="AY22"/>
  <c r="AY38"/>
  <c r="AY49"/>
  <c r="AZ22"/>
  <c r="AZ49"/>
  <c r="BA22"/>
  <c r="BA49"/>
  <c r="BB22"/>
  <c r="BC22"/>
  <c r="AW29" i="15"/>
  <c r="AW30"/>
  <c r="AW31"/>
  <c r="AX29"/>
  <c r="AX30"/>
  <c r="AX31"/>
  <c r="AY29"/>
  <c r="AY30"/>
  <c r="AY31"/>
  <c r="AZ29"/>
  <c r="AZ30"/>
  <c r="AZ31"/>
  <c r="BA29"/>
  <c r="BA30"/>
  <c r="BA31"/>
  <c r="BB29"/>
  <c r="BB30"/>
  <c r="BB31"/>
  <c r="BC29"/>
  <c r="BC30"/>
  <c r="BC31"/>
  <c r="BD29"/>
  <c r="BD30"/>
  <c r="BD31"/>
  <c r="BE29"/>
  <c r="BE30"/>
  <c r="BE31"/>
  <c r="BF29"/>
  <c r="BF30"/>
  <c r="BF31"/>
  <c r="BG29"/>
  <c r="BG30"/>
  <c r="BG31"/>
  <c r="BH29"/>
  <c r="BH30"/>
  <c r="BH31"/>
  <c r="BD22" i="13"/>
  <c r="BE22"/>
  <c r="BF22"/>
  <c r="BG22"/>
  <c r="BI29" i="15"/>
  <c r="BI30"/>
  <c r="BI31"/>
  <c r="BJ29"/>
  <c r="BJ30"/>
  <c r="BJ31"/>
  <c r="BK29"/>
  <c r="BK30"/>
  <c r="BK31"/>
  <c r="BL29"/>
  <c r="BL30"/>
  <c r="BL31"/>
  <c r="BM29"/>
  <c r="BM30"/>
  <c r="BM31"/>
  <c r="BN29"/>
  <c r="BN30"/>
  <c r="BN31"/>
  <c r="BO29"/>
  <c r="BO30"/>
  <c r="BO31"/>
  <c r="BP29"/>
  <c r="BP30"/>
  <c r="BP31"/>
  <c r="BQ29"/>
  <c r="BQ30"/>
  <c r="BQ31"/>
  <c r="BR29"/>
  <c r="BR30"/>
  <c r="BR31"/>
  <c r="BS29"/>
  <c r="BS30"/>
  <c r="BS31"/>
  <c r="BT29"/>
  <c r="BT30"/>
  <c r="BT31"/>
  <c r="BV29" i="12"/>
  <c r="BW29"/>
  <c r="BX29"/>
  <c r="BY29"/>
  <c r="BZ29"/>
  <c r="CA29"/>
  <c r="CB29"/>
  <c r="CC29"/>
  <c r="CD29"/>
  <c r="CE29"/>
  <c r="CF29"/>
  <c r="CG29"/>
  <c r="BU29" i="15"/>
  <c r="BU30"/>
  <c r="BU31"/>
  <c r="BV29"/>
  <c r="BV30"/>
  <c r="BV31"/>
  <c r="BW29"/>
  <c r="BW30"/>
  <c r="BW31"/>
  <c r="BX29"/>
  <c r="BX30"/>
  <c r="BX31"/>
  <c r="BY29"/>
  <c r="BY30"/>
  <c r="BY31"/>
  <c r="BZ29"/>
  <c r="BZ30"/>
  <c r="BZ31"/>
  <c r="CA29"/>
  <c r="CA30"/>
  <c r="CA31"/>
  <c r="CB29"/>
  <c r="CB30"/>
  <c r="CB31"/>
  <c r="CC29"/>
  <c r="CC30"/>
  <c r="CC31"/>
  <c r="CD29"/>
  <c r="CD30"/>
  <c r="CD31"/>
  <c r="CE29"/>
  <c r="CE30"/>
  <c r="CE31"/>
  <c r="CF29"/>
  <c r="CF30"/>
  <c r="CF31"/>
  <c r="H44" i="36"/>
  <c r="H27" i="13"/>
  <c r="N57" i="12" s="1"/>
  <c r="I27" i="13"/>
  <c r="O57" i="12" s="1"/>
  <c r="J27" i="13"/>
  <c r="P57" i="12" s="1"/>
  <c r="K27" i="13"/>
  <c r="Q57" i="12" s="1"/>
  <c r="L27" i="13"/>
  <c r="R57" i="12" s="1"/>
  <c r="M27" i="13"/>
  <c r="S57" i="12" s="1"/>
  <c r="N27" i="13"/>
  <c r="T57" i="12" s="1"/>
  <c r="O27" i="13"/>
  <c r="U57" i="12" s="1"/>
  <c r="P27" i="13"/>
  <c r="V57" i="12" s="1"/>
  <c r="Q27" i="13"/>
  <c r="W57" i="12" s="1"/>
  <c r="R27" i="13"/>
  <c r="X57" i="12" s="1"/>
  <c r="S27" i="13"/>
  <c r="Y57" i="12" s="1"/>
  <c r="T27" i="13"/>
  <c r="Z57" i="12" s="1"/>
  <c r="U27" i="13"/>
  <c r="AA57" i="12" s="1"/>
  <c r="V27" i="13"/>
  <c r="AB57" i="12" s="1"/>
  <c r="W27" i="13"/>
  <c r="AC57" i="12" s="1"/>
  <c r="X27" i="13"/>
  <c r="AD57" i="12" s="1"/>
  <c r="Y27" i="13"/>
  <c r="AE57" i="12" s="1"/>
  <c r="Z27" i="13"/>
  <c r="AF57" i="12" s="1"/>
  <c r="AA27" i="13"/>
  <c r="AG57" i="12" s="1"/>
  <c r="AB27" i="13"/>
  <c r="AH57" i="12" s="1"/>
  <c r="AC27" i="13"/>
  <c r="AI57" i="12" s="1"/>
  <c r="AD27" i="13"/>
  <c r="AJ57" i="12" s="1"/>
  <c r="AE27" i="13"/>
  <c r="AK57" i="12" s="1"/>
  <c r="H43" i="13"/>
  <c r="N58" i="12" s="1"/>
  <c r="I43" i="13"/>
  <c r="O58" i="12" s="1"/>
  <c r="J43" i="13"/>
  <c r="P58" i="12" s="1"/>
  <c r="K43" i="13"/>
  <c r="Q58" i="12" s="1"/>
  <c r="L43" i="13"/>
  <c r="R58" i="12" s="1"/>
  <c r="M43" i="13"/>
  <c r="S58" i="12" s="1"/>
  <c r="N43" i="13"/>
  <c r="T58" i="12" s="1"/>
  <c r="O43" i="13"/>
  <c r="U58" i="12" s="1"/>
  <c r="P43" i="13"/>
  <c r="V58" i="12" s="1"/>
  <c r="Q43" i="13"/>
  <c r="W58" i="12" s="1"/>
  <c r="R43" i="13"/>
  <c r="X58" i="12" s="1"/>
  <c r="S43" i="13"/>
  <c r="Y58" i="12" s="1"/>
  <c r="T43" i="13"/>
  <c r="Z58" i="12" s="1"/>
  <c r="U43" i="13"/>
  <c r="AA58" i="12" s="1"/>
  <c r="V43" i="13"/>
  <c r="AB58" i="12" s="1"/>
  <c r="W43" i="13"/>
  <c r="AC58" i="12" s="1"/>
  <c r="X43" i="13"/>
  <c r="AD58" i="12" s="1"/>
  <c r="Y43" i="13"/>
  <c r="AE58" i="12" s="1"/>
  <c r="Z43" i="13"/>
  <c r="AF58" i="12" s="1"/>
  <c r="AA43" i="13"/>
  <c r="AG58" i="12" s="1"/>
  <c r="H12" i="13"/>
  <c r="N56" i="12" s="1"/>
  <c r="I12" i="13"/>
  <c r="O56" i="12" s="1"/>
  <c r="O55" s="1"/>
  <c r="O53" s="1"/>
  <c r="O61" s="1"/>
  <c r="J12" i="13"/>
  <c r="P56" i="12" s="1"/>
  <c r="P55" s="1"/>
  <c r="P53" s="1"/>
  <c r="P61" s="1"/>
  <c r="K12" i="13"/>
  <c r="Q56" i="12" s="1"/>
  <c r="Q55" s="1"/>
  <c r="Q53" s="1"/>
  <c r="Q61" s="1"/>
  <c r="L12" i="13"/>
  <c r="R56" i="12" s="1"/>
  <c r="R55" s="1"/>
  <c r="R53" s="1"/>
  <c r="R61" s="1"/>
  <c r="M12" i="13"/>
  <c r="S56" i="12" s="1"/>
  <c r="S55" s="1"/>
  <c r="S53" s="1"/>
  <c r="S61" s="1"/>
  <c r="N12" i="13"/>
  <c r="T56" i="12" s="1"/>
  <c r="T55" s="1"/>
  <c r="T53" s="1"/>
  <c r="T61" s="1"/>
  <c r="O12" i="13"/>
  <c r="U56" i="12" s="1"/>
  <c r="U55" s="1"/>
  <c r="U53" s="1"/>
  <c r="U61" s="1"/>
  <c r="P12" i="13"/>
  <c r="V56" i="12" s="1"/>
  <c r="V55" s="1"/>
  <c r="V53" s="1"/>
  <c r="V61" s="1"/>
  <c r="Q12" i="13"/>
  <c r="W56" i="12" s="1"/>
  <c r="W55" s="1"/>
  <c r="W53" s="1"/>
  <c r="W61" s="1"/>
  <c r="R12" i="13"/>
  <c r="X56" i="12" s="1"/>
  <c r="X55" s="1"/>
  <c r="X53" s="1"/>
  <c r="X61" s="1"/>
  <c r="S12" i="13"/>
  <c r="Y56" i="12" s="1"/>
  <c r="Y55" s="1"/>
  <c r="Y53" s="1"/>
  <c r="Y61" s="1"/>
  <c r="N48"/>
  <c r="L45" i="19" s="1"/>
  <c r="O48" i="12"/>
  <c r="P48"/>
  <c r="N45" i="19" s="1"/>
  <c r="Q48" i="12"/>
  <c r="R48"/>
  <c r="P45" i="19" s="1"/>
  <c r="S48" i="12"/>
  <c r="T48"/>
  <c r="R45" i="19" s="1"/>
  <c r="U48" i="12"/>
  <c r="V48"/>
  <c r="T45" i="19" s="1"/>
  <c r="W48" i="12"/>
  <c r="X48"/>
  <c r="V45" i="19" s="1"/>
  <c r="Y48" i="12"/>
  <c r="Z48"/>
  <c r="X45" i="19" s="1"/>
  <c r="AA48" i="12"/>
  <c r="AB48"/>
  <c r="Z45" i="19" s="1"/>
  <c r="AC48" i="12"/>
  <c r="AD48"/>
  <c r="AB45" i="19" s="1"/>
  <c r="AE48" i="12"/>
  <c r="AF48"/>
  <c r="AD45" i="19" s="1"/>
  <c r="AG48" i="12"/>
  <c r="AH48"/>
  <c r="AF45" i="19" s="1"/>
  <c r="AI48" i="12"/>
  <c r="AJ48"/>
  <c r="AH45" i="19" s="1"/>
  <c r="AK48" i="12"/>
  <c r="B6" i="38"/>
  <c r="B7"/>
  <c r="B5"/>
  <c r="C4"/>
  <c r="D4" s="1"/>
  <c r="E4" s="1"/>
  <c r="F4" s="1"/>
  <c r="G4" s="1"/>
  <c r="A1"/>
  <c r="A3" s="1"/>
  <c r="A18"/>
  <c r="A20" s="1"/>
  <c r="A26"/>
  <c r="C27"/>
  <c r="D27"/>
  <c r="E27" s="1"/>
  <c r="F27" s="1"/>
  <c r="G27" s="1"/>
  <c r="H27" s="1"/>
  <c r="I27" s="1"/>
  <c r="J27" s="1"/>
  <c r="K27" s="1"/>
  <c r="L27" s="1"/>
  <c r="C29"/>
  <c r="D29"/>
  <c r="E29" s="1"/>
  <c r="F29" s="1"/>
  <c r="G29" s="1"/>
  <c r="H29" s="1"/>
  <c r="I29" s="1"/>
  <c r="J29" s="1"/>
  <c r="K29" s="1"/>
  <c r="L29" s="1"/>
  <c r="M29" s="1"/>
  <c r="N29" s="1"/>
  <c r="O29" s="1"/>
  <c r="P29" s="1"/>
  <c r="Q29" s="1"/>
  <c r="R29" s="1"/>
  <c r="S29" s="1"/>
  <c r="T29" s="1"/>
  <c r="U29" s="1"/>
  <c r="V29" s="1"/>
  <c r="W29" s="1"/>
  <c r="X29" s="1"/>
  <c r="Y29" s="1"/>
  <c r="Z29" s="1"/>
  <c r="AA29" s="1"/>
  <c r="AB29" s="1"/>
  <c r="AC29" s="1"/>
  <c r="AD29" s="1"/>
  <c r="AE29" s="1"/>
  <c r="AF29" s="1"/>
  <c r="AG29" s="1"/>
  <c r="AH29" s="1"/>
  <c r="AI29" s="1"/>
  <c r="AJ29" s="1"/>
  <c r="AK29" s="1"/>
  <c r="AL29" s="1"/>
  <c r="AM29" s="1"/>
  <c r="AN29" s="1"/>
  <c r="AO29" s="1"/>
  <c r="AP29" s="1"/>
  <c r="AQ29" s="1"/>
  <c r="AR29" s="1"/>
  <c r="AS29" s="1"/>
  <c r="AT29" s="1"/>
  <c r="AU29" s="1"/>
  <c r="AV29" s="1"/>
  <c r="AW29" s="1"/>
  <c r="AX29" s="1"/>
  <c r="AY29" s="1"/>
  <c r="AZ29" s="1"/>
  <c r="BA29" s="1"/>
  <c r="BB29" s="1"/>
  <c r="BC29" s="1"/>
  <c r="BD29" s="1"/>
  <c r="BE29" s="1"/>
  <c r="BF29" s="1"/>
  <c r="BG29" s="1"/>
  <c r="BH29" s="1"/>
  <c r="BI29" s="1"/>
  <c r="BJ29" s="1"/>
  <c r="BK29" s="1"/>
  <c r="BL29" s="1"/>
  <c r="BM29" s="1"/>
  <c r="BN29" s="1"/>
  <c r="BO29" s="1"/>
  <c r="BP29" s="1"/>
  <c r="BQ29" s="1"/>
  <c r="BR29" s="1"/>
  <c r="BS29" s="1"/>
  <c r="BT29" s="1"/>
  <c r="BU29" s="1"/>
  <c r="BV29" s="1"/>
  <c r="BW29" s="1"/>
  <c r="BX29" s="1"/>
  <c r="BY29" s="1"/>
  <c r="BZ29" s="1"/>
  <c r="CA29" s="1"/>
  <c r="CB29" s="1"/>
  <c r="CC29" s="1"/>
  <c r="CD29" s="1"/>
  <c r="CE29" s="1"/>
  <c r="CF29" s="1"/>
  <c r="CG29" s="1"/>
  <c r="CH29" s="1"/>
  <c r="CI29" s="1"/>
  <c r="CJ29" s="1"/>
  <c r="CK29" s="1"/>
  <c r="CL29" s="1"/>
  <c r="CM29" s="1"/>
  <c r="CN29" s="1"/>
  <c r="CO29" s="1"/>
  <c r="CP29" s="1"/>
  <c r="CQ29" s="1"/>
  <c r="CR29" s="1"/>
  <c r="CS29" s="1"/>
  <c r="CT29" s="1"/>
  <c r="CU29" s="1"/>
  <c r="CV29" s="1"/>
  <c r="CW29" s="1"/>
  <c r="CX29" s="1"/>
  <c r="E43"/>
  <c r="G43"/>
  <c r="A46"/>
  <c r="L29" i="36"/>
  <c r="M28"/>
  <c r="M29"/>
  <c r="M27"/>
  <c r="C54"/>
  <c r="D54"/>
  <c r="E54"/>
  <c r="F54"/>
  <c r="G54"/>
  <c r="H54"/>
  <c r="I54"/>
  <c r="F85" i="19"/>
  <c r="F88"/>
  <c r="G85"/>
  <c r="G88"/>
  <c r="H85"/>
  <c r="H88"/>
  <c r="I85"/>
  <c r="I88"/>
  <c r="J85"/>
  <c r="J88"/>
  <c r="K85"/>
  <c r="K88"/>
  <c r="L85"/>
  <c r="L88"/>
  <c r="M88"/>
  <c r="F45"/>
  <c r="G45"/>
  <c r="H45"/>
  <c r="I45"/>
  <c r="J45"/>
  <c r="K45"/>
  <c r="M45"/>
  <c r="O45"/>
  <c r="Q45"/>
  <c r="S45"/>
  <c r="U45"/>
  <c r="W45"/>
  <c r="Y45"/>
  <c r="AA45"/>
  <c r="AC45"/>
  <c r="AE45"/>
  <c r="AG45"/>
  <c r="AI45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F47"/>
  <c r="G47"/>
  <c r="H47"/>
  <c r="I47"/>
  <c r="J47"/>
  <c r="K47"/>
  <c r="L47"/>
  <c r="T47"/>
  <c r="U47"/>
  <c r="V47"/>
  <c r="W47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K71"/>
  <c r="Q71"/>
  <c r="W71"/>
  <c r="AC71"/>
  <c r="AI71"/>
  <c r="K72"/>
  <c r="Q72"/>
  <c r="W72"/>
  <c r="K73"/>
  <c r="K74"/>
  <c r="Q74"/>
  <c r="W74"/>
  <c r="AC74"/>
  <c r="AI74"/>
  <c r="F99"/>
  <c r="G99"/>
  <c r="H99"/>
  <c r="I99"/>
  <c r="J99"/>
  <c r="K99"/>
  <c r="D13" i="18"/>
  <c r="D14" s="1"/>
  <c r="F5" i="19"/>
  <c r="G5"/>
  <c r="G15" s="1"/>
  <c r="H5"/>
  <c r="I5"/>
  <c r="I15" s="1"/>
  <c r="J5"/>
  <c r="K5"/>
  <c r="K15" s="1"/>
  <c r="L5"/>
  <c r="M5"/>
  <c r="M15" s="1"/>
  <c r="N5"/>
  <c r="O5"/>
  <c r="O15" s="1"/>
  <c r="P5"/>
  <c r="Q5"/>
  <c r="Q15" s="1"/>
  <c r="R5"/>
  <c r="S5"/>
  <c r="S15" s="1"/>
  <c r="T5"/>
  <c r="U5"/>
  <c r="U15" s="1"/>
  <c r="V5"/>
  <c r="W5"/>
  <c r="W15" s="1"/>
  <c r="F6"/>
  <c r="G6"/>
  <c r="G11" s="1"/>
  <c r="H6"/>
  <c r="I6"/>
  <c r="I11" s="1"/>
  <c r="J16" s="1"/>
  <c r="J6"/>
  <c r="K6"/>
  <c r="K11" s="1"/>
  <c r="L16" s="1"/>
  <c r="L6"/>
  <c r="M6"/>
  <c r="M11" s="1"/>
  <c r="N6"/>
  <c r="O6"/>
  <c r="O11" s="1"/>
  <c r="P16" s="1"/>
  <c r="P6"/>
  <c r="Q6"/>
  <c r="Q11" s="1"/>
  <c r="R16" s="1"/>
  <c r="R6"/>
  <c r="S6"/>
  <c r="S11" s="1"/>
  <c r="T6"/>
  <c r="U6"/>
  <c r="U11" s="1"/>
  <c r="V16" s="1"/>
  <c r="V6"/>
  <c r="W6"/>
  <c r="W11" s="1"/>
  <c r="X16" s="1"/>
  <c r="D8"/>
  <c r="F8"/>
  <c r="F11" s="1"/>
  <c r="G16" s="1"/>
  <c r="G8"/>
  <c r="H8"/>
  <c r="H11" s="1"/>
  <c r="I16" s="1"/>
  <c r="I8"/>
  <c r="J8"/>
  <c r="J11" s="1"/>
  <c r="K8"/>
  <c r="L8"/>
  <c r="L11" s="1"/>
  <c r="M16" s="1"/>
  <c r="M8"/>
  <c r="N8"/>
  <c r="N11" s="1"/>
  <c r="O16" s="1"/>
  <c r="O8"/>
  <c r="P8"/>
  <c r="P11" s="1"/>
  <c r="Q8"/>
  <c r="R8"/>
  <c r="R11" s="1"/>
  <c r="S16" s="1"/>
  <c r="S8"/>
  <c r="T8"/>
  <c r="T11" s="1"/>
  <c r="U16" s="1"/>
  <c r="U8"/>
  <c r="V8"/>
  <c r="V11" s="1"/>
  <c r="W8"/>
  <c r="X8"/>
  <c r="Y8"/>
  <c r="Z8"/>
  <c r="AA8"/>
  <c r="AB8"/>
  <c r="AC8"/>
  <c r="AD8"/>
  <c r="AE8"/>
  <c r="AF8"/>
  <c r="AG8"/>
  <c r="AH8"/>
  <c r="AI8"/>
  <c r="F15"/>
  <c r="F18" s="1"/>
  <c r="H15"/>
  <c r="J15"/>
  <c r="J18" s="1"/>
  <c r="L15"/>
  <c r="N15"/>
  <c r="P15"/>
  <c r="P18" s="1"/>
  <c r="R15"/>
  <c r="T15"/>
  <c r="V15"/>
  <c r="V18" s="1"/>
  <c r="R30" i="16"/>
  <c r="Q30"/>
  <c r="P30"/>
  <c r="O30"/>
  <c r="N30"/>
  <c r="M30"/>
  <c r="M29" s="1"/>
  <c r="AJ26" i="19"/>
  <c r="AJ27"/>
  <c r="AK26"/>
  <c r="AK27"/>
  <c r="AJ32"/>
  <c r="AJ44"/>
  <c r="AL26"/>
  <c r="AL27"/>
  <c r="AK32"/>
  <c r="AK44"/>
  <c r="AM26"/>
  <c r="AM27"/>
  <c r="AL32"/>
  <c r="AL44"/>
  <c r="AN26"/>
  <c r="AN27"/>
  <c r="AM32"/>
  <c r="AM43"/>
  <c r="AM44"/>
  <c r="AO26"/>
  <c r="AO27"/>
  <c r="AN32"/>
  <c r="AN42"/>
  <c r="AN44"/>
  <c r="AP26"/>
  <c r="AP27"/>
  <c r="AO32"/>
  <c r="AO44"/>
  <c r="AQ26"/>
  <c r="AQ27"/>
  <c r="AP32"/>
  <c r="AP44"/>
  <c r="AR26"/>
  <c r="AR27"/>
  <c r="AQ32"/>
  <c r="AQ44"/>
  <c r="AS26"/>
  <c r="AS27"/>
  <c r="AR32"/>
  <c r="AR44"/>
  <c r="AT26"/>
  <c r="AT27"/>
  <c r="AS32"/>
  <c r="AS43"/>
  <c r="AS44"/>
  <c r="AU26"/>
  <c r="AU27"/>
  <c r="AT32"/>
  <c r="E21" i="36"/>
  <c r="AJ45" i="19"/>
  <c r="AK45"/>
  <c r="AL45"/>
  <c r="AM45"/>
  <c r="AN45"/>
  <c r="AO45"/>
  <c r="AP45"/>
  <c r="AQ45"/>
  <c r="AR45"/>
  <c r="AS45"/>
  <c r="AT45"/>
  <c r="AJ48"/>
  <c r="AK48"/>
  <c r="AL48"/>
  <c r="AM48"/>
  <c r="AN48"/>
  <c r="AO48"/>
  <c r="AP48"/>
  <c r="AQ48"/>
  <c r="AR48"/>
  <c r="AS48"/>
  <c r="AT48"/>
  <c r="AU48"/>
  <c r="AO71"/>
  <c r="AO74"/>
  <c r="AU74"/>
  <c r="AJ8"/>
  <c r="AK8"/>
  <c r="AL8"/>
  <c r="AM8"/>
  <c r="AN8"/>
  <c r="AO8"/>
  <c r="AP8"/>
  <c r="AQ8"/>
  <c r="AR8"/>
  <c r="AS8"/>
  <c r="AT8"/>
  <c r="AU8"/>
  <c r="AV26"/>
  <c r="AV27"/>
  <c r="AU32"/>
  <c r="AW26"/>
  <c r="AW27"/>
  <c r="AV32"/>
  <c r="AX26"/>
  <c r="AX27"/>
  <c r="AW32"/>
  <c r="AY26"/>
  <c r="AY27"/>
  <c r="AX32"/>
  <c r="AZ26"/>
  <c r="AZ27"/>
  <c r="AY32"/>
  <c r="BA26"/>
  <c r="BA27"/>
  <c r="AZ32"/>
  <c r="BB26"/>
  <c r="BB27"/>
  <c r="BA32"/>
  <c r="BC26"/>
  <c r="BC27"/>
  <c r="BB32"/>
  <c r="BD26"/>
  <c r="BD27"/>
  <c r="BC32"/>
  <c r="BE26"/>
  <c r="BE27"/>
  <c r="BD32"/>
  <c r="BF26"/>
  <c r="BF27"/>
  <c r="BE32"/>
  <c r="BG26"/>
  <c r="BG27"/>
  <c r="BF32"/>
  <c r="F21" i="36"/>
  <c r="AV48" i="19"/>
  <c r="AW48"/>
  <c r="AX48"/>
  <c r="AY48"/>
  <c r="AZ48"/>
  <c r="BA48"/>
  <c r="BB48"/>
  <c r="BC48"/>
  <c r="BD48"/>
  <c r="BE48"/>
  <c r="BF48"/>
  <c r="BG48"/>
  <c r="BA74"/>
  <c r="BG74"/>
  <c r="AV8"/>
  <c r="AW8"/>
  <c r="AX8"/>
  <c r="AY8"/>
  <c r="AZ8"/>
  <c r="BA8"/>
  <c r="BB8"/>
  <c r="BC8"/>
  <c r="BD8"/>
  <c r="BE8"/>
  <c r="BF8"/>
  <c r="BG8"/>
  <c r="BH26"/>
  <c r="BH27"/>
  <c r="BG32"/>
  <c r="BI26"/>
  <c r="BI27"/>
  <c r="BH32"/>
  <c r="BJ26"/>
  <c r="BJ27"/>
  <c r="BI32"/>
  <c r="BK26"/>
  <c r="BK27"/>
  <c r="BJ32"/>
  <c r="BL26"/>
  <c r="BL27"/>
  <c r="BK32"/>
  <c r="BM26"/>
  <c r="BM27"/>
  <c r="BL32"/>
  <c r="BN26"/>
  <c r="BN27"/>
  <c r="BM32"/>
  <c r="BO26"/>
  <c r="BO27"/>
  <c r="BN32"/>
  <c r="BP26"/>
  <c r="BP27"/>
  <c r="BO32"/>
  <c r="BQ26"/>
  <c r="BQ27"/>
  <c r="BP32"/>
  <c r="BR26"/>
  <c r="BR27"/>
  <c r="BQ32"/>
  <c r="BS26"/>
  <c r="BS27"/>
  <c r="BR32"/>
  <c r="G21" i="36"/>
  <c r="BH48" i="19"/>
  <c r="BI48"/>
  <c r="BJ48"/>
  <c r="BK48"/>
  <c r="BL48"/>
  <c r="BM48"/>
  <c r="BN48"/>
  <c r="BO48"/>
  <c r="BP48"/>
  <c r="BQ48"/>
  <c r="BR48"/>
  <c r="BS48"/>
  <c r="BM74"/>
  <c r="BS74"/>
  <c r="BH8"/>
  <c r="BI8"/>
  <c r="BJ8"/>
  <c r="BK8"/>
  <c r="BL8"/>
  <c r="BM8"/>
  <c r="BN8"/>
  <c r="BO8"/>
  <c r="BP8"/>
  <c r="BQ8"/>
  <c r="BR8"/>
  <c r="BS8"/>
  <c r="H48" i="36"/>
  <c r="H21"/>
  <c r="H42"/>
  <c r="I21"/>
  <c r="F79" i="19"/>
  <c r="F20"/>
  <c r="M40" i="16" s="1"/>
  <c r="A1" i="37"/>
  <c r="A3" s="1"/>
  <c r="B4"/>
  <c r="B13" s="1"/>
  <c r="C4"/>
  <c r="E4"/>
  <c r="F4" s="1"/>
  <c r="G4" s="1"/>
  <c r="C5"/>
  <c r="D5"/>
  <c r="E5"/>
  <c r="F5"/>
  <c r="B6"/>
  <c r="C6"/>
  <c r="D6"/>
  <c r="E6"/>
  <c r="F6"/>
  <c r="G6"/>
  <c r="B7"/>
  <c r="C7"/>
  <c r="D7"/>
  <c r="E7"/>
  <c r="F7"/>
  <c r="G7"/>
  <c r="B8"/>
  <c r="C8"/>
  <c r="C9" s="1"/>
  <c r="D8"/>
  <c r="E8"/>
  <c r="E9" s="1"/>
  <c r="F8"/>
  <c r="G8"/>
  <c r="G9" s="1"/>
  <c r="D9"/>
  <c r="F9"/>
  <c r="B10"/>
  <c r="C10"/>
  <c r="D10"/>
  <c r="E10"/>
  <c r="F10"/>
  <c r="G10"/>
  <c r="B11"/>
  <c r="C11"/>
  <c r="D11"/>
  <c r="E11"/>
  <c r="F11"/>
  <c r="C13"/>
  <c r="D13"/>
  <c r="E13" s="1"/>
  <c r="F13"/>
  <c r="G13" s="1"/>
  <c r="E15"/>
  <c r="F15" s="1"/>
  <c r="F16" s="1"/>
  <c r="F18" s="1"/>
  <c r="G15"/>
  <c r="G16" s="1"/>
  <c r="G18" s="1"/>
  <c r="B16"/>
  <c r="C16"/>
  <c r="C18" s="1"/>
  <c r="D16"/>
  <c r="E16"/>
  <c r="E18" s="1"/>
  <c r="B18"/>
  <c r="D18"/>
  <c r="F20"/>
  <c r="F21" s="1"/>
  <c r="G20"/>
  <c r="G21" s="1"/>
  <c r="G11" s="1"/>
  <c r="B23"/>
  <c r="C23"/>
  <c r="D23"/>
  <c r="E23"/>
  <c r="F23"/>
  <c r="G23"/>
  <c r="B25"/>
  <c r="C25"/>
  <c r="D25"/>
  <c r="E25"/>
  <c r="F25"/>
  <c r="G25"/>
  <c r="B27"/>
  <c r="C27"/>
  <c r="D27"/>
  <c r="E27"/>
  <c r="F27"/>
  <c r="G27"/>
  <c r="A1" i="36"/>
  <c r="A3"/>
  <c r="E4"/>
  <c r="F4"/>
  <c r="M9"/>
  <c r="N9" s="1"/>
  <c r="O9" s="1"/>
  <c r="P9" s="1"/>
  <c r="Q9" s="1"/>
  <c r="L12"/>
  <c r="M12"/>
  <c r="N12"/>
  <c r="O12"/>
  <c r="P12"/>
  <c r="M15"/>
  <c r="N15" s="1"/>
  <c r="O15" s="1"/>
  <c r="P15" s="1"/>
  <c r="Q15" s="1"/>
  <c r="O18"/>
  <c r="P18"/>
  <c r="A24"/>
  <c r="C25"/>
  <c r="D25"/>
  <c r="E25"/>
  <c r="A36"/>
  <c r="C37"/>
  <c r="D37"/>
  <c r="E37"/>
  <c r="E53" s="1"/>
  <c r="E61" s="1"/>
  <c r="A52"/>
  <c r="D53"/>
  <c r="A60"/>
  <c r="D61"/>
  <c r="A62"/>
  <c r="A63"/>
  <c r="A64"/>
  <c r="A66"/>
  <c r="E17" i="15"/>
  <c r="H13"/>
  <c r="I13"/>
  <c r="J13"/>
  <c r="K13"/>
  <c r="H24"/>
  <c r="I24"/>
  <c r="J24"/>
  <c r="K24"/>
  <c r="H25"/>
  <c r="I25"/>
  <c r="F6" i="18" s="1"/>
  <c r="H40" i="19" s="1"/>
  <c r="H86" s="1"/>
  <c r="H89" s="1"/>
  <c r="I91" s="1"/>
  <c r="J25" i="15"/>
  <c r="K25"/>
  <c r="H6" i="18" s="1"/>
  <c r="J40" i="19" s="1"/>
  <c r="J86" s="1"/>
  <c r="J89" s="1"/>
  <c r="K91" s="1"/>
  <c r="H32" i="15"/>
  <c r="I32"/>
  <c r="J32"/>
  <c r="K32"/>
  <c r="H33"/>
  <c r="I33"/>
  <c r="J33"/>
  <c r="K33"/>
  <c r="H34"/>
  <c r="I34"/>
  <c r="J34"/>
  <c r="K34"/>
  <c r="H35"/>
  <c r="I35"/>
  <c r="J35"/>
  <c r="K35"/>
  <c r="H36"/>
  <c r="I36"/>
  <c r="J36"/>
  <c r="K36"/>
  <c r="H37"/>
  <c r="I37"/>
  <c r="J37"/>
  <c r="K37"/>
  <c r="H38"/>
  <c r="I38"/>
  <c r="J38"/>
  <c r="K38"/>
  <c r="H39"/>
  <c r="I39"/>
  <c r="J39"/>
  <c r="K39"/>
  <c r="H40"/>
  <c r="I40"/>
  <c r="J40"/>
  <c r="K40"/>
  <c r="H41"/>
  <c r="I41"/>
  <c r="J41"/>
  <c r="K41"/>
  <c r="H42"/>
  <c r="I42"/>
  <c r="J42"/>
  <c r="K42"/>
  <c r="H43"/>
  <c r="I43"/>
  <c r="J43"/>
  <c r="K43"/>
  <c r="H44"/>
  <c r="I44"/>
  <c r="J44"/>
  <c r="K44"/>
  <c r="L13"/>
  <c r="L24"/>
  <c r="L25"/>
  <c r="L32"/>
  <c r="L33"/>
  <c r="L34"/>
  <c r="L35"/>
  <c r="L36"/>
  <c r="L37"/>
  <c r="L38"/>
  <c r="L39"/>
  <c r="L40"/>
  <c r="L41"/>
  <c r="L42"/>
  <c r="L43"/>
  <c r="L44"/>
  <c r="AV46" i="12"/>
  <c r="E48" i="13"/>
  <c r="E47"/>
  <c r="E45"/>
  <c r="E37"/>
  <c r="E36"/>
  <c r="E34"/>
  <c r="E33"/>
  <c r="E15"/>
  <c r="G34" i="21"/>
  <c r="E18" i="15" s="1"/>
  <c r="G33" i="21"/>
  <c r="G32"/>
  <c r="AG16" i="15" s="1"/>
  <c r="G23" i="21"/>
  <c r="G22"/>
  <c r="G21"/>
  <c r="G20"/>
  <c r="G19"/>
  <c r="AD57" i="7"/>
  <c r="CF44" i="15"/>
  <c r="CE44"/>
  <c r="CD44"/>
  <c r="CC44"/>
  <c r="CB44"/>
  <c r="CA44"/>
  <c r="BZ44"/>
  <c r="BY44"/>
  <c r="BX44"/>
  <c r="BW44"/>
  <c r="BV44"/>
  <c r="BU44"/>
  <c r="CF43"/>
  <c r="CE43"/>
  <c r="CD43"/>
  <c r="CC43"/>
  <c r="CB43"/>
  <c r="CA43"/>
  <c r="BZ43"/>
  <c r="BY43"/>
  <c r="BX43"/>
  <c r="BW43"/>
  <c r="BV43"/>
  <c r="BU43"/>
  <c r="CF42"/>
  <c r="CE42"/>
  <c r="CD42"/>
  <c r="CC42"/>
  <c r="CB42"/>
  <c r="CA42"/>
  <c r="BZ42"/>
  <c r="BY42"/>
  <c r="BX42"/>
  <c r="BW42"/>
  <c r="BV42"/>
  <c r="BU42"/>
  <c r="CF41"/>
  <c r="CE41"/>
  <c r="CD41"/>
  <c r="CC41"/>
  <c r="CB41"/>
  <c r="CA41"/>
  <c r="BZ41"/>
  <c r="BY41"/>
  <c r="BX41"/>
  <c r="BW41"/>
  <c r="BV41"/>
  <c r="BU41"/>
  <c r="CF40"/>
  <c r="CE40"/>
  <c r="CD40"/>
  <c r="CC40"/>
  <c r="CB40"/>
  <c r="CA40"/>
  <c r="BZ40"/>
  <c r="BY40"/>
  <c r="BX40"/>
  <c r="BW40"/>
  <c r="BV40"/>
  <c r="BU40"/>
  <c r="CF39"/>
  <c r="CE39"/>
  <c r="CD39"/>
  <c r="CC39"/>
  <c r="CB39"/>
  <c r="CA39"/>
  <c r="BZ39"/>
  <c r="BY39"/>
  <c r="BX39"/>
  <c r="BW39"/>
  <c r="BV39"/>
  <c r="BU39"/>
  <c r="CF38"/>
  <c r="CE38"/>
  <c r="CD38"/>
  <c r="CC38"/>
  <c r="CB38"/>
  <c r="CA38"/>
  <c r="BZ38"/>
  <c r="BY38"/>
  <c r="BX38"/>
  <c r="BW38"/>
  <c r="BV38"/>
  <c r="BU38"/>
  <c r="CF37"/>
  <c r="CE37"/>
  <c r="CD37"/>
  <c r="CC37"/>
  <c r="CB37"/>
  <c r="CA37"/>
  <c r="BZ37"/>
  <c r="BY37"/>
  <c r="BX37"/>
  <c r="BW37"/>
  <c r="BV37"/>
  <c r="BU37"/>
  <c r="CF36"/>
  <c r="CE36"/>
  <c r="CD36"/>
  <c r="CC36"/>
  <c r="CB36"/>
  <c r="CA36"/>
  <c r="BZ36"/>
  <c r="BY36"/>
  <c r="BX36"/>
  <c r="BW36"/>
  <c r="BV36"/>
  <c r="BU36"/>
  <c r="CF35"/>
  <c r="CE35"/>
  <c r="CD35"/>
  <c r="CC35"/>
  <c r="CB35"/>
  <c r="CA35"/>
  <c r="BZ35"/>
  <c r="BY35"/>
  <c r="BX35"/>
  <c r="BW35"/>
  <c r="BV35"/>
  <c r="BU35"/>
  <c r="CF34"/>
  <c r="CE34"/>
  <c r="CD34"/>
  <c r="CC34"/>
  <c r="CB34"/>
  <c r="CA34"/>
  <c r="BZ34"/>
  <c r="BY34"/>
  <c r="BX34"/>
  <c r="BW34"/>
  <c r="BV34"/>
  <c r="BU34"/>
  <c r="CF33"/>
  <c r="CE33"/>
  <c r="CD33"/>
  <c r="CC33"/>
  <c r="CB33"/>
  <c r="CA33"/>
  <c r="BZ33"/>
  <c r="BY33"/>
  <c r="BX33"/>
  <c r="BW33"/>
  <c r="BV33"/>
  <c r="BU33"/>
  <c r="CF32"/>
  <c r="CE32"/>
  <c r="CD32"/>
  <c r="CC32"/>
  <c r="CB32"/>
  <c r="CA32"/>
  <c r="BZ32"/>
  <c r="BY32"/>
  <c r="BX32"/>
  <c r="BW32"/>
  <c r="BV32"/>
  <c r="BU32"/>
  <c r="CF24"/>
  <c r="CE24"/>
  <c r="CD24"/>
  <c r="CC24"/>
  <c r="CB24"/>
  <c r="CA24"/>
  <c r="BZ24"/>
  <c r="BY24"/>
  <c r="BX24"/>
  <c r="BW24"/>
  <c r="BV24"/>
  <c r="BU24"/>
  <c r="CF13"/>
  <c r="CE13"/>
  <c r="CD13"/>
  <c r="CC13"/>
  <c r="CB13"/>
  <c r="CA13"/>
  <c r="BZ13"/>
  <c r="BY13"/>
  <c r="BX13"/>
  <c r="BW13"/>
  <c r="BV13"/>
  <c r="BU13"/>
  <c r="CC23" i="18"/>
  <c r="CB23"/>
  <c r="CA23"/>
  <c r="BZ23"/>
  <c r="BY23"/>
  <c r="BX23"/>
  <c r="BW23"/>
  <c r="BV23"/>
  <c r="BU23"/>
  <c r="BT23"/>
  <c r="BS23"/>
  <c r="BR23"/>
  <c r="CC5"/>
  <c r="CC6" s="1"/>
  <c r="CB5"/>
  <c r="CB6" s="1"/>
  <c r="CA5"/>
  <c r="CA6" s="1"/>
  <c r="BZ5"/>
  <c r="BZ6" s="1"/>
  <c r="BY5"/>
  <c r="BY6" s="1"/>
  <c r="BX5"/>
  <c r="BX6" s="1"/>
  <c r="BW5"/>
  <c r="BW6" s="1"/>
  <c r="BV5"/>
  <c r="BV6" s="1"/>
  <c r="BU5"/>
  <c r="BU6" s="1"/>
  <c r="BT5"/>
  <c r="BT6" s="1"/>
  <c r="BS5"/>
  <c r="BS6" s="1"/>
  <c r="BR5"/>
  <c r="BR6" s="1"/>
  <c r="BU100" i="19"/>
  <c r="BX100" s="1"/>
  <c r="CA100"/>
  <c r="CD100" s="1"/>
  <c r="CE74"/>
  <c r="BY74"/>
  <c r="CE72"/>
  <c r="CE48"/>
  <c r="CD48"/>
  <c r="CC48"/>
  <c r="CB48"/>
  <c r="CA48"/>
  <c r="BZ48"/>
  <c r="BY48"/>
  <c r="BX48"/>
  <c r="BW48"/>
  <c r="BV48"/>
  <c r="BU48"/>
  <c r="BT48"/>
  <c r="CD47"/>
  <c r="CB47"/>
  <c r="BZ47"/>
  <c r="BX47"/>
  <c r="BV47"/>
  <c r="BT47"/>
  <c r="CD46"/>
  <c r="CB46"/>
  <c r="BZ46"/>
  <c r="BX46"/>
  <c r="BV46"/>
  <c r="BT46"/>
  <c r="CE40"/>
  <c r="CD40"/>
  <c r="CC40"/>
  <c r="CB40"/>
  <c r="CA40"/>
  <c r="BZ40"/>
  <c r="BY40"/>
  <c r="BX40"/>
  <c r="BW40"/>
  <c r="BV40"/>
  <c r="BU40"/>
  <c r="BT40"/>
  <c r="CE32"/>
  <c r="CD32"/>
  <c r="CC32"/>
  <c r="CB32"/>
  <c r="CA32"/>
  <c r="BZ32"/>
  <c r="BY32"/>
  <c r="BX32"/>
  <c r="BW32"/>
  <c r="BV32"/>
  <c r="BU32"/>
  <c r="BT32"/>
  <c r="CD31"/>
  <c r="CB31"/>
  <c r="BZ31"/>
  <c r="BX31"/>
  <c r="BV31"/>
  <c r="BT31"/>
  <c r="CE27"/>
  <c r="CD27"/>
  <c r="CC27"/>
  <c r="CB27"/>
  <c r="CA27"/>
  <c r="BZ27"/>
  <c r="BY27"/>
  <c r="BX27"/>
  <c r="BW27"/>
  <c r="BV27"/>
  <c r="BU27"/>
  <c r="BT27"/>
  <c r="CE26"/>
  <c r="CD26"/>
  <c r="CC26"/>
  <c r="CB26"/>
  <c r="CA26"/>
  <c r="BZ26"/>
  <c r="BY26"/>
  <c r="BX26"/>
  <c r="BW26"/>
  <c r="BV26"/>
  <c r="BU26"/>
  <c r="BT26"/>
  <c r="CL35" i="16"/>
  <c r="CK35"/>
  <c r="CJ35"/>
  <c r="CI35"/>
  <c r="CH35"/>
  <c r="CG35"/>
  <c r="CF35"/>
  <c r="CE35"/>
  <c r="CD35"/>
  <c r="CC35"/>
  <c r="CB35"/>
  <c r="CA35"/>
  <c r="CK20" i="20"/>
  <c r="CK19"/>
  <c r="CK18"/>
  <c r="CK15"/>
  <c r="CK12"/>
  <c r="CK10"/>
  <c r="CK6"/>
  <c r="CJ20"/>
  <c r="CI20"/>
  <c r="CH20"/>
  <c r="CG20"/>
  <c r="CF20"/>
  <c r="CE20"/>
  <c r="CD20"/>
  <c r="CC20"/>
  <c r="CB20"/>
  <c r="CA20"/>
  <c r="CJ19"/>
  <c r="CI19"/>
  <c r="CH19"/>
  <c r="CG19"/>
  <c r="CF19"/>
  <c r="CE19"/>
  <c r="CD19"/>
  <c r="CC19"/>
  <c r="CB19"/>
  <c r="CA19"/>
  <c r="CJ18"/>
  <c r="CI18"/>
  <c r="CH18"/>
  <c r="CG18"/>
  <c r="CF18"/>
  <c r="CE18"/>
  <c r="CD18"/>
  <c r="CC18"/>
  <c r="CB18"/>
  <c r="CA18"/>
  <c r="CJ15"/>
  <c r="CI15"/>
  <c r="CH15"/>
  <c r="CG15"/>
  <c r="CF15"/>
  <c r="CE15"/>
  <c r="CD15"/>
  <c r="CC15"/>
  <c r="CB15"/>
  <c r="CA15"/>
  <c r="CJ12"/>
  <c r="CI12"/>
  <c r="CH12"/>
  <c r="CG12"/>
  <c r="CF12"/>
  <c r="CE12"/>
  <c r="CD12"/>
  <c r="CC12"/>
  <c r="CB12"/>
  <c r="CA12"/>
  <c r="CJ10"/>
  <c r="CI10"/>
  <c r="CH10"/>
  <c r="CG10"/>
  <c r="CF10"/>
  <c r="CE10"/>
  <c r="CD10"/>
  <c r="CC10"/>
  <c r="CB10"/>
  <c r="CA10"/>
  <c r="CJ6"/>
  <c r="CI6"/>
  <c r="CH6"/>
  <c r="CG6"/>
  <c r="CF6"/>
  <c r="CE6"/>
  <c r="CD6"/>
  <c r="CC6"/>
  <c r="CB6"/>
  <c r="CA6"/>
  <c r="BZ6"/>
  <c r="E14" i="13"/>
  <c r="P67" i="14"/>
  <c r="P66"/>
  <c r="P65"/>
  <c r="P64"/>
  <c r="P63"/>
  <c r="P60"/>
  <c r="P59"/>
  <c r="P52"/>
  <c r="P51"/>
  <c r="P33"/>
  <c r="P32"/>
  <c r="P31"/>
  <c r="P25"/>
  <c r="P24"/>
  <c r="P23"/>
  <c r="P22"/>
  <c r="P17"/>
  <c r="P16"/>
  <c r="P15"/>
  <c r="P14"/>
  <c r="P13"/>
  <c r="P112"/>
  <c r="P106"/>
  <c r="P105"/>
  <c r="P104"/>
  <c r="P100"/>
  <c r="P99"/>
  <c r="P98"/>
  <c r="P102" s="1"/>
  <c r="P88"/>
  <c r="P87"/>
  <c r="P85"/>
  <c r="P81"/>
  <c r="P80"/>
  <c r="P79"/>
  <c r="P78"/>
  <c r="P77"/>
  <c r="P76"/>
  <c r="P75"/>
  <c r="P74"/>
  <c r="P83" s="1"/>
  <c r="P8"/>
  <c r="CG108" i="12"/>
  <c r="CF108"/>
  <c r="CE108"/>
  <c r="CD108"/>
  <c r="CC108"/>
  <c r="CB108"/>
  <c r="CA108"/>
  <c r="BZ108"/>
  <c r="BY108"/>
  <c r="BX108"/>
  <c r="BW108"/>
  <c r="BV108"/>
  <c r="CG102"/>
  <c r="CG110" s="1"/>
  <c r="CF102"/>
  <c r="CF110" s="1"/>
  <c r="CE102"/>
  <c r="CE110" s="1"/>
  <c r="CD102"/>
  <c r="CD110" s="1"/>
  <c r="CC102"/>
  <c r="CC110" s="1"/>
  <c r="CB102"/>
  <c r="CB110" s="1"/>
  <c r="CA102"/>
  <c r="CA110" s="1"/>
  <c r="BZ102"/>
  <c r="BZ110" s="1"/>
  <c r="BY102"/>
  <c r="BY110" s="1"/>
  <c r="BX102"/>
  <c r="BX110" s="1"/>
  <c r="BW102"/>
  <c r="BW110" s="1"/>
  <c r="BV102"/>
  <c r="BV110" s="1"/>
  <c r="CG86"/>
  <c r="CG90" s="1"/>
  <c r="CF86"/>
  <c r="CF90" s="1"/>
  <c r="CE86"/>
  <c r="CE90" s="1"/>
  <c r="CD86"/>
  <c r="CD90" s="1"/>
  <c r="CC86"/>
  <c r="CC90" s="1"/>
  <c r="CB86"/>
  <c r="CB90" s="1"/>
  <c r="CA86"/>
  <c r="CA90" s="1"/>
  <c r="BZ86"/>
  <c r="BZ90" s="1"/>
  <c r="BY86"/>
  <c r="BY90" s="1"/>
  <c r="BX86"/>
  <c r="BX90" s="1"/>
  <c r="BW86"/>
  <c r="BW90" s="1"/>
  <c r="BV86"/>
  <c r="BV90" s="1"/>
  <c r="CG83"/>
  <c r="CG92" s="1"/>
  <c r="CF83"/>
  <c r="CF92" s="1"/>
  <c r="CE83"/>
  <c r="CE92" s="1"/>
  <c r="CD83"/>
  <c r="CD92" s="1"/>
  <c r="CC83"/>
  <c r="CC92" s="1"/>
  <c r="CB83"/>
  <c r="CB92" s="1"/>
  <c r="CA83"/>
  <c r="CA92" s="1"/>
  <c r="BZ83"/>
  <c r="BZ92" s="1"/>
  <c r="BY83"/>
  <c r="BY92" s="1"/>
  <c r="BX83"/>
  <c r="BX92" s="1"/>
  <c r="BW83"/>
  <c r="BW92" s="1"/>
  <c r="BV83"/>
  <c r="BV92" s="1"/>
  <c r="CG51"/>
  <c r="CE47" i="19" s="1"/>
  <c r="CF51" i="12"/>
  <c r="CE51"/>
  <c r="CC47" i="19" s="1"/>
  <c r="CD51" i="12"/>
  <c r="CC51"/>
  <c r="CA47" i="19" s="1"/>
  <c r="CB51" i="12"/>
  <c r="CA51"/>
  <c r="BY47" i="19" s="1"/>
  <c r="BZ51" i="12"/>
  <c r="BY51"/>
  <c r="BW47" i="19" s="1"/>
  <c r="BX51" i="12"/>
  <c r="BW51"/>
  <c r="BU47" i="19" s="1"/>
  <c r="BV51" i="12"/>
  <c r="BY73" i="19" s="1"/>
  <c r="CG50" i="12"/>
  <c r="CE46" i="19" s="1"/>
  <c r="CF50" i="12"/>
  <c r="CE50"/>
  <c r="CC46" i="19" s="1"/>
  <c r="CD50" i="12"/>
  <c r="CC50"/>
  <c r="CA46" i="19" s="1"/>
  <c r="CB50" i="12"/>
  <c r="CA50"/>
  <c r="BY46" i="19" s="1"/>
  <c r="BZ50" i="12"/>
  <c r="BY50"/>
  <c r="BW46" i="19" s="1"/>
  <c r="BX50" i="12"/>
  <c r="BW50"/>
  <c r="BU46" i="19" s="1"/>
  <c r="BV50" i="12"/>
  <c r="BY72" i="19" s="1"/>
  <c r="CG49" i="12"/>
  <c r="CF49"/>
  <c r="CE49"/>
  <c r="CD49"/>
  <c r="CC49"/>
  <c r="CB49"/>
  <c r="CA49"/>
  <c r="BZ49"/>
  <c r="BY49"/>
  <c r="BX49"/>
  <c r="BW49"/>
  <c r="P49" i="14" s="1"/>
  <c r="BV49" i="12"/>
  <c r="CG30"/>
  <c r="CE31" i="19" s="1"/>
  <c r="CF30" i="12"/>
  <c r="CE30"/>
  <c r="CC31" i="19" s="1"/>
  <c r="CD30" i="12"/>
  <c r="CC30"/>
  <c r="CA31" i="19" s="1"/>
  <c r="CB30" i="12"/>
  <c r="CA30"/>
  <c r="BY31" i="19" s="1"/>
  <c r="BZ30" i="12"/>
  <c r="BY30"/>
  <c r="BW31" i="19" s="1"/>
  <c r="BX30" i="12"/>
  <c r="BW30"/>
  <c r="BU31" i="19" s="1"/>
  <c r="BV30" i="12"/>
  <c r="CE30" i="19"/>
  <c r="CE21" i="7"/>
  <c r="CD21"/>
  <c r="CC21"/>
  <c r="CB21"/>
  <c r="CA21"/>
  <c r="BZ21"/>
  <c r="BY21"/>
  <c r="BX21"/>
  <c r="BW21"/>
  <c r="BV21"/>
  <c r="BU21"/>
  <c r="BT21"/>
  <c r="BT22"/>
  <c r="CD16"/>
  <c r="BZ16"/>
  <c r="BV16"/>
  <c r="CE13"/>
  <c r="CD13"/>
  <c r="CC13"/>
  <c r="CB13"/>
  <c r="CA13"/>
  <c r="BZ13"/>
  <c r="BY13"/>
  <c r="BX13"/>
  <c r="BW13"/>
  <c r="BV13"/>
  <c r="BU13"/>
  <c r="BT13"/>
  <c r="T5" i="13"/>
  <c r="U5"/>
  <c r="V5" s="1"/>
  <c r="W5"/>
  <c r="X5" s="1"/>
  <c r="Y5" s="1"/>
  <c r="Z5" s="1"/>
  <c r="AA5" s="1"/>
  <c r="AB5" s="1"/>
  <c r="AC5" s="1"/>
  <c r="AD5" s="1"/>
  <c r="AE5" s="1"/>
  <c r="AF5" s="1"/>
  <c r="E18"/>
  <c r="E16"/>
  <c r="E35"/>
  <c r="E32"/>
  <c r="E31"/>
  <c r="E30"/>
  <c r="E29"/>
  <c r="E46"/>
  <c r="E51"/>
  <c r="E38"/>
  <c r="AN13" i="29"/>
  <c r="AT29" i="12" s="1"/>
  <c r="AR30" i="19" s="1"/>
  <c r="AN27" i="16"/>
  <c r="AO27" s="1"/>
  <c r="AI27"/>
  <c r="AJ27" s="1"/>
  <c r="T13" i="29"/>
  <c r="Z29" i="12" s="1"/>
  <c r="X30" i="19" s="1"/>
  <c r="T28" i="16"/>
  <c r="U28"/>
  <c r="V28" s="1"/>
  <c r="AE27"/>
  <c r="AF27" s="1"/>
  <c r="T27"/>
  <c r="U27" s="1"/>
  <c r="V27" s="1"/>
  <c r="BE13" i="7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D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D19"/>
  <c r="M19" s="1"/>
  <c r="O19"/>
  <c r="S19"/>
  <c r="W19"/>
  <c r="AA19"/>
  <c r="AE19"/>
  <c r="AI19"/>
  <c r="AM19"/>
  <c r="AQ19"/>
  <c r="AU19"/>
  <c r="AY19"/>
  <c r="BC19"/>
  <c r="BG19"/>
  <c r="BG23" s="1"/>
  <c r="BK19"/>
  <c r="BK23" s="1"/>
  <c r="BO19"/>
  <c r="BO23" s="1"/>
  <c r="BS19"/>
  <c r="D30"/>
  <c r="AR30"/>
  <c r="AV30"/>
  <c r="D33"/>
  <c r="AW30"/>
  <c r="AX30"/>
  <c r="AY30"/>
  <c r="AZ30"/>
  <c r="BA30"/>
  <c r="BB30"/>
  <c r="BC30"/>
  <c r="BD30"/>
  <c r="BE30"/>
  <c r="BF13"/>
  <c r="BF30"/>
  <c r="BG13"/>
  <c r="BG30"/>
  <c r="L8" i="14"/>
  <c r="L13"/>
  <c r="L14"/>
  <c r="L15"/>
  <c r="L16"/>
  <c r="L17"/>
  <c r="BH13" i="7"/>
  <c r="BH30"/>
  <c r="BI13"/>
  <c r="BI30"/>
  <c r="BJ13"/>
  <c r="BJ30"/>
  <c r="BK13"/>
  <c r="BK30"/>
  <c r="BL13"/>
  <c r="BL30"/>
  <c r="BM13"/>
  <c r="BM30"/>
  <c r="BN13"/>
  <c r="BN30"/>
  <c r="BO13"/>
  <c r="BO30"/>
  <c r="BP13"/>
  <c r="BP30"/>
  <c r="BQ13"/>
  <c r="BQ30"/>
  <c r="BR13"/>
  <c r="BR30"/>
  <c r="BS13"/>
  <c r="BS23"/>
  <c r="BS43" s="1"/>
  <c r="BS45" s="1"/>
  <c r="BS30"/>
  <c r="BS33"/>
  <c r="BS36" s="1"/>
  <c r="N8" i="14"/>
  <c r="N13"/>
  <c r="N14"/>
  <c r="N15"/>
  <c r="N16"/>
  <c r="N17"/>
  <c r="N74"/>
  <c r="N75"/>
  <c r="N76"/>
  <c r="N77"/>
  <c r="N78"/>
  <c r="N79"/>
  <c r="N80"/>
  <c r="N81"/>
  <c r="N98"/>
  <c r="N99"/>
  <c r="N100"/>
  <c r="N22"/>
  <c r="N23"/>
  <c r="N24"/>
  <c r="N25"/>
  <c r="N63"/>
  <c r="N64"/>
  <c r="N65"/>
  <c r="N66"/>
  <c r="L13" i="7"/>
  <c r="L30"/>
  <c r="M13"/>
  <c r="M30"/>
  <c r="M55"/>
  <c r="N55" s="1"/>
  <c r="N13"/>
  <c r="N30"/>
  <c r="N33"/>
  <c r="N36" s="1"/>
  <c r="N61"/>
  <c r="P28" i="12" s="1"/>
  <c r="N29" i="19" s="1"/>
  <c r="O13" i="7"/>
  <c r="O23" s="1"/>
  <c r="O30"/>
  <c r="O61"/>
  <c r="Q28" i="12" s="1"/>
  <c r="O29" i="19" s="1"/>
  <c r="P13" i="7"/>
  <c r="P30"/>
  <c r="P33"/>
  <c r="P36" s="1"/>
  <c r="P61"/>
  <c r="R28" i="12" s="1"/>
  <c r="P29" i="19" s="1"/>
  <c r="Q13" i="7"/>
  <c r="Q30"/>
  <c r="Q61"/>
  <c r="S28" i="12" s="1"/>
  <c r="Q29" i="19" s="1"/>
  <c r="R13" i="7"/>
  <c r="R30"/>
  <c r="R33"/>
  <c r="R36" s="1"/>
  <c r="R61"/>
  <c r="T28" i="12" s="1"/>
  <c r="R29" i="19" s="1"/>
  <c r="S13" i="7"/>
  <c r="S23" s="1"/>
  <c r="S30"/>
  <c r="S61"/>
  <c r="U28" i="12" s="1"/>
  <c r="S29" i="19" s="1"/>
  <c r="T13" i="7"/>
  <c r="T30"/>
  <c r="T33"/>
  <c r="T36" s="1"/>
  <c r="T61"/>
  <c r="V28" i="12" s="1"/>
  <c r="T29" i="19" s="1"/>
  <c r="U13" i="7"/>
  <c r="U30"/>
  <c r="U61"/>
  <c r="W28" i="12" s="1"/>
  <c r="U29" i="19" s="1"/>
  <c r="V13" i="7"/>
  <c r="V30"/>
  <c r="V33"/>
  <c r="V36" s="1"/>
  <c r="V61"/>
  <c r="X28" i="12" s="1"/>
  <c r="V29" i="19" s="1"/>
  <c r="W13" i="7"/>
  <c r="W23" s="1"/>
  <c r="W30"/>
  <c r="W61"/>
  <c r="Y28" i="12" s="1"/>
  <c r="W29" i="19" s="1"/>
  <c r="X13" i="7"/>
  <c r="X30"/>
  <c r="X33"/>
  <c r="X36" s="1"/>
  <c r="X37" s="1"/>
  <c r="X61"/>
  <c r="Z28" i="12" s="1"/>
  <c r="X29" i="19" s="1"/>
  <c r="Y13" i="7"/>
  <c r="Y30"/>
  <c r="Y61"/>
  <c r="AA28" i="12" s="1"/>
  <c r="Y29" i="19" s="1"/>
  <c r="U13" i="29"/>
  <c r="AA29" i="12" s="1"/>
  <c r="Y30" i="19" s="1"/>
  <c r="Z13" i="7"/>
  <c r="Z30"/>
  <c r="Z61"/>
  <c r="AB28" i="12" s="1"/>
  <c r="Z29" i="19" s="1"/>
  <c r="V13" i="29"/>
  <c r="AB29" i="12" s="1"/>
  <c r="Z30" i="19" s="1"/>
  <c r="AA30" i="7"/>
  <c r="O55"/>
  <c r="P55" s="1"/>
  <c r="Q55" s="1"/>
  <c r="R55" s="1"/>
  <c r="S55" s="1"/>
  <c r="T55" s="1"/>
  <c r="U55" s="1"/>
  <c r="V55" s="1"/>
  <c r="W55" s="1"/>
  <c r="X55" s="1"/>
  <c r="Y55" s="1"/>
  <c r="Z55" s="1"/>
  <c r="AA55" s="1"/>
  <c r="AB55" s="1"/>
  <c r="AC55" s="1"/>
  <c r="AD55" s="1"/>
  <c r="AE55" s="1"/>
  <c r="AF55" s="1"/>
  <c r="AG55" s="1"/>
  <c r="AH55" s="1"/>
  <c r="AI55" s="1"/>
  <c r="W13" i="29"/>
  <c r="AC29" i="12" s="1"/>
  <c r="AA30" i="19" s="1"/>
  <c r="AB30" i="7"/>
  <c r="X13" i="29"/>
  <c r="AD29" i="12" s="1"/>
  <c r="AB30" i="19" s="1"/>
  <c r="AC30" i="7"/>
  <c r="Y13" i="29"/>
  <c r="AE29" i="12" s="1"/>
  <c r="AC30" i="19" s="1"/>
  <c r="AD30" i="7"/>
  <c r="Z13" i="29"/>
  <c r="AF29" i="12" s="1"/>
  <c r="AD30" i="19" s="1"/>
  <c r="AE30" i="7"/>
  <c r="AE33"/>
  <c r="AE36" s="1"/>
  <c r="AA13" i="29"/>
  <c r="AG29" i="12" s="1"/>
  <c r="AE30" i="19" s="1"/>
  <c r="AF30" i="7"/>
  <c r="AB13" i="29"/>
  <c r="AH29" i="12" s="1"/>
  <c r="AF30" i="19" s="1"/>
  <c r="AG30" i="7"/>
  <c r="AG33"/>
  <c r="AG36" s="1"/>
  <c r="AC13" i="29"/>
  <c r="AI29" i="12" s="1"/>
  <c r="AG30" i="19" s="1"/>
  <c r="AH30" i="7"/>
  <c r="AD13" i="29"/>
  <c r="AJ29" i="12" s="1"/>
  <c r="AH30" i="19" s="1"/>
  <c r="AE13" i="29"/>
  <c r="AK29" i="12" s="1"/>
  <c r="AI30" i="19" s="1"/>
  <c r="AJ33" i="7"/>
  <c r="AF13" i="29"/>
  <c r="AL29" i="12" s="1"/>
  <c r="AK33" i="7"/>
  <c r="AK55"/>
  <c r="AG13" i="29"/>
  <c r="AM29" i="12" s="1"/>
  <c r="AK30" i="19" s="1"/>
  <c r="AL55" i="7"/>
  <c r="AM55" s="1"/>
  <c r="AH13" i="29"/>
  <c r="AN29" i="12" s="1"/>
  <c r="AL30" i="19" s="1"/>
  <c r="AM33" i="7"/>
  <c r="AI13" i="29"/>
  <c r="AO29" i="12" s="1"/>
  <c r="AM30" i="19" s="1"/>
  <c r="AN55" i="7"/>
  <c r="AO55" s="1"/>
  <c r="AJ13" i="29"/>
  <c r="AP29" i="12" s="1"/>
  <c r="AN30" i="19" s="1"/>
  <c r="AO33" i="7"/>
  <c r="AK13" i="29"/>
  <c r="AQ29" i="12" s="1"/>
  <c r="AO30" i="19" s="1"/>
  <c r="AP55" i="7"/>
  <c r="AQ55" s="1"/>
  <c r="AL13" i="29"/>
  <c r="AR29" i="12" s="1"/>
  <c r="AP30" i="19" s="1"/>
  <c r="AQ33" i="7"/>
  <c r="AR55"/>
  <c r="AS30"/>
  <c r="AS55"/>
  <c r="AT30"/>
  <c r="AT55"/>
  <c r="AU30"/>
  <c r="AU55"/>
  <c r="N85" i="14"/>
  <c r="N87"/>
  <c r="N88"/>
  <c r="N104"/>
  <c r="N105"/>
  <c r="N106"/>
  <c r="N112"/>
  <c r="J8"/>
  <c r="J13"/>
  <c r="J14"/>
  <c r="J15"/>
  <c r="J16"/>
  <c r="J17"/>
  <c r="L74"/>
  <c r="L75"/>
  <c r="L76"/>
  <c r="L77"/>
  <c r="L78"/>
  <c r="L79"/>
  <c r="L80"/>
  <c r="L81"/>
  <c r="L98"/>
  <c r="L99"/>
  <c r="L100"/>
  <c r="L22"/>
  <c r="L23"/>
  <c r="L24"/>
  <c r="L25"/>
  <c r="L63"/>
  <c r="L64"/>
  <c r="L65"/>
  <c r="L66"/>
  <c r="L85"/>
  <c r="L87"/>
  <c r="L88"/>
  <c r="L104"/>
  <c r="L105"/>
  <c r="L106"/>
  <c r="L108"/>
  <c r="L112"/>
  <c r="I112"/>
  <c r="I106"/>
  <c r="I105"/>
  <c r="I104"/>
  <c r="I100"/>
  <c r="I99"/>
  <c r="I98"/>
  <c r="I88"/>
  <c r="I87"/>
  <c r="I85"/>
  <c r="I81"/>
  <c r="I80"/>
  <c r="I79"/>
  <c r="I78"/>
  <c r="I77"/>
  <c r="I76"/>
  <c r="I75"/>
  <c r="I74"/>
  <c r="I66"/>
  <c r="I65"/>
  <c r="I64"/>
  <c r="I63"/>
  <c r="I60"/>
  <c r="I59"/>
  <c r="I52"/>
  <c r="I46"/>
  <c r="I33"/>
  <c r="I32"/>
  <c r="I31"/>
  <c r="I25"/>
  <c r="I24"/>
  <c r="I23"/>
  <c r="I22"/>
  <c r="I17"/>
  <c r="I16"/>
  <c r="I15"/>
  <c r="I14"/>
  <c r="I13"/>
  <c r="I8"/>
  <c r="Z44" i="12"/>
  <c r="AD44"/>
  <c r="AB43" i="19" s="1"/>
  <c r="AE44" i="12"/>
  <c r="AC43" i="19" s="1"/>
  <c r="AG44" i="12"/>
  <c r="AE43" i="19" s="1"/>
  <c r="AH44" i="12"/>
  <c r="AK44"/>
  <c r="AP44"/>
  <c r="AV44"/>
  <c r="AT43" i="19" s="1"/>
  <c r="AW44" i="12"/>
  <c r="AE43"/>
  <c r="AF43"/>
  <c r="AJ43"/>
  <c r="AK43"/>
  <c r="AQ43"/>
  <c r="AO42" i="19" s="1"/>
  <c r="AR43" i="12"/>
  <c r="T19" i="20"/>
  <c r="S19"/>
  <c r="R19"/>
  <c r="Q19"/>
  <c r="P19"/>
  <c r="O19"/>
  <c r="N19"/>
  <c r="M19"/>
  <c r="L19"/>
  <c r="AG27" i="16"/>
  <c r="AF18" i="20" s="1"/>
  <c r="P13" i="29"/>
  <c r="V29" i="12" s="1"/>
  <c r="T30" i="19" s="1"/>
  <c r="Q13" i="29"/>
  <c r="W29" i="12" s="1"/>
  <c r="U30" i="19" s="1"/>
  <c r="R13" i="29"/>
  <c r="X29" i="12" s="1"/>
  <c r="V30" i="19" s="1"/>
  <c r="S13" i="29"/>
  <c r="Y29" i="12" s="1"/>
  <c r="W30" i="19" s="1"/>
  <c r="AW30" i="12"/>
  <c r="AU31" i="19" s="1"/>
  <c r="G7" i="21"/>
  <c r="E5" i="15" s="1"/>
  <c r="X29" s="1"/>
  <c r="D29"/>
  <c r="S14" i="18"/>
  <c r="P30" i="12"/>
  <c r="N31" i="19" s="1"/>
  <c r="Q30" i="12"/>
  <c r="O31" i="19" s="1"/>
  <c r="R30" i="12"/>
  <c r="P31" i="19" s="1"/>
  <c r="S30" i="12"/>
  <c r="Q31" i="19" s="1"/>
  <c r="T30" i="12"/>
  <c r="R31" i="19" s="1"/>
  <c r="U30" i="12"/>
  <c r="S31" i="19" s="1"/>
  <c r="V30" i="12"/>
  <c r="T31" i="19" s="1"/>
  <c r="W30" i="12"/>
  <c r="U31" i="19" s="1"/>
  <c r="X30" i="12"/>
  <c r="V31" i="19" s="1"/>
  <c r="Y30" i="12"/>
  <c r="W31" i="19" s="1"/>
  <c r="Z30" i="12"/>
  <c r="X31" i="19" s="1"/>
  <c r="AA30" i="12"/>
  <c r="Y31" i="19" s="1"/>
  <c r="AB30" i="12"/>
  <c r="Z31" i="19" s="1"/>
  <c r="AC30" i="12"/>
  <c r="AA31" i="19" s="1"/>
  <c r="AD30" i="12"/>
  <c r="AB31" i="19" s="1"/>
  <c r="AE30" i="12"/>
  <c r="AC31" i="19" s="1"/>
  <c r="AF30" i="12"/>
  <c r="AD31" i="19" s="1"/>
  <c r="AG30" i="12"/>
  <c r="AE31" i="19" s="1"/>
  <c r="AH30" i="12"/>
  <c r="AF31" i="19" s="1"/>
  <c r="AI30" i="12"/>
  <c r="AG31" i="19" s="1"/>
  <c r="AJ30" i="12"/>
  <c r="AH31" i="19" s="1"/>
  <c r="AK30" i="12"/>
  <c r="AI31" i="19" s="1"/>
  <c r="AL30" i="12"/>
  <c r="AM30"/>
  <c r="AK31" i="19" s="1"/>
  <c r="AN30" i="12"/>
  <c r="AL31" i="19" s="1"/>
  <c r="AO30" i="12"/>
  <c r="AM31" i="19" s="1"/>
  <c r="AP30" i="12"/>
  <c r="AN31" i="19" s="1"/>
  <c r="AQ30" i="12"/>
  <c r="AO31" i="19" s="1"/>
  <c r="AR30" i="12"/>
  <c r="AP31" i="19" s="1"/>
  <c r="AS30" i="12"/>
  <c r="AQ31" i="19" s="1"/>
  <c r="AT30" i="12"/>
  <c r="AR31" i="19" s="1"/>
  <c r="AU30" i="12"/>
  <c r="AS31" i="19" s="1"/>
  <c r="AV30" i="12"/>
  <c r="AT31" i="19" s="1"/>
  <c r="BA6" i="20"/>
  <c r="S13" i="15"/>
  <c r="CE8" i="19"/>
  <c r="L20" i="20"/>
  <c r="D15" i="18"/>
  <c r="M35" i="16" s="1"/>
  <c r="L21" i="20" s="1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G18"/>
  <c r="AF6"/>
  <c r="AE6"/>
  <c r="AE18"/>
  <c r="AD6"/>
  <c r="AD18"/>
  <c r="AC6"/>
  <c r="AB6"/>
  <c r="AA6"/>
  <c r="Z6"/>
  <c r="Y6"/>
  <c r="X6"/>
  <c r="W6"/>
  <c r="V6"/>
  <c r="U6"/>
  <c r="T6"/>
  <c r="T18"/>
  <c r="S6"/>
  <c r="R6"/>
  <c r="R15" i="16"/>
  <c r="K79" i="19"/>
  <c r="K80" s="1"/>
  <c r="R17" i="16" s="1"/>
  <c r="K101" i="19"/>
  <c r="R27" i="16"/>
  <c r="R18" i="20" s="1"/>
  <c r="Q4"/>
  <c r="Q5"/>
  <c r="Q6"/>
  <c r="Q15" i="16"/>
  <c r="J79" i="19"/>
  <c r="J80" s="1"/>
  <c r="Q17" i="16" s="1"/>
  <c r="J101" i="19"/>
  <c r="Q18" i="20"/>
  <c r="P4"/>
  <c r="P5"/>
  <c r="P6"/>
  <c r="P15" i="16"/>
  <c r="I79" i="19"/>
  <c r="I80" s="1"/>
  <c r="P17" i="16" s="1"/>
  <c r="I101" i="19"/>
  <c r="P18" i="20"/>
  <c r="O4"/>
  <c r="O5"/>
  <c r="O6"/>
  <c r="O15" i="16"/>
  <c r="H79" i="19"/>
  <c r="H80" s="1"/>
  <c r="O17" i="16" s="1"/>
  <c r="H101" i="19"/>
  <c r="O18" i="20"/>
  <c r="N4"/>
  <c r="N5"/>
  <c r="N6"/>
  <c r="N15" i="16"/>
  <c r="G79" i="19"/>
  <c r="G80" s="1"/>
  <c r="N17" i="16" s="1"/>
  <c r="G101" i="19"/>
  <c r="N18" i="20"/>
  <c r="M4"/>
  <c r="M5"/>
  <c r="M6"/>
  <c r="M15" i="16"/>
  <c r="F80" i="19"/>
  <c r="M17" i="16" s="1"/>
  <c r="M18" i="20"/>
  <c r="L4"/>
  <c r="L5"/>
  <c r="L6"/>
  <c r="L18"/>
  <c r="G27" i="16"/>
  <c r="H13" i="29"/>
  <c r="N29" i="12" s="1"/>
  <c r="L30" i="19" s="1"/>
  <c r="I13" i="29"/>
  <c r="O29" i="12" s="1"/>
  <c r="M30" i="19" s="1"/>
  <c r="J13" i="29"/>
  <c r="P29" i="12" s="1"/>
  <c r="N30" i="19" s="1"/>
  <c r="K13" i="29"/>
  <c r="Q29" i="12" s="1"/>
  <c r="O30" i="19" s="1"/>
  <c r="L13" i="29"/>
  <c r="R29" i="12" s="1"/>
  <c r="P30" i="19" s="1"/>
  <c r="M13" i="29"/>
  <c r="S29" i="12" s="1"/>
  <c r="Q30" i="19" s="1"/>
  <c r="N13" i="29"/>
  <c r="T29" i="12" s="1"/>
  <c r="R30" i="19" s="1"/>
  <c r="O13" i="29"/>
  <c r="U29" i="12" s="1"/>
  <c r="S30" i="19" s="1"/>
  <c r="D30" i="15"/>
  <c r="D31"/>
  <c r="D37"/>
  <c r="D38"/>
  <c r="D39"/>
  <c r="Z13"/>
  <c r="AM13" i="29"/>
  <c r="AS29" i="12" s="1"/>
  <c r="AQ30" i="19" s="1"/>
  <c r="AO13" i="29"/>
  <c r="AU29" i="12" s="1"/>
  <c r="AS30" i="19" s="1"/>
  <c r="AP13" i="29"/>
  <c r="AV29" i="12" s="1"/>
  <c r="AT30" i="19" s="1"/>
  <c r="AQ13" i="29"/>
  <c r="AW29" i="12" s="1"/>
  <c r="AU30" i="19" s="1"/>
  <c r="J22" i="14"/>
  <c r="J23"/>
  <c r="J24"/>
  <c r="J25"/>
  <c r="J63"/>
  <c r="J64"/>
  <c r="J65"/>
  <c r="J66"/>
  <c r="J85"/>
  <c r="J87"/>
  <c r="J88"/>
  <c r="J75"/>
  <c r="J104"/>
  <c r="J105"/>
  <c r="J106"/>
  <c r="J112"/>
  <c r="J74"/>
  <c r="J76"/>
  <c r="J77"/>
  <c r="J78"/>
  <c r="J79"/>
  <c r="J80"/>
  <c r="J81"/>
  <c r="J83"/>
  <c r="J98"/>
  <c r="J99"/>
  <c r="J100"/>
  <c r="J102"/>
  <c r="M32" i="15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2"/>
  <c r="AL33"/>
  <c r="AL34"/>
  <c r="AL35"/>
  <c r="AL36"/>
  <c r="AM32"/>
  <c r="AM33"/>
  <c r="AM34"/>
  <c r="AM35"/>
  <c r="AM36"/>
  <c r="AN32"/>
  <c r="AN33"/>
  <c r="AN34"/>
  <c r="AN35"/>
  <c r="AN36"/>
  <c r="AO32"/>
  <c r="AO33"/>
  <c r="AO34"/>
  <c r="AO35"/>
  <c r="AO36"/>
  <c r="AP32"/>
  <c r="AP33"/>
  <c r="AP34"/>
  <c r="AP35"/>
  <c r="AP36"/>
  <c r="AQ32"/>
  <c r="AQ33"/>
  <c r="AQ34"/>
  <c r="AQ35"/>
  <c r="AQ36"/>
  <c r="AR32"/>
  <c r="AR33"/>
  <c r="AR34"/>
  <c r="AR35"/>
  <c r="AR36"/>
  <c r="AS32"/>
  <c r="AS33"/>
  <c r="AS34"/>
  <c r="AS35"/>
  <c r="AS36"/>
  <c r="AT32"/>
  <c r="AT33"/>
  <c r="AT34"/>
  <c r="AT35"/>
  <c r="AT36"/>
  <c r="AU32"/>
  <c r="AU33"/>
  <c r="AU34"/>
  <c r="AU35"/>
  <c r="AU36"/>
  <c r="AV32"/>
  <c r="AV33"/>
  <c r="AV34"/>
  <c r="AV35"/>
  <c r="AV36"/>
  <c r="BO13" i="29"/>
  <c r="BU29" i="12" s="1"/>
  <c r="BN13" i="29"/>
  <c r="BT29" i="12" s="1"/>
  <c r="BR30" i="19" s="1"/>
  <c r="BM13" i="29"/>
  <c r="BS29" i="12" s="1"/>
  <c r="BQ30" i="19" s="1"/>
  <c r="BL13" i="29"/>
  <c r="BR29" i="12" s="1"/>
  <c r="BP30" i="19" s="1"/>
  <c r="BK13" i="29"/>
  <c r="BQ29" i="12" s="1"/>
  <c r="BO30" i="19" s="1"/>
  <c r="BJ13" i="29"/>
  <c r="BP29" i="12" s="1"/>
  <c r="BN30" i="19" s="1"/>
  <c r="BI13" i="29"/>
  <c r="BO29" i="12" s="1"/>
  <c r="BM30" i="19" s="1"/>
  <c r="BH13" i="29"/>
  <c r="BN29" i="12" s="1"/>
  <c r="BL30" i="19" s="1"/>
  <c r="BG13" i="29"/>
  <c r="BM29" i="12" s="1"/>
  <c r="BK30" i="19" s="1"/>
  <c r="BF13" i="29"/>
  <c r="BL29" i="12" s="1"/>
  <c r="BJ30" i="19" s="1"/>
  <c r="BE13" i="29"/>
  <c r="BK29" i="12" s="1"/>
  <c r="BI30" i="19" s="1"/>
  <c r="BD13" i="29"/>
  <c r="BJ29" i="12" s="1"/>
  <c r="BH30" i="19" s="1"/>
  <c r="BC13" i="29"/>
  <c r="BI29" i="12" s="1"/>
  <c r="BG30" i="19" s="1"/>
  <c r="BB13" i="29"/>
  <c r="BH29" i="12" s="1"/>
  <c r="BF30" i="19" s="1"/>
  <c r="BA13" i="29"/>
  <c r="BG29" i="12" s="1"/>
  <c r="BE30" i="19" s="1"/>
  <c r="AZ13" i="29"/>
  <c r="BF29" i="12" s="1"/>
  <c r="BD30" i="19" s="1"/>
  <c r="AY13" i="29"/>
  <c r="BE29" i="12" s="1"/>
  <c r="BC30" i="19" s="1"/>
  <c r="AX13" i="29"/>
  <c r="BD29" i="12" s="1"/>
  <c r="BB30" i="19" s="1"/>
  <c r="AW13" i="29"/>
  <c r="BC29" i="12" s="1"/>
  <c r="BA30" i="19" s="1"/>
  <c r="AV13" i="29"/>
  <c r="BB29" i="12" s="1"/>
  <c r="AZ30" i="19" s="1"/>
  <c r="AU13" i="29"/>
  <c r="BA29" i="12" s="1"/>
  <c r="AY30" i="19" s="1"/>
  <c r="AT13" i="29"/>
  <c r="AZ29" i="12" s="1"/>
  <c r="AX30" i="19" s="1"/>
  <c r="AS13" i="29"/>
  <c r="AY29" i="12" s="1"/>
  <c r="AW30" i="19" s="1"/>
  <c r="AR13" i="29"/>
  <c r="AX29" i="12" s="1"/>
  <c r="O30"/>
  <c r="M31" i="19" s="1"/>
  <c r="AX30" i="12"/>
  <c r="AY30"/>
  <c r="AW31" i="19" s="1"/>
  <c r="AZ30" i="12"/>
  <c r="AX31" i="19" s="1"/>
  <c r="BA30" i="12"/>
  <c r="AY31" i="19" s="1"/>
  <c r="BB30" i="12"/>
  <c r="AZ31" i="19" s="1"/>
  <c r="BC30" i="12"/>
  <c r="BA31" i="19" s="1"/>
  <c r="BD30" i="12"/>
  <c r="BB31" i="19" s="1"/>
  <c r="BE30" i="12"/>
  <c r="BC31" i="19" s="1"/>
  <c r="BF30" i="12"/>
  <c r="BD31" i="19" s="1"/>
  <c r="BG30" i="12"/>
  <c r="BE31" i="19" s="1"/>
  <c r="BH30" i="12"/>
  <c r="BF31" i="19" s="1"/>
  <c r="BI30" i="12"/>
  <c r="BG31" i="19" s="1"/>
  <c r="BJ30" i="12"/>
  <c r="BK30"/>
  <c r="BI31" i="19" s="1"/>
  <c r="BL30" i="12"/>
  <c r="BJ31" i="19" s="1"/>
  <c r="BM30" i="12"/>
  <c r="BK31" i="19" s="1"/>
  <c r="BN30" i="12"/>
  <c r="BL31" i="19" s="1"/>
  <c r="BO30" i="12"/>
  <c r="BM31" i="19" s="1"/>
  <c r="BP30" i="12"/>
  <c r="BN31" i="19" s="1"/>
  <c r="BQ30" i="12"/>
  <c r="BO31" i="19" s="1"/>
  <c r="BR30" i="12"/>
  <c r="BP31" i="19" s="1"/>
  <c r="BS30" i="12"/>
  <c r="BQ31" i="19" s="1"/>
  <c r="BT30" i="12"/>
  <c r="BR31" i="19" s="1"/>
  <c r="BU30" i="12"/>
  <c r="BQ15" i="29"/>
  <c r="BQ17"/>
  <c r="BQ19"/>
  <c r="BQ21"/>
  <c r="BQ23"/>
  <c r="G41" i="16"/>
  <c r="G33"/>
  <c r="G12"/>
  <c r="Z50" i="12"/>
  <c r="AA50"/>
  <c r="Y46" i="19" s="1"/>
  <c r="AB50" i="12"/>
  <c r="Z46" i="19" s="1"/>
  <c r="AC50" i="12"/>
  <c r="AA46" i="19" s="1"/>
  <c r="AD50" i="12"/>
  <c r="AB46" i="19" s="1"/>
  <c r="AE50" i="12"/>
  <c r="AC46" i="19" s="1"/>
  <c r="AF50" i="12"/>
  <c r="AG50"/>
  <c r="AE46" i="19" s="1"/>
  <c r="AH50" i="12"/>
  <c r="AF46" i="19" s="1"/>
  <c r="AI50" i="12"/>
  <c r="AG46" i="19" s="1"/>
  <c r="AJ50" i="12"/>
  <c r="AH46" i="19" s="1"/>
  <c r="AK50" i="12"/>
  <c r="AI46" i="19" s="1"/>
  <c r="N59" i="14"/>
  <c r="L59"/>
  <c r="J59"/>
  <c r="D59"/>
  <c r="D58"/>
  <c r="D57"/>
  <c r="D56"/>
  <c r="V21" i="7"/>
  <c r="BS21"/>
  <c r="BR21"/>
  <c r="BQ21"/>
  <c r="BP21"/>
  <c r="BO21"/>
  <c r="BN21"/>
  <c r="BM21"/>
  <c r="BL21"/>
  <c r="BK21"/>
  <c r="BK22" s="1"/>
  <c r="BL22" s="1"/>
  <c r="BM22" s="1"/>
  <c r="BN22" s="1"/>
  <c r="BJ21"/>
  <c r="BI21"/>
  <c r="BH21"/>
  <c r="BG21"/>
  <c r="BF21"/>
  <c r="BE21"/>
  <c r="BD21"/>
  <c r="BC21"/>
  <c r="BB21"/>
  <c r="BA21"/>
  <c r="AZ21"/>
  <c r="AY21"/>
  <c r="AX21"/>
  <c r="AW21"/>
  <c r="AW22" s="1"/>
  <c r="AX22" s="1"/>
  <c r="AY22" s="1"/>
  <c r="AZ22" s="1"/>
  <c r="AV21"/>
  <c r="AU21"/>
  <c r="AT21"/>
  <c r="AS21"/>
  <c r="AR21"/>
  <c r="AQ21"/>
  <c r="AP21"/>
  <c r="AO21"/>
  <c r="AN21"/>
  <c r="AM21"/>
  <c r="AM22" s="1"/>
  <c r="AN22" s="1"/>
  <c r="AO22" s="1"/>
  <c r="AP22" s="1"/>
  <c r="AL21"/>
  <c r="AK21"/>
  <c r="AJ21"/>
  <c r="AI21"/>
  <c r="AH21"/>
  <c r="AG21"/>
  <c r="AF21"/>
  <c r="AE21"/>
  <c r="AD21"/>
  <c r="AC21"/>
  <c r="AB21"/>
  <c r="AA21"/>
  <c r="Z21"/>
  <c r="Y21"/>
  <c r="Y22" s="1"/>
  <c r="Z22" s="1"/>
  <c r="AA22" s="1"/>
  <c r="AB22" s="1"/>
  <c r="X21"/>
  <c r="W21"/>
  <c r="U21"/>
  <c r="T21"/>
  <c r="S21"/>
  <c r="R21"/>
  <c r="Q21"/>
  <c r="P21"/>
  <c r="O21"/>
  <c r="N21"/>
  <c r="M21"/>
  <c r="L21"/>
  <c r="L22" s="1"/>
  <c r="M22" s="1"/>
  <c r="BH22"/>
  <c r="BI22"/>
  <c r="BJ22" s="1"/>
  <c r="AV22"/>
  <c r="AJ22"/>
  <c r="AK22"/>
  <c r="AL22" s="1"/>
  <c r="X22"/>
  <c r="A45"/>
  <c r="A36"/>
  <c r="D58" i="12"/>
  <c r="D57"/>
  <c r="D56"/>
  <c r="H5" i="28"/>
  <c r="G6" s="1"/>
  <c r="H6" s="1"/>
  <c r="B10"/>
  <c r="C5" s="1"/>
  <c r="C7"/>
  <c r="G35" i="21"/>
  <c r="G31"/>
  <c r="G40"/>
  <c r="G39"/>
  <c r="G38" s="1"/>
  <c r="G48" s="1"/>
  <c r="Z38" i="15"/>
  <c r="G43" i="21"/>
  <c r="Z39" i="15"/>
  <c r="G18" i="21"/>
  <c r="E6" i="15" s="1"/>
  <c r="G26" i="21"/>
  <c r="E7" i="15" s="1"/>
  <c r="N30" i="12"/>
  <c r="N83"/>
  <c r="N49"/>
  <c r="O83"/>
  <c r="O51"/>
  <c r="P83"/>
  <c r="P51"/>
  <c r="N47" i="19" s="1"/>
  <c r="P49" i="12"/>
  <c r="Q83"/>
  <c r="Q51"/>
  <c r="R83"/>
  <c r="R51"/>
  <c r="P47" i="19" s="1"/>
  <c r="R49" i="12"/>
  <c r="S83"/>
  <c r="S51"/>
  <c r="T83"/>
  <c r="T51"/>
  <c r="T49"/>
  <c r="U83"/>
  <c r="U51"/>
  <c r="V83"/>
  <c r="V49"/>
  <c r="W83"/>
  <c r="W49"/>
  <c r="X83"/>
  <c r="X49"/>
  <c r="W37" i="15"/>
  <c r="W38"/>
  <c r="W39"/>
  <c r="N102" i="12"/>
  <c r="N108"/>
  <c r="N110" s="1"/>
  <c r="O102"/>
  <c r="O108"/>
  <c r="O110"/>
  <c r="P102"/>
  <c r="P108"/>
  <c r="P110" s="1"/>
  <c r="Q102"/>
  <c r="Q108"/>
  <c r="Q110"/>
  <c r="R102"/>
  <c r="R108"/>
  <c r="R110" s="1"/>
  <c r="S102"/>
  <c r="S108"/>
  <c r="S110"/>
  <c r="T102"/>
  <c r="T108"/>
  <c r="T110" s="1"/>
  <c r="U102"/>
  <c r="U108"/>
  <c r="U110"/>
  <c r="V102"/>
  <c r="V108"/>
  <c r="V110" s="1"/>
  <c r="W102"/>
  <c r="W108"/>
  <c r="W110"/>
  <c r="X102"/>
  <c r="X108"/>
  <c r="X110" s="1"/>
  <c r="W24" i="15"/>
  <c r="W13"/>
  <c r="W25"/>
  <c r="AA51" i="12"/>
  <c r="Y47" i="19" s="1"/>
  <c r="AA83" i="12"/>
  <c r="Y49"/>
  <c r="Y83"/>
  <c r="Y102"/>
  <c r="Y108"/>
  <c r="Y110" s="1"/>
  <c r="Z51"/>
  <c r="Z83"/>
  <c r="Z102"/>
  <c r="Z108"/>
  <c r="Z110"/>
  <c r="AA102"/>
  <c r="AA108"/>
  <c r="AA110" s="1"/>
  <c r="AB51"/>
  <c r="Z47" i="19" s="1"/>
  <c r="AB83" i="12"/>
  <c r="AB102"/>
  <c r="AB108"/>
  <c r="AB110"/>
  <c r="AC51"/>
  <c r="AA47" i="19" s="1"/>
  <c r="AC83" i="12"/>
  <c r="AC102"/>
  <c r="AC108"/>
  <c r="AC110" s="1"/>
  <c r="AD51"/>
  <c r="AB47" i="19" s="1"/>
  <c r="AD83" i="12"/>
  <c r="AD102"/>
  <c r="AD108"/>
  <c r="AD110"/>
  <c r="AE51"/>
  <c r="AC47" i="19" s="1"/>
  <c r="AE83" i="12"/>
  <c r="AE102"/>
  <c r="AE108"/>
  <c r="AE110" s="1"/>
  <c r="AF51"/>
  <c r="AF83"/>
  <c r="AF102"/>
  <c r="AF108"/>
  <c r="AF110"/>
  <c r="AG51"/>
  <c r="AE47" i="19" s="1"/>
  <c r="AG83" i="12"/>
  <c r="AG102"/>
  <c r="AG108"/>
  <c r="AG110" s="1"/>
  <c r="AH51"/>
  <c r="AF47" i="19" s="1"/>
  <c r="AH83" i="12"/>
  <c r="AH102"/>
  <c r="AH108"/>
  <c r="AH110"/>
  <c r="AI51"/>
  <c r="AG47" i="19" s="1"/>
  <c r="AI83" i="12"/>
  <c r="AI102"/>
  <c r="AI108"/>
  <c r="AI110" s="1"/>
  <c r="AJ51"/>
  <c r="AH47" i="19" s="1"/>
  <c r="AJ83" i="12"/>
  <c r="AJ102"/>
  <c r="AJ108"/>
  <c r="AJ110"/>
  <c r="AK51"/>
  <c r="AI47" i="19" s="1"/>
  <c r="AK83" i="12"/>
  <c r="AK102"/>
  <c r="AK108"/>
  <c r="AK110" s="1"/>
  <c r="R37" i="15"/>
  <c r="R38"/>
  <c r="R39"/>
  <c r="T13"/>
  <c r="V37"/>
  <c r="V38"/>
  <c r="V39"/>
  <c r="V13"/>
  <c r="V24"/>
  <c r="V25" s="1"/>
  <c r="AL50" i="12"/>
  <c r="AL51"/>
  <c r="AL49"/>
  <c r="AL47" s="1"/>
  <c r="AL83"/>
  <c r="AL102"/>
  <c r="AL108"/>
  <c r="AL110"/>
  <c r="AM50"/>
  <c r="AK46" i="19" s="1"/>
  <c r="AM51" i="12"/>
  <c r="AM83"/>
  <c r="AM102"/>
  <c r="AM108"/>
  <c r="AM110" s="1"/>
  <c r="AN50"/>
  <c r="AL46" i="19" s="1"/>
  <c r="AN51" i="12"/>
  <c r="AL47" i="19" s="1"/>
  <c r="AN49" i="12"/>
  <c r="AN47" s="1"/>
  <c r="AN83"/>
  <c r="AN102"/>
  <c r="AN108"/>
  <c r="AN110"/>
  <c r="AO50"/>
  <c r="AM46" i="19" s="1"/>
  <c r="AO51" i="12"/>
  <c r="AO83"/>
  <c r="AO102"/>
  <c r="AO108"/>
  <c r="AO110" s="1"/>
  <c r="AP50"/>
  <c r="AN46" i="19" s="1"/>
  <c r="AP51" i="12"/>
  <c r="AN47" i="19" s="1"/>
  <c r="AP49" i="12"/>
  <c r="AP47" s="1"/>
  <c r="AP83"/>
  <c r="AP102"/>
  <c r="AP108"/>
  <c r="AP110"/>
  <c r="AQ50"/>
  <c r="AO46" i="19" s="1"/>
  <c r="AQ51" i="12"/>
  <c r="AQ83"/>
  <c r="AQ102"/>
  <c r="AQ108"/>
  <c r="AQ110" s="1"/>
  <c r="AR50"/>
  <c r="AR51"/>
  <c r="AP47" i="19" s="1"/>
  <c r="AR49" i="12"/>
  <c r="AR47" s="1"/>
  <c r="AR83"/>
  <c r="AR102"/>
  <c r="AR108"/>
  <c r="AR110"/>
  <c r="AS50"/>
  <c r="AQ46" i="19" s="1"/>
  <c r="AS51" i="12"/>
  <c r="AQ47" i="19" s="1"/>
  <c r="AS83" i="12"/>
  <c r="AS102"/>
  <c r="AS108"/>
  <c r="AS110" s="1"/>
  <c r="AT50"/>
  <c r="AR46" i="19" s="1"/>
  <c r="AT51" i="12"/>
  <c r="AR47" i="19" s="1"/>
  <c r="AT49" i="12"/>
  <c r="AT47" s="1"/>
  <c r="AT83"/>
  <c r="AT102"/>
  <c r="AT108"/>
  <c r="AT110"/>
  <c r="AU50"/>
  <c r="AS46" i="19" s="1"/>
  <c r="AU51" i="12"/>
  <c r="AS47" i="19" s="1"/>
  <c r="AU83" i="12"/>
  <c r="AU102"/>
  <c r="AU108"/>
  <c r="AU110" s="1"/>
  <c r="AV50"/>
  <c r="AT46" i="19" s="1"/>
  <c r="AV51" i="12"/>
  <c r="AT47" i="19" s="1"/>
  <c r="AV49" i="12"/>
  <c r="AV47" s="1"/>
  <c r="AV83"/>
  <c r="AV102"/>
  <c r="AV108"/>
  <c r="AV110"/>
  <c r="AW50"/>
  <c r="AU46" i="19" s="1"/>
  <c r="AW51" i="12"/>
  <c r="AU47" i="19" s="1"/>
  <c r="AW83" i="12"/>
  <c r="AW102"/>
  <c r="AW108"/>
  <c r="AW110" s="1"/>
  <c r="AX50"/>
  <c r="AX51"/>
  <c r="AX49"/>
  <c r="AW32" i="15"/>
  <c r="AW33"/>
  <c r="AW34"/>
  <c r="AW35"/>
  <c r="AW36"/>
  <c r="AX83" i="12"/>
  <c r="AX102"/>
  <c r="AX108"/>
  <c r="AX110" s="1"/>
  <c r="AY50"/>
  <c r="AW46" i="19" s="1"/>
  <c r="AY51" i="12"/>
  <c r="AW47" i="19" s="1"/>
  <c r="AY49" i="12"/>
  <c r="AX32" i="15"/>
  <c r="AX33"/>
  <c r="AX34"/>
  <c r="AX35"/>
  <c r="AX36"/>
  <c r="AY83" i="12"/>
  <c r="AY102"/>
  <c r="AY108"/>
  <c r="AY110" s="1"/>
  <c r="AZ50"/>
  <c r="AX46" i="19" s="1"/>
  <c r="AZ51" i="12"/>
  <c r="AX47" i="19" s="1"/>
  <c r="AZ49" i="12"/>
  <c r="AY32" i="15"/>
  <c r="AY33"/>
  <c r="AY34"/>
  <c r="AY35"/>
  <c r="AY36"/>
  <c r="AZ83" i="12"/>
  <c r="AZ102"/>
  <c r="AZ108"/>
  <c r="AZ110" s="1"/>
  <c r="BA50"/>
  <c r="AY46" i="19" s="1"/>
  <c r="BA51" i="12"/>
  <c r="AY47" i="19" s="1"/>
  <c r="BA49" i="12"/>
  <c r="AZ32" i="15"/>
  <c r="AZ33"/>
  <c r="AZ34"/>
  <c r="AZ35"/>
  <c r="AZ36"/>
  <c r="BA83" i="12"/>
  <c r="BA102"/>
  <c r="BA108"/>
  <c r="BA110" s="1"/>
  <c r="BB50"/>
  <c r="AZ46" i="19" s="1"/>
  <c r="BB51" i="12"/>
  <c r="AZ47" i="19" s="1"/>
  <c r="BB49" i="12"/>
  <c r="BA32" i="15"/>
  <c r="BA33"/>
  <c r="BA34"/>
  <c r="BA35"/>
  <c r="BA36"/>
  <c r="BB83" i="12"/>
  <c r="BB102"/>
  <c r="BB108"/>
  <c r="BB110" s="1"/>
  <c r="BC50"/>
  <c r="BA46" i="19" s="1"/>
  <c r="BC51" i="12"/>
  <c r="BA47" i="19" s="1"/>
  <c r="BC49" i="12"/>
  <c r="BB32" i="15"/>
  <c r="BB33"/>
  <c r="BB34"/>
  <c r="BB35"/>
  <c r="BB36"/>
  <c r="BC83" i="12"/>
  <c r="BC102"/>
  <c r="BC108"/>
  <c r="BC110" s="1"/>
  <c r="BD50"/>
  <c r="BD51"/>
  <c r="BD49"/>
  <c r="BC32" i="15"/>
  <c r="BC33"/>
  <c r="BC34"/>
  <c r="BC35"/>
  <c r="BC36"/>
  <c r="BD83" i="12"/>
  <c r="BD102"/>
  <c r="BD108"/>
  <c r="BD110" s="1"/>
  <c r="BE50"/>
  <c r="BC46" i="19" s="1"/>
  <c r="BE51" i="12"/>
  <c r="BC47" i="19" s="1"/>
  <c r="BE49" i="12"/>
  <c r="BD32" i="15"/>
  <c r="BD33"/>
  <c r="BD34"/>
  <c r="BD35"/>
  <c r="BD36"/>
  <c r="BE83" i="12"/>
  <c r="BE102"/>
  <c r="BE108"/>
  <c r="BE110" s="1"/>
  <c r="BF50"/>
  <c r="BD46" i="19" s="1"/>
  <c r="BF51" i="12"/>
  <c r="BD47" i="19" s="1"/>
  <c r="BF49" i="12"/>
  <c r="BE32" i="15"/>
  <c r="BE33"/>
  <c r="BE34"/>
  <c r="BE35"/>
  <c r="BE36"/>
  <c r="BF83" i="12"/>
  <c r="BF102"/>
  <c r="BF108"/>
  <c r="BF110" s="1"/>
  <c r="BG50"/>
  <c r="BE46" i="19" s="1"/>
  <c r="BG51" i="12"/>
  <c r="BE47" i="19" s="1"/>
  <c r="BG49" i="12"/>
  <c r="BF32" i="15"/>
  <c r="BF33"/>
  <c r="BF34"/>
  <c r="BF35"/>
  <c r="BF36"/>
  <c r="BG83" i="12"/>
  <c r="BG102"/>
  <c r="BG108"/>
  <c r="BG110" s="1"/>
  <c r="BH50"/>
  <c r="BF46" i="19" s="1"/>
  <c r="BH51" i="12"/>
  <c r="BF47" i="19" s="1"/>
  <c r="BH49" i="12"/>
  <c r="BG32" i="15"/>
  <c r="BG33"/>
  <c r="BG34"/>
  <c r="BG35"/>
  <c r="BG36"/>
  <c r="BH83" i="12"/>
  <c r="BH102"/>
  <c r="BH108"/>
  <c r="BH110" s="1"/>
  <c r="BI50"/>
  <c r="BG46" i="19" s="1"/>
  <c r="BI51" i="12"/>
  <c r="BG47" i="19" s="1"/>
  <c r="BI49" i="12"/>
  <c r="BH32" i="15"/>
  <c r="BH33"/>
  <c r="BH34"/>
  <c r="BH35"/>
  <c r="BH36"/>
  <c r="BI83" i="12"/>
  <c r="BI102"/>
  <c r="BI108"/>
  <c r="BI110" s="1"/>
  <c r="BJ50"/>
  <c r="BJ51"/>
  <c r="BJ49"/>
  <c r="BI32" i="15"/>
  <c r="BI33"/>
  <c r="BI34"/>
  <c r="BI35"/>
  <c r="BI36"/>
  <c r="BJ83" i="12"/>
  <c r="BJ102"/>
  <c r="BJ108"/>
  <c r="BJ110" s="1"/>
  <c r="BK50"/>
  <c r="BI46" i="19" s="1"/>
  <c r="BK51" i="12"/>
  <c r="BI47" i="19" s="1"/>
  <c r="BK49" i="12"/>
  <c r="BJ32" i="15"/>
  <c r="BJ33"/>
  <c r="BJ34"/>
  <c r="BJ35"/>
  <c r="BJ36"/>
  <c r="BK83" i="12"/>
  <c r="BK102"/>
  <c r="BK108"/>
  <c r="BK110" s="1"/>
  <c r="BL50"/>
  <c r="BJ46" i="19" s="1"/>
  <c r="BL51" i="12"/>
  <c r="BJ47" i="19" s="1"/>
  <c r="BL49" i="12"/>
  <c r="BK32" i="15"/>
  <c r="BK33"/>
  <c r="BK34"/>
  <c r="BK35"/>
  <c r="BK36"/>
  <c r="BL83" i="12"/>
  <c r="BL102"/>
  <c r="BL108"/>
  <c r="BL110" s="1"/>
  <c r="BM50"/>
  <c r="BK46" i="19" s="1"/>
  <c r="BM51" i="12"/>
  <c r="BK47" i="19" s="1"/>
  <c r="BM49" i="12"/>
  <c r="BL32" i="15"/>
  <c r="BL33"/>
  <c r="BL34"/>
  <c r="BL35"/>
  <c r="BL36"/>
  <c r="BM83" i="12"/>
  <c r="BM102"/>
  <c r="BM108"/>
  <c r="BM110" s="1"/>
  <c r="BN50"/>
  <c r="BL46" i="19" s="1"/>
  <c r="BN51" i="12"/>
  <c r="BL47" i="19" s="1"/>
  <c r="BN49" i="12"/>
  <c r="BM32" i="15"/>
  <c r="BM33"/>
  <c r="BM34"/>
  <c r="BM35"/>
  <c r="BM36"/>
  <c r="BN83" i="12"/>
  <c r="BN102"/>
  <c r="BN108"/>
  <c r="BN110" s="1"/>
  <c r="BO50"/>
  <c r="BM46" i="19" s="1"/>
  <c r="BO51" i="12"/>
  <c r="BM47" i="19" s="1"/>
  <c r="BO49" i="12"/>
  <c r="BN32" i="15"/>
  <c r="BN33"/>
  <c r="BN34"/>
  <c r="BN35"/>
  <c r="BN36"/>
  <c r="BO83" i="12"/>
  <c r="BO102"/>
  <c r="BO108"/>
  <c r="BO110" s="1"/>
  <c r="BP50"/>
  <c r="BP51"/>
  <c r="BP49"/>
  <c r="BO32" i="15"/>
  <c r="BO33"/>
  <c r="BO34"/>
  <c r="BO35"/>
  <c r="BO36"/>
  <c r="BP83" i="12"/>
  <c r="BP102"/>
  <c r="BP108"/>
  <c r="BP110" s="1"/>
  <c r="BQ50"/>
  <c r="BO46" i="19" s="1"/>
  <c r="BQ51" i="12"/>
  <c r="BO47" i="19" s="1"/>
  <c r="BP32" i="15"/>
  <c r="BP33"/>
  <c r="BP34"/>
  <c r="BP35"/>
  <c r="BP36"/>
  <c r="BQ83" i="12"/>
  <c r="BQ102"/>
  <c r="BQ108"/>
  <c r="BQ110"/>
  <c r="BR50"/>
  <c r="BP46" i="19" s="1"/>
  <c r="BR51" i="12"/>
  <c r="BP47" i="19" s="1"/>
  <c r="BR49" i="12"/>
  <c r="BQ32" i="15"/>
  <c r="BQ33"/>
  <c r="BQ34"/>
  <c r="BQ35"/>
  <c r="BQ36"/>
  <c r="BR83" i="12"/>
  <c r="BR102"/>
  <c r="BR108"/>
  <c r="BR110" s="1"/>
  <c r="BS50"/>
  <c r="BQ46" i="19" s="1"/>
  <c r="BS51" i="12"/>
  <c r="BQ47" i="19" s="1"/>
  <c r="BR32" i="15"/>
  <c r="BR33"/>
  <c r="BR34"/>
  <c r="BR35"/>
  <c r="BR36"/>
  <c r="BS83" i="12"/>
  <c r="BS102"/>
  <c r="BS108"/>
  <c r="BS110"/>
  <c r="BT50"/>
  <c r="BR46" i="19" s="1"/>
  <c r="BT51" i="12"/>
  <c r="BR47" i="19" s="1"/>
  <c r="BT49" i="12"/>
  <c r="BS32" i="15"/>
  <c r="BS33"/>
  <c r="BS34"/>
  <c r="BS35"/>
  <c r="BS36"/>
  <c r="BT83" i="12"/>
  <c r="BT102"/>
  <c r="BT108"/>
  <c r="BT110" s="1"/>
  <c r="BU50"/>
  <c r="BS46" i="19" s="1"/>
  <c r="BU51" i="12"/>
  <c r="BS47" i="19" s="1"/>
  <c r="BT32" i="15"/>
  <c r="BT33"/>
  <c r="BT34"/>
  <c r="BT35"/>
  <c r="BT36"/>
  <c r="BU83" i="12"/>
  <c r="BU102"/>
  <c r="BU108"/>
  <c r="BU110"/>
  <c r="R13" i="15"/>
  <c r="R24"/>
  <c r="R25"/>
  <c r="Q13"/>
  <c r="Q24"/>
  <c r="Q25" s="1"/>
  <c r="P13"/>
  <c r="P24"/>
  <c r="P25"/>
  <c r="O13"/>
  <c r="O24"/>
  <c r="O25" s="1"/>
  <c r="M13"/>
  <c r="M24"/>
  <c r="M25"/>
  <c r="G13"/>
  <c r="G24"/>
  <c r="G25" s="1"/>
  <c r="C6" i="28"/>
  <c r="C10"/>
  <c r="G32" i="15"/>
  <c r="G52" s="1"/>
  <c r="H52" s="1"/>
  <c r="I52" s="1"/>
  <c r="J52" s="1"/>
  <c r="K52" s="1"/>
  <c r="L52" s="1"/>
  <c r="M52" s="1"/>
  <c r="N52" s="1"/>
  <c r="O52" s="1"/>
  <c r="P52" s="1"/>
  <c r="Q52" s="1"/>
  <c r="R52" s="1"/>
  <c r="S52" s="1"/>
  <c r="T52" s="1"/>
  <c r="U52" s="1"/>
  <c r="V52" s="1"/>
  <c r="W52" s="1"/>
  <c r="X52" s="1"/>
  <c r="Y52" s="1"/>
  <c r="Z52" s="1"/>
  <c r="AA52" s="1"/>
  <c r="AB52" s="1"/>
  <c r="AC52" s="1"/>
  <c r="AD52" s="1"/>
  <c r="AE52" s="1"/>
  <c r="AF52" s="1"/>
  <c r="AG52" s="1"/>
  <c r="AH52" s="1"/>
  <c r="AI52" s="1"/>
  <c r="AJ52" s="1"/>
  <c r="AK52" s="1"/>
  <c r="AL52" s="1"/>
  <c r="AM52" s="1"/>
  <c r="AN52" s="1"/>
  <c r="AO52" s="1"/>
  <c r="AP52" s="1"/>
  <c r="AQ52" s="1"/>
  <c r="AR52" s="1"/>
  <c r="AS52" s="1"/>
  <c r="AT52" s="1"/>
  <c r="AU52" s="1"/>
  <c r="AV52" s="1"/>
  <c r="AW52" s="1"/>
  <c r="AX52" s="1"/>
  <c r="AY52" s="1"/>
  <c r="AZ52" s="1"/>
  <c r="BA52" s="1"/>
  <c r="BB52" s="1"/>
  <c r="BC52" s="1"/>
  <c r="BD52" s="1"/>
  <c r="BE52" s="1"/>
  <c r="BF52" s="1"/>
  <c r="BG52" s="1"/>
  <c r="BH52" s="1"/>
  <c r="BI52" s="1"/>
  <c r="BJ52" s="1"/>
  <c r="BK52" s="1"/>
  <c r="BL52" s="1"/>
  <c r="BM52" s="1"/>
  <c r="BN52" s="1"/>
  <c r="BO52" s="1"/>
  <c r="BP52" s="1"/>
  <c r="BQ52" s="1"/>
  <c r="BR52" s="1"/>
  <c r="BS52" s="1"/>
  <c r="BT52" s="1"/>
  <c r="BU52" s="1"/>
  <c r="BV52" s="1"/>
  <c r="BW52" s="1"/>
  <c r="BX52" s="1"/>
  <c r="BY52" s="1"/>
  <c r="BZ52" s="1"/>
  <c r="CA52" s="1"/>
  <c r="CB52" s="1"/>
  <c r="CC52" s="1"/>
  <c r="CD52" s="1"/>
  <c r="CE52" s="1"/>
  <c r="CF52" s="1"/>
  <c r="D32"/>
  <c r="G33"/>
  <c r="G53" s="1"/>
  <c r="H53" s="1"/>
  <c r="I53" s="1"/>
  <c r="J53" s="1"/>
  <c r="K53" s="1"/>
  <c r="L53" s="1"/>
  <c r="M53" s="1"/>
  <c r="N53" s="1"/>
  <c r="O53" s="1"/>
  <c r="P53" s="1"/>
  <c r="Q53" s="1"/>
  <c r="R53" s="1"/>
  <c r="S53" s="1"/>
  <c r="T53" s="1"/>
  <c r="U53" s="1"/>
  <c r="V53" s="1"/>
  <c r="W53" s="1"/>
  <c r="X53" s="1"/>
  <c r="Y53" s="1"/>
  <c r="Z53" s="1"/>
  <c r="AA53" s="1"/>
  <c r="AB53" s="1"/>
  <c r="AC53" s="1"/>
  <c r="AD53" s="1"/>
  <c r="AE53" s="1"/>
  <c r="AF53" s="1"/>
  <c r="AG53" s="1"/>
  <c r="AH53" s="1"/>
  <c r="AI53" s="1"/>
  <c r="AJ53" s="1"/>
  <c r="AK53" s="1"/>
  <c r="AL53" s="1"/>
  <c r="AM53" s="1"/>
  <c r="AN53" s="1"/>
  <c r="AO53" s="1"/>
  <c r="AP53" s="1"/>
  <c r="AQ53" s="1"/>
  <c r="AR53" s="1"/>
  <c r="AS53" s="1"/>
  <c r="AT53" s="1"/>
  <c r="AU53" s="1"/>
  <c r="AV53" s="1"/>
  <c r="AW53" s="1"/>
  <c r="AX53" s="1"/>
  <c r="AY53" s="1"/>
  <c r="AZ53" s="1"/>
  <c r="BA53" s="1"/>
  <c r="BB53" s="1"/>
  <c r="BC53" s="1"/>
  <c r="BD53" s="1"/>
  <c r="BE53" s="1"/>
  <c r="BF53" s="1"/>
  <c r="BG53" s="1"/>
  <c r="BH53" s="1"/>
  <c r="BI53" s="1"/>
  <c r="BJ53" s="1"/>
  <c r="BK53" s="1"/>
  <c r="BL53" s="1"/>
  <c r="BM53" s="1"/>
  <c r="BN53" s="1"/>
  <c r="BO53" s="1"/>
  <c r="BP53" s="1"/>
  <c r="BQ53" s="1"/>
  <c r="BR53" s="1"/>
  <c r="BS53" s="1"/>
  <c r="BT53" s="1"/>
  <c r="BU53" s="1"/>
  <c r="BV53" s="1"/>
  <c r="BW53" s="1"/>
  <c r="BX53" s="1"/>
  <c r="BY53" s="1"/>
  <c r="BZ53" s="1"/>
  <c r="CA53" s="1"/>
  <c r="CB53" s="1"/>
  <c r="CC53" s="1"/>
  <c r="CD53" s="1"/>
  <c r="CE53" s="1"/>
  <c r="CF53" s="1"/>
  <c r="D33"/>
  <c r="G34"/>
  <c r="G54" s="1"/>
  <c r="H54" s="1"/>
  <c r="I54" s="1"/>
  <c r="J54" s="1"/>
  <c r="K54" s="1"/>
  <c r="L54" s="1"/>
  <c r="M54" s="1"/>
  <c r="N54" s="1"/>
  <c r="O54" s="1"/>
  <c r="P54" s="1"/>
  <c r="Q54" s="1"/>
  <c r="R54" s="1"/>
  <c r="S54" s="1"/>
  <c r="T54" s="1"/>
  <c r="U54" s="1"/>
  <c r="V54" s="1"/>
  <c r="W54" s="1"/>
  <c r="X54" s="1"/>
  <c r="Y54" s="1"/>
  <c r="Z54" s="1"/>
  <c r="AA54" s="1"/>
  <c r="AB54" s="1"/>
  <c r="AC54" s="1"/>
  <c r="AD54" s="1"/>
  <c r="AE54" s="1"/>
  <c r="AF54" s="1"/>
  <c r="AG54" s="1"/>
  <c r="AH54" s="1"/>
  <c r="AI54" s="1"/>
  <c r="AJ54" s="1"/>
  <c r="AK54" s="1"/>
  <c r="AL54" s="1"/>
  <c r="AM54" s="1"/>
  <c r="AN54" s="1"/>
  <c r="AO54" s="1"/>
  <c r="AP54" s="1"/>
  <c r="AQ54" s="1"/>
  <c r="AR54" s="1"/>
  <c r="AS54" s="1"/>
  <c r="AT54" s="1"/>
  <c r="AU54" s="1"/>
  <c r="AV54" s="1"/>
  <c r="AW54" s="1"/>
  <c r="AX54" s="1"/>
  <c r="AY54" s="1"/>
  <c r="AZ54" s="1"/>
  <c r="BA54" s="1"/>
  <c r="BB54" s="1"/>
  <c r="BC54" s="1"/>
  <c r="BD54" s="1"/>
  <c r="BE54" s="1"/>
  <c r="BF54" s="1"/>
  <c r="BG54" s="1"/>
  <c r="BH54" s="1"/>
  <c r="BI54" s="1"/>
  <c r="BJ54" s="1"/>
  <c r="BK54" s="1"/>
  <c r="BL54" s="1"/>
  <c r="BM54" s="1"/>
  <c r="BN54" s="1"/>
  <c r="BO54" s="1"/>
  <c r="BP54" s="1"/>
  <c r="BQ54" s="1"/>
  <c r="BR54" s="1"/>
  <c r="BS54" s="1"/>
  <c r="BT54" s="1"/>
  <c r="BU54" s="1"/>
  <c r="BV54" s="1"/>
  <c r="BW54" s="1"/>
  <c r="BX54" s="1"/>
  <c r="BY54" s="1"/>
  <c r="BZ54" s="1"/>
  <c r="CA54" s="1"/>
  <c r="CB54" s="1"/>
  <c r="CC54" s="1"/>
  <c r="CD54" s="1"/>
  <c r="CE54" s="1"/>
  <c r="CF54" s="1"/>
  <c r="D34"/>
  <c r="D35"/>
  <c r="H55" s="1"/>
  <c r="I55" s="1"/>
  <c r="J55" s="1"/>
  <c r="K55" s="1"/>
  <c r="L55" s="1"/>
  <c r="M55" s="1"/>
  <c r="N55" s="1"/>
  <c r="O55" s="1"/>
  <c r="P55" s="1"/>
  <c r="Q55" s="1"/>
  <c r="R55" s="1"/>
  <c r="S55" s="1"/>
  <c r="T55" s="1"/>
  <c r="U55" s="1"/>
  <c r="V55" s="1"/>
  <c r="W55" s="1"/>
  <c r="X55" s="1"/>
  <c r="Y55" s="1"/>
  <c r="Z55" s="1"/>
  <c r="AA55" s="1"/>
  <c r="AB55" s="1"/>
  <c r="AC55" s="1"/>
  <c r="AD55" s="1"/>
  <c r="AE55" s="1"/>
  <c r="AF55" s="1"/>
  <c r="AG55" s="1"/>
  <c r="AH55" s="1"/>
  <c r="AI55" s="1"/>
  <c r="AJ55" s="1"/>
  <c r="AK55" s="1"/>
  <c r="AL55" s="1"/>
  <c r="AM55" s="1"/>
  <c r="AN55" s="1"/>
  <c r="AO55" s="1"/>
  <c r="AP55" s="1"/>
  <c r="AQ55" s="1"/>
  <c r="AR55" s="1"/>
  <c r="AS55" s="1"/>
  <c r="AT55" s="1"/>
  <c r="AU55" s="1"/>
  <c r="AV55" s="1"/>
  <c r="AW55" s="1"/>
  <c r="AX55" s="1"/>
  <c r="AY55" s="1"/>
  <c r="AZ55" s="1"/>
  <c r="BA55" s="1"/>
  <c r="BB55" s="1"/>
  <c r="BC55" s="1"/>
  <c r="BD55" s="1"/>
  <c r="BE55" s="1"/>
  <c r="BF55" s="1"/>
  <c r="BG55" s="1"/>
  <c r="BH55" s="1"/>
  <c r="BI55" s="1"/>
  <c r="BJ55" s="1"/>
  <c r="BK55" s="1"/>
  <c r="BL55" s="1"/>
  <c r="BM55" s="1"/>
  <c r="BN55" s="1"/>
  <c r="BO55" s="1"/>
  <c r="BP55" s="1"/>
  <c r="BQ55" s="1"/>
  <c r="BR55" s="1"/>
  <c r="BS55" s="1"/>
  <c r="BT55" s="1"/>
  <c r="BU55" s="1"/>
  <c r="BV55" s="1"/>
  <c r="BW55" s="1"/>
  <c r="BX55" s="1"/>
  <c r="BY55" s="1"/>
  <c r="BZ55" s="1"/>
  <c r="CA55" s="1"/>
  <c r="CB55" s="1"/>
  <c r="CC55" s="1"/>
  <c r="CD55" s="1"/>
  <c r="CE55" s="1"/>
  <c r="CF55" s="1"/>
  <c r="G35"/>
  <c r="G55" s="1"/>
  <c r="D36"/>
  <c r="H56" s="1"/>
  <c r="I56" s="1"/>
  <c r="J56" s="1"/>
  <c r="K56" s="1"/>
  <c r="L56" s="1"/>
  <c r="M56" s="1"/>
  <c r="N56" s="1"/>
  <c r="O56" s="1"/>
  <c r="P56" s="1"/>
  <c r="Q56" s="1"/>
  <c r="R56" s="1"/>
  <c r="S56" s="1"/>
  <c r="T56" s="1"/>
  <c r="U56" s="1"/>
  <c r="V56" s="1"/>
  <c r="W56" s="1"/>
  <c r="X56" s="1"/>
  <c r="Y56" s="1"/>
  <c r="Z56" s="1"/>
  <c r="AA56" s="1"/>
  <c r="AB56" s="1"/>
  <c r="AC56" s="1"/>
  <c r="AD56" s="1"/>
  <c r="AE56" s="1"/>
  <c r="AF56" s="1"/>
  <c r="AG56" s="1"/>
  <c r="AH56" s="1"/>
  <c r="AI56" s="1"/>
  <c r="AJ56" s="1"/>
  <c r="AK56" s="1"/>
  <c r="AL56" s="1"/>
  <c r="AM56" s="1"/>
  <c r="AN56" s="1"/>
  <c r="AO56" s="1"/>
  <c r="AP56" s="1"/>
  <c r="AQ56" s="1"/>
  <c r="AR56" s="1"/>
  <c r="AS56" s="1"/>
  <c r="AT56" s="1"/>
  <c r="AU56" s="1"/>
  <c r="AV56" s="1"/>
  <c r="AW56" s="1"/>
  <c r="AX56" s="1"/>
  <c r="AY56" s="1"/>
  <c r="AZ56" s="1"/>
  <c r="BA56" s="1"/>
  <c r="BB56" s="1"/>
  <c r="BC56" s="1"/>
  <c r="BD56" s="1"/>
  <c r="BE56" s="1"/>
  <c r="BF56" s="1"/>
  <c r="BG56" s="1"/>
  <c r="BH56" s="1"/>
  <c r="BI56" s="1"/>
  <c r="BJ56" s="1"/>
  <c r="BK56" s="1"/>
  <c r="BL56" s="1"/>
  <c r="BM56" s="1"/>
  <c r="BN56" s="1"/>
  <c r="BO56" s="1"/>
  <c r="BP56" s="1"/>
  <c r="BQ56" s="1"/>
  <c r="BR56" s="1"/>
  <c r="BS56" s="1"/>
  <c r="BT56" s="1"/>
  <c r="BU56" s="1"/>
  <c r="BV56" s="1"/>
  <c r="BW56" s="1"/>
  <c r="BX56" s="1"/>
  <c r="BY56" s="1"/>
  <c r="BZ56" s="1"/>
  <c r="CA56" s="1"/>
  <c r="CB56" s="1"/>
  <c r="CC56" s="1"/>
  <c r="CD56" s="1"/>
  <c r="CE56" s="1"/>
  <c r="CF56" s="1"/>
  <c r="G36"/>
  <c r="G56" s="1"/>
  <c r="M37"/>
  <c r="G37"/>
  <c r="G57"/>
  <c r="H57" s="1"/>
  <c r="I57" s="1"/>
  <c r="J57" s="1"/>
  <c r="K57" s="1"/>
  <c r="L57" s="1"/>
  <c r="M57" s="1"/>
  <c r="N57" s="1"/>
  <c r="O57" s="1"/>
  <c r="P57" s="1"/>
  <c r="Q57" s="1"/>
  <c r="R57" s="1"/>
  <c r="S57" s="1"/>
  <c r="T57" s="1"/>
  <c r="U57" s="1"/>
  <c r="V57" s="1"/>
  <c r="W57" s="1"/>
  <c r="X57" s="1"/>
  <c r="Y57" s="1"/>
  <c r="Z57" s="1"/>
  <c r="AA57" s="1"/>
  <c r="AB57" s="1"/>
  <c r="AC57" s="1"/>
  <c r="AD57" s="1"/>
  <c r="AE57" s="1"/>
  <c r="AF57" s="1"/>
  <c r="M38"/>
  <c r="G38"/>
  <c r="G58" s="1"/>
  <c r="H58" s="1"/>
  <c r="I58" s="1"/>
  <c r="J58" s="1"/>
  <c r="K58" s="1"/>
  <c r="L58" s="1"/>
  <c r="M58" s="1"/>
  <c r="N58" s="1"/>
  <c r="O58" s="1"/>
  <c r="P58" s="1"/>
  <c r="Q58" s="1"/>
  <c r="R58" s="1"/>
  <c r="S58" s="1"/>
  <c r="T58" s="1"/>
  <c r="U58" s="1"/>
  <c r="V58" s="1"/>
  <c r="W58" s="1"/>
  <c r="X58" s="1"/>
  <c r="Y58" s="1"/>
  <c r="Z58" s="1"/>
  <c r="AA58" s="1"/>
  <c r="AB58" s="1"/>
  <c r="AC58" s="1"/>
  <c r="AD58" s="1"/>
  <c r="AE58" s="1"/>
  <c r="AF58" s="1"/>
  <c r="AG58" s="1"/>
  <c r="AH58" s="1"/>
  <c r="AI58" s="1"/>
  <c r="AJ58" s="1"/>
  <c r="AK58" s="1"/>
  <c r="AL58" s="1"/>
  <c r="AM58" s="1"/>
  <c r="AN58" s="1"/>
  <c r="AO58" s="1"/>
  <c r="AP58" s="1"/>
  <c r="AQ58" s="1"/>
  <c r="AR58" s="1"/>
  <c r="AS58" s="1"/>
  <c r="AT58" s="1"/>
  <c r="AU58" s="1"/>
  <c r="AV58" s="1"/>
  <c r="AW58" s="1"/>
  <c r="AX58" s="1"/>
  <c r="AY58" s="1"/>
  <c r="AZ58" s="1"/>
  <c r="BA58" s="1"/>
  <c r="BB58" s="1"/>
  <c r="BC58" s="1"/>
  <c r="BD58" s="1"/>
  <c r="BE58" s="1"/>
  <c r="BF58" s="1"/>
  <c r="BG58" s="1"/>
  <c r="BH58" s="1"/>
  <c r="BI58" s="1"/>
  <c r="BJ58" s="1"/>
  <c r="BK58" s="1"/>
  <c r="BL58" s="1"/>
  <c r="BM58" s="1"/>
  <c r="BN58" s="1"/>
  <c r="BO58" s="1"/>
  <c r="BP58" s="1"/>
  <c r="BQ58" s="1"/>
  <c r="BR58" s="1"/>
  <c r="BS58" s="1"/>
  <c r="BT58" s="1"/>
  <c r="BU58" s="1"/>
  <c r="BV58" s="1"/>
  <c r="BW58" s="1"/>
  <c r="BX58" s="1"/>
  <c r="BY58" s="1"/>
  <c r="BZ58" s="1"/>
  <c r="CA58" s="1"/>
  <c r="CB58" s="1"/>
  <c r="CC58" s="1"/>
  <c r="CD58" s="1"/>
  <c r="CE58" s="1"/>
  <c r="CF58" s="1"/>
  <c r="M39"/>
  <c r="G39"/>
  <c r="G59"/>
  <c r="M40"/>
  <c r="D40"/>
  <c r="G40"/>
  <c r="G60" s="1"/>
  <c r="M41"/>
  <c r="D41"/>
  <c r="G41"/>
  <c r="G61"/>
  <c r="H61" s="1"/>
  <c r="I61" s="1"/>
  <c r="J61" s="1"/>
  <c r="K61" s="1"/>
  <c r="L61" s="1"/>
  <c r="M61" s="1"/>
  <c r="N61" s="1"/>
  <c r="O61" s="1"/>
  <c r="P61" s="1"/>
  <c r="Q61" s="1"/>
  <c r="R61" s="1"/>
  <c r="S61" s="1"/>
  <c r="T61" s="1"/>
  <c r="U61" s="1"/>
  <c r="V61" s="1"/>
  <c r="W61" s="1"/>
  <c r="X61" s="1"/>
  <c r="Y61" s="1"/>
  <c r="Z61" s="1"/>
  <c r="AA61" s="1"/>
  <c r="AB61" s="1"/>
  <c r="AC61" s="1"/>
  <c r="AD61" s="1"/>
  <c r="AE61" s="1"/>
  <c r="AF61" s="1"/>
  <c r="AG61" s="1"/>
  <c r="AH61" s="1"/>
  <c r="AI61" s="1"/>
  <c r="AJ61" s="1"/>
  <c r="AK61" s="1"/>
  <c r="AL61" s="1"/>
  <c r="AM61" s="1"/>
  <c r="AN61" s="1"/>
  <c r="AO61" s="1"/>
  <c r="AP61" s="1"/>
  <c r="M42"/>
  <c r="D42"/>
  <c r="H62" s="1"/>
  <c r="I62" s="1"/>
  <c r="J62" s="1"/>
  <c r="K62" s="1"/>
  <c r="L62" s="1"/>
  <c r="M62" s="1"/>
  <c r="N62" s="1"/>
  <c r="O62" s="1"/>
  <c r="P62" s="1"/>
  <c r="Q62" s="1"/>
  <c r="R62" s="1"/>
  <c r="S62" s="1"/>
  <c r="T62" s="1"/>
  <c r="U62" s="1"/>
  <c r="V62" s="1"/>
  <c r="W62" s="1"/>
  <c r="X62" s="1"/>
  <c r="Y62" s="1"/>
  <c r="Z62" s="1"/>
  <c r="AA62" s="1"/>
  <c r="AB62" s="1"/>
  <c r="AC62" s="1"/>
  <c r="AD62" s="1"/>
  <c r="AE62" s="1"/>
  <c r="AF62" s="1"/>
  <c r="AG62" s="1"/>
  <c r="AH62" s="1"/>
  <c r="AI62" s="1"/>
  <c r="AJ62" s="1"/>
  <c r="AK62" s="1"/>
  <c r="AL62" s="1"/>
  <c r="AM62" s="1"/>
  <c r="AN62" s="1"/>
  <c r="AO62" s="1"/>
  <c r="AP62" s="1"/>
  <c r="AQ62" s="1"/>
  <c r="AR62" s="1"/>
  <c r="AS62" s="1"/>
  <c r="AT62" s="1"/>
  <c r="AU62" s="1"/>
  <c r="AV62" s="1"/>
  <c r="AW62" s="1"/>
  <c r="AX62" s="1"/>
  <c r="AY62" s="1"/>
  <c r="AZ62" s="1"/>
  <c r="BA62" s="1"/>
  <c r="BB62" s="1"/>
  <c r="BC62" s="1"/>
  <c r="BD62" s="1"/>
  <c r="BE62" s="1"/>
  <c r="BF62" s="1"/>
  <c r="BG62" s="1"/>
  <c r="BH62" s="1"/>
  <c r="BI62" s="1"/>
  <c r="BJ62" s="1"/>
  <c r="BK62" s="1"/>
  <c r="BL62" s="1"/>
  <c r="BM62" s="1"/>
  <c r="BN62" s="1"/>
  <c r="BO62" s="1"/>
  <c r="BP62" s="1"/>
  <c r="BQ62" s="1"/>
  <c r="BR62" s="1"/>
  <c r="BS62" s="1"/>
  <c r="BT62" s="1"/>
  <c r="BU62" s="1"/>
  <c r="BV62" s="1"/>
  <c r="BW62" s="1"/>
  <c r="BX62" s="1"/>
  <c r="BY62" s="1"/>
  <c r="BZ62" s="1"/>
  <c r="CA62" s="1"/>
  <c r="CB62" s="1"/>
  <c r="CC62" s="1"/>
  <c r="CD62" s="1"/>
  <c r="CE62" s="1"/>
  <c r="CF62" s="1"/>
  <c r="G42"/>
  <c r="G62" s="1"/>
  <c r="M43"/>
  <c r="D43"/>
  <c r="G43"/>
  <c r="G63"/>
  <c r="H63" s="1"/>
  <c r="I63" s="1"/>
  <c r="J63" s="1"/>
  <c r="K63" s="1"/>
  <c r="L63" s="1"/>
  <c r="M63" s="1"/>
  <c r="N63" s="1"/>
  <c r="O63" s="1"/>
  <c r="P63" s="1"/>
  <c r="Q63" s="1"/>
  <c r="R63" s="1"/>
  <c r="S63" s="1"/>
  <c r="T63" s="1"/>
  <c r="U63" s="1"/>
  <c r="V63" s="1"/>
  <c r="W63" s="1"/>
  <c r="X63" s="1"/>
  <c r="Y63" s="1"/>
  <c r="Z63" s="1"/>
  <c r="AA63" s="1"/>
  <c r="AB63" s="1"/>
  <c r="AC63" s="1"/>
  <c r="AD63" s="1"/>
  <c r="AE63" s="1"/>
  <c r="AF63" s="1"/>
  <c r="AG63" s="1"/>
  <c r="AH63" s="1"/>
  <c r="AI63" s="1"/>
  <c r="AJ63" s="1"/>
  <c r="AK63" s="1"/>
  <c r="AL63" s="1"/>
  <c r="AM63" s="1"/>
  <c r="AN63" s="1"/>
  <c r="AO63" s="1"/>
  <c r="AP63" s="1"/>
  <c r="AQ63" s="1"/>
  <c r="AR63" s="1"/>
  <c r="AS63" s="1"/>
  <c r="AT63" s="1"/>
  <c r="AU63" s="1"/>
  <c r="AV63" s="1"/>
  <c r="AW63" s="1"/>
  <c r="AX63" s="1"/>
  <c r="AY63" s="1"/>
  <c r="AZ63" s="1"/>
  <c r="BA63" s="1"/>
  <c r="BB63" s="1"/>
  <c r="BC63" s="1"/>
  <c r="BD63" s="1"/>
  <c r="BE63" s="1"/>
  <c r="BF63" s="1"/>
  <c r="BG63" s="1"/>
  <c r="BH63" s="1"/>
  <c r="BI63" s="1"/>
  <c r="BJ63" s="1"/>
  <c r="BK63" s="1"/>
  <c r="BL63" s="1"/>
  <c r="BM63" s="1"/>
  <c r="BN63" s="1"/>
  <c r="BO63" s="1"/>
  <c r="BP63" s="1"/>
  <c r="BQ63" s="1"/>
  <c r="BR63" s="1"/>
  <c r="BS63" s="1"/>
  <c r="BT63" s="1"/>
  <c r="BU63" s="1"/>
  <c r="BV63" s="1"/>
  <c r="BW63" s="1"/>
  <c r="BX63" s="1"/>
  <c r="BY63" s="1"/>
  <c r="BZ63" s="1"/>
  <c r="CA63" s="1"/>
  <c r="CB63" s="1"/>
  <c r="CC63" s="1"/>
  <c r="CD63" s="1"/>
  <c r="CE63" s="1"/>
  <c r="CF63" s="1"/>
  <c r="M44"/>
  <c r="D44"/>
  <c r="G44"/>
  <c r="G64" s="1"/>
  <c r="N37"/>
  <c r="N38"/>
  <c r="N39"/>
  <c r="N40"/>
  <c r="N41"/>
  <c r="N42"/>
  <c r="N43"/>
  <c r="N44"/>
  <c r="N24"/>
  <c r="N13"/>
  <c r="N25"/>
  <c r="B44"/>
  <c r="B64" s="1"/>
  <c r="B43"/>
  <c r="B63" s="1"/>
  <c r="B42"/>
  <c r="B62" s="1"/>
  <c r="B41"/>
  <c r="B61" s="1"/>
  <c r="B40"/>
  <c r="B60" s="1"/>
  <c r="B18"/>
  <c r="B39" s="1"/>
  <c r="B59" s="1"/>
  <c r="B17"/>
  <c r="B38" s="1"/>
  <c r="B58" s="1"/>
  <c r="B16"/>
  <c r="B37" s="1"/>
  <c r="B57" s="1"/>
  <c r="B36"/>
  <c r="B56"/>
  <c r="B35"/>
  <c r="B55"/>
  <c r="B34"/>
  <c r="B54"/>
  <c r="B33"/>
  <c r="B53"/>
  <c r="B32"/>
  <c r="B52"/>
  <c r="B7"/>
  <c r="B31"/>
  <c r="B51" s="1"/>
  <c r="B6"/>
  <c r="B30" s="1"/>
  <c r="B50" s="1"/>
  <c r="B5"/>
  <c r="B29" s="1"/>
  <c r="B49" s="1"/>
  <c r="BT24"/>
  <c r="BT13"/>
  <c r="BT25" s="1"/>
  <c r="BS24"/>
  <c r="BS13"/>
  <c r="BS25"/>
  <c r="BR24"/>
  <c r="BR13"/>
  <c r="BR25" s="1"/>
  <c r="BQ24"/>
  <c r="BQ13"/>
  <c r="BQ25"/>
  <c r="BP24"/>
  <c r="BP13"/>
  <c r="BP25" s="1"/>
  <c r="BO24"/>
  <c r="BO13"/>
  <c r="BO25"/>
  <c r="BN24"/>
  <c r="BN13"/>
  <c r="BN25" s="1"/>
  <c r="BM24"/>
  <c r="BM13"/>
  <c r="BM25"/>
  <c r="BL24"/>
  <c r="BL13"/>
  <c r="BL25" s="1"/>
  <c r="BK24"/>
  <c r="BK13"/>
  <c r="BK25"/>
  <c r="BJ24"/>
  <c r="BJ13"/>
  <c r="BJ25" s="1"/>
  <c r="BI24"/>
  <c r="BI13"/>
  <c r="BI25"/>
  <c r="BH24"/>
  <c r="BH13"/>
  <c r="BH25" s="1"/>
  <c r="BG24"/>
  <c r="BG13"/>
  <c r="BG25"/>
  <c r="BF24"/>
  <c r="BF13"/>
  <c r="BF25" s="1"/>
  <c r="BE24"/>
  <c r="BE13"/>
  <c r="BE25"/>
  <c r="BD24"/>
  <c r="BD13"/>
  <c r="BD25" s="1"/>
  <c r="BC24"/>
  <c r="BC13"/>
  <c r="BC25"/>
  <c r="BB13"/>
  <c r="BB24"/>
  <c r="BB25" s="1"/>
  <c r="BA13"/>
  <c r="BA24"/>
  <c r="BA25"/>
  <c r="AZ13"/>
  <c r="AZ24"/>
  <c r="AZ25" s="1"/>
  <c r="AY13"/>
  <c r="AY24"/>
  <c r="AY25"/>
  <c r="AX13"/>
  <c r="AX24"/>
  <c r="AX25" s="1"/>
  <c r="AW13"/>
  <c r="AW24"/>
  <c r="AW25"/>
  <c r="AV13"/>
  <c r="AV24"/>
  <c r="AV25" s="1"/>
  <c r="AU13"/>
  <c r="AU24"/>
  <c r="AU25"/>
  <c r="AT13"/>
  <c r="AT24"/>
  <c r="AT25" s="1"/>
  <c r="AS13"/>
  <c r="AS24"/>
  <c r="AS25"/>
  <c r="AR13"/>
  <c r="AR24"/>
  <c r="AR25" s="1"/>
  <c r="AQ13"/>
  <c r="AQ24"/>
  <c r="AQ25"/>
  <c r="AP13"/>
  <c r="AP24"/>
  <c r="AP25" s="1"/>
  <c r="AO13"/>
  <c r="AO24"/>
  <c r="AO25"/>
  <c r="AN13"/>
  <c r="AN24"/>
  <c r="AN25" s="1"/>
  <c r="AM13"/>
  <c r="AM24"/>
  <c r="AM25"/>
  <c r="AL13"/>
  <c r="AL24"/>
  <c r="AL25" s="1"/>
  <c r="AK13"/>
  <c r="AK24"/>
  <c r="AK25"/>
  <c r="AJ13"/>
  <c r="AJ24"/>
  <c r="AJ25" s="1"/>
  <c r="AI13"/>
  <c r="AI24"/>
  <c r="AI25"/>
  <c r="AH13"/>
  <c r="AH24"/>
  <c r="AH25" s="1"/>
  <c r="AG13"/>
  <c r="AF13"/>
  <c r="AF24"/>
  <c r="AF25" s="1"/>
  <c r="AE13"/>
  <c r="AE24"/>
  <c r="AE25"/>
  <c r="AD13"/>
  <c r="AD24"/>
  <c r="AD25" s="1"/>
  <c r="AC13"/>
  <c r="AC24"/>
  <c r="AC25"/>
  <c r="AB13"/>
  <c r="AB24"/>
  <c r="AB25" s="1"/>
  <c r="AA13"/>
  <c r="AA24"/>
  <c r="AA25"/>
  <c r="Y13"/>
  <c r="Y24"/>
  <c r="Y25" s="1"/>
  <c r="X13"/>
  <c r="X24"/>
  <c r="X25"/>
  <c r="U24"/>
  <c r="T24"/>
  <c r="T25" s="1"/>
  <c r="S24"/>
  <c r="S25" s="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D59" i="12"/>
  <c r="K33" i="16"/>
  <c r="J33"/>
  <c r="I33"/>
  <c r="H33"/>
  <c r="F33"/>
  <c r="K41"/>
  <c r="J41"/>
  <c r="I41"/>
  <c r="H41"/>
  <c r="F41"/>
  <c r="F27"/>
  <c r="K12"/>
  <c r="J12"/>
  <c r="I12"/>
  <c r="H12"/>
  <c r="F12"/>
  <c r="C66" i="19"/>
  <c r="C68"/>
  <c r="D52"/>
  <c r="D53"/>
  <c r="AV53" s="1"/>
  <c r="D54"/>
  <c r="D55"/>
  <c r="C55"/>
  <c r="D56"/>
  <c r="AV56" s="1"/>
  <c r="D57"/>
  <c r="D58"/>
  <c r="AV58" s="1"/>
  <c r="D59"/>
  <c r="C59"/>
  <c r="D60"/>
  <c r="D61"/>
  <c r="D62"/>
  <c r="D63"/>
  <c r="D64"/>
  <c r="D65"/>
  <c r="D66"/>
  <c r="D67"/>
  <c r="D69"/>
  <c r="D70"/>
  <c r="C56"/>
  <c r="C57"/>
  <c r="AV57" s="1"/>
  <c r="C58"/>
  <c r="C60"/>
  <c r="C61"/>
  <c r="C62"/>
  <c r="C63"/>
  <c r="C67"/>
  <c r="C69"/>
  <c r="C52"/>
  <c r="AV52" s="1"/>
  <c r="C53"/>
  <c r="C54"/>
  <c r="C64"/>
  <c r="C65"/>
  <c r="C70"/>
  <c r="D5" i="25"/>
  <c r="D7" s="1"/>
  <c r="E5"/>
  <c r="E7" s="1"/>
  <c r="F5"/>
  <c r="F7" s="1"/>
  <c r="O37" i="15"/>
  <c r="O38"/>
  <c r="O39"/>
  <c r="O40"/>
  <c r="O42"/>
  <c r="O43"/>
  <c r="O44"/>
  <c r="P37"/>
  <c r="P38"/>
  <c r="P39"/>
  <c r="P40"/>
  <c r="P42"/>
  <c r="P43"/>
  <c r="P44"/>
  <c r="Q37"/>
  <c r="Q38"/>
  <c r="Q39"/>
  <c r="Q40"/>
  <c r="Q42"/>
  <c r="Q43"/>
  <c r="Q44"/>
  <c r="R40"/>
  <c r="R42"/>
  <c r="R43"/>
  <c r="R44"/>
  <c r="S37"/>
  <c r="S38"/>
  <c r="S39"/>
  <c r="S40"/>
  <c r="S42"/>
  <c r="S43"/>
  <c r="S44"/>
  <c r="T37"/>
  <c r="T38"/>
  <c r="T39"/>
  <c r="T40"/>
  <c r="T42"/>
  <c r="T43"/>
  <c r="T44"/>
  <c r="U37"/>
  <c r="U38"/>
  <c r="U39"/>
  <c r="U40"/>
  <c r="U42"/>
  <c r="U43"/>
  <c r="U44"/>
  <c r="V40"/>
  <c r="V42"/>
  <c r="V43"/>
  <c r="V44"/>
  <c r="W40"/>
  <c r="W42"/>
  <c r="W43"/>
  <c r="W44"/>
  <c r="X37"/>
  <c r="X38"/>
  <c r="X39"/>
  <c r="X40"/>
  <c r="X42"/>
  <c r="X43"/>
  <c r="X44"/>
  <c r="Y37"/>
  <c r="Y38"/>
  <c r="Y39"/>
  <c r="Y40"/>
  <c r="Y42"/>
  <c r="Y43"/>
  <c r="Y44"/>
  <c r="Z40"/>
  <c r="Z42"/>
  <c r="Z43"/>
  <c r="Z44"/>
  <c r="AA37"/>
  <c r="AA38"/>
  <c r="AA39"/>
  <c r="AA40"/>
  <c r="AA42"/>
  <c r="AA43"/>
  <c r="AA44"/>
  <c r="AB37"/>
  <c r="AB38"/>
  <c r="AB39"/>
  <c r="AB40"/>
  <c r="AB42"/>
  <c r="AB43"/>
  <c r="AB44"/>
  <c r="AC37"/>
  <c r="AC38"/>
  <c r="AC39"/>
  <c r="AC40"/>
  <c r="AC42"/>
  <c r="AC43"/>
  <c r="AC44"/>
  <c r="AD37"/>
  <c r="AD38"/>
  <c r="AD39"/>
  <c r="AD40"/>
  <c r="AD42"/>
  <c r="AD43"/>
  <c r="AD44"/>
  <c r="AE37"/>
  <c r="AE38"/>
  <c r="AE39"/>
  <c r="AE40"/>
  <c r="AE42"/>
  <c r="AE43"/>
  <c r="AE44"/>
  <c r="AF37"/>
  <c r="AF38"/>
  <c r="AF39"/>
  <c r="AF40"/>
  <c r="AF42"/>
  <c r="AF43"/>
  <c r="AF44"/>
  <c r="AG38"/>
  <c r="AG39"/>
  <c r="AG40"/>
  <c r="AG42"/>
  <c r="AG43"/>
  <c r="AG44"/>
  <c r="AH37"/>
  <c r="AH38"/>
  <c r="AH39"/>
  <c r="AH40"/>
  <c r="AH42"/>
  <c r="AH43"/>
  <c r="AH44"/>
  <c r="AI37"/>
  <c r="AI38"/>
  <c r="AI39"/>
  <c r="AI40"/>
  <c r="AI42"/>
  <c r="AI43"/>
  <c r="AI44"/>
  <c r="AJ37"/>
  <c r="AJ38"/>
  <c r="AJ39"/>
  <c r="AJ40"/>
  <c r="AJ42"/>
  <c r="AJ43"/>
  <c r="AJ44"/>
  <c r="AK37"/>
  <c r="AK38"/>
  <c r="AK39"/>
  <c r="AK40"/>
  <c r="AK42"/>
  <c r="AK43"/>
  <c r="AK44"/>
  <c r="AL37"/>
  <c r="AL38"/>
  <c r="AL39"/>
  <c r="AL40"/>
  <c r="AL42"/>
  <c r="AL43"/>
  <c r="AL44"/>
  <c r="AM37"/>
  <c r="AM38"/>
  <c r="AM39"/>
  <c r="AM40"/>
  <c r="AM42"/>
  <c r="AM43"/>
  <c r="AM44"/>
  <c r="AN37"/>
  <c r="AN38"/>
  <c r="AN39"/>
  <c r="AN40"/>
  <c r="AN42"/>
  <c r="AN43"/>
  <c r="AN44"/>
  <c r="AO37"/>
  <c r="AO38"/>
  <c r="AO39"/>
  <c r="AO40"/>
  <c r="AO42"/>
  <c r="AO43"/>
  <c r="AO44"/>
  <c r="AP37"/>
  <c r="AP38"/>
  <c r="AP39"/>
  <c r="AP40"/>
  <c r="AP42"/>
  <c r="AP43"/>
  <c r="AP44"/>
  <c r="AQ37"/>
  <c r="AQ38"/>
  <c r="AQ39"/>
  <c r="AQ40"/>
  <c r="AQ42"/>
  <c r="AQ43"/>
  <c r="AQ44"/>
  <c r="AR37"/>
  <c r="AR38"/>
  <c r="AR39"/>
  <c r="AR40"/>
  <c r="AR42"/>
  <c r="AR43"/>
  <c r="AR44"/>
  <c r="AS37"/>
  <c r="AS38"/>
  <c r="AS39"/>
  <c r="AS40"/>
  <c r="AS42"/>
  <c r="AS43"/>
  <c r="AS44"/>
  <c r="AT37"/>
  <c r="AT38"/>
  <c r="AT39"/>
  <c r="AT40"/>
  <c r="AT42"/>
  <c r="AT43"/>
  <c r="AT44"/>
  <c r="AU37"/>
  <c r="AU38"/>
  <c r="AU39"/>
  <c r="AU40"/>
  <c r="AU42"/>
  <c r="AU43"/>
  <c r="AU44"/>
  <c r="AV37"/>
  <c r="AV38"/>
  <c r="AV39"/>
  <c r="AV40"/>
  <c r="AV42"/>
  <c r="AV43"/>
  <c r="AV44"/>
  <c r="AW37"/>
  <c r="AW38"/>
  <c r="AW39"/>
  <c r="AW40"/>
  <c r="AW42"/>
  <c r="AW43"/>
  <c r="AW44"/>
  <c r="AX37"/>
  <c r="AX38"/>
  <c r="AX39"/>
  <c r="AX40"/>
  <c r="AX42"/>
  <c r="AX43"/>
  <c r="AX44"/>
  <c r="AY37"/>
  <c r="AY38"/>
  <c r="AY39"/>
  <c r="AY40"/>
  <c r="AY42"/>
  <c r="AY43"/>
  <c r="AY44"/>
  <c r="AZ37"/>
  <c r="AZ38"/>
  <c r="AZ39"/>
  <c r="AZ40"/>
  <c r="AZ42"/>
  <c r="AZ43"/>
  <c r="AZ44"/>
  <c r="BA37"/>
  <c r="BA38"/>
  <c r="BA39"/>
  <c r="BA40"/>
  <c r="BA41"/>
  <c r="BA42"/>
  <c r="BA43"/>
  <c r="BA44"/>
  <c r="BB37"/>
  <c r="BB38"/>
  <c r="BB39"/>
  <c r="BB40"/>
  <c r="BB41"/>
  <c r="BB42"/>
  <c r="BB43"/>
  <c r="BB44"/>
  <c r="BC37"/>
  <c r="BC38"/>
  <c r="BC39"/>
  <c r="BC40"/>
  <c r="BC41"/>
  <c r="BC42"/>
  <c r="BC43"/>
  <c r="BC44"/>
  <c r="BD37"/>
  <c r="BD38"/>
  <c r="BD39"/>
  <c r="BD40"/>
  <c r="BD41"/>
  <c r="BD42"/>
  <c r="BD43"/>
  <c r="BD44"/>
  <c r="BE37"/>
  <c r="BE38"/>
  <c r="BE39"/>
  <c r="BE40"/>
  <c r="BE41"/>
  <c r="BE42"/>
  <c r="BE43"/>
  <c r="BE44"/>
  <c r="BF37"/>
  <c r="BF38"/>
  <c r="BF39"/>
  <c r="BF40"/>
  <c r="BF41"/>
  <c r="BF42"/>
  <c r="BF43"/>
  <c r="BF44"/>
  <c r="BG37"/>
  <c r="BG38"/>
  <c r="BG39"/>
  <c r="BG40"/>
  <c r="BG41"/>
  <c r="BG42"/>
  <c r="BG43"/>
  <c r="BG44"/>
  <c r="BH37"/>
  <c r="BH38"/>
  <c r="BH39"/>
  <c r="BH40"/>
  <c r="BH41"/>
  <c r="BH42"/>
  <c r="BH43"/>
  <c r="BH44"/>
  <c r="BI37"/>
  <c r="BI38"/>
  <c r="BI39"/>
  <c r="BI40"/>
  <c r="BI41"/>
  <c r="BI42"/>
  <c r="BI43"/>
  <c r="BI44"/>
  <c r="BJ37"/>
  <c r="BJ38"/>
  <c r="BJ39"/>
  <c r="BJ40"/>
  <c r="BJ41"/>
  <c r="BJ42"/>
  <c r="BJ43"/>
  <c r="BJ44"/>
  <c r="BK37"/>
  <c r="BK38"/>
  <c r="BK39"/>
  <c r="BK40"/>
  <c r="BK41"/>
  <c r="BK42"/>
  <c r="BK43"/>
  <c r="BK44"/>
  <c r="BL37"/>
  <c r="BL38"/>
  <c r="BL39"/>
  <c r="BL40"/>
  <c r="BL41"/>
  <c r="BL42"/>
  <c r="BL43"/>
  <c r="BL44"/>
  <c r="BM37"/>
  <c r="BM38"/>
  <c r="BM39"/>
  <c r="BM40"/>
  <c r="BM41"/>
  <c r="BM42"/>
  <c r="BM43"/>
  <c r="BM44"/>
  <c r="BN37"/>
  <c r="BN38"/>
  <c r="BN39"/>
  <c r="BN40"/>
  <c r="BN41"/>
  <c r="BN42"/>
  <c r="BN43"/>
  <c r="BN44"/>
  <c r="BO37"/>
  <c r="BO38"/>
  <c r="BO39"/>
  <c r="BO40"/>
  <c r="BO41"/>
  <c r="BO42"/>
  <c r="BO43"/>
  <c r="BO44"/>
  <c r="BP37"/>
  <c r="BP38"/>
  <c r="BP39"/>
  <c r="BP40"/>
  <c r="BP41"/>
  <c r="BP42"/>
  <c r="BP43"/>
  <c r="BP44"/>
  <c r="BQ37"/>
  <c r="BQ38"/>
  <c r="BQ39"/>
  <c r="BQ40"/>
  <c r="BQ41"/>
  <c r="BQ42"/>
  <c r="BQ43"/>
  <c r="BQ44"/>
  <c r="BR37"/>
  <c r="BR38"/>
  <c r="BR39"/>
  <c r="BR40"/>
  <c r="BR41"/>
  <c r="BR42"/>
  <c r="BR43"/>
  <c r="BR44"/>
  <c r="BS37"/>
  <c r="BS38"/>
  <c r="BS39"/>
  <c r="BS40"/>
  <c r="BS41"/>
  <c r="BS42"/>
  <c r="BS43"/>
  <c r="BS44"/>
  <c r="BT37"/>
  <c r="BT38"/>
  <c r="BT39"/>
  <c r="BT40"/>
  <c r="BT41"/>
  <c r="BT42"/>
  <c r="BT43"/>
  <c r="BT44"/>
  <c r="G5" i="25"/>
  <c r="G7" s="1"/>
  <c r="H5"/>
  <c r="H7" s="1"/>
  <c r="I5"/>
  <c r="I7" s="1"/>
  <c r="D17" i="18"/>
  <c r="D16"/>
  <c r="M31" i="16"/>
  <c r="BS30" i="19"/>
  <c r="BS31"/>
  <c r="BS32"/>
  <c r="AW52"/>
  <c r="AY52"/>
  <c r="BA52"/>
  <c r="BC52"/>
  <c r="BE52"/>
  <c r="BG52"/>
  <c r="BI52"/>
  <c r="BK52"/>
  <c r="BM52"/>
  <c r="BO52"/>
  <c r="BQ52"/>
  <c r="BS52"/>
  <c r="AW53"/>
  <c r="AY53"/>
  <c r="BA53"/>
  <c r="BC53"/>
  <c r="BE53"/>
  <c r="BG53"/>
  <c r="BI53"/>
  <c r="BK53"/>
  <c r="BM53"/>
  <c r="BO53"/>
  <c r="BQ53"/>
  <c r="BS53"/>
  <c r="AW56"/>
  <c r="AY56"/>
  <c r="BA56"/>
  <c r="BC56"/>
  <c r="BE56"/>
  <c r="BG56"/>
  <c r="BI56"/>
  <c r="BK56"/>
  <c r="BM56"/>
  <c r="BO56"/>
  <c r="BQ56"/>
  <c r="BS56"/>
  <c r="AW57"/>
  <c r="AY57"/>
  <c r="BA57"/>
  <c r="BC57"/>
  <c r="BE57"/>
  <c r="BG57"/>
  <c r="BI57"/>
  <c r="BK57"/>
  <c r="BM57"/>
  <c r="BO57"/>
  <c r="BQ57"/>
  <c r="BS57"/>
  <c r="AW58"/>
  <c r="AY58"/>
  <c r="BA58"/>
  <c r="BC58"/>
  <c r="BE58"/>
  <c r="BG58"/>
  <c r="BI58"/>
  <c r="BK58"/>
  <c r="BM58"/>
  <c r="BO58"/>
  <c r="BQ58"/>
  <c r="BS58"/>
  <c r="AV69"/>
  <c r="AV70"/>
  <c r="BT6" i="20"/>
  <c r="BU6"/>
  <c r="BV6"/>
  <c r="BW6"/>
  <c r="BX6"/>
  <c r="BY6"/>
  <c r="BH6"/>
  <c r="BI6"/>
  <c r="BJ6"/>
  <c r="BK6"/>
  <c r="BL6"/>
  <c r="BM6"/>
  <c r="BN6"/>
  <c r="BO6"/>
  <c r="BP6"/>
  <c r="BQ6"/>
  <c r="BR6"/>
  <c r="BS6"/>
  <c r="BG6"/>
  <c r="BF6"/>
  <c r="BE6"/>
  <c r="BD6"/>
  <c r="BC6"/>
  <c r="BB6"/>
  <c r="L26"/>
  <c r="J6"/>
  <c r="I6"/>
  <c r="H6"/>
  <c r="G6"/>
  <c r="G26"/>
  <c r="E74" i="19"/>
  <c r="C74"/>
  <c r="E73"/>
  <c r="C73"/>
  <c r="E72"/>
  <c r="C72"/>
  <c r="E71"/>
  <c r="C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D12"/>
  <c r="D6"/>
  <c r="F10"/>
  <c r="G10"/>
  <c r="H10"/>
  <c r="O10"/>
  <c r="N10"/>
  <c r="M10"/>
  <c r="L10"/>
  <c r="K10"/>
  <c r="J10"/>
  <c r="P10"/>
  <c r="Q10"/>
  <c r="R10"/>
  <c r="S10"/>
  <c r="I10"/>
  <c r="BL23" i="18"/>
  <c r="BM23"/>
  <c r="BN23"/>
  <c r="BO23"/>
  <c r="BP23"/>
  <c r="BQ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E23"/>
  <c r="D23"/>
  <c r="D18"/>
  <c r="F12" i="15"/>
  <c r="BO45"/>
  <c r="BP45"/>
  <c r="BQ45"/>
  <c r="BR45"/>
  <c r="BS45"/>
  <c r="BT45"/>
  <c r="F17"/>
  <c r="F18"/>
  <c r="F21"/>
  <c r="F22"/>
  <c r="F23"/>
  <c r="F8"/>
  <c r="F9"/>
  <c r="F10"/>
  <c r="BN45"/>
  <c r="BM45"/>
  <c r="BL45"/>
  <c r="BK45"/>
  <c r="BJ45"/>
  <c r="BI45"/>
  <c r="BH45"/>
  <c r="BG45"/>
  <c r="BF45"/>
  <c r="BE45"/>
  <c r="BD45"/>
  <c r="BC45"/>
  <c r="E29"/>
  <c r="E32"/>
  <c r="E33"/>
  <c r="E34"/>
  <c r="E36"/>
  <c r="E38"/>
  <c r="E39"/>
  <c r="E42"/>
  <c r="E43"/>
  <c r="E44"/>
  <c r="M45"/>
  <c r="N45"/>
  <c r="O45"/>
  <c r="P45"/>
  <c r="Q45"/>
  <c r="R45"/>
  <c r="S45"/>
  <c r="T45"/>
  <c r="V45"/>
  <c r="W45"/>
  <c r="Y45"/>
  <c r="AA45"/>
  <c r="AB45"/>
  <c r="AC45"/>
  <c r="AD45"/>
  <c r="AE45"/>
  <c r="AF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F11"/>
  <c r="E35"/>
  <c r="F19"/>
  <c r="E40"/>
  <c r="F20"/>
  <c r="E41"/>
  <c r="R62" i="7"/>
  <c r="S62"/>
  <c r="T62" s="1"/>
  <c r="U62" s="1"/>
  <c r="V62" s="1"/>
  <c r="W62" s="1"/>
  <c r="X62" s="1"/>
  <c r="Y62" s="1"/>
  <c r="Z62" s="1"/>
  <c r="AA62" s="1"/>
  <c r="AB62" s="1"/>
  <c r="AC62" s="1"/>
  <c r="I83" i="14"/>
  <c r="I102"/>
  <c r="I110" s="1"/>
  <c r="I108"/>
  <c r="N60"/>
  <c r="L60"/>
  <c r="J60"/>
  <c r="N52"/>
  <c r="L52"/>
  <c r="J52"/>
  <c r="N33"/>
  <c r="L33"/>
  <c r="J33"/>
  <c r="N32"/>
  <c r="L32"/>
  <c r="J32"/>
  <c r="N31"/>
  <c r="L31"/>
  <c r="J31"/>
  <c r="E61"/>
  <c r="BT30" i="19"/>
  <c r="BU30"/>
  <c r="BV30"/>
  <c r="BW30"/>
  <c r="BX30"/>
  <c r="BY30"/>
  <c r="BZ30"/>
  <c r="CA30"/>
  <c r="CB30"/>
  <c r="CC30"/>
  <c r="CD30"/>
  <c r="H59" i="15"/>
  <c r="I59"/>
  <c r="J59" s="1"/>
  <c r="K59" s="1"/>
  <c r="L59" s="1"/>
  <c r="M59" s="1"/>
  <c r="N59" s="1"/>
  <c r="O59" s="1"/>
  <c r="P59" s="1"/>
  <c r="Q59" s="1"/>
  <c r="R59" s="1"/>
  <c r="S59" s="1"/>
  <c r="T59" s="1"/>
  <c r="U59" s="1"/>
  <c r="V59" s="1"/>
  <c r="W59" s="1"/>
  <c r="X59" s="1"/>
  <c r="Y59" s="1"/>
  <c r="Z59" s="1"/>
  <c r="AA59" s="1"/>
  <c r="AB59" s="1"/>
  <c r="AC59" s="1"/>
  <c r="AD59" s="1"/>
  <c r="AE59" s="1"/>
  <c r="AF59" s="1"/>
  <c r="AG59" s="1"/>
  <c r="AH59" s="1"/>
  <c r="AI59" s="1"/>
  <c r="AJ59" s="1"/>
  <c r="AK59" s="1"/>
  <c r="AL59" s="1"/>
  <c r="AM59" s="1"/>
  <c r="AN59" s="1"/>
  <c r="AO59" s="1"/>
  <c r="AP59" s="1"/>
  <c r="AQ59" s="1"/>
  <c r="AR59" s="1"/>
  <c r="AS59" s="1"/>
  <c r="AT59" s="1"/>
  <c r="AU59" s="1"/>
  <c r="AV59" s="1"/>
  <c r="AW59" s="1"/>
  <c r="AX59" s="1"/>
  <c r="AY59" s="1"/>
  <c r="AZ59" s="1"/>
  <c r="BA59" s="1"/>
  <c r="BB59" s="1"/>
  <c r="BC59" s="1"/>
  <c r="BD59" s="1"/>
  <c r="BE59" s="1"/>
  <c r="BF59" s="1"/>
  <c r="BG59" s="1"/>
  <c r="BH59" s="1"/>
  <c r="BI59" s="1"/>
  <c r="BJ59" s="1"/>
  <c r="BK59" s="1"/>
  <c r="BL59" s="1"/>
  <c r="BM59" s="1"/>
  <c r="BN59" s="1"/>
  <c r="BO59" s="1"/>
  <c r="BP59" s="1"/>
  <c r="BQ59" s="1"/>
  <c r="BR59" s="1"/>
  <c r="BS59" s="1"/>
  <c r="BT59" s="1"/>
  <c r="BU59" s="1"/>
  <c r="BV59" s="1"/>
  <c r="BW59" s="1"/>
  <c r="BX59" s="1"/>
  <c r="BY59" s="1"/>
  <c r="BZ59" s="1"/>
  <c r="CA59" s="1"/>
  <c r="CB59" s="1"/>
  <c r="CC59" s="1"/>
  <c r="CD59" s="1"/>
  <c r="CE59" s="1"/>
  <c r="CF59" s="1"/>
  <c r="BU25"/>
  <c r="BV25"/>
  <c r="BW25"/>
  <c r="BX25"/>
  <c r="BY25"/>
  <c r="BZ25"/>
  <c r="CA25"/>
  <c r="CB25"/>
  <c r="CC25"/>
  <c r="CD25"/>
  <c r="CE25"/>
  <c r="CF25"/>
  <c r="BU45"/>
  <c r="BV45"/>
  <c r="BW45"/>
  <c r="BX45"/>
  <c r="BY45"/>
  <c r="BZ45"/>
  <c r="CA45"/>
  <c r="CB45"/>
  <c r="CC45"/>
  <c r="CD45"/>
  <c r="CE45"/>
  <c r="CF45"/>
  <c r="BT8" i="19"/>
  <c r="BU8"/>
  <c r="BV8"/>
  <c r="BW8"/>
  <c r="BX8"/>
  <c r="BY8"/>
  <c r="BZ8"/>
  <c r="CA8"/>
  <c r="CB8"/>
  <c r="CC8"/>
  <c r="CD8"/>
  <c r="CK11" i="20"/>
  <c r="CK13" s="1"/>
  <c r="CA11"/>
  <c r="CA13" s="1"/>
  <c r="CB11"/>
  <c r="CB13" s="1"/>
  <c r="CC11"/>
  <c r="CC13" s="1"/>
  <c r="CD11"/>
  <c r="CD13" s="1"/>
  <c r="CE11"/>
  <c r="CE13" s="1"/>
  <c r="CF11"/>
  <c r="CF13" s="1"/>
  <c r="CG11"/>
  <c r="CG13" s="1"/>
  <c r="CH11"/>
  <c r="CH13" s="1"/>
  <c r="CI11"/>
  <c r="CI13" s="1"/>
  <c r="CJ11"/>
  <c r="CJ13" s="1"/>
  <c r="BU22" i="7"/>
  <c r="BV22"/>
  <c r="BW22" s="1"/>
  <c r="BX22" s="1"/>
  <c r="BY22" s="1"/>
  <c r="BZ22" s="1"/>
  <c r="CA22" s="1"/>
  <c r="CB22" s="1"/>
  <c r="CC22" s="1"/>
  <c r="CD22" s="1"/>
  <c r="CE22" s="1"/>
  <c r="BC23"/>
  <c r="BC43" s="1"/>
  <c r="BC45" s="1"/>
  <c r="AY23"/>
  <c r="AY43" s="1"/>
  <c r="AY45" s="1"/>
  <c r="AU23"/>
  <c r="AQ23"/>
  <c r="AM23"/>
  <c r="AI23"/>
  <c r="AE23"/>
  <c r="AA23"/>
  <c r="F7" i="15"/>
  <c r="E31"/>
  <c r="F6"/>
  <c r="E30"/>
  <c r="E13"/>
  <c r="AJ70" i="19"/>
  <c r="AK70"/>
  <c r="AL70"/>
  <c r="AM70"/>
  <c r="AN70"/>
  <c r="AO70"/>
  <c r="AP70"/>
  <c r="AQ70"/>
  <c r="AR70"/>
  <c r="AS70"/>
  <c r="AT70"/>
  <c r="AU70"/>
  <c r="AJ69"/>
  <c r="AN69"/>
  <c r="AO69"/>
  <c r="AT69"/>
  <c r="AU69"/>
  <c r="AJ58"/>
  <c r="AK58"/>
  <c r="AL58"/>
  <c r="AM58"/>
  <c r="AN58"/>
  <c r="AO58"/>
  <c r="AP58"/>
  <c r="AQ58"/>
  <c r="AR58"/>
  <c r="AS58"/>
  <c r="AT58"/>
  <c r="AU58"/>
  <c r="AJ57"/>
  <c r="AK57"/>
  <c r="AL57"/>
  <c r="AM57"/>
  <c r="AN57"/>
  <c r="AO57"/>
  <c r="AP57"/>
  <c r="AQ57"/>
  <c r="AR57"/>
  <c r="AS57"/>
  <c r="AT57"/>
  <c r="AU57"/>
  <c r="AR56"/>
  <c r="AS56"/>
  <c r="AT56"/>
  <c r="AJ56"/>
  <c r="AK56"/>
  <c r="AL56"/>
  <c r="AM56"/>
  <c r="AN56"/>
  <c r="AO56"/>
  <c r="AP56"/>
  <c r="AQ56"/>
  <c r="AU56"/>
  <c r="AJ53"/>
  <c r="AK53"/>
  <c r="AL53"/>
  <c r="AM53"/>
  <c r="AN53"/>
  <c r="AO53"/>
  <c r="AP53"/>
  <c r="AQ53"/>
  <c r="AR53"/>
  <c r="AS53"/>
  <c r="AT53"/>
  <c r="AU53"/>
  <c r="AJ52"/>
  <c r="AK52"/>
  <c r="AL52"/>
  <c r="AM52"/>
  <c r="AN52"/>
  <c r="AO52"/>
  <c r="AP52"/>
  <c r="AQ52"/>
  <c r="AR52"/>
  <c r="AS52"/>
  <c r="AT52"/>
  <c r="AU52"/>
  <c r="AN68"/>
  <c r="AO68"/>
  <c r="AP68"/>
  <c r="T5" i="18"/>
  <c r="I51" i="14"/>
  <c r="Z37" i="15"/>
  <c r="Z24"/>
  <c r="AF6" i="16" s="1"/>
  <c r="I50" i="14"/>
  <c r="I29"/>
  <c r="N51"/>
  <c r="N50"/>
  <c r="L49"/>
  <c r="L51"/>
  <c r="L50"/>
  <c r="AK49" i="12"/>
  <c r="AJ49"/>
  <c r="AI49"/>
  <c r="AH49"/>
  <c r="AG49"/>
  <c r="AF49"/>
  <c r="AE49"/>
  <c r="AD49"/>
  <c r="AC49"/>
  <c r="AB49"/>
  <c r="AA49"/>
  <c r="Z49"/>
  <c r="J50" i="14"/>
  <c r="J51"/>
  <c r="L7" i="20"/>
  <c r="M7"/>
  <c r="N5" i="16"/>
  <c r="N6"/>
  <c r="N7" i="20"/>
  <c r="O5" i="16"/>
  <c r="O6"/>
  <c r="O7" s="1"/>
  <c r="O7" i="20"/>
  <c r="P5" i="16"/>
  <c r="P6"/>
  <c r="P7" i="20"/>
  <c r="Q5" i="16"/>
  <c r="Q6"/>
  <c r="Q7" s="1"/>
  <c r="Q7" i="20"/>
  <c r="R5" i="16"/>
  <c r="R6"/>
  <c r="S5"/>
  <c r="S6"/>
  <c r="S7"/>
  <c r="T5"/>
  <c r="T6"/>
  <c r="T7" s="1"/>
  <c r="U5"/>
  <c r="U6"/>
  <c r="U7" s="1"/>
  <c r="V5"/>
  <c r="V6"/>
  <c r="W5"/>
  <c r="W6"/>
  <c r="W7"/>
  <c r="X5"/>
  <c r="X6"/>
  <c r="X7" s="1"/>
  <c r="Y5"/>
  <c r="Y6"/>
  <c r="Y7" s="1"/>
  <c r="Z5"/>
  <c r="Z6"/>
  <c r="AA6"/>
  <c r="AA7" s="1"/>
  <c r="AB6"/>
  <c r="AB7" s="1"/>
  <c r="AC6"/>
  <c r="AC7" s="1"/>
  <c r="AE6"/>
  <c r="AH6"/>
  <c r="AJ6"/>
  <c r="AL6"/>
  <c r="BQ33" i="7"/>
  <c r="BP33"/>
  <c r="BO33"/>
  <c r="BN33"/>
  <c r="BM33"/>
  <c r="BL33"/>
  <c r="BQ36"/>
  <c r="BP36"/>
  <c r="BO36"/>
  <c r="BN36"/>
  <c r="BM36"/>
  <c r="BL36"/>
  <c r="AI30"/>
  <c r="AJ30"/>
  <c r="AJ36"/>
  <c r="AJ37" s="1"/>
  <c r="AK30"/>
  <c r="AK36" s="1"/>
  <c r="AL30"/>
  <c r="AM30"/>
  <c r="AM36" s="1"/>
  <c r="AN30"/>
  <c r="AO30"/>
  <c r="AO36" s="1"/>
  <c r="AP30"/>
  <c r="AQ30"/>
  <c r="AQ36" s="1"/>
  <c r="AR33"/>
  <c r="AR36"/>
  <c r="AS33"/>
  <c r="AS36"/>
  <c r="AT33"/>
  <c r="AT36"/>
  <c r="AU33"/>
  <c r="AU36"/>
  <c r="AU43" s="1"/>
  <c r="AU45" s="1"/>
  <c r="AV33"/>
  <c r="AV36"/>
  <c r="AV37" s="1"/>
  <c r="AW37" s="1"/>
  <c r="AW33"/>
  <c r="AW36"/>
  <c r="AX33"/>
  <c r="AX36"/>
  <c r="AX37" s="1"/>
  <c r="AY37" s="1"/>
  <c r="AY33"/>
  <c r="AY36"/>
  <c r="AZ33"/>
  <c r="AZ36"/>
  <c r="AZ37" s="1"/>
  <c r="BA37" s="1"/>
  <c r="BA33"/>
  <c r="BA36"/>
  <c r="BB33"/>
  <c r="BB36"/>
  <c r="BB37" s="1"/>
  <c r="BC37" s="1"/>
  <c r="BC33"/>
  <c r="BC36"/>
  <c r="BD33"/>
  <c r="BD36"/>
  <c r="BD37" s="1"/>
  <c r="BE37" s="1"/>
  <c r="BE33"/>
  <c r="BE36"/>
  <c r="BF33"/>
  <c r="BF36"/>
  <c r="BF37" s="1"/>
  <c r="BG37" s="1"/>
  <c r="BG33"/>
  <c r="BG36"/>
  <c r="BH33"/>
  <c r="BH36"/>
  <c r="BH37" s="1"/>
  <c r="BI37" s="1"/>
  <c r="BI33"/>
  <c r="BI36"/>
  <c r="BJ33"/>
  <c r="BJ36"/>
  <c r="BJ37" s="1"/>
  <c r="BK37" s="1"/>
  <c r="BL37" s="1"/>
  <c r="BM37" s="1"/>
  <c r="BN37" s="1"/>
  <c r="BO37" s="1"/>
  <c r="BP37" s="1"/>
  <c r="BQ37" s="1"/>
  <c r="BK33"/>
  <c r="BK36"/>
  <c r="AE43"/>
  <c r="AE45" s="1"/>
  <c r="F21" i="19"/>
  <c r="U13" i="15"/>
  <c r="F5"/>
  <c r="U45"/>
  <c r="Z25"/>
  <c r="Z45"/>
  <c r="CL5" i="16"/>
  <c r="CK5"/>
  <c r="CJ5"/>
  <c r="CI5"/>
  <c r="CH5"/>
  <c r="CG5"/>
  <c r="CF5"/>
  <c r="CE5"/>
  <c r="CD5"/>
  <c r="CC5"/>
  <c r="CB5"/>
  <c r="CA5"/>
  <c r="BC5"/>
  <c r="BI5"/>
  <c r="BJ5"/>
  <c r="BK5"/>
  <c r="BL5"/>
  <c r="BM5"/>
  <c r="BG5"/>
  <c r="BF5"/>
  <c r="BD5"/>
  <c r="BE5"/>
  <c r="BH5"/>
  <c r="BO5"/>
  <c r="BP5"/>
  <c r="BQ5"/>
  <c r="BR5"/>
  <c r="BS5"/>
  <c r="BT5"/>
  <c r="BY5"/>
  <c r="BX5"/>
  <c r="BW5"/>
  <c r="BV5"/>
  <c r="BU5"/>
  <c r="BA5"/>
  <c r="U25" i="15"/>
  <c r="R5" i="18" s="1"/>
  <c r="AE5" i="16"/>
  <c r="AE7" s="1"/>
  <c r="AF5"/>
  <c r="AG5"/>
  <c r="AH5"/>
  <c r="AH7" s="1"/>
  <c r="AI5"/>
  <c r="AJ5"/>
  <c r="AJ7" s="1"/>
  <c r="AK5"/>
  <c r="AL5"/>
  <c r="AL7" s="1"/>
  <c r="AM5"/>
  <c r="AN5"/>
  <c r="AO5"/>
  <c r="AQ5"/>
  <c r="AR5"/>
  <c r="AS5"/>
  <c r="AT5"/>
  <c r="AU5"/>
  <c r="AV5"/>
  <c r="AW5"/>
  <c r="AX5"/>
  <c r="AY5"/>
  <c r="AZ5"/>
  <c r="AD61" i="7"/>
  <c r="AF28" i="12" s="1"/>
  <c r="AC61" i="7"/>
  <c r="AE28" i="12" s="1"/>
  <c r="AB61" i="7"/>
  <c r="AD28" i="12" s="1"/>
  <c r="AA61" i="7"/>
  <c r="AC28" i="12" s="1"/>
  <c r="U53" i="13"/>
  <c r="V53" s="1"/>
  <c r="W53" s="1"/>
  <c r="X53" s="1"/>
  <c r="Y53" s="1"/>
  <c r="Z53" s="1"/>
  <c r="AA53" s="1"/>
  <c r="T10" i="19"/>
  <c r="U10"/>
  <c r="V10"/>
  <c r="W10"/>
  <c r="AD62" i="7"/>
  <c r="I48" i="14"/>
  <c r="N16" i="36"/>
  <c r="N18" s="1"/>
  <c r="L79" i="19" l="1"/>
  <c r="L80" s="1"/>
  <c r="S17" i="16" s="1"/>
  <c r="AA15" i="20"/>
  <c r="Z7" i="16"/>
  <c r="V7"/>
  <c r="R7"/>
  <c r="P7"/>
  <c r="N7"/>
  <c r="L22" i="20"/>
  <c r="S54" i="12"/>
  <c r="AF7" i="16"/>
  <c r="P108" i="14"/>
  <c r="P110" s="1"/>
  <c r="N29" i="16"/>
  <c r="N31" s="1"/>
  <c r="P29" i="14"/>
  <c r="P26" i="13"/>
  <c r="V54" i="12" s="1"/>
  <c r="Z26" i="13"/>
  <c r="Y26"/>
  <c r="X26"/>
  <c r="W26"/>
  <c r="V26"/>
  <c r="U26"/>
  <c r="T26"/>
  <c r="S26"/>
  <c r="Y54" i="12" s="1"/>
  <c r="R26" i="13"/>
  <c r="X54" i="12" s="1"/>
  <c r="Q42" i="13"/>
  <c r="W54" i="12" s="1"/>
  <c r="W45" s="1"/>
  <c r="O11" i="13"/>
  <c r="U54" i="12" s="1"/>
  <c r="N11" i="13"/>
  <c r="K11"/>
  <c r="Q54" i="12" s="1"/>
  <c r="J11" i="13"/>
  <c r="AE26"/>
  <c r="AB26"/>
  <c r="AA26"/>
  <c r="I42"/>
  <c r="O54" i="12" s="1"/>
  <c r="O38" s="1"/>
  <c r="AG10"/>
  <c r="AE49" i="7"/>
  <c r="Y15" i="20"/>
  <c r="V15"/>
  <c r="U15"/>
  <c r="R15"/>
  <c r="Q15"/>
  <c r="O15"/>
  <c r="BA10" i="12"/>
  <c r="AY49" i="7"/>
  <c r="P5" i="18"/>
  <c r="P6" s="1"/>
  <c r="R87" i="19"/>
  <c r="V5" i="18"/>
  <c r="V6" s="1"/>
  <c r="X87" i="19"/>
  <c r="AA5" i="18"/>
  <c r="AA6" s="1"/>
  <c r="AC87" i="19"/>
  <c r="AE5" i="18"/>
  <c r="AE6" s="1"/>
  <c r="AG87" i="19"/>
  <c r="AI5" i="18"/>
  <c r="AI6" s="1"/>
  <c r="AK87" i="19"/>
  <c r="AM5" i="18"/>
  <c r="AM6" s="1"/>
  <c r="AO87" i="19"/>
  <c r="AQ5" i="18"/>
  <c r="AQ6" s="1"/>
  <c r="AS87" i="19"/>
  <c r="AW87"/>
  <c r="AU5" i="18"/>
  <c r="AU6" s="1"/>
  <c r="BA87" i="19"/>
  <c r="AY5" i="18"/>
  <c r="AY6" s="1"/>
  <c r="BE87" i="19"/>
  <c r="BC5" i="18"/>
  <c r="BC6" s="1"/>
  <c r="BI87" i="19"/>
  <c r="BG5" i="18"/>
  <c r="BG6" s="1"/>
  <c r="BM87" i="19"/>
  <c r="BK5" i="18"/>
  <c r="BK6" s="1"/>
  <c r="BQ87" i="19"/>
  <c r="BO5" i="18"/>
  <c r="BO6" s="1"/>
  <c r="L5"/>
  <c r="L6" s="1"/>
  <c r="N87" i="19"/>
  <c r="BK43" i="7"/>
  <c r="BK45" s="1"/>
  <c r="AW10" i="12"/>
  <c r="AU49" i="7"/>
  <c r="AQ43"/>
  <c r="AQ45" s="1"/>
  <c r="AM43"/>
  <c r="AM45" s="1"/>
  <c r="Z15" i="20"/>
  <c r="X15"/>
  <c r="W15"/>
  <c r="T15"/>
  <c r="S15"/>
  <c r="P15"/>
  <c r="N15"/>
  <c r="BE10" i="12"/>
  <c r="BC49" i="7"/>
  <c r="Q5" i="18"/>
  <c r="Q6" s="1"/>
  <c r="S87" i="19"/>
  <c r="Y5" i="18"/>
  <c r="Y6" s="1"/>
  <c r="AA87" i="19"/>
  <c r="AC5" i="18"/>
  <c r="AC6" s="1"/>
  <c r="AE87" i="19"/>
  <c r="AG5" i="18"/>
  <c r="AG6" s="1"/>
  <c r="AI87" i="19"/>
  <c r="AK5" i="18"/>
  <c r="AK6" s="1"/>
  <c r="AM87" i="19"/>
  <c r="AO5" i="18"/>
  <c r="AO6" s="1"/>
  <c r="AQ87" i="19"/>
  <c r="AU87"/>
  <c r="AS5" i="18"/>
  <c r="AS6" s="1"/>
  <c r="AY87" i="19"/>
  <c r="AW5" i="18"/>
  <c r="AW6" s="1"/>
  <c r="BC87" i="19"/>
  <c r="BA5" i="18"/>
  <c r="BA6" s="1"/>
  <c r="BE5"/>
  <c r="BE6" s="1"/>
  <c r="BG87" i="19"/>
  <c r="BK87"/>
  <c r="BI5" i="18"/>
  <c r="BI6" s="1"/>
  <c r="BO87" i="19"/>
  <c r="BM5" i="18"/>
  <c r="BM6" s="1"/>
  <c r="BS87" i="19"/>
  <c r="BQ5" i="18"/>
  <c r="BQ6" s="1"/>
  <c r="D6"/>
  <c r="F87" i="19"/>
  <c r="F92" s="1"/>
  <c r="N5" i="18"/>
  <c r="N6" s="1"/>
  <c r="P87" i="19"/>
  <c r="G7" i="28"/>
  <c r="H7" s="1"/>
  <c r="I7" s="1"/>
  <c r="I6"/>
  <c r="BU10" i="12"/>
  <c r="BS49" i="7"/>
  <c r="BO43"/>
  <c r="BO45" s="1"/>
  <c r="BG43"/>
  <c r="BG45" s="1"/>
  <c r="AK37"/>
  <c r="AB15" i="20"/>
  <c r="AE15"/>
  <c r="H64" i="15"/>
  <c r="I64" s="1"/>
  <c r="J64" s="1"/>
  <c r="K64" s="1"/>
  <c r="L64" s="1"/>
  <c r="M64" s="1"/>
  <c r="N64" s="1"/>
  <c r="O64" s="1"/>
  <c r="P64" s="1"/>
  <c r="Q64" s="1"/>
  <c r="R64" s="1"/>
  <c r="S64" s="1"/>
  <c r="T64" s="1"/>
  <c r="U64" s="1"/>
  <c r="V64" s="1"/>
  <c r="W64" s="1"/>
  <c r="X64" s="1"/>
  <c r="Y64" s="1"/>
  <c r="Z64" s="1"/>
  <c r="AA64" s="1"/>
  <c r="AB64" s="1"/>
  <c r="AC64" s="1"/>
  <c r="AD64" s="1"/>
  <c r="AE64" s="1"/>
  <c r="AF64" s="1"/>
  <c r="AG64" s="1"/>
  <c r="AH64" s="1"/>
  <c r="AI64" s="1"/>
  <c r="AJ64" s="1"/>
  <c r="AK64" s="1"/>
  <c r="AL64" s="1"/>
  <c r="AM64" s="1"/>
  <c r="AN64" s="1"/>
  <c r="AO64" s="1"/>
  <c r="AP64" s="1"/>
  <c r="AQ64" s="1"/>
  <c r="AR64" s="1"/>
  <c r="AS64" s="1"/>
  <c r="AT64" s="1"/>
  <c r="AU64" s="1"/>
  <c r="AV64" s="1"/>
  <c r="AW64" s="1"/>
  <c r="AX64" s="1"/>
  <c r="AY64" s="1"/>
  <c r="AZ64" s="1"/>
  <c r="BA64" s="1"/>
  <c r="BB64" s="1"/>
  <c r="BC64" s="1"/>
  <c r="BD64" s="1"/>
  <c r="BE64" s="1"/>
  <c r="BF64" s="1"/>
  <c r="BG64" s="1"/>
  <c r="BH64" s="1"/>
  <c r="BI64" s="1"/>
  <c r="BJ64" s="1"/>
  <c r="BK64" s="1"/>
  <c r="BL64" s="1"/>
  <c r="BM64" s="1"/>
  <c r="BN64" s="1"/>
  <c r="BO64" s="1"/>
  <c r="BP64" s="1"/>
  <c r="BQ64" s="1"/>
  <c r="BR64" s="1"/>
  <c r="BS64" s="1"/>
  <c r="BT64" s="1"/>
  <c r="BU64" s="1"/>
  <c r="BV64" s="1"/>
  <c r="BW64" s="1"/>
  <c r="BX64" s="1"/>
  <c r="BY64" s="1"/>
  <c r="BZ64" s="1"/>
  <c r="CA64" s="1"/>
  <c r="CB64" s="1"/>
  <c r="CC64" s="1"/>
  <c r="CD64" s="1"/>
  <c r="CE64" s="1"/>
  <c r="CF64" s="1"/>
  <c r="H60"/>
  <c r="I60" s="1"/>
  <c r="J60" s="1"/>
  <c r="K60" s="1"/>
  <c r="L60" s="1"/>
  <c r="M60" s="1"/>
  <c r="N60" s="1"/>
  <c r="O60" s="1"/>
  <c r="P60" s="1"/>
  <c r="Q60" s="1"/>
  <c r="R60" s="1"/>
  <c r="S60" s="1"/>
  <c r="T60" s="1"/>
  <c r="U60" s="1"/>
  <c r="V60" s="1"/>
  <c r="W60" s="1"/>
  <c r="X60" s="1"/>
  <c r="Y60" s="1"/>
  <c r="Z60" s="1"/>
  <c r="AA60" s="1"/>
  <c r="AB60" s="1"/>
  <c r="AC60" s="1"/>
  <c r="AD60" s="1"/>
  <c r="AE60" s="1"/>
  <c r="AF60" s="1"/>
  <c r="AG60" s="1"/>
  <c r="AH60" s="1"/>
  <c r="AI60" s="1"/>
  <c r="AJ60" s="1"/>
  <c r="AK60" s="1"/>
  <c r="AL60" s="1"/>
  <c r="AM60" s="1"/>
  <c r="AN60" s="1"/>
  <c r="AO60" s="1"/>
  <c r="AP60" s="1"/>
  <c r="AQ60" s="1"/>
  <c r="AR60" s="1"/>
  <c r="AS60" s="1"/>
  <c r="AT60" s="1"/>
  <c r="AU60" s="1"/>
  <c r="AV60" s="1"/>
  <c r="AW60" s="1"/>
  <c r="AX60" s="1"/>
  <c r="AY60" s="1"/>
  <c r="AZ60" s="1"/>
  <c r="BA60" s="1"/>
  <c r="BB60" s="1"/>
  <c r="BC60" s="1"/>
  <c r="BD60" s="1"/>
  <c r="BE60" s="1"/>
  <c r="BF60" s="1"/>
  <c r="BG60" s="1"/>
  <c r="BH60" s="1"/>
  <c r="BI60" s="1"/>
  <c r="BJ60" s="1"/>
  <c r="BK60" s="1"/>
  <c r="BL60" s="1"/>
  <c r="BM60" s="1"/>
  <c r="BN60" s="1"/>
  <c r="BO60" s="1"/>
  <c r="BP60" s="1"/>
  <c r="BQ60" s="1"/>
  <c r="BR60" s="1"/>
  <c r="BS60" s="1"/>
  <c r="BT60" s="1"/>
  <c r="BU60" s="1"/>
  <c r="BV60" s="1"/>
  <c r="BW60" s="1"/>
  <c r="BX60" s="1"/>
  <c r="BY60" s="1"/>
  <c r="BZ60" s="1"/>
  <c r="CA60" s="1"/>
  <c r="CB60" s="1"/>
  <c r="CC60" s="1"/>
  <c r="CD60" s="1"/>
  <c r="CE60" s="1"/>
  <c r="CF60" s="1"/>
  <c r="AC22" i="7"/>
  <c r="AD22" s="1"/>
  <c r="AE22" s="1"/>
  <c r="AF22" s="1"/>
  <c r="AG22" s="1"/>
  <c r="AH22" s="1"/>
  <c r="AI22" s="1"/>
  <c r="AQ22"/>
  <c r="AR22" s="1"/>
  <c r="AS22" s="1"/>
  <c r="AT22" s="1"/>
  <c r="AU22" s="1"/>
  <c r="BA22"/>
  <c r="BB22" s="1"/>
  <c r="BC22" s="1"/>
  <c r="BD22" s="1"/>
  <c r="BE22" s="1"/>
  <c r="BF22" s="1"/>
  <c r="BG22" s="1"/>
  <c r="BO22"/>
  <c r="BP22" s="1"/>
  <c r="BQ22" s="1"/>
  <c r="BR22" s="1"/>
  <c r="BS22" s="1"/>
  <c r="AC36" i="12"/>
  <c r="AC35"/>
  <c r="AC37"/>
  <c r="AA29" i="19"/>
  <c r="AE36" i="12"/>
  <c r="AC34" i="19" s="1"/>
  <c r="AE35" i="12"/>
  <c r="AE37"/>
  <c r="AC35" i="19" s="1"/>
  <c r="AC29"/>
  <c r="F69"/>
  <c r="H69"/>
  <c r="J69"/>
  <c r="L69"/>
  <c r="N69"/>
  <c r="P69"/>
  <c r="R69"/>
  <c r="T69"/>
  <c r="V69"/>
  <c r="X69"/>
  <c r="AB69"/>
  <c r="AD69"/>
  <c r="AF69"/>
  <c r="G69"/>
  <c r="I69"/>
  <c r="K69"/>
  <c r="M69"/>
  <c r="O69"/>
  <c r="Q69"/>
  <c r="S69"/>
  <c r="U69"/>
  <c r="W69"/>
  <c r="Y69"/>
  <c r="AC69"/>
  <c r="AE69"/>
  <c r="AG69"/>
  <c r="AI69"/>
  <c r="F66"/>
  <c r="T66"/>
  <c r="AB66"/>
  <c r="AD66"/>
  <c r="AF66"/>
  <c r="AH66"/>
  <c r="G66"/>
  <c r="I66"/>
  <c r="K66"/>
  <c r="O66"/>
  <c r="Q66"/>
  <c r="S66"/>
  <c r="U66"/>
  <c r="W66"/>
  <c r="Y66"/>
  <c r="CD66"/>
  <c r="CB66"/>
  <c r="BZ66"/>
  <c r="BX66"/>
  <c r="BV66"/>
  <c r="CE66"/>
  <c r="CA66"/>
  <c r="BW66"/>
  <c r="CC66"/>
  <c r="BY66"/>
  <c r="BU66"/>
  <c r="F64"/>
  <c r="H64"/>
  <c r="J64"/>
  <c r="L64"/>
  <c r="N64"/>
  <c r="P64"/>
  <c r="R64"/>
  <c r="T64"/>
  <c r="G64"/>
  <c r="I64"/>
  <c r="K64"/>
  <c r="M64"/>
  <c r="O64"/>
  <c r="Q64"/>
  <c r="S64"/>
  <c r="U64"/>
  <c r="F62"/>
  <c r="H62"/>
  <c r="J62"/>
  <c r="L62"/>
  <c r="N62"/>
  <c r="G62"/>
  <c r="I62"/>
  <c r="K62"/>
  <c r="U62"/>
  <c r="F60"/>
  <c r="H60"/>
  <c r="J60"/>
  <c r="L60"/>
  <c r="N60"/>
  <c r="P60"/>
  <c r="R60"/>
  <c r="T60"/>
  <c r="V60"/>
  <c r="X60"/>
  <c r="Z60"/>
  <c r="AB60"/>
  <c r="AD60"/>
  <c r="G60"/>
  <c r="I60"/>
  <c r="K60"/>
  <c r="M60"/>
  <c r="O60"/>
  <c r="Q60"/>
  <c r="S60"/>
  <c r="U60"/>
  <c r="W60"/>
  <c r="Y60"/>
  <c r="AA60"/>
  <c r="F59"/>
  <c r="H59"/>
  <c r="J59"/>
  <c r="L59"/>
  <c r="N59"/>
  <c r="P59"/>
  <c r="R59"/>
  <c r="T59"/>
  <c r="V59"/>
  <c r="X59"/>
  <c r="Z59"/>
  <c r="G59"/>
  <c r="I59"/>
  <c r="K59"/>
  <c r="M59"/>
  <c r="O59"/>
  <c r="Q59"/>
  <c r="S59"/>
  <c r="U59"/>
  <c r="W59"/>
  <c r="Y59"/>
  <c r="AA59"/>
  <c r="AC59"/>
  <c r="F57"/>
  <c r="H57"/>
  <c r="J57"/>
  <c r="L57"/>
  <c r="N57"/>
  <c r="P57"/>
  <c r="G57"/>
  <c r="K57"/>
  <c r="O57"/>
  <c r="R57"/>
  <c r="T57"/>
  <c r="V57"/>
  <c r="X57"/>
  <c r="Z57"/>
  <c r="AB57"/>
  <c r="AD57"/>
  <c r="AF57"/>
  <c r="AH57"/>
  <c r="I57"/>
  <c r="M57"/>
  <c r="Q57"/>
  <c r="S57"/>
  <c r="U57"/>
  <c r="W57"/>
  <c r="Y57"/>
  <c r="AA57"/>
  <c r="AC57"/>
  <c r="AE57"/>
  <c r="AG57"/>
  <c r="AI57"/>
  <c r="CE57"/>
  <c r="CC57"/>
  <c r="CA57"/>
  <c r="BY57"/>
  <c r="BW57"/>
  <c r="BU57"/>
  <c r="CD57"/>
  <c r="BZ57"/>
  <c r="BV57"/>
  <c r="CB57"/>
  <c r="BX57"/>
  <c r="BT57"/>
  <c r="F54"/>
  <c r="H54"/>
  <c r="J54"/>
  <c r="L54"/>
  <c r="I54"/>
  <c r="M54"/>
  <c r="G54"/>
  <c r="K54"/>
  <c r="F52"/>
  <c r="H52"/>
  <c r="J52"/>
  <c r="L52"/>
  <c r="N52"/>
  <c r="P52"/>
  <c r="R52"/>
  <c r="T52"/>
  <c r="V52"/>
  <c r="X52"/>
  <c r="Z52"/>
  <c r="AB52"/>
  <c r="AD52"/>
  <c r="AF52"/>
  <c r="AH52"/>
  <c r="I52"/>
  <c r="M52"/>
  <c r="Q52"/>
  <c r="U52"/>
  <c r="Y52"/>
  <c r="AC52"/>
  <c r="AG52"/>
  <c r="G52"/>
  <c r="K52"/>
  <c r="O52"/>
  <c r="S52"/>
  <c r="W52"/>
  <c r="AA52"/>
  <c r="AE52"/>
  <c r="AI52"/>
  <c r="CE52"/>
  <c r="CC52"/>
  <c r="CA52"/>
  <c r="BY52"/>
  <c r="BW52"/>
  <c r="BU52"/>
  <c r="CD52"/>
  <c r="BZ52"/>
  <c r="BV52"/>
  <c r="CB52"/>
  <c r="BX52"/>
  <c r="BT52"/>
  <c r="CD87"/>
  <c r="CB87"/>
  <c r="BZ87"/>
  <c r="BX87"/>
  <c r="BV87"/>
  <c r="BT87"/>
  <c r="CE87"/>
  <c r="CA87"/>
  <c r="BW87"/>
  <c r="CC87"/>
  <c r="BY87"/>
  <c r="BU87"/>
  <c r="AP5" i="16"/>
  <c r="H5" s="1"/>
  <c r="BB5"/>
  <c r="I5" s="1"/>
  <c r="BN5"/>
  <c r="J5" s="1"/>
  <c r="BZ5"/>
  <c r="K5" s="1"/>
  <c r="M5"/>
  <c r="AD5"/>
  <c r="BN47" i="19"/>
  <c r="BS73"/>
  <c r="BH47"/>
  <c r="BM73"/>
  <c r="BG73"/>
  <c r="BB47"/>
  <c r="AV47"/>
  <c r="BA73"/>
  <c r="S5" i="18"/>
  <c r="S6" s="1"/>
  <c r="U87" i="19"/>
  <c r="AC73"/>
  <c r="X47"/>
  <c r="S47"/>
  <c r="U49" i="12"/>
  <c r="O47" i="19"/>
  <c r="Q49" i="12"/>
  <c r="H31" i="15"/>
  <c r="J31"/>
  <c r="L31"/>
  <c r="G31"/>
  <c r="G51" s="1"/>
  <c r="I31"/>
  <c r="K31"/>
  <c r="X45"/>
  <c r="AD42" i="19"/>
  <c r="AD68"/>
  <c r="AG43" i="12"/>
  <c r="AU43" i="19"/>
  <c r="AX44" i="12"/>
  <c r="AN43" i="19"/>
  <c r="AQ44" i="12"/>
  <c r="AI43" i="19"/>
  <c r="AL44" i="12"/>
  <c r="X43" i="19"/>
  <c r="AA44" i="12"/>
  <c r="W27" i="16"/>
  <c r="U18" i="20"/>
  <c r="U19"/>
  <c r="W28" i="16"/>
  <c r="AN18" i="20"/>
  <c r="AP27" i="16"/>
  <c r="AG5" i="13"/>
  <c r="AK6" i="16"/>
  <c r="AK7" s="1"/>
  <c r="AI6"/>
  <c r="AI7" s="1"/>
  <c r="AI15" i="20" s="1"/>
  <c r="AG6" i="16"/>
  <c r="AG7" s="1"/>
  <c r="BR58" i="19"/>
  <c r="BP58"/>
  <c r="BN58"/>
  <c r="BL58"/>
  <c r="BJ58"/>
  <c r="BH58"/>
  <c r="BF58"/>
  <c r="BD58"/>
  <c r="BB58"/>
  <c r="AZ58"/>
  <c r="AX58"/>
  <c r="BR57"/>
  <c r="BP57"/>
  <c r="BN57"/>
  <c r="BL57"/>
  <c r="BJ57"/>
  <c r="BH57"/>
  <c r="BF57"/>
  <c r="BD57"/>
  <c r="BB57"/>
  <c r="AZ57"/>
  <c r="AX57"/>
  <c r="BR56"/>
  <c r="BP56"/>
  <c r="BN56"/>
  <c r="BL56"/>
  <c r="BJ56"/>
  <c r="BH56"/>
  <c r="BF56"/>
  <c r="BD56"/>
  <c r="BB56"/>
  <c r="AZ56"/>
  <c r="AX56"/>
  <c r="BR53"/>
  <c r="BP53"/>
  <c r="BN53"/>
  <c r="BL53"/>
  <c r="BJ53"/>
  <c r="BH53"/>
  <c r="BF53"/>
  <c r="BD53"/>
  <c r="BB53"/>
  <c r="AZ53"/>
  <c r="AX53"/>
  <c r="BR52"/>
  <c r="BP52"/>
  <c r="BN52"/>
  <c r="BL52"/>
  <c r="BJ52"/>
  <c r="BH52"/>
  <c r="BF52"/>
  <c r="BD52"/>
  <c r="BB52"/>
  <c r="AZ52"/>
  <c r="AX52"/>
  <c r="I5" i="28"/>
  <c r="BU49" i="12"/>
  <c r="BS49"/>
  <c r="BQ49"/>
  <c r="N49" i="14" s="1"/>
  <c r="AW49" i="12"/>
  <c r="AU49"/>
  <c r="AU47" s="1"/>
  <c r="AS49"/>
  <c r="AS47" s="1"/>
  <c r="J108" i="14"/>
  <c r="J110" s="1"/>
  <c r="L83"/>
  <c r="N102"/>
  <c r="BQ19" i="7"/>
  <c r="BQ23" s="1"/>
  <c r="BM19"/>
  <c r="BM23" s="1"/>
  <c r="BI19"/>
  <c r="BI23" s="1"/>
  <c r="BE19"/>
  <c r="BE23" s="1"/>
  <c r="BA19"/>
  <c r="BA23" s="1"/>
  <c r="AW19"/>
  <c r="AW23" s="1"/>
  <c r="AS19"/>
  <c r="AS23" s="1"/>
  <c r="AO19"/>
  <c r="AO23" s="1"/>
  <c r="AK19"/>
  <c r="AK23" s="1"/>
  <c r="AG19"/>
  <c r="AG23" s="1"/>
  <c r="AC19"/>
  <c r="AC23" s="1"/>
  <c r="Y19"/>
  <c r="U19"/>
  <c r="Q19"/>
  <c r="AD36" i="12"/>
  <c r="AB34" i="19" s="1"/>
  <c r="AB29"/>
  <c r="AD35" i="12"/>
  <c r="AD37"/>
  <c r="AB35" i="19" s="1"/>
  <c r="AF36" i="12"/>
  <c r="AD34" i="19" s="1"/>
  <c r="AD29"/>
  <c r="AF35" i="12"/>
  <c r="AD59" i="19" s="1"/>
  <c r="AF37" i="12"/>
  <c r="AD35" i="19" s="1"/>
  <c r="W5" i="18"/>
  <c r="W6" s="1"/>
  <c r="Y87" i="19"/>
  <c r="F70"/>
  <c r="H70"/>
  <c r="J70"/>
  <c r="L70"/>
  <c r="N70"/>
  <c r="P70"/>
  <c r="R70"/>
  <c r="T70"/>
  <c r="V70"/>
  <c r="X70"/>
  <c r="Z70"/>
  <c r="AB70"/>
  <c r="AD70"/>
  <c r="AF70"/>
  <c r="AH70"/>
  <c r="G70"/>
  <c r="I70"/>
  <c r="K70"/>
  <c r="M70"/>
  <c r="O70"/>
  <c r="Q70"/>
  <c r="S70"/>
  <c r="U70"/>
  <c r="W70"/>
  <c r="Y70"/>
  <c r="AA70"/>
  <c r="AC70"/>
  <c r="AE70"/>
  <c r="AG70"/>
  <c r="AI70"/>
  <c r="F67"/>
  <c r="H67"/>
  <c r="J67"/>
  <c r="L67"/>
  <c r="N67"/>
  <c r="G67"/>
  <c r="I67"/>
  <c r="K67"/>
  <c r="M67"/>
  <c r="F65"/>
  <c r="H65"/>
  <c r="J65"/>
  <c r="L65"/>
  <c r="N65"/>
  <c r="G65"/>
  <c r="I65"/>
  <c r="K65"/>
  <c r="M65"/>
  <c r="O65"/>
  <c r="F63"/>
  <c r="H63"/>
  <c r="J63"/>
  <c r="L63"/>
  <c r="N63"/>
  <c r="G63"/>
  <c r="I63"/>
  <c r="K63"/>
  <c r="M63"/>
  <c r="F61"/>
  <c r="H61"/>
  <c r="J61"/>
  <c r="L61"/>
  <c r="N61"/>
  <c r="P61"/>
  <c r="R61"/>
  <c r="T61"/>
  <c r="V61"/>
  <c r="X61"/>
  <c r="Z61"/>
  <c r="AB61"/>
  <c r="AD61"/>
  <c r="G61"/>
  <c r="I61"/>
  <c r="K61"/>
  <c r="M61"/>
  <c r="O61"/>
  <c r="Q61"/>
  <c r="S61"/>
  <c r="U61"/>
  <c r="W61"/>
  <c r="Y61"/>
  <c r="AA61"/>
  <c r="AC61"/>
  <c r="AE61"/>
  <c r="F58"/>
  <c r="H58"/>
  <c r="J58"/>
  <c r="L58"/>
  <c r="N58"/>
  <c r="P58"/>
  <c r="R58"/>
  <c r="T58"/>
  <c r="V58"/>
  <c r="X58"/>
  <c r="Z58"/>
  <c r="AB58"/>
  <c r="AD58"/>
  <c r="AF58"/>
  <c r="AH58"/>
  <c r="G58"/>
  <c r="I58"/>
  <c r="K58"/>
  <c r="M58"/>
  <c r="O58"/>
  <c r="Q58"/>
  <c r="S58"/>
  <c r="U58"/>
  <c r="W58"/>
  <c r="Y58"/>
  <c r="AA58"/>
  <c r="AC58"/>
  <c r="AE58"/>
  <c r="AG58"/>
  <c r="AI58"/>
  <c r="CE58"/>
  <c r="CC58"/>
  <c r="CA58"/>
  <c r="BY58"/>
  <c r="BW58"/>
  <c r="BU58"/>
  <c r="CD58"/>
  <c r="BZ58"/>
  <c r="BV58"/>
  <c r="CB58"/>
  <c r="BX58"/>
  <c r="BT58"/>
  <c r="F56"/>
  <c r="H56"/>
  <c r="J56"/>
  <c r="L56"/>
  <c r="N56"/>
  <c r="P56"/>
  <c r="R56"/>
  <c r="T56"/>
  <c r="V56"/>
  <c r="X56"/>
  <c r="Z56"/>
  <c r="AB56"/>
  <c r="AD56"/>
  <c r="AF56"/>
  <c r="AH56"/>
  <c r="I56"/>
  <c r="M56"/>
  <c r="Q56"/>
  <c r="U56"/>
  <c r="Y56"/>
  <c r="AC56"/>
  <c r="AG56"/>
  <c r="G56"/>
  <c r="K56"/>
  <c r="O56"/>
  <c r="S56"/>
  <c r="W56"/>
  <c r="AA56"/>
  <c r="AE56"/>
  <c r="AI56"/>
  <c r="CE56"/>
  <c r="CC56"/>
  <c r="CA56"/>
  <c r="BY56"/>
  <c r="BW56"/>
  <c r="BU56"/>
  <c r="CB56"/>
  <c r="BX56"/>
  <c r="CD56"/>
  <c r="BZ56"/>
  <c r="BV56"/>
  <c r="F55"/>
  <c r="H55"/>
  <c r="J55"/>
  <c r="L55"/>
  <c r="N55"/>
  <c r="P55"/>
  <c r="R55"/>
  <c r="T55"/>
  <c r="V55"/>
  <c r="X55"/>
  <c r="Z55"/>
  <c r="AB55"/>
  <c r="AD55"/>
  <c r="G55"/>
  <c r="K55"/>
  <c r="O55"/>
  <c r="S55"/>
  <c r="W55"/>
  <c r="AA55"/>
  <c r="I55"/>
  <c r="Q55"/>
  <c r="U55"/>
  <c r="Y55"/>
  <c r="AC55"/>
  <c r="F53"/>
  <c r="H53"/>
  <c r="J53"/>
  <c r="L53"/>
  <c r="N53"/>
  <c r="P53"/>
  <c r="R53"/>
  <c r="T53"/>
  <c r="V53"/>
  <c r="X53"/>
  <c r="Z53"/>
  <c r="AB53"/>
  <c r="AD53"/>
  <c r="AF53"/>
  <c r="AH53"/>
  <c r="G53"/>
  <c r="K53"/>
  <c r="O53"/>
  <c r="S53"/>
  <c r="W53"/>
  <c r="AA53"/>
  <c r="AE53"/>
  <c r="AI53"/>
  <c r="I53"/>
  <c r="M53"/>
  <c r="Q53"/>
  <c r="U53"/>
  <c r="Y53"/>
  <c r="AC53"/>
  <c r="AG53"/>
  <c r="CE53"/>
  <c r="CC53"/>
  <c r="CA53"/>
  <c r="BY53"/>
  <c r="BW53"/>
  <c r="BU53"/>
  <c r="CD53"/>
  <c r="BZ53"/>
  <c r="BV53"/>
  <c r="CB53"/>
  <c r="BX53"/>
  <c r="BT53"/>
  <c r="F68"/>
  <c r="H68"/>
  <c r="J68"/>
  <c r="L68"/>
  <c r="N68"/>
  <c r="P68"/>
  <c r="R68"/>
  <c r="T68"/>
  <c r="V68"/>
  <c r="X68"/>
  <c r="Z68"/>
  <c r="AB68"/>
  <c r="G68"/>
  <c r="I68"/>
  <c r="K68"/>
  <c r="M68"/>
  <c r="O68"/>
  <c r="Q68"/>
  <c r="S68"/>
  <c r="U68"/>
  <c r="W68"/>
  <c r="Y68"/>
  <c r="AA68"/>
  <c r="AG68"/>
  <c r="U5" i="18"/>
  <c r="U6" s="1"/>
  <c r="W87" i="19"/>
  <c r="X5" i="18"/>
  <c r="X6" s="1"/>
  <c r="Z87" i="19"/>
  <c r="Z5" i="18"/>
  <c r="Z6" s="1"/>
  <c r="AB87" i="19"/>
  <c r="AB5" i="18"/>
  <c r="AB6" s="1"/>
  <c r="AD87" i="19"/>
  <c r="AF5" i="18"/>
  <c r="AF6" s="1"/>
  <c r="AH87" i="19"/>
  <c r="AJ87"/>
  <c r="AH5" i="18"/>
  <c r="AH6" s="1"/>
  <c r="AL87" i="19"/>
  <c r="AJ5" i="18"/>
  <c r="AJ6" s="1"/>
  <c r="AN87" i="19"/>
  <c r="AL5" i="18"/>
  <c r="AL6" s="1"/>
  <c r="AP87" i="19"/>
  <c r="AN5" i="18"/>
  <c r="AN6" s="1"/>
  <c r="AR87" i="19"/>
  <c r="AP5" i="18"/>
  <c r="AP6" s="1"/>
  <c r="AT87" i="19"/>
  <c r="AR5" i="18"/>
  <c r="AR6" s="1"/>
  <c r="AV87" i="19"/>
  <c r="AT5" i="18"/>
  <c r="AT6" s="1"/>
  <c r="AX87" i="19"/>
  <c r="AV5" i="18"/>
  <c r="AV6" s="1"/>
  <c r="AZ87" i="19"/>
  <c r="AX5" i="18"/>
  <c r="AX6" s="1"/>
  <c r="BB87" i="19"/>
  <c r="AZ5" i="18"/>
  <c r="AZ6" s="1"/>
  <c r="BD87" i="19"/>
  <c r="BB5" i="18"/>
  <c r="BB6" s="1"/>
  <c r="BF87" i="19"/>
  <c r="BD5" i="18"/>
  <c r="BD6" s="1"/>
  <c r="BH87" i="19"/>
  <c r="BF5" i="18"/>
  <c r="BF6" s="1"/>
  <c r="BJ87" i="19"/>
  <c r="BH5" i="18"/>
  <c r="BH6" s="1"/>
  <c r="BL87" i="19"/>
  <c r="BJ5" i="18"/>
  <c r="BJ6" s="1"/>
  <c r="BN87" i="19"/>
  <c r="BL5" i="18"/>
  <c r="BL6" s="1"/>
  <c r="BP87" i="19"/>
  <c r="BN5" i="18"/>
  <c r="BN6" s="1"/>
  <c r="BR87" i="19"/>
  <c r="BP5" i="18"/>
  <c r="BP6" s="1"/>
  <c r="K5"/>
  <c r="K6" s="1"/>
  <c r="M87" i="19"/>
  <c r="AD6" i="16"/>
  <c r="M6"/>
  <c r="M7" s="1"/>
  <c r="M15" i="20" s="1"/>
  <c r="J5" i="18"/>
  <c r="J6" s="1"/>
  <c r="L87" i="19"/>
  <c r="M5" i="18"/>
  <c r="M6" s="1"/>
  <c r="O87" i="19"/>
  <c r="O5" i="18"/>
  <c r="O6" s="1"/>
  <c r="Q87" i="19"/>
  <c r="BN46"/>
  <c r="BS72"/>
  <c r="BH46"/>
  <c r="BM72"/>
  <c r="BG72"/>
  <c r="BB46"/>
  <c r="BA72"/>
  <c r="AV46"/>
  <c r="AP46"/>
  <c r="AU72"/>
  <c r="AQ49" i="12"/>
  <c r="AQ47" s="1"/>
  <c r="AO47" i="19"/>
  <c r="AM47"/>
  <c r="AO49" i="12"/>
  <c r="AO47" s="1"/>
  <c r="AM49"/>
  <c r="AK47" i="19"/>
  <c r="AJ46"/>
  <c r="AO72"/>
  <c r="AD47"/>
  <c r="AI73"/>
  <c r="Q47"/>
  <c r="S49" i="12"/>
  <c r="M47" i="19"/>
  <c r="Q73"/>
  <c r="O49" i="12"/>
  <c r="I49" i="14" s="1"/>
  <c r="L31" i="19"/>
  <c r="I30" i="14"/>
  <c r="J30"/>
  <c r="AJ31" i="19"/>
  <c r="AS43" i="12"/>
  <c r="AP42" i="19"/>
  <c r="AI42"/>
  <c r="AI68"/>
  <c r="AL43" i="12"/>
  <c r="AF43" i="19"/>
  <c r="AI44" i="12"/>
  <c r="AG43" i="19" s="1"/>
  <c r="CC33" i="7"/>
  <c r="CA33"/>
  <c r="BY33"/>
  <c r="BW33"/>
  <c r="BU33"/>
  <c r="CD33"/>
  <c r="BZ33"/>
  <c r="BV33"/>
  <c r="BR33"/>
  <c r="BR36" s="1"/>
  <c r="BR37" s="1"/>
  <c r="BS37" s="1"/>
  <c r="L33"/>
  <c r="L36" s="1"/>
  <c r="L37" s="1"/>
  <c r="M33"/>
  <c r="M36" s="1"/>
  <c r="M37" s="1"/>
  <c r="N37" s="1"/>
  <c r="O33"/>
  <c r="O36" s="1"/>
  <c r="Q27" i="12" s="1"/>
  <c r="Q33" i="7"/>
  <c r="Q36" s="1"/>
  <c r="S33"/>
  <c r="S36" s="1"/>
  <c r="U27" i="12" s="1"/>
  <c r="U33" i="7"/>
  <c r="U36" s="1"/>
  <c r="W33"/>
  <c r="W36" s="1"/>
  <c r="Y27" i="12" s="1"/>
  <c r="Y33" i="7"/>
  <c r="Y36" s="1"/>
  <c r="Y37" s="1"/>
  <c r="Z33"/>
  <c r="Z36" s="1"/>
  <c r="AA33"/>
  <c r="AA36" s="1"/>
  <c r="AB33"/>
  <c r="AB36" s="1"/>
  <c r="AC33"/>
  <c r="AC36" s="1"/>
  <c r="AD33"/>
  <c r="AD36" s="1"/>
  <c r="AF33"/>
  <c r="AF36" s="1"/>
  <c r="AH33"/>
  <c r="AH36" s="1"/>
  <c r="AI33"/>
  <c r="AI36" s="1"/>
  <c r="AL33"/>
  <c r="AL36" s="1"/>
  <c r="AL37" s="1"/>
  <c r="AM37" s="1"/>
  <c r="AN33"/>
  <c r="AN36" s="1"/>
  <c r="AP33"/>
  <c r="AP36" s="1"/>
  <c r="CE33"/>
  <c r="CB33"/>
  <c r="BX33"/>
  <c r="BT33"/>
  <c r="CE19"/>
  <c r="CC19"/>
  <c r="CA19"/>
  <c r="BY19"/>
  <c r="BW19"/>
  <c r="BU19"/>
  <c r="CB19"/>
  <c r="BX19"/>
  <c r="BT19"/>
  <c r="L19"/>
  <c r="N19"/>
  <c r="N23" s="1"/>
  <c r="P19"/>
  <c r="P23" s="1"/>
  <c r="R19"/>
  <c r="R23" s="1"/>
  <c r="T19"/>
  <c r="T23" s="1"/>
  <c r="V19"/>
  <c r="V23" s="1"/>
  <c r="X19"/>
  <c r="X23" s="1"/>
  <c r="Z19"/>
  <c r="AB19"/>
  <c r="AB23" s="1"/>
  <c r="AD19"/>
  <c r="AD23" s="1"/>
  <c r="AF19"/>
  <c r="AF23" s="1"/>
  <c r="AH19"/>
  <c r="AH23" s="1"/>
  <c r="AJ19"/>
  <c r="AJ23" s="1"/>
  <c r="AL19"/>
  <c r="AL23" s="1"/>
  <c r="AN19"/>
  <c r="AN23" s="1"/>
  <c r="AP19"/>
  <c r="AP23" s="1"/>
  <c r="AR19"/>
  <c r="AR23" s="1"/>
  <c r="AT19"/>
  <c r="AT23" s="1"/>
  <c r="AV19"/>
  <c r="AV23" s="1"/>
  <c r="AX19"/>
  <c r="AX23" s="1"/>
  <c r="AZ19"/>
  <c r="AZ23" s="1"/>
  <c r="BB19"/>
  <c r="BB23" s="1"/>
  <c r="BD19"/>
  <c r="BD23" s="1"/>
  <c r="BF19"/>
  <c r="BH19"/>
  <c r="BH23" s="1"/>
  <c r="BJ19"/>
  <c r="BL19"/>
  <c r="BL23" s="1"/>
  <c r="BN19"/>
  <c r="BP19"/>
  <c r="BP23" s="1"/>
  <c r="BR19"/>
  <c r="CD19"/>
  <c r="BZ19"/>
  <c r="BZ23" s="1"/>
  <c r="BV19"/>
  <c r="AI18" i="20"/>
  <c r="AK27" i="16"/>
  <c r="AQ61" i="15"/>
  <c r="AR61" s="1"/>
  <c r="AS61" s="1"/>
  <c r="AT61" s="1"/>
  <c r="AU61" s="1"/>
  <c r="AV61" s="1"/>
  <c r="AW61" s="1"/>
  <c r="AX61" s="1"/>
  <c r="AY61" s="1"/>
  <c r="AZ61" s="1"/>
  <c r="BA61" s="1"/>
  <c r="BB61" s="1"/>
  <c r="BC61" s="1"/>
  <c r="BD61" s="1"/>
  <c r="BE61" s="1"/>
  <c r="BF61" s="1"/>
  <c r="BG61" s="1"/>
  <c r="BH61" s="1"/>
  <c r="BI61" s="1"/>
  <c r="BJ61" s="1"/>
  <c r="BK61" s="1"/>
  <c r="BL61" s="1"/>
  <c r="BM61" s="1"/>
  <c r="BN61" s="1"/>
  <c r="BO61" s="1"/>
  <c r="BP61" s="1"/>
  <c r="BQ61" s="1"/>
  <c r="BR61" s="1"/>
  <c r="BS61" s="1"/>
  <c r="BT61" s="1"/>
  <c r="BU61" s="1"/>
  <c r="BV61" s="1"/>
  <c r="BW61" s="1"/>
  <c r="BX61" s="1"/>
  <c r="BY61" s="1"/>
  <c r="BZ61" s="1"/>
  <c r="CA61" s="1"/>
  <c r="CB61" s="1"/>
  <c r="CC61" s="1"/>
  <c r="CD61" s="1"/>
  <c r="CE61" s="1"/>
  <c r="CF61" s="1"/>
  <c r="V87" i="19"/>
  <c r="N22" i="7"/>
  <c r="O22" s="1"/>
  <c r="P22" s="1"/>
  <c r="Q22" s="1"/>
  <c r="R22" s="1"/>
  <c r="S22" s="1"/>
  <c r="T22" s="1"/>
  <c r="U22" s="1"/>
  <c r="V22" s="1"/>
  <c r="W22" s="1"/>
  <c r="BT56" i="19"/>
  <c r="L102" i="14"/>
  <c r="L110" s="1"/>
  <c r="N108"/>
  <c r="Z23" i="7"/>
  <c r="Y23"/>
  <c r="U23"/>
  <c r="Q23"/>
  <c r="M23"/>
  <c r="L23"/>
  <c r="N83" i="14"/>
  <c r="BR23" i="7"/>
  <c r="BN23"/>
  <c r="BJ23"/>
  <c r="BF23"/>
  <c r="BV23"/>
  <c r="CD23"/>
  <c r="AG46" i="13"/>
  <c r="AG16"/>
  <c r="G4" i="36"/>
  <c r="F25"/>
  <c r="F37" s="1"/>
  <c r="F53" s="1"/>
  <c r="F61" s="1"/>
  <c r="W16" i="19"/>
  <c r="V12"/>
  <c r="V13" s="1"/>
  <c r="Q16"/>
  <c r="P12"/>
  <c r="P13" s="1"/>
  <c r="K16"/>
  <c r="J12"/>
  <c r="J13" s="1"/>
  <c r="T16"/>
  <c r="S12"/>
  <c r="S13" s="1"/>
  <c r="N16"/>
  <c r="M12"/>
  <c r="M13" s="1"/>
  <c r="H16"/>
  <c r="G12"/>
  <c r="G13" s="1"/>
  <c r="N55" i="12"/>
  <c r="O29" i="16"/>
  <c r="T18" i="19"/>
  <c r="N18"/>
  <c r="H18"/>
  <c r="AJ47" i="12"/>
  <c r="AH47"/>
  <c r="AF47"/>
  <c r="AD47"/>
  <c r="AB47"/>
  <c r="Z47"/>
  <c r="X47"/>
  <c r="V47"/>
  <c r="T47"/>
  <c r="R47"/>
  <c r="P47"/>
  <c r="N47"/>
  <c r="I57" i="14"/>
  <c r="D14" i="36" s="1"/>
  <c r="AJ47" i="19"/>
  <c r="AO73"/>
  <c r="R47"/>
  <c r="W73"/>
  <c r="G30" i="15"/>
  <c r="H30"/>
  <c r="J30"/>
  <c r="L30"/>
  <c r="I30"/>
  <c r="K30"/>
  <c r="AI72" i="19"/>
  <c r="AD46"/>
  <c r="X46"/>
  <c r="AC72"/>
  <c r="N30" i="14"/>
  <c r="BH31" i="19"/>
  <c r="L29" i="14"/>
  <c r="AV30" i="19"/>
  <c r="AH42"/>
  <c r="AH68"/>
  <c r="AC42"/>
  <c r="AC68"/>
  <c r="J29" i="14"/>
  <c r="AJ30" i="19"/>
  <c r="CE30" i="7"/>
  <c r="CE36" s="1"/>
  <c r="CD30"/>
  <c r="CD36" s="1"/>
  <c r="CC30"/>
  <c r="CC36" s="1"/>
  <c r="CB30"/>
  <c r="CB36" s="1"/>
  <c r="CA30"/>
  <c r="CA36" s="1"/>
  <c r="BZ30"/>
  <c r="BZ36" s="1"/>
  <c r="BY30"/>
  <c r="BY36" s="1"/>
  <c r="BX30"/>
  <c r="BX36" s="1"/>
  <c r="BW30"/>
  <c r="BW36" s="1"/>
  <c r="BV30"/>
  <c r="BV36" s="1"/>
  <c r="BU30"/>
  <c r="BU36" s="1"/>
  <c r="BU37" s="1"/>
  <c r="BT30"/>
  <c r="BT36" s="1"/>
  <c r="BT37" s="1"/>
  <c r="CE16"/>
  <c r="CE23" s="1"/>
  <c r="CC16"/>
  <c r="CC23" s="1"/>
  <c r="CA16"/>
  <c r="CA23" s="1"/>
  <c r="BY16"/>
  <c r="BY23" s="1"/>
  <c r="BW16"/>
  <c r="BW23" s="1"/>
  <c r="BU16"/>
  <c r="BU23" s="1"/>
  <c r="AG15" i="13"/>
  <c r="AG47"/>
  <c r="AW46" i="12"/>
  <c r="J46" i="14" s="1"/>
  <c r="I6" i="18"/>
  <c r="K87" i="19"/>
  <c r="K92" s="1"/>
  <c r="G6" i="18"/>
  <c r="I87" i="19"/>
  <c r="I92" s="1"/>
  <c r="E6" i="18"/>
  <c r="G87" i="19"/>
  <c r="L30" i="14"/>
  <c r="N29"/>
  <c r="S18" i="20"/>
  <c r="AH18"/>
  <c r="AM18"/>
  <c r="BT16" i="7"/>
  <c r="BT23" s="1"/>
  <c r="BX16"/>
  <c r="BX23" s="1"/>
  <c r="CB16"/>
  <c r="CB23" s="1"/>
  <c r="CE73" i="19"/>
  <c r="AV31"/>
  <c r="AU73"/>
  <c r="AT44"/>
  <c r="W18"/>
  <c r="S18"/>
  <c r="Q18"/>
  <c r="M18"/>
  <c r="K18"/>
  <c r="G18"/>
  <c r="AK47" i="12"/>
  <c r="AI47"/>
  <c r="AG47"/>
  <c r="AE47"/>
  <c r="AC47"/>
  <c r="AA47"/>
  <c r="Y47"/>
  <c r="W47"/>
  <c r="U47"/>
  <c r="S47"/>
  <c r="Q47"/>
  <c r="O47"/>
  <c r="AG14" i="13"/>
  <c r="AG24" i="15"/>
  <c r="AG37"/>
  <c r="AG45" i="13"/>
  <c r="P30" i="14"/>
  <c r="P50"/>
  <c r="E16" i="15"/>
  <c r="F101" i="19"/>
  <c r="W12"/>
  <c r="W13" s="1"/>
  <c r="U12"/>
  <c r="T12"/>
  <c r="T13" s="1"/>
  <c r="R12"/>
  <c r="Q12"/>
  <c r="Q13" s="1"/>
  <c r="O12"/>
  <c r="N12"/>
  <c r="N13" s="1"/>
  <c r="L12"/>
  <c r="K12"/>
  <c r="K13" s="1"/>
  <c r="I12"/>
  <c r="H12"/>
  <c r="H13" s="1"/>
  <c r="F12"/>
  <c r="J87"/>
  <c r="H87"/>
  <c r="A39" i="38"/>
  <c r="A32"/>
  <c r="G49" i="15"/>
  <c r="W38" i="12"/>
  <c r="V62" i="19" s="1"/>
  <c r="W39" i="12"/>
  <c r="U37" i="19" s="1"/>
  <c r="W40" i="12"/>
  <c r="U38" i="19" s="1"/>
  <c r="W42" i="12"/>
  <c r="U41" i="19" s="1"/>
  <c r="W41" i="12"/>
  <c r="U39" i="19" s="1"/>
  <c r="T54" i="12"/>
  <c r="R54"/>
  <c r="P54"/>
  <c r="N54"/>
  <c r="M57" i="7"/>
  <c r="M61" s="1"/>
  <c r="M33" i="36"/>
  <c r="X42" i="12" l="1"/>
  <c r="X41"/>
  <c r="X45"/>
  <c r="X40"/>
  <c r="V38" i="19" s="1"/>
  <c r="X39" i="12"/>
  <c r="V37" i="19" s="1"/>
  <c r="X38" i="12"/>
  <c r="Y45"/>
  <c r="Y39"/>
  <c r="W37" i="19" s="1"/>
  <c r="Y42" i="12"/>
  <c r="W41" i="19" s="1"/>
  <c r="Y38" i="12"/>
  <c r="Y40"/>
  <c r="W38" i="19" s="1"/>
  <c r="Y41" i="12"/>
  <c r="W39" i="19" s="1"/>
  <c r="V41" i="12"/>
  <c r="V42"/>
  <c r="V45"/>
  <c r="V39"/>
  <c r="V40"/>
  <c r="V64" i="19" s="1"/>
  <c r="M36"/>
  <c r="O34" i="12"/>
  <c r="H51" i="15"/>
  <c r="I51" s="1"/>
  <c r="J51" s="1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AN51" s="1"/>
  <c r="AO51" s="1"/>
  <c r="AP51" s="1"/>
  <c r="AQ51" s="1"/>
  <c r="AR51" s="1"/>
  <c r="AS51" s="1"/>
  <c r="AT51" s="1"/>
  <c r="AU51" s="1"/>
  <c r="AV51" s="1"/>
  <c r="AW51" s="1"/>
  <c r="AX51" s="1"/>
  <c r="AY51" s="1"/>
  <c r="AZ51" s="1"/>
  <c r="BA51" s="1"/>
  <c r="BB51" s="1"/>
  <c r="BC51" s="1"/>
  <c r="BD51" s="1"/>
  <c r="BE51" s="1"/>
  <c r="BF51" s="1"/>
  <c r="BG51" s="1"/>
  <c r="BH51" s="1"/>
  <c r="BI51" s="1"/>
  <c r="BJ51" s="1"/>
  <c r="BK51" s="1"/>
  <c r="BL51" s="1"/>
  <c r="BM51" s="1"/>
  <c r="BN51" s="1"/>
  <c r="BO51" s="1"/>
  <c r="BP51" s="1"/>
  <c r="BQ51" s="1"/>
  <c r="BR51" s="1"/>
  <c r="BS51" s="1"/>
  <c r="BT51" s="1"/>
  <c r="BU51" s="1"/>
  <c r="BV51" s="1"/>
  <c r="BW51" s="1"/>
  <c r="BX51" s="1"/>
  <c r="BY51" s="1"/>
  <c r="BZ51" s="1"/>
  <c r="CA51" s="1"/>
  <c r="CB51" s="1"/>
  <c r="CC51" s="1"/>
  <c r="CD51" s="1"/>
  <c r="CE51" s="1"/>
  <c r="CF51" s="1"/>
  <c r="Q39" i="12"/>
  <c r="Q38"/>
  <c r="Q42"/>
  <c r="Q41"/>
  <c r="Q45"/>
  <c r="U39"/>
  <c r="U38"/>
  <c r="U42"/>
  <c r="U41"/>
  <c r="U45"/>
  <c r="S39"/>
  <c r="S41"/>
  <c r="S42"/>
  <c r="S38"/>
  <c r="S45"/>
  <c r="BZ43" i="7"/>
  <c r="BZ45" s="1"/>
  <c r="AI43"/>
  <c r="AI45" s="1"/>
  <c r="AA43"/>
  <c r="AA45" s="1"/>
  <c r="E11" i="36"/>
  <c r="BP43" i="7"/>
  <c r="BP45" s="1"/>
  <c r="BL43"/>
  <c r="BL45" s="1"/>
  <c r="BH24"/>
  <c r="BH43"/>
  <c r="BH45" s="1"/>
  <c r="W28" i="19"/>
  <c r="Y54"/>
  <c r="S28"/>
  <c r="U54"/>
  <c r="O28"/>
  <c r="Q54"/>
  <c r="P39" i="12"/>
  <c r="P41"/>
  <c r="P42"/>
  <c r="P38"/>
  <c r="P45"/>
  <c r="T39"/>
  <c r="T42"/>
  <c r="T38"/>
  <c r="T41"/>
  <c r="T45"/>
  <c r="T37" i="19"/>
  <c r="V34" i="12"/>
  <c r="W36" i="19"/>
  <c r="Y34" i="12"/>
  <c r="Y26" s="1"/>
  <c r="AG25" i="15"/>
  <c r="AN6" i="16"/>
  <c r="AN7" s="1"/>
  <c r="AQ6"/>
  <c r="AQ7" s="1"/>
  <c r="AS6"/>
  <c r="AS7" s="1"/>
  <c r="AU6"/>
  <c r="AU7" s="1"/>
  <c r="AW6"/>
  <c r="AW7" s="1"/>
  <c r="AY6"/>
  <c r="AY7" s="1"/>
  <c r="CK6"/>
  <c r="CK7" s="1"/>
  <c r="CI6"/>
  <c r="CI7" s="1"/>
  <c r="CG6"/>
  <c r="CG7" s="1"/>
  <c r="CE6"/>
  <c r="CE7" s="1"/>
  <c r="CC6"/>
  <c r="CC7" s="1"/>
  <c r="CA6"/>
  <c r="CA7" s="1"/>
  <c r="BV6"/>
  <c r="BV7" s="1"/>
  <c r="BX6"/>
  <c r="BX7" s="1"/>
  <c r="BT6"/>
  <c r="BT7" s="1"/>
  <c r="BR6"/>
  <c r="BR7" s="1"/>
  <c r="BP6"/>
  <c r="BP7" s="1"/>
  <c r="BH6"/>
  <c r="BH7" s="1"/>
  <c r="BD6"/>
  <c r="BD7" s="1"/>
  <c r="BG6"/>
  <c r="BG7" s="1"/>
  <c r="BL6"/>
  <c r="BL7" s="1"/>
  <c r="BJ6"/>
  <c r="BJ7" s="1"/>
  <c r="BC6"/>
  <c r="BC7" s="1"/>
  <c r="CB43" i="7"/>
  <c r="CB45" s="1"/>
  <c r="BT43"/>
  <c r="BT45" s="1"/>
  <c r="BT24"/>
  <c r="G40" i="19"/>
  <c r="G86" s="1"/>
  <c r="G89" s="1"/>
  <c r="H91" s="1"/>
  <c r="I40"/>
  <c r="I86" s="1"/>
  <c r="I89" s="1"/>
  <c r="J91" s="1"/>
  <c r="K40"/>
  <c r="K86" s="1"/>
  <c r="K89" s="1"/>
  <c r="L91" s="1"/>
  <c r="BW43" i="7"/>
  <c r="BW45" s="1"/>
  <c r="CA43"/>
  <c r="CA45" s="1"/>
  <c r="CE43"/>
  <c r="CE45" s="1"/>
  <c r="AC78" i="19"/>
  <c r="AD78"/>
  <c r="AB79"/>
  <c r="Z79"/>
  <c r="X79"/>
  <c r="AE79"/>
  <c r="AC79"/>
  <c r="AA79"/>
  <c r="Y79"/>
  <c r="AF79"/>
  <c r="AD79"/>
  <c r="AG79"/>
  <c r="AK79"/>
  <c r="AM79"/>
  <c r="AP79"/>
  <c r="AR79"/>
  <c r="AT79"/>
  <c r="AJ79"/>
  <c r="AN79"/>
  <c r="AQ79"/>
  <c r="AH79"/>
  <c r="AL79"/>
  <c r="AO79"/>
  <c r="AS79"/>
  <c r="I45" i="15"/>
  <c r="J45"/>
  <c r="G50"/>
  <c r="G45"/>
  <c r="H4" i="36"/>
  <c r="G25"/>
  <c r="G37" s="1"/>
  <c r="G53" s="1"/>
  <c r="G61" s="1"/>
  <c r="BV43" i="7"/>
  <c r="BV45" s="1"/>
  <c r="BJ43"/>
  <c r="BJ45" s="1"/>
  <c r="BR43"/>
  <c r="BR45" s="1"/>
  <c r="N27" i="12"/>
  <c r="L43" i="7"/>
  <c r="L45" s="1"/>
  <c r="L24"/>
  <c r="S27" i="12"/>
  <c r="Q43" i="7"/>
  <c r="Q45" s="1"/>
  <c r="AA27" i="12"/>
  <c r="Y43" i="7"/>
  <c r="Y45" s="1"/>
  <c r="BB43"/>
  <c r="BB45" s="1"/>
  <c r="AX43"/>
  <c r="AX45" s="1"/>
  <c r="AT43"/>
  <c r="AT45" s="1"/>
  <c r="AP43"/>
  <c r="AP45" s="1"/>
  <c r="AL43"/>
  <c r="AL45" s="1"/>
  <c r="AH43"/>
  <c r="AH45" s="1"/>
  <c r="AD43"/>
  <c r="AD45" s="1"/>
  <c r="X27" i="12"/>
  <c r="V43" i="7"/>
  <c r="V45" s="1"/>
  <c r="T27" i="12"/>
  <c r="R43" i="7"/>
  <c r="R45" s="1"/>
  <c r="P27" i="12"/>
  <c r="N43" i="7"/>
  <c r="N45" s="1"/>
  <c r="W79" i="19"/>
  <c r="U79"/>
  <c r="S79"/>
  <c r="Q79"/>
  <c r="O79"/>
  <c r="M79"/>
  <c r="V79"/>
  <c r="T79"/>
  <c r="R79"/>
  <c r="P79"/>
  <c r="N79"/>
  <c r="AM47" i="12"/>
  <c r="J49" i="14"/>
  <c r="Q40" i="19"/>
  <c r="O40"/>
  <c r="L40"/>
  <c r="G6" i="16"/>
  <c r="AD7"/>
  <c r="F6"/>
  <c r="M40" i="19"/>
  <c r="AH40"/>
  <c r="AD40"/>
  <c r="AB40"/>
  <c r="Z40"/>
  <c r="W40"/>
  <c r="W78"/>
  <c r="AA78"/>
  <c r="Y78"/>
  <c r="V78"/>
  <c r="T78"/>
  <c r="R78"/>
  <c r="P78"/>
  <c r="N78"/>
  <c r="L78"/>
  <c r="J78"/>
  <c r="H78"/>
  <c r="F78"/>
  <c r="M18" i="16" s="1"/>
  <c r="AB78" i="19"/>
  <c r="Z78"/>
  <c r="X78"/>
  <c r="U78"/>
  <c r="S78"/>
  <c r="Q78"/>
  <c r="O78"/>
  <c r="M78"/>
  <c r="K78"/>
  <c r="I78"/>
  <c r="G78"/>
  <c r="AG43" i="7"/>
  <c r="AG45" s="1"/>
  <c r="AO43"/>
  <c r="AO45" s="1"/>
  <c r="AW43"/>
  <c r="AW45" s="1"/>
  <c r="BE43"/>
  <c r="BE45" s="1"/>
  <c r="BM43"/>
  <c r="BM45" s="1"/>
  <c r="AF15" i="20"/>
  <c r="AJ15"/>
  <c r="AG20" i="13"/>
  <c r="AG19"/>
  <c r="AG11" s="1"/>
  <c r="AH5"/>
  <c r="AQ27" i="16"/>
  <c r="AO18" i="20"/>
  <c r="H27" i="16"/>
  <c r="X28"/>
  <c r="V19" i="20"/>
  <c r="Y43" i="19"/>
  <c r="AB44" i="12"/>
  <c r="I44" i="14" s="1"/>
  <c r="AJ43" i="19"/>
  <c r="AM44" i="12"/>
  <c r="AK69" i="19"/>
  <c r="AO43"/>
  <c r="AR44" i="12"/>
  <c r="AP69" i="19"/>
  <c r="AV43"/>
  <c r="AY44" i="12"/>
  <c r="AW69" i="19"/>
  <c r="AE42"/>
  <c r="AE68"/>
  <c r="AH43" i="12"/>
  <c r="I43" i="14"/>
  <c r="U40" i="19"/>
  <c r="T13" i="18"/>
  <c r="AC33" i="19"/>
  <c r="AA33"/>
  <c r="BI10" i="12"/>
  <c r="BG49" i="7"/>
  <c r="BQ10" i="12"/>
  <c r="BO49" i="7"/>
  <c r="P40" i="19"/>
  <c r="F40"/>
  <c r="E13" i="18"/>
  <c r="BG40" i="19"/>
  <c r="BH66"/>
  <c r="AQ40"/>
  <c r="AR66"/>
  <c r="AM40"/>
  <c r="AN66"/>
  <c r="AI40"/>
  <c r="AJ66"/>
  <c r="AE40"/>
  <c r="AA40"/>
  <c r="S40"/>
  <c r="BE9" i="12"/>
  <c r="BD85" i="19"/>
  <c r="AO10" i="12"/>
  <c r="AM49" i="7"/>
  <c r="AS10" i="12"/>
  <c r="AQ49" i="7"/>
  <c r="AW9" i="12"/>
  <c r="AV85" i="19"/>
  <c r="BM10" i="12"/>
  <c r="BK49" i="7"/>
  <c r="BQ40" i="19"/>
  <c r="BR66"/>
  <c r="BM40"/>
  <c r="BN66"/>
  <c r="BI40"/>
  <c r="BJ66"/>
  <c r="BE40"/>
  <c r="BF66"/>
  <c r="BA40"/>
  <c r="BB66"/>
  <c r="AW40"/>
  <c r="AX66"/>
  <c r="AG9" i="12"/>
  <c r="AF85" i="19"/>
  <c r="U88"/>
  <c r="H92"/>
  <c r="AN37" i="7"/>
  <c r="AO37" s="1"/>
  <c r="BN6" i="16"/>
  <c r="AP6"/>
  <c r="W63" i="19"/>
  <c r="X63"/>
  <c r="W65"/>
  <c r="X67"/>
  <c r="AO6" i="16"/>
  <c r="AO7" s="1"/>
  <c r="AT6"/>
  <c r="AT7" s="1"/>
  <c r="AX6"/>
  <c r="AX7" s="1"/>
  <c r="CL6"/>
  <c r="CL7" s="1"/>
  <c r="CH6"/>
  <c r="CH7" s="1"/>
  <c r="CD6"/>
  <c r="CD7" s="1"/>
  <c r="BU6"/>
  <c r="BU7" s="1"/>
  <c r="BY6"/>
  <c r="BY7" s="1"/>
  <c r="BQ6"/>
  <c r="BQ7" s="1"/>
  <c r="BE6"/>
  <c r="BE7" s="1"/>
  <c r="BM6"/>
  <c r="BM7" s="1"/>
  <c r="BI6"/>
  <c r="BI7" s="1"/>
  <c r="AC60" i="19"/>
  <c r="Y64"/>
  <c r="AI66"/>
  <c r="AE66"/>
  <c r="AA66"/>
  <c r="X66"/>
  <c r="P66"/>
  <c r="L66"/>
  <c r="H66"/>
  <c r="V36"/>
  <c r="X34" i="12"/>
  <c r="O28"/>
  <c r="N38"/>
  <c r="L57" i="7"/>
  <c r="L61" s="1"/>
  <c r="L62" s="1"/>
  <c r="M62" s="1"/>
  <c r="N62" s="1"/>
  <c r="O62" s="1"/>
  <c r="P62" s="1"/>
  <c r="Q62" s="1"/>
  <c r="R39" i="12"/>
  <c r="R42"/>
  <c r="R38"/>
  <c r="R41"/>
  <c r="R45"/>
  <c r="T38" i="19"/>
  <c r="U36"/>
  <c r="W34" i="12"/>
  <c r="I17" i="19"/>
  <c r="I18" s="1"/>
  <c r="F13"/>
  <c r="L17"/>
  <c r="L18" s="1"/>
  <c r="I13"/>
  <c r="O17"/>
  <c r="O18" s="1"/>
  <c r="L13"/>
  <c r="R17"/>
  <c r="R18" s="1"/>
  <c r="O13"/>
  <c r="U17"/>
  <c r="U18" s="1"/>
  <c r="R13"/>
  <c r="X17"/>
  <c r="U13"/>
  <c r="E37" i="15"/>
  <c r="E24"/>
  <c r="E25" s="1"/>
  <c r="F16"/>
  <c r="AG42" i="13"/>
  <c r="AG43"/>
  <c r="AG57" i="15"/>
  <c r="AH57" s="1"/>
  <c r="AI57" s="1"/>
  <c r="AJ57" s="1"/>
  <c r="AK57" s="1"/>
  <c r="AL57" s="1"/>
  <c r="AM57" s="1"/>
  <c r="AN57" s="1"/>
  <c r="AO57" s="1"/>
  <c r="AP57" s="1"/>
  <c r="AQ57" s="1"/>
  <c r="AR57" s="1"/>
  <c r="AS57" s="1"/>
  <c r="AT57" s="1"/>
  <c r="AU57" s="1"/>
  <c r="AV57" s="1"/>
  <c r="AW57" s="1"/>
  <c r="AX57" s="1"/>
  <c r="AY57" s="1"/>
  <c r="AZ57" s="1"/>
  <c r="BA57" s="1"/>
  <c r="BB57" s="1"/>
  <c r="BC57" s="1"/>
  <c r="BD57" s="1"/>
  <c r="BE57" s="1"/>
  <c r="BF57" s="1"/>
  <c r="BG57" s="1"/>
  <c r="BH57" s="1"/>
  <c r="BI57" s="1"/>
  <c r="BJ57" s="1"/>
  <c r="BK57" s="1"/>
  <c r="BL57" s="1"/>
  <c r="BM57" s="1"/>
  <c r="BN57" s="1"/>
  <c r="BO57" s="1"/>
  <c r="BP57" s="1"/>
  <c r="BQ57" s="1"/>
  <c r="BR57" s="1"/>
  <c r="BS57" s="1"/>
  <c r="BT57" s="1"/>
  <c r="BU57" s="1"/>
  <c r="BV57" s="1"/>
  <c r="BW57" s="1"/>
  <c r="BX57" s="1"/>
  <c r="BY57" s="1"/>
  <c r="BZ57" s="1"/>
  <c r="CA57" s="1"/>
  <c r="CB57" s="1"/>
  <c r="CC57" s="1"/>
  <c r="CD57" s="1"/>
  <c r="CE57" s="1"/>
  <c r="CF57" s="1"/>
  <c r="AG45"/>
  <c r="S21" i="19"/>
  <c r="Z18" i="16" s="1"/>
  <c r="S20" i="19"/>
  <c r="Z40" i="16" s="1"/>
  <c r="R21" i="19"/>
  <c r="Y18" i="16" s="1"/>
  <c r="R20" i="19"/>
  <c r="Y40" i="16" s="1"/>
  <c r="Q21" i="19"/>
  <c r="X18" i="16" s="1"/>
  <c r="Q20" i="19"/>
  <c r="X40" i="16" s="1"/>
  <c r="P21" i="19"/>
  <c r="W18" i="16" s="1"/>
  <c r="P20" i="19"/>
  <c r="W40" i="16" s="1"/>
  <c r="O21" i="19"/>
  <c r="V18" i="16" s="1"/>
  <c r="O20" i="19"/>
  <c r="V40" i="16" s="1"/>
  <c r="N21" i="19"/>
  <c r="U18" i="16" s="1"/>
  <c r="N20" i="19"/>
  <c r="U40" i="16" s="1"/>
  <c r="M21" i="19"/>
  <c r="T18" i="16" s="1"/>
  <c r="M20" i="19"/>
  <c r="T40" i="16" s="1"/>
  <c r="L21" i="19"/>
  <c r="S18" i="16" s="1"/>
  <c r="L20" i="19"/>
  <c r="S40" i="16" s="1"/>
  <c r="K21" i="19"/>
  <c r="R18" i="16" s="1"/>
  <c r="K20" i="19"/>
  <c r="R40" i="16" s="1"/>
  <c r="J21" i="19"/>
  <c r="Q18" i="16" s="1"/>
  <c r="J20" i="19"/>
  <c r="Q40" i="16" s="1"/>
  <c r="I21" i="19"/>
  <c r="P18" i="16" s="1"/>
  <c r="I20" i="19"/>
  <c r="P40" i="16" s="1"/>
  <c r="H21" i="19"/>
  <c r="O18" i="16" s="1"/>
  <c r="H20" i="19"/>
  <c r="O40" i="16" s="1"/>
  <c r="G21" i="19"/>
  <c r="N18" i="16" s="1"/>
  <c r="G20" i="19"/>
  <c r="N40" i="16" s="1"/>
  <c r="U20" i="19"/>
  <c r="AB40" i="16" s="1"/>
  <c r="U21" i="19"/>
  <c r="AB18" i="16" s="1"/>
  <c r="V20" i="19"/>
  <c r="AC40" i="16" s="1"/>
  <c r="V21" i="19"/>
  <c r="AC18" i="16" s="1"/>
  <c r="T21" i="19"/>
  <c r="AA18" i="16" s="1"/>
  <c r="T20" i="19"/>
  <c r="AA40" i="16" s="1"/>
  <c r="BX43" i="7"/>
  <c r="BX45" s="1"/>
  <c r="AU44" i="19"/>
  <c r="AX46" i="12"/>
  <c r="AW70" i="19"/>
  <c r="BU43" i="7"/>
  <c r="BU45" s="1"/>
  <c r="BU24"/>
  <c r="BV24" s="1"/>
  <c r="BW24" s="1"/>
  <c r="BX24" s="1"/>
  <c r="BY24" s="1"/>
  <c r="BZ24" s="1"/>
  <c r="CA24" s="1"/>
  <c r="CB24" s="1"/>
  <c r="CC24" s="1"/>
  <c r="CD24" s="1"/>
  <c r="CE24" s="1"/>
  <c r="BY43"/>
  <c r="BY45" s="1"/>
  <c r="CC43"/>
  <c r="CC45" s="1"/>
  <c r="K45" i="15"/>
  <c r="L45"/>
  <c r="H50"/>
  <c r="I50" s="1"/>
  <c r="J50" s="1"/>
  <c r="K50" s="1"/>
  <c r="L50" s="1"/>
  <c r="M50" s="1"/>
  <c r="N50" s="1"/>
  <c r="O50" s="1"/>
  <c r="P50" s="1"/>
  <c r="Q50" s="1"/>
  <c r="R50" s="1"/>
  <c r="S50" s="1"/>
  <c r="T50" s="1"/>
  <c r="U50" s="1"/>
  <c r="V50" s="1"/>
  <c r="W50" s="1"/>
  <c r="X50" s="1"/>
  <c r="Y50" s="1"/>
  <c r="Z50" s="1"/>
  <c r="AA50" s="1"/>
  <c r="AB50" s="1"/>
  <c r="AC50" s="1"/>
  <c r="AD50" s="1"/>
  <c r="AE50" s="1"/>
  <c r="AF50" s="1"/>
  <c r="AG50" s="1"/>
  <c r="AH50" s="1"/>
  <c r="AI50" s="1"/>
  <c r="AJ50" s="1"/>
  <c r="AK50" s="1"/>
  <c r="AL50" s="1"/>
  <c r="AM50" s="1"/>
  <c r="AN50" s="1"/>
  <c r="AO50" s="1"/>
  <c r="AP50" s="1"/>
  <c r="AQ50" s="1"/>
  <c r="AR50" s="1"/>
  <c r="AS50" s="1"/>
  <c r="AT50" s="1"/>
  <c r="AU50" s="1"/>
  <c r="AV50" s="1"/>
  <c r="AW50" s="1"/>
  <c r="AX50" s="1"/>
  <c r="AY50" s="1"/>
  <c r="AZ50" s="1"/>
  <c r="BA50" s="1"/>
  <c r="BB50" s="1"/>
  <c r="BC50" s="1"/>
  <c r="BD50" s="1"/>
  <c r="BE50" s="1"/>
  <c r="BF50" s="1"/>
  <c r="BG50" s="1"/>
  <c r="BH50" s="1"/>
  <c r="BI50" s="1"/>
  <c r="BJ50" s="1"/>
  <c r="BK50" s="1"/>
  <c r="BL50" s="1"/>
  <c r="BM50" s="1"/>
  <c r="BN50" s="1"/>
  <c r="BO50" s="1"/>
  <c r="BP50" s="1"/>
  <c r="BQ50" s="1"/>
  <c r="BR50" s="1"/>
  <c r="BS50" s="1"/>
  <c r="BT50" s="1"/>
  <c r="BU50" s="1"/>
  <c r="BV50" s="1"/>
  <c r="BW50" s="1"/>
  <c r="BX50" s="1"/>
  <c r="BY50" s="1"/>
  <c r="BZ50" s="1"/>
  <c r="CA50" s="1"/>
  <c r="CB50" s="1"/>
  <c r="CC50" s="1"/>
  <c r="CD50" s="1"/>
  <c r="CE50" s="1"/>
  <c r="CF50" s="1"/>
  <c r="H45"/>
  <c r="I47" i="14"/>
  <c r="P29" i="16"/>
  <c r="O31"/>
  <c r="N53" i="12"/>
  <c r="CD43" i="7"/>
  <c r="CD45" s="1"/>
  <c r="BF43"/>
  <c r="BF45" s="1"/>
  <c r="BN43"/>
  <c r="BN45" s="1"/>
  <c r="O27" i="12"/>
  <c r="M43" i="7"/>
  <c r="M45" s="1"/>
  <c r="M24"/>
  <c r="N24" s="1"/>
  <c r="O24" s="1"/>
  <c r="P24" s="1"/>
  <c r="Q24" s="1"/>
  <c r="R24" s="1"/>
  <c r="S24" s="1"/>
  <c r="T24" s="1"/>
  <c r="U24" s="1"/>
  <c r="V24" s="1"/>
  <c r="W24" s="1"/>
  <c r="W27" i="12"/>
  <c r="U43" i="7"/>
  <c r="U45" s="1"/>
  <c r="AB27" i="12"/>
  <c r="Z43" i="7"/>
  <c r="Z45" s="1"/>
  <c r="AL27" i="16"/>
  <c r="AJ18" i="20"/>
  <c r="BD43" i="7"/>
  <c r="BD45" s="1"/>
  <c r="AZ43"/>
  <c r="AZ45" s="1"/>
  <c r="AV24"/>
  <c r="AW24" s="1"/>
  <c r="AX24" s="1"/>
  <c r="AY24" s="1"/>
  <c r="AZ24" s="1"/>
  <c r="BA24" s="1"/>
  <c r="BB24" s="1"/>
  <c r="BC24" s="1"/>
  <c r="BD24" s="1"/>
  <c r="BE24" s="1"/>
  <c r="BF24" s="1"/>
  <c r="BG24" s="1"/>
  <c r="AV43"/>
  <c r="AV45" s="1"/>
  <c r="AR43"/>
  <c r="AR45" s="1"/>
  <c r="AN43"/>
  <c r="AN45" s="1"/>
  <c r="AJ43"/>
  <c r="AJ45" s="1"/>
  <c r="AJ24"/>
  <c r="AF43"/>
  <c r="AF45" s="1"/>
  <c r="AB43"/>
  <c r="AB45" s="1"/>
  <c r="Z27" i="12"/>
  <c r="X43" i="7"/>
  <c r="X45" s="1"/>
  <c r="X24"/>
  <c r="Y24" s="1"/>
  <c r="Z24" s="1"/>
  <c r="AA24" s="1"/>
  <c r="AB24" s="1"/>
  <c r="AC24" s="1"/>
  <c r="AD24" s="1"/>
  <c r="AE24" s="1"/>
  <c r="AF24" s="1"/>
  <c r="AG24" s="1"/>
  <c r="AH24" s="1"/>
  <c r="AI24" s="1"/>
  <c r="V27" i="12"/>
  <c r="T43" i="7"/>
  <c r="T45" s="1"/>
  <c r="R27" i="12"/>
  <c r="P43" i="7"/>
  <c r="P45" s="1"/>
  <c r="AJ42" i="19"/>
  <c r="AM43" i="12"/>
  <c r="AJ68" i="19"/>
  <c r="AQ42"/>
  <c r="AQ68"/>
  <c r="AT43" i="12"/>
  <c r="L15" i="20"/>
  <c r="BR40" i="19"/>
  <c r="BS66"/>
  <c r="BP40"/>
  <c r="BQ66"/>
  <c r="BN40"/>
  <c r="BO66"/>
  <c r="BL40"/>
  <c r="BM66"/>
  <c r="BJ40"/>
  <c r="BK66"/>
  <c r="BH40"/>
  <c r="BI66"/>
  <c r="BF40"/>
  <c r="BG66"/>
  <c r="BD40"/>
  <c r="BE66"/>
  <c r="BB40"/>
  <c r="BC66"/>
  <c r="AZ40"/>
  <c r="BA66"/>
  <c r="AX40"/>
  <c r="AY66"/>
  <c r="AV40"/>
  <c r="AW66"/>
  <c r="AT40"/>
  <c r="AU66"/>
  <c r="AR40"/>
  <c r="AS66"/>
  <c r="AP40"/>
  <c r="AQ66"/>
  <c r="AN40"/>
  <c r="AO66"/>
  <c r="AL40"/>
  <c r="AM66"/>
  <c r="AJ40"/>
  <c r="AK66"/>
  <c r="Y40"/>
  <c r="AD33"/>
  <c r="AB33"/>
  <c r="AC43" i="7"/>
  <c r="AC45" s="1"/>
  <c r="AK43"/>
  <c r="AK45" s="1"/>
  <c r="AK24"/>
  <c r="AL24" s="1"/>
  <c r="AM24" s="1"/>
  <c r="AN24" s="1"/>
  <c r="AO24" s="1"/>
  <c r="AP24" s="1"/>
  <c r="AQ24" s="1"/>
  <c r="AR24" s="1"/>
  <c r="AS24" s="1"/>
  <c r="AT24" s="1"/>
  <c r="AU24" s="1"/>
  <c r="AS43"/>
  <c r="AS45" s="1"/>
  <c r="BA43"/>
  <c r="BA45" s="1"/>
  <c r="BI24"/>
  <c r="BJ24" s="1"/>
  <c r="BK24" s="1"/>
  <c r="BL24" s="1"/>
  <c r="BM24" s="1"/>
  <c r="BN24" s="1"/>
  <c r="BO24" s="1"/>
  <c r="BP24" s="1"/>
  <c r="BQ24" s="1"/>
  <c r="BR24" s="1"/>
  <c r="BS24" s="1"/>
  <c r="BI43"/>
  <c r="BI45" s="1"/>
  <c r="BQ43"/>
  <c r="BQ45" s="1"/>
  <c r="AH15" i="20"/>
  <c r="X27" i="16"/>
  <c r="V18" i="20"/>
  <c r="G5" i="16"/>
  <c r="F5"/>
  <c r="AA35" i="19"/>
  <c r="AA34"/>
  <c r="BU9" i="12"/>
  <c r="BT85" i="19"/>
  <c r="G93"/>
  <c r="F94"/>
  <c r="M39" i="16" s="1"/>
  <c r="I42" i="36" s="1"/>
  <c r="I30" s="1"/>
  <c r="F95" i="19"/>
  <c r="M16" i="16" s="1"/>
  <c r="BS40" i="19"/>
  <c r="BT66"/>
  <c r="BO40"/>
  <c r="BP66"/>
  <c r="BK40"/>
  <c r="BL66"/>
  <c r="BC40"/>
  <c r="BD66"/>
  <c r="AY40"/>
  <c r="AZ66"/>
  <c r="AU40"/>
  <c r="AV66"/>
  <c r="N40"/>
  <c r="AS40"/>
  <c r="AT66"/>
  <c r="AO40"/>
  <c r="AP66"/>
  <c r="AK40"/>
  <c r="AL66"/>
  <c r="AG40"/>
  <c r="AC40"/>
  <c r="X40"/>
  <c r="R40"/>
  <c r="BA9" i="12"/>
  <c r="AZ85" i="19"/>
  <c r="G65" i="15"/>
  <c r="J92" i="19"/>
  <c r="BV37" i="7"/>
  <c r="BW37" s="1"/>
  <c r="BX37" s="1"/>
  <c r="BY37" s="1"/>
  <c r="BZ37" s="1"/>
  <c r="CA37" s="1"/>
  <c r="CB37" s="1"/>
  <c r="CC37" s="1"/>
  <c r="CD37" s="1"/>
  <c r="CE37" s="1"/>
  <c r="AI79" i="19"/>
  <c r="AP37" i="7"/>
  <c r="AQ37" s="1"/>
  <c r="AR37" s="1"/>
  <c r="AS37" s="1"/>
  <c r="AT37" s="1"/>
  <c r="AU37" s="1"/>
  <c r="Z37"/>
  <c r="AA37" s="1"/>
  <c r="AB37" s="1"/>
  <c r="AC37" s="1"/>
  <c r="AD37" s="1"/>
  <c r="AE37" s="1"/>
  <c r="AF37" s="1"/>
  <c r="AG37" s="1"/>
  <c r="AH37" s="1"/>
  <c r="AI37" s="1"/>
  <c r="O37"/>
  <c r="P37" s="1"/>
  <c r="Q37" s="1"/>
  <c r="R37" s="1"/>
  <c r="S37" s="1"/>
  <c r="T37" s="1"/>
  <c r="U37" s="1"/>
  <c r="V37" s="1"/>
  <c r="W37" s="1"/>
  <c r="O43"/>
  <c r="O45" s="1"/>
  <c r="S43"/>
  <c r="S45" s="1"/>
  <c r="W43"/>
  <c r="W45" s="1"/>
  <c r="H49" i="15"/>
  <c r="L92" i="19"/>
  <c r="BZ6" i="16"/>
  <c r="BB6"/>
  <c r="U63" i="19"/>
  <c r="V63"/>
  <c r="Y65"/>
  <c r="V67"/>
  <c r="N110" i="14"/>
  <c r="AM6" i="16"/>
  <c r="AM7" s="1"/>
  <c r="AR6"/>
  <c r="AR7" s="1"/>
  <c r="AV6"/>
  <c r="AV7" s="1"/>
  <c r="AZ6"/>
  <c r="AZ7" s="1"/>
  <c r="CJ6"/>
  <c r="CJ7" s="1"/>
  <c r="CF6"/>
  <c r="CF7" s="1"/>
  <c r="CB6"/>
  <c r="CB7" s="1"/>
  <c r="BW6"/>
  <c r="BW7" s="1"/>
  <c r="BS6"/>
  <c r="BS7" s="1"/>
  <c r="BO6"/>
  <c r="BO7" s="1"/>
  <c r="BF6"/>
  <c r="BF7" s="1"/>
  <c r="BK6"/>
  <c r="BK7" s="1"/>
  <c r="BA6"/>
  <c r="BA7" s="1"/>
  <c r="AB59" i="19"/>
  <c r="AE60"/>
  <c r="W62"/>
  <c r="X62"/>
  <c r="W64"/>
  <c r="X64"/>
  <c r="AC66"/>
  <c r="M66"/>
  <c r="Z66"/>
  <c r="V66"/>
  <c r="R66"/>
  <c r="N66"/>
  <c r="J66"/>
  <c r="AH69"/>
  <c r="Z69"/>
  <c r="AG15" i="20"/>
  <c r="AK15"/>
  <c r="Q36" i="19" l="1"/>
  <c r="S34" i="12"/>
  <c r="R62" i="19"/>
  <c r="Q39"/>
  <c r="S65"/>
  <c r="S41"/>
  <c r="T67"/>
  <c r="S37"/>
  <c r="T63"/>
  <c r="O39"/>
  <c r="Q65"/>
  <c r="O36"/>
  <c r="Q34" i="12"/>
  <c r="Q26" s="1"/>
  <c r="P62" i="19"/>
  <c r="T39"/>
  <c r="V65"/>
  <c r="V41"/>
  <c r="W67"/>
  <c r="AM54" i="12"/>
  <c r="Q41" i="19"/>
  <c r="R67"/>
  <c r="Q37"/>
  <c r="Q88" s="1"/>
  <c r="R63"/>
  <c r="S39"/>
  <c r="U65"/>
  <c r="S36"/>
  <c r="U34" i="12"/>
  <c r="U26" s="1"/>
  <c r="T62" i="19"/>
  <c r="O41"/>
  <c r="P67"/>
  <c r="O37"/>
  <c r="O88" s="1"/>
  <c r="P63"/>
  <c r="T41"/>
  <c r="U67"/>
  <c r="V39"/>
  <c r="V88" s="1"/>
  <c r="X65"/>
  <c r="W21"/>
  <c r="AD18" i="16" s="1"/>
  <c r="G18" s="1"/>
  <c r="W88" i="19"/>
  <c r="AK57" i="7"/>
  <c r="AK61" s="1"/>
  <c r="AM38" i="12"/>
  <c r="AM40"/>
  <c r="AM42"/>
  <c r="AM39"/>
  <c r="AM41"/>
  <c r="AM45"/>
  <c r="F18" i="16"/>
  <c r="W86" i="19"/>
  <c r="W89" s="1"/>
  <c r="X91" s="1"/>
  <c r="BJ15" i="20"/>
  <c r="BV15"/>
  <c r="AY15"/>
  <c r="I6" i="16"/>
  <c r="I7" s="1"/>
  <c r="BB7"/>
  <c r="AI80" i="19"/>
  <c r="AP17" i="16" s="1"/>
  <c r="H17" s="1"/>
  <c r="BU27" i="12"/>
  <c r="BU12"/>
  <c r="BU19" s="1"/>
  <c r="BS10"/>
  <c r="BQ49" i="7"/>
  <c r="BK10" i="12"/>
  <c r="BI49" i="7"/>
  <c r="BC10" i="12"/>
  <c r="BA49" i="7"/>
  <c r="AU10" i="12"/>
  <c r="AS49" i="7"/>
  <c r="AR42" i="19"/>
  <c r="AU43" i="12"/>
  <c r="AR68" i="19"/>
  <c r="V10" i="12"/>
  <c r="T49" i="7"/>
  <c r="T28" i="19"/>
  <c r="V26" i="12"/>
  <c r="V54" i="19"/>
  <c r="Z10" i="12"/>
  <c r="X49" i="7"/>
  <c r="X46"/>
  <c r="AP10" i="12"/>
  <c r="AN49" i="7"/>
  <c r="AT10" i="12"/>
  <c r="AR49" i="7"/>
  <c r="AX10" i="12"/>
  <c r="AV49" i="7"/>
  <c r="AV46"/>
  <c r="BB10" i="12"/>
  <c r="AZ49" i="7"/>
  <c r="BF10" i="12"/>
  <c r="BD49" i="7"/>
  <c r="AL18" i="20"/>
  <c r="AK18"/>
  <c r="AB10" i="12"/>
  <c r="Z49" i="7"/>
  <c r="U28" i="19"/>
  <c r="W26" i="12"/>
  <c r="W54" i="19"/>
  <c r="O10" i="12"/>
  <c r="M49" i="7"/>
  <c r="BP10" i="12"/>
  <c r="BN49" i="7"/>
  <c r="BH10" i="12"/>
  <c r="BF49" i="7"/>
  <c r="D19" i="36"/>
  <c r="BZ10" i="12"/>
  <c r="BX49" i="7"/>
  <c r="P36" i="19"/>
  <c r="R34" i="12"/>
  <c r="Q62" i="19"/>
  <c r="P37"/>
  <c r="Q63"/>
  <c r="BL15" i="20"/>
  <c r="BP15"/>
  <c r="BT15"/>
  <c r="AW15"/>
  <c r="AN15"/>
  <c r="H6" i="16"/>
  <c r="H7" s="1"/>
  <c r="AP7"/>
  <c r="AG27" i="12"/>
  <c r="AG12"/>
  <c r="AG19" s="1"/>
  <c r="BM9"/>
  <c r="BL85" i="19"/>
  <c r="AW27" i="12"/>
  <c r="AW12"/>
  <c r="AW19" s="1"/>
  <c r="AS9"/>
  <c r="AR85" i="19"/>
  <c r="E14" i="18"/>
  <c r="M20" i="20"/>
  <c r="BI9" i="12"/>
  <c r="BH85" i="19"/>
  <c r="AF42"/>
  <c r="AF68"/>
  <c r="AP43"/>
  <c r="AS44" i="12"/>
  <c r="AQ69" i="19"/>
  <c r="AK43"/>
  <c r="AN44" i="12"/>
  <c r="AL69" i="19"/>
  <c r="W19" i="20"/>
  <c r="Y28" i="16"/>
  <c r="G18" i="20"/>
  <c r="AP18"/>
  <c r="AR27" i="16"/>
  <c r="BO10" i="12"/>
  <c r="BM49" i="7"/>
  <c r="BG10" i="12"/>
  <c r="BE49" i="7"/>
  <c r="AY10" i="12"/>
  <c r="AW49" i="7"/>
  <c r="AW46"/>
  <c r="AC15" i="20"/>
  <c r="AD15"/>
  <c r="N80" i="19"/>
  <c r="U17" i="16" s="1"/>
  <c r="R80" i="19"/>
  <c r="Y17" i="16" s="1"/>
  <c r="V80" i="19"/>
  <c r="AC17" i="16" s="1"/>
  <c r="O80" i="19"/>
  <c r="V17" i="16" s="1"/>
  <c r="S80" i="19"/>
  <c r="Z17" i="16" s="1"/>
  <c r="W80" i="19"/>
  <c r="AD17" i="16" s="1"/>
  <c r="T10" i="12"/>
  <c r="R49" i="7"/>
  <c r="R28" i="19"/>
  <c r="T54"/>
  <c r="AN10" i="12"/>
  <c r="AL49" i="7"/>
  <c r="AR10" i="12"/>
  <c r="AP49" i="7"/>
  <c r="AV10" i="12"/>
  <c r="AT49" i="7"/>
  <c r="AZ10" i="12"/>
  <c r="AX49" i="7"/>
  <c r="AX46"/>
  <c r="AY46" s="1"/>
  <c r="AZ46" s="1"/>
  <c r="BA46" s="1"/>
  <c r="BB46" s="1"/>
  <c r="BC46" s="1"/>
  <c r="BD46" s="1"/>
  <c r="BE46" s="1"/>
  <c r="BF46" s="1"/>
  <c r="BG46" s="1"/>
  <c r="BD10" i="12"/>
  <c r="BB49" i="7"/>
  <c r="Y28" i="19"/>
  <c r="AA54"/>
  <c r="S10" i="12"/>
  <c r="Q49" i="7"/>
  <c r="L28" i="19"/>
  <c r="N54"/>
  <c r="BT10" i="12"/>
  <c r="BR49" i="7"/>
  <c r="BX10" i="12"/>
  <c r="BV49" i="7"/>
  <c r="I4" i="36"/>
  <c r="I25" s="1"/>
  <c r="I37" s="1"/>
  <c r="I53" s="1"/>
  <c r="I61" s="1"/>
  <c r="H25"/>
  <c r="H37" s="1"/>
  <c r="H53" s="1"/>
  <c r="H61" s="1"/>
  <c r="AO80" i="19"/>
  <c r="AV17" i="16" s="1"/>
  <c r="AH80" i="19"/>
  <c r="AO17" i="16" s="1"/>
  <c r="AN80" i="19"/>
  <c r="AU17" i="16" s="1"/>
  <c r="AT80" i="19"/>
  <c r="BA17" i="16" s="1"/>
  <c r="AP80" i="19"/>
  <c r="AW17" i="16" s="1"/>
  <c r="AK80" i="19"/>
  <c r="AR17" i="16" s="1"/>
  <c r="AD80" i="19"/>
  <c r="AK17" i="16" s="1"/>
  <c r="Y80" i="19"/>
  <c r="AF17" i="16" s="1"/>
  <c r="AC80" i="19"/>
  <c r="AJ17" i="16" s="1"/>
  <c r="X80" i="19"/>
  <c r="AE17" i="16" s="1"/>
  <c r="AB80" i="19"/>
  <c r="AI17" i="16" s="1"/>
  <c r="BB15" i="20"/>
  <c r="BK15"/>
  <c r="BC15"/>
  <c r="BO15"/>
  <c r="BS15"/>
  <c r="BU15"/>
  <c r="AV15"/>
  <c r="AR15"/>
  <c r="AM15"/>
  <c r="R36" i="19"/>
  <c r="T34" i="12"/>
  <c r="T26" s="1"/>
  <c r="S62" i="19"/>
  <c r="R37"/>
  <c r="S63"/>
  <c r="N36"/>
  <c r="P34" i="12"/>
  <c r="O62" i="19"/>
  <c r="N39"/>
  <c r="P65"/>
  <c r="BN10" i="12"/>
  <c r="BL49" i="7"/>
  <c r="BR10" i="12"/>
  <c r="BP49" i="7"/>
  <c r="CB10" i="12"/>
  <c r="BZ49" i="7"/>
  <c r="AF78" i="19"/>
  <c r="AJ78"/>
  <c r="AE78"/>
  <c r="AI78"/>
  <c r="F13" i="18"/>
  <c r="AG12" i="13"/>
  <c r="S86" i="19"/>
  <c r="AQ15" i="20"/>
  <c r="Y10" i="12"/>
  <c r="W49" i="7"/>
  <c r="Q10" i="12"/>
  <c r="O49" i="7"/>
  <c r="AZ15" i="20"/>
  <c r="BE15"/>
  <c r="BR15"/>
  <c r="AU15"/>
  <c r="AL15"/>
  <c r="K6" i="16"/>
  <c r="K7" s="1"/>
  <c r="BZ7"/>
  <c r="H65" i="15"/>
  <c r="I49"/>
  <c r="U10" i="12"/>
  <c r="S49" i="7"/>
  <c r="M9" i="16"/>
  <c r="M10" s="1"/>
  <c r="BA27" i="12"/>
  <c r="BA12"/>
  <c r="BA19" s="1"/>
  <c r="I48" i="36"/>
  <c r="I31" s="1"/>
  <c r="L10" i="20"/>
  <c r="M19" i="16"/>
  <c r="Y27"/>
  <c r="W18" i="20"/>
  <c r="AM10" i="12"/>
  <c r="AK49" i="7"/>
  <c r="AK46"/>
  <c r="AL46" s="1"/>
  <c r="AM46" s="1"/>
  <c r="AN46" s="1"/>
  <c r="AO46" s="1"/>
  <c r="AP46" s="1"/>
  <c r="AQ46" s="1"/>
  <c r="AR46" s="1"/>
  <c r="AS46" s="1"/>
  <c r="AT46" s="1"/>
  <c r="AU46" s="1"/>
  <c r="AE10" i="12"/>
  <c r="AC49" i="7"/>
  <c r="AK42" i="19"/>
  <c r="AN43" i="12"/>
  <c r="AK68" i="19"/>
  <c r="R10" i="12"/>
  <c r="P49" i="7"/>
  <c r="P28" i="19"/>
  <c r="R26" i="12"/>
  <c r="R54" i="19"/>
  <c r="X28"/>
  <c r="Z54"/>
  <c r="AD10" i="12"/>
  <c r="AB49" i="7"/>
  <c r="AH10" i="12"/>
  <c r="AF49" i="7"/>
  <c r="AL10" i="12"/>
  <c r="AJ46" i="7"/>
  <c r="AJ49"/>
  <c r="Z28" i="19"/>
  <c r="AB54"/>
  <c r="W10" i="12"/>
  <c r="U49" i="7"/>
  <c r="M28" i="19"/>
  <c r="O26" i="12"/>
  <c r="O54" i="19"/>
  <c r="CF10" i="12"/>
  <c r="CD49" i="7"/>
  <c r="N61" i="12"/>
  <c r="P31" i="16"/>
  <c r="Q29"/>
  <c r="CE10" i="12"/>
  <c r="CC49" i="7"/>
  <c r="CA10" i="12"/>
  <c r="BY49" i="7"/>
  <c r="BW10" i="12"/>
  <c r="BU49" i="7"/>
  <c r="AY46" i="12"/>
  <c r="AV44" i="19"/>
  <c r="AX70"/>
  <c r="AM58" i="12"/>
  <c r="P39" i="19"/>
  <c r="R65"/>
  <c r="P41"/>
  <c r="Q67"/>
  <c r="L36"/>
  <c r="N34" i="12"/>
  <c r="M62" i="19"/>
  <c r="M29"/>
  <c r="M55"/>
  <c r="BH15" i="20"/>
  <c r="BD15"/>
  <c r="BX15"/>
  <c r="AS15"/>
  <c r="J6" i="16"/>
  <c r="J7" s="1"/>
  <c r="BN7"/>
  <c r="AO9" i="12"/>
  <c r="AN85" i="19"/>
  <c r="BE27" i="12"/>
  <c r="BE12"/>
  <c r="BE19" s="1"/>
  <c r="F86" i="19"/>
  <c r="F89" s="1"/>
  <c r="G91" s="1"/>
  <c r="G92" s="1"/>
  <c r="K77"/>
  <c r="R38" i="16" s="1"/>
  <c r="J77" i="19"/>
  <c r="Q38" i="16" s="1"/>
  <c r="I77" i="19"/>
  <c r="P38" i="16" s="1"/>
  <c r="H77" i="19"/>
  <c r="O38" i="16" s="1"/>
  <c r="G77" i="19"/>
  <c r="N38" i="16" s="1"/>
  <c r="F77" i="19"/>
  <c r="M38" i="16" s="1"/>
  <c r="L12" i="20" s="1"/>
  <c r="BQ9" i="12"/>
  <c r="BP85" i="19"/>
  <c r="T14" i="18"/>
  <c r="U13"/>
  <c r="AB20" i="20"/>
  <c r="AW43" i="19"/>
  <c r="AZ44" i="12"/>
  <c r="AX69" i="19"/>
  <c r="Z43"/>
  <c r="AA69"/>
  <c r="AH19" i="13"/>
  <c r="AH20"/>
  <c r="AI5"/>
  <c r="AH46"/>
  <c r="AH16"/>
  <c r="AH18"/>
  <c r="AH15"/>
  <c r="AH47"/>
  <c r="AH14"/>
  <c r="AH29"/>
  <c r="AH45"/>
  <c r="AQ10" i="12"/>
  <c r="AO49" i="7"/>
  <c r="AI10" i="12"/>
  <c r="AG49" i="7"/>
  <c r="P80" i="19"/>
  <c r="W17" i="16" s="1"/>
  <c r="T80" i="19"/>
  <c r="AA17" i="16" s="1"/>
  <c r="M80" i="19"/>
  <c r="T17" i="16" s="1"/>
  <c r="Q80" i="19"/>
  <c r="X17" i="16" s="1"/>
  <c r="U80" i="19"/>
  <c r="AB17" i="16" s="1"/>
  <c r="P10" i="12"/>
  <c r="N49" i="7"/>
  <c r="N28" i="19"/>
  <c r="P26" i="12"/>
  <c r="P54" i="19"/>
  <c r="X10" i="12"/>
  <c r="V49" i="7"/>
  <c r="V28" i="19"/>
  <c r="X26" i="12"/>
  <c r="X54" i="19"/>
  <c r="AF10" i="12"/>
  <c r="AD49" i="7"/>
  <c r="AJ10" i="12"/>
  <c r="AH49" i="7"/>
  <c r="AA10" i="12"/>
  <c r="Y49" i="7"/>
  <c r="Y46"/>
  <c r="Z46" s="1"/>
  <c r="AA46" s="1"/>
  <c r="AB46" s="1"/>
  <c r="AC46" s="1"/>
  <c r="AD46" s="1"/>
  <c r="AE46" s="1"/>
  <c r="AF46" s="1"/>
  <c r="AG46" s="1"/>
  <c r="AH46" s="1"/>
  <c r="AI46" s="1"/>
  <c r="Q28" i="19"/>
  <c r="S26" i="12"/>
  <c r="S54" i="19"/>
  <c r="N10" i="12"/>
  <c r="L49" i="7"/>
  <c r="L46"/>
  <c r="M46" s="1"/>
  <c r="N46" s="1"/>
  <c r="O46" s="1"/>
  <c r="P46" s="1"/>
  <c r="Q46" s="1"/>
  <c r="R46" s="1"/>
  <c r="S46" s="1"/>
  <c r="T46" s="1"/>
  <c r="U46" s="1"/>
  <c r="V46" s="1"/>
  <c r="W46" s="1"/>
  <c r="BL10" i="12"/>
  <c r="BJ49" i="7"/>
  <c r="AS80" i="19"/>
  <c r="AZ17" i="16" s="1"/>
  <c r="AL80" i="19"/>
  <c r="AS17" i="16" s="1"/>
  <c r="AQ80" i="19"/>
  <c r="AX17" i="16" s="1"/>
  <c r="AJ80" i="19"/>
  <c r="AQ17" i="16" s="1"/>
  <c r="AR80" i="19"/>
  <c r="AY17" i="16" s="1"/>
  <c r="AM80" i="19"/>
  <c r="AT17" i="16" s="1"/>
  <c r="AG80" i="19"/>
  <c r="AN17" i="16" s="1"/>
  <c r="AF80" i="19"/>
  <c r="AM17" i="16" s="1"/>
  <c r="AA80" i="19"/>
  <c r="AH17" i="16" s="1"/>
  <c r="AE80" i="19"/>
  <c r="AL17" i="16" s="1"/>
  <c r="Z80" i="19"/>
  <c r="AG17" i="16" s="1"/>
  <c r="CG10" i="12"/>
  <c r="CE49" i="7"/>
  <c r="CC10" i="12"/>
  <c r="CA49" i="7"/>
  <c r="BY10" i="12"/>
  <c r="BW49" i="7"/>
  <c r="BV10" i="12"/>
  <c r="BT46" i="7"/>
  <c r="BU46" s="1"/>
  <c r="BV46" s="1"/>
  <c r="BW46" s="1"/>
  <c r="BX46" s="1"/>
  <c r="BY46" s="1"/>
  <c r="BZ46" s="1"/>
  <c r="CA46" s="1"/>
  <c r="CB46" s="1"/>
  <c r="CC46" s="1"/>
  <c r="CD46" s="1"/>
  <c r="CE46" s="1"/>
  <c r="BT49"/>
  <c r="CD10" i="12"/>
  <c r="CB49" i="7"/>
  <c r="BI15" i="20"/>
  <c r="BF15"/>
  <c r="BG15"/>
  <c r="BQ15"/>
  <c r="BW15"/>
  <c r="AX15"/>
  <c r="AT15"/>
  <c r="AP15"/>
  <c r="AD5" i="18"/>
  <c r="AD6" s="1"/>
  <c r="AF87" i="19"/>
  <c r="R39"/>
  <c r="T65"/>
  <c r="R41"/>
  <c r="S67"/>
  <c r="N41"/>
  <c r="O67"/>
  <c r="N37"/>
  <c r="N88" s="1"/>
  <c r="O63"/>
  <c r="BJ10" i="12"/>
  <c r="N10" i="14" s="1"/>
  <c r="G6" i="36" s="1"/>
  <c r="BH49" i="7"/>
  <c r="BH46"/>
  <c r="BI46" s="1"/>
  <c r="BJ46" s="1"/>
  <c r="BK46" s="1"/>
  <c r="BL46" s="1"/>
  <c r="BM46" s="1"/>
  <c r="BN46" s="1"/>
  <c r="BO46" s="1"/>
  <c r="BP46" s="1"/>
  <c r="BQ46" s="1"/>
  <c r="BR46" s="1"/>
  <c r="BS46" s="1"/>
  <c r="AC10" i="12"/>
  <c r="AA49" i="7"/>
  <c r="AK10" i="12"/>
  <c r="AI49" i="7"/>
  <c r="W20" i="19"/>
  <c r="AD40" i="16" s="1"/>
  <c r="F7"/>
  <c r="G7"/>
  <c r="E45" i="15"/>
  <c r="AH78" i="19"/>
  <c r="AG78"/>
  <c r="AK78"/>
  <c r="T88"/>
  <c r="O86"/>
  <c r="O89" s="1"/>
  <c r="P91" s="1"/>
  <c r="S88" l="1"/>
  <c r="S89" s="1"/>
  <c r="T91" s="1"/>
  <c r="R86"/>
  <c r="AC9" i="12"/>
  <c r="AB85" i="19"/>
  <c r="AC15" i="13"/>
  <c r="AC47"/>
  <c r="AC14"/>
  <c r="AC45"/>
  <c r="BJ9" i="12"/>
  <c r="BI85" i="19"/>
  <c r="BH50" i="7"/>
  <c r="CD9" i="12"/>
  <c r="CC85" i="19"/>
  <c r="CC9" i="12"/>
  <c r="CB85" i="19"/>
  <c r="BL9" i="12"/>
  <c r="BK85" i="19"/>
  <c r="Q86"/>
  <c r="Q89" s="1"/>
  <c r="R91" s="1"/>
  <c r="AJ9" i="12"/>
  <c r="AI85" i="19"/>
  <c r="V86"/>
  <c r="V89" s="1"/>
  <c r="W91" s="1"/>
  <c r="N86"/>
  <c r="N89" s="1"/>
  <c r="O91" s="1"/>
  <c r="AI9" i="12"/>
  <c r="AH85" i="19"/>
  <c r="AH26" i="13"/>
  <c r="AH27"/>
  <c r="AN57" i="12" s="1"/>
  <c r="U14" i="18"/>
  <c r="AC20" i="20"/>
  <c r="V13" i="18"/>
  <c r="H93" i="19"/>
  <c r="H94"/>
  <c r="O39" i="16" s="1"/>
  <c r="N12" i="20" s="1"/>
  <c r="G94" i="19"/>
  <c r="N39" i="16" s="1"/>
  <c r="H95" i="19"/>
  <c r="O16" i="16" s="1"/>
  <c r="G95" i="19"/>
  <c r="N16" i="16" s="1"/>
  <c r="BC28" i="19"/>
  <c r="BE54"/>
  <c r="BM15" i="20"/>
  <c r="BW9" i="12"/>
  <c r="BV85" i="19"/>
  <c r="CE9" i="12"/>
  <c r="CD85" i="19"/>
  <c r="R29" i="16"/>
  <c r="R31" s="1"/>
  <c r="Q31"/>
  <c r="CF9" i="12"/>
  <c r="CE85" i="19"/>
  <c r="M86"/>
  <c r="M89" s="1"/>
  <c r="N91" s="1"/>
  <c r="AL9" i="12"/>
  <c r="AK85" i="19"/>
  <c r="AJ50" i="7"/>
  <c r="AH9" i="12"/>
  <c r="AG85" i="19"/>
  <c r="Q85"/>
  <c r="R9" i="12"/>
  <c r="R12" s="1"/>
  <c r="R19" s="1"/>
  <c r="AE9"/>
  <c r="AD85" i="19"/>
  <c r="AE16" i="13"/>
  <c r="AE15"/>
  <c r="AE47"/>
  <c r="AE14"/>
  <c r="AE45"/>
  <c r="L11" i="20"/>
  <c r="BA115" i="12"/>
  <c r="BF15" i="16"/>
  <c r="I44" i="36"/>
  <c r="M21" i="16"/>
  <c r="M36"/>
  <c r="M23"/>
  <c r="J15" i="20"/>
  <c r="Q9" i="12"/>
  <c r="Q12" s="1"/>
  <c r="Q19" s="1"/>
  <c r="P85" i="19"/>
  <c r="AM56" i="12"/>
  <c r="AM55" s="1"/>
  <c r="AM53" s="1"/>
  <c r="AM61" s="1"/>
  <c r="AK5" i="19"/>
  <c r="BR9" i="12"/>
  <c r="BQ85" i="19"/>
  <c r="W77"/>
  <c r="AD38" i="16" s="1"/>
  <c r="V77" i="19"/>
  <c r="AC38" i="16" s="1"/>
  <c r="U77" i="19"/>
  <c r="AB38" i="16" s="1"/>
  <c r="S77" i="19"/>
  <c r="Z38" i="16" s="1"/>
  <c r="R77" i="19"/>
  <c r="Y38" i="16" s="1"/>
  <c r="Q77" i="19"/>
  <c r="X38" i="16" s="1"/>
  <c r="P77" i="19"/>
  <c r="W38" i="16" s="1"/>
  <c r="O77" i="19"/>
  <c r="V38" i="16" s="1"/>
  <c r="N77" i="19"/>
  <c r="U38" i="16" s="1"/>
  <c r="M77" i="19"/>
  <c r="T38" i="16" s="1"/>
  <c r="L77" i="19"/>
  <c r="S38" i="16" s="1"/>
  <c r="T77" i="19"/>
  <c r="AA38" i="16" s="1"/>
  <c r="S9" i="12"/>
  <c r="S12" s="1"/>
  <c r="S19" s="1"/>
  <c r="R85" i="19"/>
  <c r="BD9" i="12"/>
  <c r="BC85" i="19"/>
  <c r="AR9" i="12"/>
  <c r="AQ85" i="19"/>
  <c r="S85"/>
  <c r="T9" i="12"/>
  <c r="T12" s="1"/>
  <c r="T19" s="1"/>
  <c r="T14" i="13"/>
  <c r="T15"/>
  <c r="AY9" i="12"/>
  <c r="AX85" i="19"/>
  <c r="BO9" i="12"/>
  <c r="BN85" i="19"/>
  <c r="AL43"/>
  <c r="AM69"/>
  <c r="AW115" i="12"/>
  <c r="BB15" i="16"/>
  <c r="BM27" i="12"/>
  <c r="BM12"/>
  <c r="BM19" s="1"/>
  <c r="AE28" i="19"/>
  <c r="AG54"/>
  <c r="G15" i="20"/>
  <c r="BZ9" i="12"/>
  <c r="BY85" i="19"/>
  <c r="BH9" i="12"/>
  <c r="BG85" i="19"/>
  <c r="BP9" i="12"/>
  <c r="BO85" i="19"/>
  <c r="O9" i="12"/>
  <c r="O12" s="1"/>
  <c r="O19" s="1"/>
  <c r="N85" i="19"/>
  <c r="N92" s="1"/>
  <c r="AA85"/>
  <c r="AB9" i="12"/>
  <c r="AB12" s="1"/>
  <c r="AB19" s="1"/>
  <c r="AB15" i="13"/>
  <c r="AB47"/>
  <c r="AB14"/>
  <c r="BF9" i="12"/>
  <c r="BE85" i="19"/>
  <c r="AX9" i="12"/>
  <c r="AW85" i="19"/>
  <c r="AV50" i="7"/>
  <c r="AW50" s="1"/>
  <c r="AX50" s="1"/>
  <c r="AY50" s="1"/>
  <c r="AZ50" s="1"/>
  <c r="BA50" s="1"/>
  <c r="BB50" s="1"/>
  <c r="BC50" s="1"/>
  <c r="BD50" s="1"/>
  <c r="BE50" s="1"/>
  <c r="BF50" s="1"/>
  <c r="BG50" s="1"/>
  <c r="AT9" i="12"/>
  <c r="AS85" i="19"/>
  <c r="T86"/>
  <c r="T89" s="1"/>
  <c r="U91" s="1"/>
  <c r="AS42"/>
  <c r="AV43" i="12"/>
  <c r="AS68" i="19"/>
  <c r="AU9" i="12"/>
  <c r="AT85" i="19"/>
  <c r="BC9" i="12"/>
  <c r="BB85" i="19"/>
  <c r="BS9" i="12"/>
  <c r="BR85" i="19"/>
  <c r="BZ15" i="16"/>
  <c r="BU115" i="12"/>
  <c r="BA15" i="20"/>
  <c r="AK37" i="19"/>
  <c r="AL63"/>
  <c r="AK38"/>
  <c r="AM64"/>
  <c r="AM28" i="12"/>
  <c r="I10" i="14"/>
  <c r="J10"/>
  <c r="E6" i="36" s="1"/>
  <c r="BN15" i="20"/>
  <c r="P88" i="19"/>
  <c r="G40" i="16"/>
  <c r="F40"/>
  <c r="AK9" i="12"/>
  <c r="AJ85" i="19"/>
  <c r="AF40"/>
  <c r="AG66"/>
  <c r="BV9" i="12"/>
  <c r="BU85" i="19"/>
  <c r="BT50" i="7"/>
  <c r="BU50" s="1"/>
  <c r="BV50" s="1"/>
  <c r="BW50" s="1"/>
  <c r="BX50" s="1"/>
  <c r="BY50" s="1"/>
  <c r="BZ50" s="1"/>
  <c r="CA50" s="1"/>
  <c r="CB50" s="1"/>
  <c r="CC50" s="1"/>
  <c r="CD50" s="1"/>
  <c r="CE50" s="1"/>
  <c r="BY9" i="12"/>
  <c r="BX85" i="19"/>
  <c r="CG9" i="12"/>
  <c r="M85" i="19"/>
  <c r="N9" i="12"/>
  <c r="L50" i="7"/>
  <c r="M50" s="1"/>
  <c r="N50" s="1"/>
  <c r="O50" s="1"/>
  <c r="P50" s="1"/>
  <c r="Q50" s="1"/>
  <c r="R50" s="1"/>
  <c r="S50" s="1"/>
  <c r="T50" s="1"/>
  <c r="U50" s="1"/>
  <c r="V50" s="1"/>
  <c r="W50" s="1"/>
  <c r="Z85" i="19"/>
  <c r="AA9" i="12"/>
  <c r="AA12" s="1"/>
  <c r="AA19" s="1"/>
  <c r="AA15" i="13"/>
  <c r="AA14"/>
  <c r="AF9" i="12"/>
  <c r="AE85" i="19"/>
  <c r="AF20" i="13"/>
  <c r="AF45"/>
  <c r="AF46"/>
  <c r="AF16"/>
  <c r="AF15"/>
  <c r="AF47"/>
  <c r="AF14"/>
  <c r="W85" i="19"/>
  <c r="W92" s="1"/>
  <c r="X9" i="12"/>
  <c r="X12" s="1"/>
  <c r="X19" s="1"/>
  <c r="X14" i="13"/>
  <c r="X15"/>
  <c r="O85" i="19"/>
  <c r="O92" s="1"/>
  <c r="P9" i="12"/>
  <c r="P12" s="1"/>
  <c r="P19" s="1"/>
  <c r="AQ9"/>
  <c r="AP85" i="19"/>
  <c r="AH42" i="13"/>
  <c r="AH43"/>
  <c r="AH11"/>
  <c r="AN54" i="12" s="1"/>
  <c r="AH12" i="13"/>
  <c r="AI20"/>
  <c r="AI19"/>
  <c r="AJ5"/>
  <c r="AI46"/>
  <c r="AI16"/>
  <c r="AI29"/>
  <c r="AI15"/>
  <c r="AI47"/>
  <c r="AI14"/>
  <c r="AI18"/>
  <c r="AI45"/>
  <c r="AX43" i="19"/>
  <c r="BA44" i="12"/>
  <c r="AY69" i="19"/>
  <c r="BQ27" i="12"/>
  <c r="BQ12"/>
  <c r="BQ19" s="1"/>
  <c r="BE115"/>
  <c r="BJ15" i="16"/>
  <c r="AO27" i="12"/>
  <c r="AO12"/>
  <c r="AO19" s="1"/>
  <c r="I15" i="20"/>
  <c r="AW44" i="19"/>
  <c r="AZ46" i="12"/>
  <c r="AY70" i="19"/>
  <c r="CA9" i="12"/>
  <c r="BZ85" i="19"/>
  <c r="V85"/>
  <c r="W9" i="12"/>
  <c r="W12" s="1"/>
  <c r="W19" s="1"/>
  <c r="W15" i="13"/>
  <c r="W14"/>
  <c r="AD9" i="12"/>
  <c r="AC85" i="19"/>
  <c r="AD14" i="13"/>
  <c r="AD45"/>
  <c r="AD15"/>
  <c r="AD47"/>
  <c r="P86" i="19"/>
  <c r="AL42"/>
  <c r="AO43" i="12"/>
  <c r="AL68" i="19"/>
  <c r="AM9" i="12"/>
  <c r="AL85" i="19"/>
  <c r="AK50" i="7"/>
  <c r="Z27" i="16"/>
  <c r="X18" i="20"/>
  <c r="AY28" i="19"/>
  <c r="BA54"/>
  <c r="U9" i="12"/>
  <c r="U12" s="1"/>
  <c r="U19" s="1"/>
  <c r="T85" i="19"/>
  <c r="U15" i="13"/>
  <c r="U14"/>
  <c r="I65" i="15"/>
  <c r="J49"/>
  <c r="BZ15" i="20"/>
  <c r="BY15"/>
  <c r="Y9" i="12"/>
  <c r="Y12" s="1"/>
  <c r="Y19" s="1"/>
  <c r="X85" i="19"/>
  <c r="Y15" i="13"/>
  <c r="Y14"/>
  <c r="F14" i="18"/>
  <c r="F15"/>
  <c r="N20" i="20"/>
  <c r="G13" i="18"/>
  <c r="CB9" i="12"/>
  <c r="CA85" i="19"/>
  <c r="BN9" i="12"/>
  <c r="BM85" i="19"/>
  <c r="BX9" i="12"/>
  <c r="BW85" i="19"/>
  <c r="BT9" i="12"/>
  <c r="BS85" i="19"/>
  <c r="AZ9" i="12"/>
  <c r="AY85" i="19"/>
  <c r="AV9" i="12"/>
  <c r="AU85" i="19"/>
  <c r="AN9" i="12"/>
  <c r="AM85" i="19"/>
  <c r="AL50" i="7"/>
  <c r="AM50" s="1"/>
  <c r="G17" i="16"/>
  <c r="F17"/>
  <c r="BG9" i="12"/>
  <c r="BF85" i="19"/>
  <c r="AS27" i="16"/>
  <c r="AQ18" i="20"/>
  <c r="Z28" i="16"/>
  <c r="X19" i="20"/>
  <c r="AQ43" i="19"/>
  <c r="AT44" i="12"/>
  <c r="AR69" i="19"/>
  <c r="BI27" i="12"/>
  <c r="BI12"/>
  <c r="BI19" s="1"/>
  <c r="AS27"/>
  <c r="AS12"/>
  <c r="AS19" s="1"/>
  <c r="AU28" i="19"/>
  <c r="AW54"/>
  <c r="AL15" i="16"/>
  <c r="AG115" i="12"/>
  <c r="AO15" i="20"/>
  <c r="U86" i="19"/>
  <c r="U89" s="1"/>
  <c r="V91" s="1"/>
  <c r="BB9" i="12"/>
  <c r="BA85" i="19"/>
  <c r="AP9" i="12"/>
  <c r="AO85" i="19"/>
  <c r="AN50" i="7"/>
  <c r="AO50" s="1"/>
  <c r="AP50" s="1"/>
  <c r="AQ50" s="1"/>
  <c r="AR50" s="1"/>
  <c r="AS50" s="1"/>
  <c r="AT50" s="1"/>
  <c r="AU50" s="1"/>
  <c r="Y85" i="19"/>
  <c r="Z9" i="12"/>
  <c r="Z12" s="1"/>
  <c r="Z19" s="1"/>
  <c r="X50" i="7"/>
  <c r="Y50" s="1"/>
  <c r="Z50" s="1"/>
  <c r="AA50" s="1"/>
  <c r="AB50" s="1"/>
  <c r="AC50" s="1"/>
  <c r="AD50" s="1"/>
  <c r="AE50" s="1"/>
  <c r="AF50" s="1"/>
  <c r="AG50" s="1"/>
  <c r="AH50" s="1"/>
  <c r="AI50" s="1"/>
  <c r="Z14" i="13"/>
  <c r="Z15"/>
  <c r="U85" i="19"/>
  <c r="U92" s="1"/>
  <c r="V9" i="12"/>
  <c r="V12" s="1"/>
  <c r="V19" s="1"/>
  <c r="V14" i="13"/>
  <c r="V15"/>
  <c r="BK9" i="12"/>
  <c r="BJ85" i="19"/>
  <c r="BI50" i="7"/>
  <c r="BJ50" s="1"/>
  <c r="BK50" s="1"/>
  <c r="BL50" s="1"/>
  <c r="BM50" s="1"/>
  <c r="BN50" s="1"/>
  <c r="BO50" s="1"/>
  <c r="BP50" s="1"/>
  <c r="BQ50" s="1"/>
  <c r="BR50" s="1"/>
  <c r="BS50" s="1"/>
  <c r="BU54" i="19"/>
  <c r="BS28"/>
  <c r="H15" i="20"/>
  <c r="AK39" i="19"/>
  <c r="AM65"/>
  <c r="AK41"/>
  <c r="AL67"/>
  <c r="AK36"/>
  <c r="AL62"/>
  <c r="P10" i="14"/>
  <c r="H6" i="36" s="1"/>
  <c r="M12" i="20"/>
  <c r="L13"/>
  <c r="L24" s="1"/>
  <c r="L27" s="1"/>
  <c r="N9" i="16"/>
  <c r="N10" s="1"/>
  <c r="R88" i="19"/>
  <c r="N26" i="12"/>
  <c r="E15" i="18"/>
  <c r="L10" i="14"/>
  <c r="F6" i="36" s="1"/>
  <c r="T92" i="19" l="1"/>
  <c r="AU25" i="7"/>
  <c r="AU47"/>
  <c r="CE38"/>
  <c r="CE25"/>
  <c r="CE47"/>
  <c r="BS38"/>
  <c r="BS25"/>
  <c r="BS47"/>
  <c r="BG38"/>
  <c r="BG25"/>
  <c r="BG47"/>
  <c r="N35" i="16"/>
  <c r="E16" i="18"/>
  <c r="E17"/>
  <c r="Z11" i="13"/>
  <c r="AF54" i="12" s="1"/>
  <c r="Z12" i="13"/>
  <c r="AP27" i="12"/>
  <c r="AP12"/>
  <c r="AP19" s="1"/>
  <c r="BI115"/>
  <c r="BN15" i="16"/>
  <c r="BG27" i="12"/>
  <c r="BG12"/>
  <c r="BG19" s="1"/>
  <c r="AV27"/>
  <c r="AV12"/>
  <c r="AV19" s="1"/>
  <c r="BN12"/>
  <c r="BN19" s="1"/>
  <c r="BN27"/>
  <c r="G14" i="18"/>
  <c r="G15" s="1"/>
  <c r="O20" i="20"/>
  <c r="H13" i="18"/>
  <c r="Y11" i="13"/>
  <c r="AE54" i="12" s="1"/>
  <c r="Y12" i="13"/>
  <c r="J65" i="15"/>
  <c r="K49"/>
  <c r="U115" i="12"/>
  <c r="Z15" i="16"/>
  <c r="Q5" i="25"/>
  <c r="AA27" i="16"/>
  <c r="Y18" i="20"/>
  <c r="AM42" i="19"/>
  <c r="AM68"/>
  <c r="AD42" i="13"/>
  <c r="AD43"/>
  <c r="BA46" i="12"/>
  <c r="AX44" i="19"/>
  <c r="AZ70"/>
  <c r="AN56" i="12"/>
  <c r="AL5" i="19"/>
  <c r="AQ27" i="12"/>
  <c r="AQ12"/>
  <c r="AQ19" s="1"/>
  <c r="AF27"/>
  <c r="AF12"/>
  <c r="AF19" s="1"/>
  <c r="AF15" i="16"/>
  <c r="AA115" i="12"/>
  <c r="CG12"/>
  <c r="CG19" s="1"/>
  <c r="CG27"/>
  <c r="P9" i="14"/>
  <c r="BV27" i="12"/>
  <c r="BV12"/>
  <c r="BV19" s="1"/>
  <c r="AK12"/>
  <c r="AK19" s="1"/>
  <c r="AK27"/>
  <c r="AG15" i="16"/>
  <c r="AB115" i="12"/>
  <c r="O115"/>
  <c r="T15" i="16"/>
  <c r="K5" i="25"/>
  <c r="BH27" i="12"/>
  <c r="BH12"/>
  <c r="BH19" s="1"/>
  <c r="BK28" i="19"/>
  <c r="BM54"/>
  <c r="BD27" i="12"/>
  <c r="BD12"/>
  <c r="BD19" s="1"/>
  <c r="L86" i="19"/>
  <c r="L89" s="1"/>
  <c r="M91" s="1"/>
  <c r="L28" i="20"/>
  <c r="M26"/>
  <c r="BK27" i="12"/>
  <c r="BK12"/>
  <c r="BK19" s="1"/>
  <c r="V11" i="13"/>
  <c r="AB54" i="12" s="1"/>
  <c r="V12" i="13"/>
  <c r="V115" i="12"/>
  <c r="AA15" i="16"/>
  <c r="R5" i="25"/>
  <c r="BB27" i="12"/>
  <c r="BB12"/>
  <c r="BB19" s="1"/>
  <c r="AQ28" i="19"/>
  <c r="AS54"/>
  <c r="BG28"/>
  <c r="BI54"/>
  <c r="AR43"/>
  <c r="AS69"/>
  <c r="AR18" i="20"/>
  <c r="AT27" i="16"/>
  <c r="AN27" i="12"/>
  <c r="AN12"/>
  <c r="AN19" s="1"/>
  <c r="AZ27"/>
  <c r="AZ12"/>
  <c r="AZ19" s="1"/>
  <c r="BX27"/>
  <c r="BX12"/>
  <c r="BX19" s="1"/>
  <c r="CB27"/>
  <c r="CB12"/>
  <c r="CB19" s="1"/>
  <c r="O9" i="16"/>
  <c r="O10" s="1"/>
  <c r="AM27" i="12"/>
  <c r="AM12"/>
  <c r="AM19" s="1"/>
  <c r="AL78" i="19"/>
  <c r="AO78"/>
  <c r="AP78"/>
  <c r="AS78"/>
  <c r="AD11" i="13"/>
  <c r="AJ54" i="12" s="1"/>
  <c r="AD12" i="13"/>
  <c r="W11"/>
  <c r="AC54" i="12" s="1"/>
  <c r="W12" i="13"/>
  <c r="AM28" i="19"/>
  <c r="AO54"/>
  <c r="BQ115" i="12"/>
  <c r="BV15" i="16"/>
  <c r="AY43" i="19"/>
  <c r="BB44" i="12"/>
  <c r="AZ69" i="19"/>
  <c r="AI42" i="13"/>
  <c r="AI43"/>
  <c r="AI11"/>
  <c r="AI12"/>
  <c r="AJ19"/>
  <c r="AJ17"/>
  <c r="AJ20"/>
  <c r="AK5"/>
  <c r="AJ29"/>
  <c r="AJ45"/>
  <c r="AJ46"/>
  <c r="AJ16"/>
  <c r="AJ18"/>
  <c r="AJ15"/>
  <c r="AJ47"/>
  <c r="AJ14"/>
  <c r="AN38" i="12"/>
  <c r="AN40"/>
  <c r="AN42"/>
  <c r="AL57" i="7"/>
  <c r="AL61" s="1"/>
  <c r="AN39" i="12"/>
  <c r="AN41"/>
  <c r="AN45"/>
  <c r="X11" i="13"/>
  <c r="AD54" i="12" s="1"/>
  <c r="X12" i="13"/>
  <c r="X115" i="12"/>
  <c r="AC15" i="16"/>
  <c r="T5" i="25"/>
  <c r="AF11" i="13"/>
  <c r="AF12"/>
  <c r="AA11"/>
  <c r="AG54" i="12" s="1"/>
  <c r="AA12" i="13"/>
  <c r="N12" i="12"/>
  <c r="N19" s="1"/>
  <c r="I9" i="14"/>
  <c r="I12" s="1"/>
  <c r="I19" s="1"/>
  <c r="BY12" i="12"/>
  <c r="BY19" s="1"/>
  <c r="BY27"/>
  <c r="AM36"/>
  <c r="AM35"/>
  <c r="AM37"/>
  <c r="AK29" i="19"/>
  <c r="AK55"/>
  <c r="K15" i="16"/>
  <c r="BS27" i="12"/>
  <c r="BS12"/>
  <c r="BS19" s="1"/>
  <c r="AU27"/>
  <c r="AU12"/>
  <c r="AU19" s="1"/>
  <c r="AW43"/>
  <c r="AT42" i="19"/>
  <c r="AT68"/>
  <c r="AT27" i="12"/>
  <c r="AT12"/>
  <c r="AT19" s="1"/>
  <c r="BF27"/>
  <c r="BF12"/>
  <c r="BF19" s="1"/>
  <c r="AB43" i="13"/>
  <c r="AB42"/>
  <c r="BP12" i="12"/>
  <c r="BP19" s="1"/>
  <c r="BP27"/>
  <c r="BZ27"/>
  <c r="BZ12"/>
  <c r="BZ19" s="1"/>
  <c r="BR15" i="16"/>
  <c r="BM115" i="12"/>
  <c r="AY27"/>
  <c r="AY12"/>
  <c r="AY19" s="1"/>
  <c r="T11" i="13"/>
  <c r="Z54" i="12" s="1"/>
  <c r="T12" i="13"/>
  <c r="T115" i="12"/>
  <c r="Y15" i="16"/>
  <c r="P5" i="25"/>
  <c r="AR27" i="12"/>
  <c r="AR12"/>
  <c r="AR19" s="1"/>
  <c r="S115"/>
  <c r="X15" i="16"/>
  <c r="O5" i="25"/>
  <c r="AK15" i="19"/>
  <c r="AK6"/>
  <c r="AK10"/>
  <c r="Q115" i="12"/>
  <c r="V15" i="16"/>
  <c r="M5" i="25"/>
  <c r="M43" i="16"/>
  <c r="D28" i="18"/>
  <c r="D32" s="1"/>
  <c r="AE42" i="13"/>
  <c r="AE43"/>
  <c r="J9" i="14"/>
  <c r="AL27" i="12"/>
  <c r="AL12"/>
  <c r="AL19" s="1"/>
  <c r="CE12"/>
  <c r="CE19" s="1"/>
  <c r="CE27"/>
  <c r="N10" i="20"/>
  <c r="N19" i="16"/>
  <c r="M10" i="20"/>
  <c r="AJ27" i="12"/>
  <c r="AJ12"/>
  <c r="AJ19" s="1"/>
  <c r="CC12"/>
  <c r="CC19" s="1"/>
  <c r="CC27"/>
  <c r="BJ12"/>
  <c r="BJ19" s="1"/>
  <c r="N9" i="14"/>
  <c r="BJ27" i="12"/>
  <c r="AC11" i="13"/>
  <c r="AC12"/>
  <c r="P89" i="19"/>
  <c r="Q91" s="1"/>
  <c r="V92"/>
  <c r="AN78"/>
  <c r="AM78"/>
  <c r="J44" i="14"/>
  <c r="Q92" i="19"/>
  <c r="I93"/>
  <c r="I95" s="1"/>
  <c r="P16" i="16" s="1"/>
  <c r="I94" i="19"/>
  <c r="P39" i="16" s="1"/>
  <c r="O12" i="20" s="1"/>
  <c r="R89" i="19"/>
  <c r="S91" s="1"/>
  <c r="I6" i="36"/>
  <c r="AE15" i="16"/>
  <c r="Z20" i="12"/>
  <c r="AA20" s="1"/>
  <c r="AB20" s="1"/>
  <c r="Z115"/>
  <c r="AS115"/>
  <c r="AX15" i="16"/>
  <c r="Y19" i="20"/>
  <c r="AA28" i="16"/>
  <c r="BT12" i="12"/>
  <c r="BT19" s="1"/>
  <c r="BT27"/>
  <c r="F17" i="18"/>
  <c r="O35" i="16"/>
  <c r="F16" i="18"/>
  <c r="AD15" i="16"/>
  <c r="Y115" i="12"/>
  <c r="U5" i="25"/>
  <c r="U11" i="13"/>
  <c r="AA54" i="12" s="1"/>
  <c r="U12" i="13"/>
  <c r="AD27" i="12"/>
  <c r="AD12"/>
  <c r="AD19" s="1"/>
  <c r="W115"/>
  <c r="AB15" i="16"/>
  <c r="S5" i="25"/>
  <c r="CA12" i="12"/>
  <c r="CA19" s="1"/>
  <c r="CA27"/>
  <c r="AT15" i="16"/>
  <c r="AO115" i="12"/>
  <c r="BO28" i="19"/>
  <c r="BQ54"/>
  <c r="AI26" i="13"/>
  <c r="AI27"/>
  <c r="AO57" i="12" s="1"/>
  <c r="AN58"/>
  <c r="P115"/>
  <c r="U15" i="16"/>
  <c r="L5" i="25"/>
  <c r="AF42" i="13"/>
  <c r="AF43"/>
  <c r="BC27" i="12"/>
  <c r="BC12"/>
  <c r="BC19" s="1"/>
  <c r="L9" i="14"/>
  <c r="AX27" i="12"/>
  <c r="AX12"/>
  <c r="AX19" s="1"/>
  <c r="AB11" i="13"/>
  <c r="AH54" i="12" s="1"/>
  <c r="AB12" i="13"/>
  <c r="I15" i="16"/>
  <c r="BO27" i="12"/>
  <c r="BO12"/>
  <c r="BO19" s="1"/>
  <c r="G38" i="16"/>
  <c r="C41" i="36" s="1"/>
  <c r="C56" s="1"/>
  <c r="F38" i="16"/>
  <c r="BR12" i="12"/>
  <c r="BR19" s="1"/>
  <c r="BR27"/>
  <c r="AE11" i="13"/>
  <c r="AK54" i="12" s="1"/>
  <c r="AE12" i="13"/>
  <c r="AE27" i="12"/>
  <c r="AE12"/>
  <c r="AE19" s="1"/>
  <c r="R115"/>
  <c r="W15" i="16"/>
  <c r="N5" i="25"/>
  <c r="AH27" i="12"/>
  <c r="AH12"/>
  <c r="AH19" s="1"/>
  <c r="CF27"/>
  <c r="CF12"/>
  <c r="CF19" s="1"/>
  <c r="BW12"/>
  <c r="BW19" s="1"/>
  <c r="BW27"/>
  <c r="O19" i="16"/>
  <c r="V14" i="18"/>
  <c r="AD20" i="20"/>
  <c r="W13" i="18"/>
  <c r="AI27" i="12"/>
  <c r="AI12"/>
  <c r="AI19" s="1"/>
  <c r="BL12"/>
  <c r="BL19" s="1"/>
  <c r="BL27"/>
  <c r="CD27"/>
  <c r="CD12"/>
  <c r="CD19" s="1"/>
  <c r="AC42" i="13"/>
  <c r="AC43"/>
  <c r="AC27" i="12"/>
  <c r="AC12"/>
  <c r="AC19" s="1"/>
  <c r="M92" i="19"/>
  <c r="S92"/>
  <c r="R92"/>
  <c r="P92"/>
  <c r="P19" i="16" l="1"/>
  <c r="O10" i="20"/>
  <c r="AH15" i="16"/>
  <c r="AC20" i="12"/>
  <c r="AC115"/>
  <c r="CI15" i="16"/>
  <c r="CD115" i="12"/>
  <c r="BJ28" i="19"/>
  <c r="BL54"/>
  <c r="W14" i="18"/>
  <c r="AE20" i="20"/>
  <c r="X13" i="18"/>
  <c r="AA28" i="19"/>
  <c r="AC54"/>
  <c r="I27" i="14"/>
  <c r="CD54" i="19"/>
  <c r="CB28"/>
  <c r="BL115" i="12"/>
  <c r="BQ15" i="16"/>
  <c r="AG28" i="19"/>
  <c r="AI54"/>
  <c r="CB15" i="16"/>
  <c r="BW115" i="12"/>
  <c r="CD28" i="19"/>
  <c r="AF28"/>
  <c r="AH54"/>
  <c r="AJ15" i="16"/>
  <c r="AE115" i="12"/>
  <c r="AK56"/>
  <c r="AI5" i="19"/>
  <c r="BP28"/>
  <c r="BR54"/>
  <c r="BM28"/>
  <c r="BO54"/>
  <c r="AF57" i="7"/>
  <c r="AF61" s="1"/>
  <c r="AH38" i="12"/>
  <c r="AH39"/>
  <c r="AH40"/>
  <c r="AH42"/>
  <c r="AH41"/>
  <c r="AH45"/>
  <c r="L27" i="14"/>
  <c r="AV28" i="19"/>
  <c r="AX54"/>
  <c r="BC115" i="12"/>
  <c r="BH15" i="16"/>
  <c r="AL58" i="12"/>
  <c r="CF15" i="16"/>
  <c r="CA115" i="12"/>
  <c r="AI15" i="16"/>
  <c r="AD20" i="12"/>
  <c r="AE20" s="1"/>
  <c r="AF20" s="1"/>
  <c r="AG20" s="1"/>
  <c r="AH20" s="1"/>
  <c r="AI20" s="1"/>
  <c r="AJ20" s="1"/>
  <c r="AK20" s="1"/>
  <c r="AD115"/>
  <c r="AA56"/>
  <c r="AA55" s="1"/>
  <c r="AA53" s="1"/>
  <c r="AA61" s="1"/>
  <c r="Y5" i="19"/>
  <c r="G15" i="16"/>
  <c r="F15"/>
  <c r="BR28" i="19"/>
  <c r="BT54"/>
  <c r="AB28" i="16"/>
  <c r="Z19" i="20"/>
  <c r="G5" i="36"/>
  <c r="G7" s="1"/>
  <c r="N12" i="14"/>
  <c r="N19" s="1"/>
  <c r="CC54" i="19"/>
  <c r="CA28"/>
  <c r="AO15" i="16"/>
  <c r="AJ115" i="12"/>
  <c r="CJ15" i="16"/>
  <c r="CE115" i="12"/>
  <c r="J27" i="14"/>
  <c r="AJ28" i="19"/>
  <c r="AL54"/>
  <c r="AK58" i="12"/>
  <c r="AK11" i="19"/>
  <c r="AL16" s="1"/>
  <c r="AP28"/>
  <c r="AR54"/>
  <c r="Z56" i="12"/>
  <c r="X5" i="19"/>
  <c r="AY115" i="12"/>
  <c r="BD15" i="16"/>
  <c r="BZ54" i="19"/>
  <c r="BX28"/>
  <c r="BU15" i="16"/>
  <c r="BP115" i="12"/>
  <c r="AH58"/>
  <c r="AB53" i="13"/>
  <c r="BD28" i="19"/>
  <c r="BF54"/>
  <c r="AR28"/>
  <c r="AT54"/>
  <c r="AZ15" i="16"/>
  <c r="AU115" i="12"/>
  <c r="BS115"/>
  <c r="BX15" i="16"/>
  <c r="AK35" i="19"/>
  <c r="AL61"/>
  <c r="AK34"/>
  <c r="AL60"/>
  <c r="CD15" i="16"/>
  <c r="BY115" i="12"/>
  <c r="N115"/>
  <c r="S15" i="16"/>
  <c r="N20" i="12"/>
  <c r="O20" s="1"/>
  <c r="P20" s="1"/>
  <c r="Q20" s="1"/>
  <c r="R20" s="1"/>
  <c r="S20" s="1"/>
  <c r="T20" s="1"/>
  <c r="U20" s="1"/>
  <c r="V20" s="1"/>
  <c r="W20" s="1"/>
  <c r="X20" s="1"/>
  <c r="Y20" s="1"/>
  <c r="J5" i="25"/>
  <c r="U6" s="1"/>
  <c r="AE57" i="7"/>
  <c r="AE61" s="1"/>
  <c r="AG38" i="12"/>
  <c r="AG39"/>
  <c r="AG40"/>
  <c r="AG42"/>
  <c r="AG41"/>
  <c r="AG45"/>
  <c r="AD56"/>
  <c r="AD55" s="1"/>
  <c r="AD53" s="1"/>
  <c r="AD61" s="1"/>
  <c r="AB5" i="19"/>
  <c r="AL37"/>
  <c r="AM63"/>
  <c r="AL41"/>
  <c r="AM67"/>
  <c r="AL36"/>
  <c r="AM62"/>
  <c r="AJ26" i="13"/>
  <c r="AJ27"/>
  <c r="AP57" i="12" s="1"/>
  <c r="AZ43" i="19"/>
  <c r="BC44" i="12"/>
  <c r="BA69" i="19"/>
  <c r="AC56" i="12"/>
  <c r="AC55" s="1"/>
  <c r="AC53" s="1"/>
  <c r="AC61" s="1"/>
  <c r="AA5" i="19"/>
  <c r="AJ56" i="12"/>
  <c r="AH5" i="19"/>
  <c r="AR15" i="16"/>
  <c r="AM115" i="12"/>
  <c r="CG15" i="16"/>
  <c r="CB115" i="12"/>
  <c r="CC15" i="16"/>
  <c r="BX115" i="12"/>
  <c r="BE15" i="16"/>
  <c r="AZ115" i="12"/>
  <c r="AN115"/>
  <c r="AS15" i="16"/>
  <c r="AZ28" i="19"/>
  <c r="BB54"/>
  <c r="AB56" i="12"/>
  <c r="AB55" s="1"/>
  <c r="AB53" s="1"/>
  <c r="AB61" s="1"/>
  <c r="Z5" i="19"/>
  <c r="BP15" i="16"/>
  <c r="BK115" i="12"/>
  <c r="BI15" i="16"/>
  <c r="BD115" i="12"/>
  <c r="BF28" i="19"/>
  <c r="BH54"/>
  <c r="AP15" i="16"/>
  <c r="AK115" i="12"/>
  <c r="P27" i="14"/>
  <c r="BT28" i="19"/>
  <c r="BV54"/>
  <c r="CE28"/>
  <c r="AD28"/>
  <c r="AF54"/>
  <c r="AO28"/>
  <c r="AQ54"/>
  <c r="AY44"/>
  <c r="BB46" i="12"/>
  <c r="BA70" i="19"/>
  <c r="AQ78"/>
  <c r="AR78"/>
  <c r="AT78"/>
  <c r="P9" i="16"/>
  <c r="P10" s="1"/>
  <c r="AE38" i="12"/>
  <c r="AE39"/>
  <c r="AE40"/>
  <c r="AE42"/>
  <c r="AE41"/>
  <c r="AE45"/>
  <c r="BS15" i="16"/>
  <c r="BN115" i="12"/>
  <c r="AT28" i="19"/>
  <c r="AV54"/>
  <c r="BE28"/>
  <c r="BG54"/>
  <c r="J15" i="16"/>
  <c r="AP115" i="12"/>
  <c r="AU15" i="16"/>
  <c r="AF56" i="12"/>
  <c r="AF55" s="1"/>
  <c r="AF53" s="1"/>
  <c r="AF61" s="1"/>
  <c r="AD5" i="19"/>
  <c r="M21" i="20"/>
  <c r="M22" s="1"/>
  <c r="O11"/>
  <c r="J93" i="19"/>
  <c r="AI54" i="12"/>
  <c r="AL54"/>
  <c r="AO54"/>
  <c r="N36" i="16"/>
  <c r="E28" i="18" s="1"/>
  <c r="E32" s="1"/>
  <c r="AN55" i="12"/>
  <c r="AN53" s="1"/>
  <c r="AN61" s="1"/>
  <c r="E18" i="18"/>
  <c r="AI58" i="12"/>
  <c r="AC53" i="13"/>
  <c r="AN15" i="16"/>
  <c r="AI115" i="12"/>
  <c r="BW54" i="19"/>
  <c r="BU28"/>
  <c r="CK15" i="16"/>
  <c r="CF115" i="12"/>
  <c r="AM15" i="16"/>
  <c r="AH115" i="12"/>
  <c r="AC28" i="19"/>
  <c r="AE54"/>
  <c r="AI57" i="7"/>
  <c r="AI61" s="1"/>
  <c r="AK38" i="12"/>
  <c r="AK39"/>
  <c r="AK40"/>
  <c r="AK42"/>
  <c r="AK41"/>
  <c r="AK45"/>
  <c r="BW15" i="16"/>
  <c r="BR115" i="12"/>
  <c r="BO115"/>
  <c r="BT15" i="16"/>
  <c r="AH56" i="12"/>
  <c r="AH55" s="1"/>
  <c r="AH53" s="1"/>
  <c r="AH61" s="1"/>
  <c r="AF5" i="19"/>
  <c r="BC15" i="16"/>
  <c r="AX20" i="12"/>
  <c r="AY20" s="1"/>
  <c r="AZ20" s="1"/>
  <c r="BA20" s="1"/>
  <c r="BB20" s="1"/>
  <c r="BC20" s="1"/>
  <c r="BD20" s="1"/>
  <c r="BE20" s="1"/>
  <c r="BF20" s="1"/>
  <c r="BG20" s="1"/>
  <c r="BH20" s="1"/>
  <c r="BI20" s="1"/>
  <c r="AX115"/>
  <c r="F5" i="36"/>
  <c r="F7" s="1"/>
  <c r="L12" i="14"/>
  <c r="L19" s="1"/>
  <c r="BA28" i="19"/>
  <c r="BC54"/>
  <c r="CA54"/>
  <c r="BY28"/>
  <c r="AB28"/>
  <c r="AD54"/>
  <c r="AA38" i="12"/>
  <c r="AA39"/>
  <c r="AA40"/>
  <c r="AA42"/>
  <c r="AA41"/>
  <c r="AA45"/>
  <c r="BY15" i="16"/>
  <c r="BT115" i="12"/>
  <c r="J94" i="19"/>
  <c r="Q39" i="16" s="1"/>
  <c r="P12" i="20" s="1"/>
  <c r="J95" i="19"/>
  <c r="Q16" i="16" s="1"/>
  <c r="AI56" i="12"/>
  <c r="AI55" s="1"/>
  <c r="AI53" s="1"/>
  <c r="AI61" s="1"/>
  <c r="AG5" i="19"/>
  <c r="N27" i="14"/>
  <c r="BH28" i="19"/>
  <c r="BJ54"/>
  <c r="BJ115" i="12"/>
  <c r="BO15" i="16"/>
  <c r="BJ20" i="12"/>
  <c r="BK20" s="1"/>
  <c r="BL20" s="1"/>
  <c r="BM20" s="1"/>
  <c r="BN20" s="1"/>
  <c r="BO20" s="1"/>
  <c r="BP20" s="1"/>
  <c r="BQ20" s="1"/>
  <c r="BR20" s="1"/>
  <c r="BS20" s="1"/>
  <c r="BT20" s="1"/>
  <c r="BU20" s="1"/>
  <c r="BV20" s="1"/>
  <c r="BW20" s="1"/>
  <c r="BX20" s="1"/>
  <c r="BY20" s="1"/>
  <c r="BZ20" s="1"/>
  <c r="CA20" s="1"/>
  <c r="CB20" s="1"/>
  <c r="CC20" s="1"/>
  <c r="CD20" s="1"/>
  <c r="CE20" s="1"/>
  <c r="CF20" s="1"/>
  <c r="CG20" s="1"/>
  <c r="CH15" i="16"/>
  <c r="CC115" i="12"/>
  <c r="AH28" i="19"/>
  <c r="AJ54"/>
  <c r="N11" i="20"/>
  <c r="N13" s="1"/>
  <c r="M11"/>
  <c r="M13" s="1"/>
  <c r="M24" s="1"/>
  <c r="M27" s="1"/>
  <c r="CE54" i="19"/>
  <c r="CC28"/>
  <c r="AQ15" i="16"/>
  <c r="AL20" i="12"/>
  <c r="AM20" s="1"/>
  <c r="AN20" s="1"/>
  <c r="AO20" s="1"/>
  <c r="AP20" s="1"/>
  <c r="AQ20" s="1"/>
  <c r="AR20" s="1"/>
  <c r="AS20" s="1"/>
  <c r="AT20" s="1"/>
  <c r="AU20" s="1"/>
  <c r="AV20" s="1"/>
  <c r="AW20" s="1"/>
  <c r="AL115"/>
  <c r="E5" i="36"/>
  <c r="E7" s="1"/>
  <c r="J12" i="14"/>
  <c r="J19" s="1"/>
  <c r="AR115" i="12"/>
  <c r="AW15" i="16"/>
  <c r="Z38" i="12"/>
  <c r="Z39"/>
  <c r="Z40"/>
  <c r="Z42"/>
  <c r="Z41"/>
  <c r="Z45"/>
  <c r="I54" i="14"/>
  <c r="AW28" i="19"/>
  <c r="AY54"/>
  <c r="CE15" i="16"/>
  <c r="BZ115" i="12"/>
  <c r="BN28" i="19"/>
  <c r="BP54"/>
  <c r="BK15" i="16"/>
  <c r="BF115" i="12"/>
  <c r="AT115"/>
  <c r="AY15" i="16"/>
  <c r="AU42" i="19"/>
  <c r="AU68"/>
  <c r="AX43" i="12"/>
  <c r="J43" i="14"/>
  <c r="AS28" i="19"/>
  <c r="AU54"/>
  <c r="BQ28"/>
  <c r="BS54"/>
  <c r="AM34" i="12"/>
  <c r="AK33" i="19"/>
  <c r="AK88" s="1"/>
  <c r="AK59"/>
  <c r="BY54"/>
  <c r="BW28"/>
  <c r="I115" i="14"/>
  <c r="AG56" i="12"/>
  <c r="AG55" s="1"/>
  <c r="AG53" s="1"/>
  <c r="AG61" s="1"/>
  <c r="AE5" i="19"/>
  <c r="AL56" i="12"/>
  <c r="AJ5" i="19"/>
  <c r="AD38" i="12"/>
  <c r="AD39"/>
  <c r="AD40"/>
  <c r="AD42"/>
  <c r="AD41"/>
  <c r="AD45"/>
  <c r="AL39" i="19"/>
  <c r="AN65"/>
  <c r="AN28" i="12"/>
  <c r="AL38" i="19"/>
  <c r="AN64"/>
  <c r="AJ11" i="13"/>
  <c r="AJ12"/>
  <c r="AJ42"/>
  <c r="AJ43"/>
  <c r="AK20"/>
  <c r="AK50"/>
  <c r="AK19"/>
  <c r="AK17"/>
  <c r="AL5"/>
  <c r="AK18"/>
  <c r="AK45"/>
  <c r="AK46"/>
  <c r="AK32"/>
  <c r="AK16"/>
  <c r="AK29"/>
  <c r="AK15"/>
  <c r="AK47"/>
  <c r="AK14"/>
  <c r="AO56" i="12"/>
  <c r="AM5" i="19"/>
  <c r="AO58" i="12"/>
  <c r="AC38"/>
  <c r="AC39"/>
  <c r="AC40"/>
  <c r="AC42"/>
  <c r="AC41"/>
  <c r="AC45"/>
  <c r="AH57" i="7"/>
  <c r="AH61" s="1"/>
  <c r="AJ38" i="12"/>
  <c r="AJ39"/>
  <c r="AJ40"/>
  <c r="AJ42"/>
  <c r="AJ41"/>
  <c r="AJ45"/>
  <c r="AK28" i="19"/>
  <c r="AM26" i="12"/>
  <c r="AI5" i="25" s="1"/>
  <c r="AM54" i="19"/>
  <c r="O21" i="16"/>
  <c r="O36"/>
  <c r="F28" i="18" s="1"/>
  <c r="F32" s="1"/>
  <c r="O23" i="16"/>
  <c r="CB54" i="19"/>
  <c r="BZ28"/>
  <c r="BX54"/>
  <c r="BV28"/>
  <c r="AX28"/>
  <c r="AZ54"/>
  <c r="AL28"/>
  <c r="AN54"/>
  <c r="AU27" i="16"/>
  <c r="AS18" i="20"/>
  <c r="BG15" i="16"/>
  <c r="BB115" i="12"/>
  <c r="AB38"/>
  <c r="AB39"/>
  <c r="AB40"/>
  <c r="AB42"/>
  <c r="AB41"/>
  <c r="AB45"/>
  <c r="BI28" i="19"/>
  <c r="BK54"/>
  <c r="BB28"/>
  <c r="BD54"/>
  <c r="BM15" i="16"/>
  <c r="BH115" i="12"/>
  <c r="AI28" i="19"/>
  <c r="AK54"/>
  <c r="BV115" i="12"/>
  <c r="CA15" i="16"/>
  <c r="H5" i="36"/>
  <c r="P12" i="14"/>
  <c r="P19" s="1"/>
  <c r="CL15" i="16"/>
  <c r="CG115" i="12"/>
  <c r="AK15" i="16"/>
  <c r="AF115" i="12"/>
  <c r="AV15" i="16"/>
  <c r="AQ115" i="12"/>
  <c r="AL6" i="19"/>
  <c r="AL15"/>
  <c r="AL18" s="1"/>
  <c r="AL10"/>
  <c r="AJ58" i="12"/>
  <c r="AD53" i="13"/>
  <c r="AE53" s="1"/>
  <c r="AF53" s="1"/>
  <c r="AG53" s="1"/>
  <c r="AH53" s="1"/>
  <c r="AI53" s="1"/>
  <c r="AB27" i="16"/>
  <c r="Z18" i="20"/>
  <c r="K65" i="15"/>
  <c r="L49"/>
  <c r="AE56" i="12"/>
  <c r="AE55" s="1"/>
  <c r="AE53" s="1"/>
  <c r="AE61" s="1"/>
  <c r="AC5" i="19"/>
  <c r="H14" i="18"/>
  <c r="P20" i="20"/>
  <c r="I13" i="18"/>
  <c r="G17"/>
  <c r="P35" i="16"/>
  <c r="G16" i="18"/>
  <c r="BL28" i="19"/>
  <c r="BN54"/>
  <c r="AV115" i="12"/>
  <c r="BA15" i="16"/>
  <c r="BG115" i="12"/>
  <c r="BL15" i="16"/>
  <c r="AN28" i="19"/>
  <c r="AP54"/>
  <c r="AF38" i="12"/>
  <c r="AF39"/>
  <c r="AF40"/>
  <c r="AF42"/>
  <c r="AF41"/>
  <c r="AF45"/>
  <c r="F18" i="18"/>
  <c r="K95" i="19"/>
  <c r="R16" i="16" s="1"/>
  <c r="AU78" i="19"/>
  <c r="N21" i="16"/>
  <c r="N23" s="1"/>
  <c r="K93" i="19"/>
  <c r="N26" i="20" l="1"/>
  <c r="M28"/>
  <c r="Q9" i="16"/>
  <c r="Q10" s="1"/>
  <c r="AL11" i="19"/>
  <c r="AM16" s="1"/>
  <c r="Q19" i="14"/>
  <c r="Q49"/>
  <c r="Q51"/>
  <c r="P115"/>
  <c r="Q50"/>
  <c r="Q30"/>
  <c r="Z39" i="19"/>
  <c r="AB65"/>
  <c r="Z38"/>
  <c r="AB64"/>
  <c r="Z36"/>
  <c r="AB34" i="12"/>
  <c r="AB26" s="1"/>
  <c r="AA62" i="19"/>
  <c r="AT18" i="20"/>
  <c r="AV27" i="16"/>
  <c r="AH39" i="19"/>
  <c r="AJ65"/>
  <c r="AH38"/>
  <c r="AJ64"/>
  <c r="AH36"/>
  <c r="AI62"/>
  <c r="AA41"/>
  <c r="AB67"/>
  <c r="AA37"/>
  <c r="AB63"/>
  <c r="AM15"/>
  <c r="AM6"/>
  <c r="AM10"/>
  <c r="AK11" i="13"/>
  <c r="AK12"/>
  <c r="AP58" i="12"/>
  <c r="AJ53" i="13"/>
  <c r="AP56" i="12"/>
  <c r="AP55" s="1"/>
  <c r="AP53" s="1"/>
  <c r="AP61" s="1"/>
  <c r="AN5" i="19"/>
  <c r="AB41"/>
  <c r="AC67"/>
  <c r="AB37"/>
  <c r="AC63"/>
  <c r="AJ6"/>
  <c r="AJ15"/>
  <c r="AJ10"/>
  <c r="AE6"/>
  <c r="AE15"/>
  <c r="AE10"/>
  <c r="X41"/>
  <c r="Y67"/>
  <c r="X37"/>
  <c r="Y63"/>
  <c r="E47" i="36"/>
  <c r="E55" s="1"/>
  <c r="C5" i="38"/>
  <c r="G8" i="36"/>
  <c r="O27" i="14"/>
  <c r="AG6" i="19"/>
  <c r="AG15"/>
  <c r="AG10"/>
  <c r="Y39"/>
  <c r="AA65"/>
  <c r="Y38"/>
  <c r="AA64"/>
  <c r="Y36"/>
  <c r="AA34" i="12"/>
  <c r="AA26" s="1"/>
  <c r="Z62" i="19"/>
  <c r="M50" i="14"/>
  <c r="M49"/>
  <c r="L115"/>
  <c r="M51"/>
  <c r="M19"/>
  <c r="M30"/>
  <c r="AI39" i="19"/>
  <c r="AK65"/>
  <c r="AI38"/>
  <c r="AK64"/>
  <c r="AI36"/>
  <c r="AJ62"/>
  <c r="AD15"/>
  <c r="AD6"/>
  <c r="AD10"/>
  <c r="AC39"/>
  <c r="AE65"/>
  <c r="AC38"/>
  <c r="AE64"/>
  <c r="AC36"/>
  <c r="AD62"/>
  <c r="AE34" i="12"/>
  <c r="AE26" s="1"/>
  <c r="H8" i="36"/>
  <c r="I8" s="1"/>
  <c r="Q27" i="14"/>
  <c r="AE39" i="19"/>
  <c r="AG65"/>
  <c r="AE38"/>
  <c r="AG64"/>
  <c r="AE36"/>
  <c r="AF62"/>
  <c r="Z55" i="12"/>
  <c r="I56" i="14"/>
  <c r="D16" i="36" s="1"/>
  <c r="G47"/>
  <c r="G55" s="1"/>
  <c r="G9"/>
  <c r="E5" i="38"/>
  <c r="AA19" i="20"/>
  <c r="AC28" i="16"/>
  <c r="C47" i="36"/>
  <c r="C55" s="1"/>
  <c r="C57" s="1"/>
  <c r="AF41" i="19"/>
  <c r="AG67"/>
  <c r="AF37"/>
  <c r="AG63"/>
  <c r="AH28" i="12"/>
  <c r="G18" i="18"/>
  <c r="L93" i="19"/>
  <c r="L94" s="1"/>
  <c r="K94"/>
  <c r="R39" i="16" s="1"/>
  <c r="Q12" i="20" s="1"/>
  <c r="AJ55" i="12"/>
  <c r="AJ53" s="1"/>
  <c r="AJ61" s="1"/>
  <c r="O43" i="16"/>
  <c r="AK55" i="12"/>
  <c r="AK53" s="1"/>
  <c r="AK61" s="1"/>
  <c r="O13" i="20"/>
  <c r="R19" i="16"/>
  <c r="AD41" i="19"/>
  <c r="AE67"/>
  <c r="AD37"/>
  <c r="AE63"/>
  <c r="AD39"/>
  <c r="AF65"/>
  <c r="AD38"/>
  <c r="AF64"/>
  <c r="AD36"/>
  <c r="AE62"/>
  <c r="AF34" i="12"/>
  <c r="AF26" s="1"/>
  <c r="I14" i="18"/>
  <c r="I15" s="1"/>
  <c r="Q20" i="20"/>
  <c r="J13" i="18"/>
  <c r="AC6" i="19"/>
  <c r="AC15"/>
  <c r="AC10"/>
  <c r="L65" i="15"/>
  <c r="M49"/>
  <c r="AA18" i="20"/>
  <c r="AC27" i="16"/>
  <c r="I5" i="36"/>
  <c r="H7"/>
  <c r="Z41" i="19"/>
  <c r="AA67"/>
  <c r="Z37"/>
  <c r="Z88" s="1"/>
  <c r="AA63"/>
  <c r="AK86"/>
  <c r="AK89" s="1"/>
  <c r="AL91" s="1"/>
  <c r="AH41"/>
  <c r="AI67"/>
  <c r="AH37"/>
  <c r="AI63"/>
  <c r="AJ28" i="12"/>
  <c r="AA39" i="19"/>
  <c r="AC65"/>
  <c r="AA38"/>
  <c r="AC64"/>
  <c r="AA36"/>
  <c r="AB62"/>
  <c r="AC34" i="12"/>
  <c r="AC26" s="1"/>
  <c r="AK26" i="13"/>
  <c r="AK27"/>
  <c r="AQ57" i="12" s="1"/>
  <c r="AK42" i="13"/>
  <c r="AK43"/>
  <c r="AL19"/>
  <c r="AL17"/>
  <c r="AL20"/>
  <c r="AL50"/>
  <c r="AM5"/>
  <c r="AL46"/>
  <c r="AL16"/>
  <c r="AL18"/>
  <c r="AL15"/>
  <c r="AL47"/>
  <c r="AL14"/>
  <c r="AL32"/>
  <c r="AL29"/>
  <c r="AL33"/>
  <c r="AL45"/>
  <c r="AN36" i="12"/>
  <c r="AN35"/>
  <c r="AN37"/>
  <c r="AL29" i="19"/>
  <c r="AL55"/>
  <c r="AB39"/>
  <c r="AD65"/>
  <c r="AB38"/>
  <c r="AD64"/>
  <c r="AB36"/>
  <c r="AC62"/>
  <c r="AD34" i="12"/>
  <c r="AD26" s="1"/>
  <c r="AL55"/>
  <c r="AY43"/>
  <c r="AV42" i="19"/>
  <c r="AV78" s="1"/>
  <c r="AV68"/>
  <c r="X39"/>
  <c r="Z65"/>
  <c r="X38"/>
  <c r="Z64"/>
  <c r="X36"/>
  <c r="Z34" i="12"/>
  <c r="Y62" i="19"/>
  <c r="K51" i="14"/>
  <c r="J115"/>
  <c r="K50"/>
  <c r="K19"/>
  <c r="K46"/>
  <c r="K30"/>
  <c r="K49"/>
  <c r="Q19" i="16"/>
  <c r="Q10" i="20"/>
  <c r="Y41" i="19"/>
  <c r="Z67"/>
  <c r="Y37"/>
  <c r="Y88" s="1"/>
  <c r="Z63"/>
  <c r="F47" i="36"/>
  <c r="F55" s="1"/>
  <c r="D5" i="38"/>
  <c r="AF15" i="19"/>
  <c r="AF6"/>
  <c r="AF10"/>
  <c r="AI41"/>
  <c r="AJ67"/>
  <c r="AI37"/>
  <c r="AJ63"/>
  <c r="AK28" i="12"/>
  <c r="AM57" i="7"/>
  <c r="AM61" s="1"/>
  <c r="AO38" i="12"/>
  <c r="AO40"/>
  <c r="AO42"/>
  <c r="AO39"/>
  <c r="AO41"/>
  <c r="AO45"/>
  <c r="AL38"/>
  <c r="AL40"/>
  <c r="AL42"/>
  <c r="AJ57" i="7"/>
  <c r="AJ61" s="1"/>
  <c r="AL39" i="12"/>
  <c r="AL41"/>
  <c r="AL45"/>
  <c r="AG57" i="7"/>
  <c r="AG61" s="1"/>
  <c r="AI38" i="12"/>
  <c r="AI39"/>
  <c r="I39" i="14" s="1"/>
  <c r="AI40" i="12"/>
  <c r="AI42"/>
  <c r="AI41"/>
  <c r="AI45"/>
  <c r="I45" i="14" s="1"/>
  <c r="AC41" i="19"/>
  <c r="AD67"/>
  <c r="AC37"/>
  <c r="AC88" s="1"/>
  <c r="AD63"/>
  <c r="P36" i="16"/>
  <c r="G28" i="18" s="1"/>
  <c r="G32" s="1"/>
  <c r="P23" i="16"/>
  <c r="P21"/>
  <c r="BC46" i="12"/>
  <c r="AZ44" i="19"/>
  <c r="BB70"/>
  <c r="H15" i="16"/>
  <c r="Z15" i="19"/>
  <c r="Z6"/>
  <c r="Z10"/>
  <c r="AH15"/>
  <c r="AH6"/>
  <c r="AH10"/>
  <c r="AA6"/>
  <c r="AA15"/>
  <c r="AA10"/>
  <c r="BA43"/>
  <c r="BD44" i="12"/>
  <c r="BB69" i="19"/>
  <c r="AB15"/>
  <c r="AB6"/>
  <c r="AB10"/>
  <c r="AE41"/>
  <c r="AF67"/>
  <c r="AE37"/>
  <c r="AF63"/>
  <c r="AG28" i="12"/>
  <c r="AE62" i="7"/>
  <c r="AF62" s="1"/>
  <c r="X15" i="19"/>
  <c r="X18" s="1"/>
  <c r="X6"/>
  <c r="X20" s="1"/>
  <c r="AE40" i="16" s="1"/>
  <c r="X21" i="19"/>
  <c r="AE18" i="16" s="1"/>
  <c r="X10" i="19"/>
  <c r="E8" i="36"/>
  <c r="E9" s="1"/>
  <c r="K27" i="14"/>
  <c r="O51"/>
  <c r="O19"/>
  <c r="O50"/>
  <c r="N115"/>
  <c r="O30"/>
  <c r="O49"/>
  <c r="Y6" i="19"/>
  <c r="Y15"/>
  <c r="Y10"/>
  <c r="F8" i="36"/>
  <c r="F9" s="1"/>
  <c r="M27" i="14"/>
  <c r="AF39" i="19"/>
  <c r="AH65"/>
  <c r="AF38"/>
  <c r="AH64"/>
  <c r="AF36"/>
  <c r="AG62"/>
  <c r="AI6"/>
  <c r="AI15"/>
  <c r="AI10"/>
  <c r="X14" i="18"/>
  <c r="AF20" i="20"/>
  <c r="Y13" i="18"/>
  <c r="H15"/>
  <c r="AO55" i="12"/>
  <c r="AO53" s="1"/>
  <c r="AO61" s="1"/>
  <c r="AP54"/>
  <c r="L95" i="19"/>
  <c r="S16" i="16" s="1"/>
  <c r="N43"/>
  <c r="I58" i="14"/>
  <c r="D15" i="36" s="1"/>
  <c r="AK12" i="19"/>
  <c r="AK13" s="1"/>
  <c r="N21" i="20"/>
  <c r="N22" s="1"/>
  <c r="N24" s="1"/>
  <c r="N27" s="1"/>
  <c r="P10"/>
  <c r="D6" i="38" l="1"/>
  <c r="F10" i="36"/>
  <c r="D7" i="38" s="1"/>
  <c r="O26" i="20"/>
  <c r="N28"/>
  <c r="C6" i="38"/>
  <c r="E10" i="36"/>
  <c r="C7" i="38" s="1"/>
  <c r="AP38" i="12"/>
  <c r="AP40"/>
  <c r="AP42"/>
  <c r="AN57" i="7"/>
  <c r="AN61" s="1"/>
  <c r="AP39" i="12"/>
  <c r="AP41"/>
  <c r="AP45"/>
  <c r="Y12" i="19"/>
  <c r="Y11"/>
  <c r="Z16" s="1"/>
  <c r="X11"/>
  <c r="Y16" s="1"/>
  <c r="AG36" i="12"/>
  <c r="AG35"/>
  <c r="AG37"/>
  <c r="AE29" i="19"/>
  <c r="AE55"/>
  <c r="AB11"/>
  <c r="AC16" s="1"/>
  <c r="Z11"/>
  <c r="AA16" s="1"/>
  <c r="Z12"/>
  <c r="AG39"/>
  <c r="AI65"/>
  <c r="AG38"/>
  <c r="AI64"/>
  <c r="AG36"/>
  <c r="AH62"/>
  <c r="AJ39"/>
  <c r="AL65"/>
  <c r="AL28" i="12"/>
  <c r="AJ38" i="19"/>
  <c r="AL64"/>
  <c r="AM37"/>
  <c r="AN63"/>
  <c r="AM38"/>
  <c r="AO64"/>
  <c r="AO28" i="12"/>
  <c r="AK36"/>
  <c r="AI29" i="19"/>
  <c r="AK35" i="12"/>
  <c r="AK37"/>
  <c r="AI55" i="19"/>
  <c r="AF11"/>
  <c r="AG16" s="1"/>
  <c r="Y77"/>
  <c r="AF38" i="16" s="1"/>
  <c r="Z77" i="19"/>
  <c r="AG38" i="16" s="1"/>
  <c r="X77" i="19"/>
  <c r="AE38" i="16" s="1"/>
  <c r="AW42" i="19"/>
  <c r="AZ43" i="12"/>
  <c r="AW68" i="19"/>
  <c r="AL35"/>
  <c r="AM61"/>
  <c r="AL34"/>
  <c r="AM60"/>
  <c r="AQ58" i="12"/>
  <c r="AK53" i="13"/>
  <c r="AA86" i="19"/>
  <c r="Y5" i="25"/>
  <c r="AJ36" i="12"/>
  <c r="AH29" i="19"/>
  <c r="AJ35" i="12"/>
  <c r="AJ37"/>
  <c r="AH55" i="19"/>
  <c r="AC18" i="20"/>
  <c r="AB18"/>
  <c r="M65" i="15"/>
  <c r="N49"/>
  <c r="AC11" i="19"/>
  <c r="AD16" s="1"/>
  <c r="AH36" i="12"/>
  <c r="AF29" i="19"/>
  <c r="AH35" i="12"/>
  <c r="AH37"/>
  <c r="AF55" i="19"/>
  <c r="E6" i="38"/>
  <c r="G10" i="36"/>
  <c r="E7" i="38" s="1"/>
  <c r="AC86" i="19"/>
  <c r="AC89" s="1"/>
  <c r="AD91" s="1"/>
  <c r="AA5" i="25"/>
  <c r="AD11" i="19"/>
  <c r="AE16" s="1"/>
  <c r="Y86"/>
  <c r="Y89" s="1"/>
  <c r="Z91" s="1"/>
  <c r="W5" i="25"/>
  <c r="AG11" i="19"/>
  <c r="AH16" s="1"/>
  <c r="AH18" s="1"/>
  <c r="AE11"/>
  <c r="AF16" s="1"/>
  <c r="AN6"/>
  <c r="AN15"/>
  <c r="AN10"/>
  <c r="AQ56" i="12"/>
  <c r="AO5" i="19"/>
  <c r="AW27" i="16"/>
  <c r="AU18" i="20"/>
  <c r="Y13" i="19"/>
  <c r="Q11" i="20"/>
  <c r="I41" i="14"/>
  <c r="Z92" i="19"/>
  <c r="O21" i="20"/>
  <c r="O22" s="1"/>
  <c r="R10"/>
  <c r="P11"/>
  <c r="P13" s="1"/>
  <c r="S19" i="16"/>
  <c r="R9"/>
  <c r="R10" s="1"/>
  <c r="M93" i="19"/>
  <c r="AD77"/>
  <c r="AK38" i="16" s="1"/>
  <c r="AA77" i="19"/>
  <c r="AH38" i="16" s="1"/>
  <c r="X88" i="19"/>
  <c r="X92" s="1"/>
  <c r="AA88"/>
  <c r="AL12"/>
  <c r="AL13" s="1"/>
  <c r="S9" i="16"/>
  <c r="S10" s="1"/>
  <c r="H17" i="18"/>
  <c r="Q35" i="16"/>
  <c r="H16" i="18"/>
  <c r="Y14"/>
  <c r="AG20" i="20"/>
  <c r="Z13" i="18"/>
  <c r="AI11" i="19"/>
  <c r="AJ16" s="1"/>
  <c r="BB43"/>
  <c r="BE44" i="12"/>
  <c r="BC69" i="19"/>
  <c r="AA11"/>
  <c r="AB16" s="1"/>
  <c r="AH11"/>
  <c r="AI16" s="1"/>
  <c r="AI18" s="1"/>
  <c r="D47" i="36"/>
  <c r="D55" s="1"/>
  <c r="BA44" i="19"/>
  <c r="BD46" i="12"/>
  <c r="BC70" i="19"/>
  <c r="AG41"/>
  <c r="AH67"/>
  <c r="AG37"/>
  <c r="AH63"/>
  <c r="AI28" i="12"/>
  <c r="I28" i="14" s="1"/>
  <c r="D12" i="36" s="1"/>
  <c r="AG62" i="7"/>
  <c r="AH62" s="1"/>
  <c r="AI62" s="1"/>
  <c r="AJ62" s="1"/>
  <c r="AK62" s="1"/>
  <c r="AL62" s="1"/>
  <c r="AM62" s="1"/>
  <c r="AJ37" i="19"/>
  <c r="AK63"/>
  <c r="AJ41"/>
  <c r="AK67"/>
  <c r="AJ36"/>
  <c r="AK62"/>
  <c r="AM39"/>
  <c r="AO65"/>
  <c r="AM41"/>
  <c r="AN67"/>
  <c r="AM36"/>
  <c r="AN62"/>
  <c r="Z26" i="12"/>
  <c r="AL53"/>
  <c r="AB86" i="19"/>
  <c r="Z5" i="25"/>
  <c r="AN34" i="12"/>
  <c r="AN26" s="1"/>
  <c r="AL33" i="19"/>
  <c r="AL88" s="1"/>
  <c r="AL92" s="1"/>
  <c r="AL59"/>
  <c r="AL42" i="13"/>
  <c r="AL43"/>
  <c r="AL26"/>
  <c r="AL27"/>
  <c r="AR57" i="12" s="1"/>
  <c r="AL11" i="13"/>
  <c r="AR54" i="12" s="1"/>
  <c r="AL12" i="13"/>
  <c r="AM20"/>
  <c r="AM50"/>
  <c r="AM19"/>
  <c r="AM17"/>
  <c r="AN5"/>
  <c r="AM46"/>
  <c r="AM32"/>
  <c r="AM16"/>
  <c r="AM29"/>
  <c r="AM15"/>
  <c r="AM47"/>
  <c r="AM14"/>
  <c r="AM33"/>
  <c r="AM18"/>
  <c r="AM45"/>
  <c r="H9" i="36"/>
  <c r="H47"/>
  <c r="I7"/>
  <c r="F5" i="38"/>
  <c r="J14" i="18"/>
  <c r="R20" i="20"/>
  <c r="K13" i="18"/>
  <c r="R35" i="16"/>
  <c r="I16" i="18"/>
  <c r="I17"/>
  <c r="AD86" i="19"/>
  <c r="AB5" i="25"/>
  <c r="AD28" i="16"/>
  <c r="AB19" i="20"/>
  <c r="Z53" i="12"/>
  <c r="I55" i="14"/>
  <c r="AJ11" i="19"/>
  <c r="AK16" s="1"/>
  <c r="AK18" s="1"/>
  <c r="AM11"/>
  <c r="AN16" s="1"/>
  <c r="Z86"/>
  <c r="Z89" s="1"/>
  <c r="AA91" s="1"/>
  <c r="X5" i="25"/>
  <c r="Y18" i="19"/>
  <c r="Y21"/>
  <c r="AF18" i="16" s="1"/>
  <c r="AB18" i="19"/>
  <c r="Z13"/>
  <c r="Z18"/>
  <c r="Z21" s="1"/>
  <c r="AG18" i="16" s="1"/>
  <c r="AF18" i="19"/>
  <c r="Q13" i="20"/>
  <c r="I38" i="14"/>
  <c r="I40"/>
  <c r="AC18" i="19"/>
  <c r="P43" i="16"/>
  <c r="AD88" i="19"/>
  <c r="AD92" s="1"/>
  <c r="R11" i="20"/>
  <c r="O24"/>
  <c r="O27" s="1"/>
  <c r="AB77" i="19"/>
  <c r="AI38" i="16" s="1"/>
  <c r="AC77" i="19"/>
  <c r="AJ38" i="16" s="1"/>
  <c r="I42" i="14"/>
  <c r="AE18" i="19"/>
  <c r="AB88"/>
  <c r="AQ54" i="12"/>
  <c r="AG12" i="19" l="1"/>
  <c r="AG13" s="1"/>
  <c r="AF12"/>
  <c r="AF13" s="1"/>
  <c r="AO57" i="7"/>
  <c r="AO61" s="1"/>
  <c r="AQ38" i="12"/>
  <c r="AQ40"/>
  <c r="AQ42"/>
  <c r="AQ39"/>
  <c r="AQ41"/>
  <c r="AQ45"/>
  <c r="P26" i="20"/>
  <c r="O28"/>
  <c r="K14" i="18"/>
  <c r="K15"/>
  <c r="S20" i="20"/>
  <c r="L13" i="18"/>
  <c r="H55" i="36"/>
  <c r="AM42" i="13"/>
  <c r="AM43"/>
  <c r="AM26"/>
  <c r="AM27"/>
  <c r="AS57" i="12" s="1"/>
  <c r="AN19" i="13"/>
  <c r="AN17"/>
  <c r="AN20"/>
  <c r="AN50"/>
  <c r="AO5"/>
  <c r="AN32"/>
  <c r="AN29"/>
  <c r="AN33"/>
  <c r="AN45"/>
  <c r="AN48"/>
  <c r="AN46"/>
  <c r="AN30"/>
  <c r="AN16"/>
  <c r="AN51"/>
  <c r="AN18"/>
  <c r="AN15"/>
  <c r="AN47"/>
  <c r="AN14"/>
  <c r="AR38" i="12"/>
  <c r="AR40"/>
  <c r="AR42"/>
  <c r="AP57" i="7"/>
  <c r="AP61" s="1"/>
  <c r="AR39" i="12"/>
  <c r="AR41"/>
  <c r="AR45"/>
  <c r="AL61"/>
  <c r="X86" i="19"/>
  <c r="X89" s="1"/>
  <c r="Y91" s="1"/>
  <c r="Y92" s="1"/>
  <c r="V5" i="25"/>
  <c r="P21" i="20"/>
  <c r="P22" s="1"/>
  <c r="P24" s="1"/>
  <c r="P27" s="1"/>
  <c r="AV18"/>
  <c r="AX27" i="16"/>
  <c r="AQ55" i="12"/>
  <c r="AF33" i="19"/>
  <c r="AH34" i="12"/>
  <c r="AH26" s="1"/>
  <c r="AF59" i="19"/>
  <c r="AF34"/>
  <c r="AG60"/>
  <c r="N62" i="12"/>
  <c r="AH35" i="19"/>
  <c r="AI61"/>
  <c r="BA43" i="12"/>
  <c r="AX42" i="19"/>
  <c r="AX68"/>
  <c r="AI33"/>
  <c r="AK34" i="12"/>
  <c r="AK26" s="1"/>
  <c r="AI59" i="19"/>
  <c r="AI34"/>
  <c r="AJ60"/>
  <c r="AO36" i="12"/>
  <c r="AO35"/>
  <c r="AO37"/>
  <c r="AM29" i="19"/>
  <c r="AM55"/>
  <c r="AE33"/>
  <c r="AG34" i="12"/>
  <c r="AE59" i="19"/>
  <c r="AN37"/>
  <c r="AO63"/>
  <c r="AN41"/>
  <c r="AO67"/>
  <c r="AN36"/>
  <c r="AO62"/>
  <c r="AD89"/>
  <c r="AE91" s="1"/>
  <c r="AB89"/>
  <c r="AC91" s="1"/>
  <c r="AC92" s="1"/>
  <c r="AA92"/>
  <c r="Y20"/>
  <c r="AF40" i="16" s="1"/>
  <c r="Q36"/>
  <c r="H28" i="18" s="1"/>
  <c r="H32" s="1"/>
  <c r="AN18" i="19"/>
  <c r="AA89"/>
  <c r="AB91" s="1"/>
  <c r="AB12"/>
  <c r="AB13" s="1"/>
  <c r="X12"/>
  <c r="Z61" i="12"/>
  <c r="I61" i="14" s="1"/>
  <c r="D17" i="36" s="1"/>
  <c r="I53" i="14"/>
  <c r="AC19" i="20"/>
  <c r="G28" i="16"/>
  <c r="AE28"/>
  <c r="F28"/>
  <c r="Q21" i="20"/>
  <c r="Q22" s="1"/>
  <c r="I47" i="36"/>
  <c r="G5" i="38"/>
  <c r="I9" i="36"/>
  <c r="F6" i="38"/>
  <c r="H10" i="36"/>
  <c r="AM11" i="13"/>
  <c r="AS54" i="12" s="1"/>
  <c r="AM12" i="13"/>
  <c r="AR56" i="12"/>
  <c r="AP5" i="19"/>
  <c r="AR58" i="12"/>
  <c r="AL53" i="13"/>
  <c r="AL86" i="19"/>
  <c r="AL89" s="1"/>
  <c r="AM91" s="1"/>
  <c r="AJ5" i="25"/>
  <c r="AI36" i="12"/>
  <c r="AI35"/>
  <c r="AI37"/>
  <c r="AG29" i="19"/>
  <c r="AG55"/>
  <c r="BE46" i="12"/>
  <c r="BB44" i="19"/>
  <c r="BD70"/>
  <c r="BC43"/>
  <c r="BF44" i="12"/>
  <c r="BD69" i="19"/>
  <c r="Z14" i="18"/>
  <c r="AH20" i="20"/>
  <c r="AA13" i="18"/>
  <c r="N93" i="19"/>
  <c r="M94"/>
  <c r="R21" i="16"/>
  <c r="R36"/>
  <c r="I28" i="18" s="1"/>
  <c r="I32" s="1"/>
  <c r="R23" i="16"/>
  <c r="AO15" i="19"/>
  <c r="AO6"/>
  <c r="AO10"/>
  <c r="AN12"/>
  <c r="AN11"/>
  <c r="AO16" s="1"/>
  <c r="AF35"/>
  <c r="AG61"/>
  <c r="N65" i="15"/>
  <c r="O49"/>
  <c r="AH33" i="19"/>
  <c r="AH88" s="1"/>
  <c r="AJ34" i="12"/>
  <c r="AJ26" s="1"/>
  <c r="AH59" i="19"/>
  <c r="AH34"/>
  <c r="AI60"/>
  <c r="AI35"/>
  <c r="AJ61"/>
  <c r="AL36" i="12"/>
  <c r="AL35"/>
  <c r="AL37"/>
  <c r="AJ29" i="19"/>
  <c r="AJ55"/>
  <c r="AE35"/>
  <c r="AF61"/>
  <c r="I37" i="14"/>
  <c r="AE34" i="19"/>
  <c r="AF60"/>
  <c r="I36" i="14"/>
  <c r="AN39" i="19"/>
  <c r="AP65"/>
  <c r="AP28" i="12"/>
  <c r="AN62" i="7"/>
  <c r="AN38" i="19"/>
  <c r="AP64"/>
  <c r="AB92"/>
  <c r="Q24" i="20"/>
  <c r="AM12" i="19"/>
  <c r="AJ12"/>
  <c r="I18" i="18"/>
  <c r="J15"/>
  <c r="AH12" i="19"/>
  <c r="AH13" s="1"/>
  <c r="AA12"/>
  <c r="AI12"/>
  <c r="AI13" s="1"/>
  <c r="H18" i="18"/>
  <c r="M95" i="19"/>
  <c r="T16" i="16" s="1"/>
  <c r="Z20" i="19"/>
  <c r="AG40" i="16" s="1"/>
  <c r="Q21"/>
  <c r="Q23" s="1"/>
  <c r="AN13" i="19"/>
  <c r="AE12"/>
  <c r="AE13" s="1"/>
  <c r="AD12"/>
  <c r="AC12"/>
  <c r="AC13" s="1"/>
  <c r="AW78"/>
  <c r="AX78" l="1"/>
  <c r="Q26" i="20"/>
  <c r="P28"/>
  <c r="T19" i="16"/>
  <c r="S10" i="20"/>
  <c r="AJ35" i="19"/>
  <c r="AK61"/>
  <c r="AG17"/>
  <c r="AG18" s="1"/>
  <c r="AD13"/>
  <c r="AL34" i="12"/>
  <c r="AJ33" i="19"/>
  <c r="AJ88" s="1"/>
  <c r="AJ59"/>
  <c r="AJ34"/>
  <c r="AK60"/>
  <c r="AH86"/>
  <c r="AH89" s="1"/>
  <c r="AI91" s="1"/>
  <c r="AF5" i="25"/>
  <c r="O65" i="15"/>
  <c r="P62" i="12" s="1"/>
  <c r="P49" i="15"/>
  <c r="AA14" i="18"/>
  <c r="AI20" i="20"/>
  <c r="AB13" i="18"/>
  <c r="BC44" i="19"/>
  <c r="BF46" i="12"/>
  <c r="BE70" i="19"/>
  <c r="AG35"/>
  <c r="AH61"/>
  <c r="AG34"/>
  <c r="AH60"/>
  <c r="AP6"/>
  <c r="AP15"/>
  <c r="AP10"/>
  <c r="AS56" i="12"/>
  <c r="AQ5" i="19"/>
  <c r="F7" i="38"/>
  <c r="I10" i="36"/>
  <c r="G7" i="38" s="1"/>
  <c r="G6"/>
  <c r="AF28" i="16"/>
  <c r="AD19" i="20"/>
  <c r="AO34" i="12"/>
  <c r="AO26" s="1"/>
  <c r="AM33" i="19"/>
  <c r="AM59"/>
  <c r="AY42"/>
  <c r="AY68"/>
  <c r="BB43" i="12"/>
  <c r="AQ53"/>
  <c r="AY27" i="16"/>
  <c r="AW18" i="20"/>
  <c r="AP37" i="19"/>
  <c r="AQ63"/>
  <c r="AP41"/>
  <c r="AQ67"/>
  <c r="AP36"/>
  <c r="AQ62"/>
  <c r="AN42" i="13"/>
  <c r="AN43"/>
  <c r="AN26"/>
  <c r="AN27"/>
  <c r="AT57" i="12" s="1"/>
  <c r="AO20" i="13"/>
  <c r="AO50"/>
  <c r="AO19"/>
  <c r="AO17"/>
  <c r="AP5"/>
  <c r="AO18"/>
  <c r="AO45"/>
  <c r="AO48"/>
  <c r="AO46"/>
  <c r="AO30"/>
  <c r="AO32"/>
  <c r="AO16"/>
  <c r="AO51"/>
  <c r="AO29"/>
  <c r="AO15"/>
  <c r="AO47"/>
  <c r="AO14"/>
  <c r="AO33"/>
  <c r="AO39" i="19"/>
  <c r="AQ65"/>
  <c r="AO41"/>
  <c r="AP67"/>
  <c r="AO36"/>
  <c r="AP62"/>
  <c r="Q27" i="20"/>
  <c r="AO18" i="19"/>
  <c r="N94"/>
  <c r="R43" i="16"/>
  <c r="AJ17" i="19"/>
  <c r="AJ18" s="1"/>
  <c r="AE88"/>
  <c r="AE92" s="1"/>
  <c r="AF77"/>
  <c r="AM38" i="16" s="1"/>
  <c r="AI88" i="19"/>
  <c r="AI92" s="1"/>
  <c r="AF88"/>
  <c r="Q43" i="16"/>
  <c r="AD17" i="19"/>
  <c r="AD18" s="1"/>
  <c r="AA13"/>
  <c r="J16" i="18"/>
  <c r="J17"/>
  <c r="S35" i="16"/>
  <c r="R21" i="20" s="1"/>
  <c r="R22" s="1"/>
  <c r="AM17" i="19"/>
  <c r="AM18" s="1"/>
  <c r="AJ13"/>
  <c r="AP36" i="12"/>
  <c r="AP35"/>
  <c r="AP37"/>
  <c r="AN29" i="19"/>
  <c r="AN55"/>
  <c r="O62" i="12"/>
  <c r="T9" i="16"/>
  <c r="T10" s="1"/>
  <c r="U9"/>
  <c r="U10" s="1"/>
  <c r="AO11" i="19"/>
  <c r="AP16" s="1"/>
  <c r="O93"/>
  <c r="N95"/>
  <c r="U16" i="16" s="1"/>
  <c r="BD43" i="19"/>
  <c r="BG44" i="12"/>
  <c r="BE69" i="19"/>
  <c r="AG33"/>
  <c r="AG88" s="1"/>
  <c r="AI34" i="12"/>
  <c r="AI26" s="1"/>
  <c r="AG59" i="19"/>
  <c r="AQ57" i="7"/>
  <c r="AQ61" s="1"/>
  <c r="AS38" i="12"/>
  <c r="AS40"/>
  <c r="AS42"/>
  <c r="AS39"/>
  <c r="AS41"/>
  <c r="AS45"/>
  <c r="I55" i="36"/>
  <c r="AA17" i="19"/>
  <c r="AA18" s="1"/>
  <c r="AO21" s="1"/>
  <c r="AV18" i="16" s="1"/>
  <c r="X13" i="19"/>
  <c r="AG26" i="12"/>
  <c r="AM35" i="19"/>
  <c r="AN61"/>
  <c r="AM34"/>
  <c r="AN60"/>
  <c r="AI86"/>
  <c r="AI89" s="1"/>
  <c r="AJ91" s="1"/>
  <c r="AG5" i="25"/>
  <c r="R5" i="20"/>
  <c r="N68" i="12"/>
  <c r="AF86" i="19"/>
  <c r="AF89" s="1"/>
  <c r="AG91" s="1"/>
  <c r="AD5" i="25"/>
  <c r="AP39" i="19"/>
  <c r="AR65"/>
  <c r="AR28" i="12"/>
  <c r="AP62" i="7"/>
  <c r="AP38" i="19"/>
  <c r="AR64"/>
  <c r="AN11" i="13"/>
  <c r="AT54" i="12" s="1"/>
  <c r="AN12" i="13"/>
  <c r="AS58" i="12"/>
  <c r="AM53" i="13"/>
  <c r="L15" i="18"/>
  <c r="L14"/>
  <c r="T20" i="20"/>
  <c r="M13" i="18"/>
  <c r="K17"/>
  <c r="K16"/>
  <c r="T35" i="16"/>
  <c r="S21" i="20" s="1"/>
  <c r="S22" s="1"/>
  <c r="AO37" i="19"/>
  <c r="AP63"/>
  <c r="AO38"/>
  <c r="AQ64"/>
  <c r="AQ28" i="12"/>
  <c r="AO62" i="7"/>
  <c r="AR55" i="12"/>
  <c r="AR53" s="1"/>
  <c r="AR61" s="1"/>
  <c r="AM13" i="19"/>
  <c r="I35" i="14"/>
  <c r="AG77" i="19"/>
  <c r="AN38" i="16" s="1"/>
  <c r="AJ77" i="19"/>
  <c r="AQ38" i="16" s="1"/>
  <c r="AE77" i="19"/>
  <c r="AL38" i="16" s="1"/>
  <c r="AM77" i="19"/>
  <c r="AT38" i="16" s="1"/>
  <c r="I34" i="14" l="1"/>
  <c r="D13" i="36" s="1"/>
  <c r="AH77" i="19"/>
  <c r="AO38" i="16" s="1"/>
  <c r="O86" i="12"/>
  <c r="O90" s="1"/>
  <c r="O92" s="1"/>
  <c r="K18" i="18"/>
  <c r="L16"/>
  <c r="L17"/>
  <c r="U35" i="16"/>
  <c r="T21" i="20" s="1"/>
  <c r="T22" s="1"/>
  <c r="AT38" i="12"/>
  <c r="AT40"/>
  <c r="AT42"/>
  <c r="AR57" i="7"/>
  <c r="AR61" s="1"/>
  <c r="AT39" i="12"/>
  <c r="AT41"/>
  <c r="AT45"/>
  <c r="AR36"/>
  <c r="AR35"/>
  <c r="AR37"/>
  <c r="AP29" i="19"/>
  <c r="AP55"/>
  <c r="N69" i="12"/>
  <c r="N72"/>
  <c r="AQ37" i="19"/>
  <c r="AR63"/>
  <c r="AQ38"/>
  <c r="AS64"/>
  <c r="AS28" i="12"/>
  <c r="AQ62" i="7"/>
  <c r="AG86" i="19"/>
  <c r="AG89" s="1"/>
  <c r="AH91" s="1"/>
  <c r="AH92" s="1"/>
  <c r="AE5" i="25"/>
  <c r="BE43" i="19"/>
  <c r="BH44" i="12"/>
  <c r="BF69" i="19"/>
  <c r="U19" i="16"/>
  <c r="AP34" i="12"/>
  <c r="AP26" s="1"/>
  <c r="AN33" i="19"/>
  <c r="AN59"/>
  <c r="R26" i="20"/>
  <c r="Q28"/>
  <c r="AO26" i="13"/>
  <c r="AO27"/>
  <c r="AU57" i="12" s="1"/>
  <c r="AT58"/>
  <c r="AN53" i="13"/>
  <c r="AX18" i="20"/>
  <c r="AZ27" i="16"/>
  <c r="AQ61" i="12"/>
  <c r="AM86" i="19"/>
  <c r="AK5" i="25"/>
  <c r="AQ15" i="19"/>
  <c r="AQ6"/>
  <c r="AQ10"/>
  <c r="AP11"/>
  <c r="AQ16" s="1"/>
  <c r="BG46" i="12"/>
  <c r="BD44" i="19"/>
  <c r="BF70"/>
  <c r="AB14" i="18"/>
  <c r="AJ20" i="20"/>
  <c r="AC13" i="18"/>
  <c r="P65" i="15"/>
  <c r="Q49"/>
  <c r="S11" i="20"/>
  <c r="AO12" i="19"/>
  <c r="AP17" s="1"/>
  <c r="AI77"/>
  <c r="AP38" i="16" s="1"/>
  <c r="AJ92" i="19"/>
  <c r="AQ36" i="12"/>
  <c r="AQ35"/>
  <c r="AQ37"/>
  <c r="AO29" i="19"/>
  <c r="AO55"/>
  <c r="M14" i="18"/>
  <c r="M15" s="1"/>
  <c r="U20" i="20"/>
  <c r="N13" i="18"/>
  <c r="AT56" i="12"/>
  <c r="AR5" i="19"/>
  <c r="AE86"/>
  <c r="AE89" s="1"/>
  <c r="AF91" s="1"/>
  <c r="AF92" s="1"/>
  <c r="AC5" i="25"/>
  <c r="AG6" s="1"/>
  <c r="I26" i="14"/>
  <c r="AI21" i="19"/>
  <c r="AP18" i="16" s="1"/>
  <c r="H18" s="1"/>
  <c r="AM20" i="19"/>
  <c r="AT40" i="16" s="1"/>
  <c r="AK20" i="19"/>
  <c r="AR40" i="16" s="1"/>
  <c r="AN20" i="19"/>
  <c r="AU40" i="16" s="1"/>
  <c r="AF21" i="19"/>
  <c r="AM18" i="16" s="1"/>
  <c r="AD21" i="19"/>
  <c r="AK18" i="16" s="1"/>
  <c r="AB21" i="19"/>
  <c r="AI18" i="16" s="1"/>
  <c r="AI20" i="19"/>
  <c r="AP40" i="16" s="1"/>
  <c r="H40" s="1"/>
  <c r="AL20" i="19"/>
  <c r="AS40" i="16" s="1"/>
  <c r="AA20" i="19"/>
  <c r="AH40" i="16" s="1"/>
  <c r="AE20" i="19"/>
  <c r="AL40" i="16" s="1"/>
  <c r="AJ21" i="19"/>
  <c r="AQ18" i="16" s="1"/>
  <c r="AN21" i="19"/>
  <c r="AU18" i="16" s="1"/>
  <c r="AE21" i="19"/>
  <c r="AL18" i="16" s="1"/>
  <c r="AH21" i="19"/>
  <c r="AO18" i="16" s="1"/>
  <c r="AH20" i="19"/>
  <c r="AO40" i="16" s="1"/>
  <c r="AC20" i="19"/>
  <c r="AJ40" i="16" s="1"/>
  <c r="AG20" i="19"/>
  <c r="AN40" i="16" s="1"/>
  <c r="AL21" i="19"/>
  <c r="AS18" i="16" s="1"/>
  <c r="AC21" i="19"/>
  <c r="AJ18" i="16" s="1"/>
  <c r="AG21" i="19"/>
  <c r="AN18" i="16" s="1"/>
  <c r="AB20" i="19"/>
  <c r="AI40" i="16" s="1"/>
  <c r="AF20" i="19"/>
  <c r="AM40" i="16" s="1"/>
  <c r="AK21" i="19"/>
  <c r="AR18" i="16" s="1"/>
  <c r="AA21" i="19"/>
  <c r="AH18" i="16" s="1"/>
  <c r="AJ20" i="19"/>
  <c r="AQ40" i="16" s="1"/>
  <c r="AD20" i="19"/>
  <c r="AK40" i="16" s="1"/>
  <c r="AM21" i="19"/>
  <c r="AT18" i="16" s="1"/>
  <c r="AQ39" i="19"/>
  <c r="AS65"/>
  <c r="AQ41"/>
  <c r="AR67"/>
  <c r="AQ36"/>
  <c r="AR62"/>
  <c r="O95"/>
  <c r="V16" i="16" s="1"/>
  <c r="O94" i="19"/>
  <c r="P93"/>
  <c r="S5" i="20"/>
  <c r="O68" i="12"/>
  <c r="AN35" i="19"/>
  <c r="AO61"/>
  <c r="AN34"/>
  <c r="AN77" s="1"/>
  <c r="AU38" i="16" s="1"/>
  <c r="AO60" i="19"/>
  <c r="N86" i="12"/>
  <c r="J18" i="18"/>
  <c r="AO11" i="13"/>
  <c r="AO12"/>
  <c r="AO42"/>
  <c r="AO43"/>
  <c r="AP19"/>
  <c r="AP17"/>
  <c r="AP20"/>
  <c r="AP50"/>
  <c r="AQ5"/>
  <c r="AP46"/>
  <c r="AP30"/>
  <c r="AP16"/>
  <c r="AP51"/>
  <c r="AP18"/>
  <c r="AP15"/>
  <c r="AP47"/>
  <c r="AP14"/>
  <c r="AP32"/>
  <c r="AP29"/>
  <c r="AP33"/>
  <c r="AP45"/>
  <c r="AP48"/>
  <c r="BC43" i="12"/>
  <c r="AZ42" i="19"/>
  <c r="AZ68"/>
  <c r="AG28" i="16"/>
  <c r="AE19" i="20"/>
  <c r="T5"/>
  <c r="P68" i="12"/>
  <c r="AL26"/>
  <c r="AG92" i="19"/>
  <c r="AL77"/>
  <c r="AS38" i="16" s="1"/>
  <c r="AK77" i="19"/>
  <c r="AR38" i="16" s="1"/>
  <c r="AO13" i="19"/>
  <c r="AY78"/>
  <c r="AM88"/>
  <c r="AM92" s="1"/>
  <c r="AS55" i="12"/>
  <c r="AS53" s="1"/>
  <c r="AS61" s="1"/>
  <c r="AP18" i="19"/>
  <c r="T10" i="20"/>
  <c r="AO20" i="19"/>
  <c r="AV40" i="16" s="1"/>
  <c r="AZ78" i="19" l="1"/>
  <c r="M17" i="18"/>
  <c r="M16"/>
  <c r="V35" i="16"/>
  <c r="U21" i="20" s="1"/>
  <c r="AP35" i="19"/>
  <c r="AQ61"/>
  <c r="AP34"/>
  <c r="AQ60"/>
  <c r="AR37"/>
  <c r="AS63"/>
  <c r="AR41"/>
  <c r="AS67"/>
  <c r="AR36"/>
  <c r="AS62"/>
  <c r="P86" i="12"/>
  <c r="P90" s="1"/>
  <c r="P92" s="1"/>
  <c r="L18" i="18"/>
  <c r="AQ18" i="19"/>
  <c r="AQ20" s="1"/>
  <c r="AX40" i="16" s="1"/>
  <c r="AN88" i="19"/>
  <c r="AU58" i="12"/>
  <c r="AO53" i="13"/>
  <c r="AU56" i="12"/>
  <c r="AU55" s="1"/>
  <c r="AU53" s="1"/>
  <c r="AU61" s="1"/>
  <c r="AS5" i="19"/>
  <c r="O69" i="12"/>
  <c r="O72"/>
  <c r="O95" s="1"/>
  <c r="P94" i="19"/>
  <c r="Q93"/>
  <c r="P95"/>
  <c r="W16" i="16" s="1"/>
  <c r="V10" i="20" s="1"/>
  <c r="V19" i="16"/>
  <c r="AT55" i="12"/>
  <c r="AT53" s="1"/>
  <c r="AT61" s="1"/>
  <c r="AO35" i="19"/>
  <c r="AP61"/>
  <c r="AO34"/>
  <c r="AP60"/>
  <c r="H38" i="16"/>
  <c r="Q62" i="12"/>
  <c r="V9" i="16"/>
  <c r="V10" s="1"/>
  <c r="BE44" i="19"/>
  <c r="BH46" i="12"/>
  <c r="BG70" i="19"/>
  <c r="AJ86"/>
  <c r="AJ89" s="1"/>
  <c r="AK91" s="1"/>
  <c r="AK92" s="1"/>
  <c r="AH5" i="25"/>
  <c r="P69" i="12"/>
  <c r="P72"/>
  <c r="P95" s="1"/>
  <c r="AF19" i="20"/>
  <c r="AH28" i="16"/>
  <c r="BA42" i="19"/>
  <c r="BD43" i="12"/>
  <c r="BA68" i="19"/>
  <c r="AP42" i="13"/>
  <c r="AP43"/>
  <c r="AP26"/>
  <c r="AP27"/>
  <c r="AV57" i="12" s="1"/>
  <c r="AP11" i="13"/>
  <c r="AV54" i="12" s="1"/>
  <c r="AP12" i="13"/>
  <c r="AQ20"/>
  <c r="AQ50"/>
  <c r="AQ19"/>
  <c r="AQ17"/>
  <c r="AR5"/>
  <c r="AQ46"/>
  <c r="AQ30"/>
  <c r="AQ32"/>
  <c r="AQ16"/>
  <c r="AQ51"/>
  <c r="AQ29"/>
  <c r="AQ15"/>
  <c r="AQ47"/>
  <c r="AQ14"/>
  <c r="AQ33"/>
  <c r="AQ18"/>
  <c r="AQ45"/>
  <c r="AQ48"/>
  <c r="N90" i="12"/>
  <c r="AR6" i="19"/>
  <c r="AR15"/>
  <c r="AR10"/>
  <c r="N15" i="18"/>
  <c r="N14"/>
  <c r="V20" i="20"/>
  <c r="O13" i="18"/>
  <c r="AQ34" i="12"/>
  <c r="AO33" i="19"/>
  <c r="AO59"/>
  <c r="AO77" s="1"/>
  <c r="AV38" i="16" s="1"/>
  <c r="Q65" i="15"/>
  <c r="R49"/>
  <c r="AC14" i="18"/>
  <c r="AK20" i="20"/>
  <c r="AD13" i="18"/>
  <c r="AQ12" i="19"/>
  <c r="AQ13" s="1"/>
  <c r="AQ11"/>
  <c r="AR16" s="1"/>
  <c r="BA27" i="16"/>
  <c r="AY18" i="20"/>
  <c r="AN86" i="19"/>
  <c r="AL5" i="25"/>
  <c r="BF43" i="19"/>
  <c r="BI44" i="12"/>
  <c r="BG69" i="19"/>
  <c r="AS36" i="12"/>
  <c r="AS35"/>
  <c r="AS37"/>
  <c r="AQ29" i="19"/>
  <c r="AQ55"/>
  <c r="AR34" i="12"/>
  <c r="AR26" s="1"/>
  <c r="AP33" i="19"/>
  <c r="AP59"/>
  <c r="AP77" s="1"/>
  <c r="AW38" i="16" s="1"/>
  <c r="AR39" i="19"/>
  <c r="AT65"/>
  <c r="AT28" i="12"/>
  <c r="AR62" i="7"/>
  <c r="AR38" i="19"/>
  <c r="AT64"/>
  <c r="U22" i="20"/>
  <c r="T11"/>
  <c r="AP20" i="19"/>
  <c r="AW40" i="16" s="1"/>
  <c r="AU54" i="12"/>
  <c r="AP21" i="19"/>
  <c r="AW18" i="16" s="1"/>
  <c r="AP12" i="19"/>
  <c r="AM89"/>
  <c r="AN91" s="1"/>
  <c r="U10" i="20"/>
  <c r="AR18" i="19" l="1"/>
  <c r="AP86"/>
  <c r="AN5" i="25"/>
  <c r="AS34" i="12"/>
  <c r="AS26" s="1"/>
  <c r="AQ33" i="19"/>
  <c r="AQ59"/>
  <c r="AZ18" i="20"/>
  <c r="BB27" i="16"/>
  <c r="R62" i="12"/>
  <c r="W9" i="16"/>
  <c r="W10" s="1"/>
  <c r="AQ26" i="12"/>
  <c r="N16" i="18"/>
  <c r="N17"/>
  <c r="W35" i="16"/>
  <c r="V21" i="20" s="1"/>
  <c r="AQ11" i="13"/>
  <c r="AQ12"/>
  <c r="AV56" i="12"/>
  <c r="AT5" i="19"/>
  <c r="AV58" i="12"/>
  <c r="AP53" i="13"/>
  <c r="AI28" i="16"/>
  <c r="AG19" i="20"/>
  <c r="U5"/>
  <c r="Q68" i="12"/>
  <c r="D41" i="36"/>
  <c r="D56" s="1"/>
  <c r="D57" s="1"/>
  <c r="R93" i="19"/>
  <c r="Q94"/>
  <c r="Q95"/>
  <c r="X16" i="16" s="1"/>
  <c r="AS57" i="7"/>
  <c r="AS61" s="1"/>
  <c r="AU38" i="12"/>
  <c r="AU40"/>
  <c r="AU42"/>
  <c r="AU39"/>
  <c r="AU41"/>
  <c r="AU45"/>
  <c r="AT36"/>
  <c r="AT35"/>
  <c r="AT37"/>
  <c r="AR29" i="19"/>
  <c r="AR55"/>
  <c r="AQ35"/>
  <c r="AR61"/>
  <c r="AQ34"/>
  <c r="AR60"/>
  <c r="BJ44" i="12"/>
  <c r="BG43" i="19"/>
  <c r="BH69"/>
  <c r="L44" i="14"/>
  <c r="AD14" i="18"/>
  <c r="AL20" i="20"/>
  <c r="AE13" i="18"/>
  <c r="R65" i="15"/>
  <c r="S49"/>
  <c r="O14" i="18"/>
  <c r="W20" i="20"/>
  <c r="P13" i="18"/>
  <c r="AR11" i="19"/>
  <c r="AS16" s="1"/>
  <c r="AR21"/>
  <c r="AY18" i="16" s="1"/>
  <c r="AR20" i="19"/>
  <c r="AY40" i="16" s="1"/>
  <c r="N92" i="12"/>
  <c r="N95" s="1"/>
  <c r="AQ42" i="13"/>
  <c r="AQ43"/>
  <c r="AQ26"/>
  <c r="AQ27"/>
  <c r="AW57" i="12" s="1"/>
  <c r="J57" i="14" s="1"/>
  <c r="E14" i="36" s="1"/>
  <c r="AR20" i="13"/>
  <c r="AR50"/>
  <c r="AR19"/>
  <c r="AR17"/>
  <c r="AS5"/>
  <c r="AR32"/>
  <c r="AR45"/>
  <c r="AR48"/>
  <c r="AR46"/>
  <c r="AR30"/>
  <c r="AR16"/>
  <c r="AR51"/>
  <c r="AR29"/>
  <c r="AR31"/>
  <c r="AR35"/>
  <c r="AR18"/>
  <c r="AR15"/>
  <c r="AR47"/>
  <c r="AR14"/>
  <c r="AR33"/>
  <c r="AR36"/>
  <c r="AV38" i="12"/>
  <c r="AV40"/>
  <c r="AV42"/>
  <c r="AT57" i="7"/>
  <c r="AT61" s="1"/>
  <c r="AV39" i="12"/>
  <c r="AV41"/>
  <c r="AV45"/>
  <c r="BE43"/>
  <c r="BB42" i="19"/>
  <c r="BB68"/>
  <c r="BI46" i="12"/>
  <c r="BF44" i="19"/>
  <c r="BH70"/>
  <c r="W10" i="20"/>
  <c r="W19" i="16"/>
  <c r="AS15" i="19"/>
  <c r="AS6"/>
  <c r="AS10"/>
  <c r="Q86" i="12"/>
  <c r="M18" i="18"/>
  <c r="V22" i="20"/>
  <c r="BA78" i="19"/>
  <c r="AN92"/>
  <c r="AP13"/>
  <c r="AP88"/>
  <c r="AN89"/>
  <c r="AO91" s="1"/>
  <c r="AO88"/>
  <c r="AO92" s="1"/>
  <c r="V11" i="20"/>
  <c r="U11"/>
  <c r="AQ21" i="19"/>
  <c r="AX18" i="16" s="1"/>
  <c r="AQ77" i="19" l="1"/>
  <c r="AX38" i="16" s="1"/>
  <c r="BG44" i="19"/>
  <c r="BJ46" i="12"/>
  <c r="BI70" i="19"/>
  <c r="L46" i="14"/>
  <c r="BC42" i="19"/>
  <c r="BC68"/>
  <c r="BF43" i="12"/>
  <c r="AT39" i="19"/>
  <c r="AV65"/>
  <c r="AV28" i="12"/>
  <c r="AT38" i="19"/>
  <c r="AV64"/>
  <c r="AR12" i="13"/>
  <c r="AR11"/>
  <c r="AR26"/>
  <c r="AR27"/>
  <c r="AX57" i="12" s="1"/>
  <c r="AR42" i="13"/>
  <c r="AR43"/>
  <c r="AS19"/>
  <c r="AS17"/>
  <c r="AS20"/>
  <c r="AS50"/>
  <c r="AT5"/>
  <c r="AS32"/>
  <c r="AS45"/>
  <c r="AS48"/>
  <c r="AS46"/>
  <c r="AS30"/>
  <c r="AS16"/>
  <c r="AS51"/>
  <c r="AS29"/>
  <c r="AS31"/>
  <c r="AS35"/>
  <c r="AS18"/>
  <c r="AS15"/>
  <c r="AS47"/>
  <c r="AS14"/>
  <c r="AS33"/>
  <c r="AS36"/>
  <c r="N113" i="12"/>
  <c r="O113" s="1"/>
  <c r="S62"/>
  <c r="X9" i="16"/>
  <c r="X10" s="1"/>
  <c r="BH43" i="19"/>
  <c r="BK44" i="12"/>
  <c r="BI69" i="19"/>
  <c r="AT34" i="12"/>
  <c r="AR33" i="19"/>
  <c r="AR59"/>
  <c r="AS39"/>
  <c r="AU65"/>
  <c r="AS41"/>
  <c r="AT67"/>
  <c r="AS36"/>
  <c r="AT62"/>
  <c r="X19" i="16"/>
  <c r="R94" i="19"/>
  <c r="R95"/>
  <c r="Y16" i="16" s="1"/>
  <c r="S93" i="19"/>
  <c r="D59" i="36"/>
  <c r="D32" s="1"/>
  <c r="B16" i="38" s="1"/>
  <c r="Q69" i="12"/>
  <c r="Q72"/>
  <c r="AJ28" i="16"/>
  <c r="AH19" i="20"/>
  <c r="R86" i="12"/>
  <c r="R90" s="1"/>
  <c r="R92" s="1"/>
  <c r="N18" i="18"/>
  <c r="AQ86" i="19"/>
  <c r="AO5" i="25"/>
  <c r="Q90" i="12"/>
  <c r="Q92" s="1"/>
  <c r="AS11" i="19"/>
  <c r="AT16" s="1"/>
  <c r="AT37"/>
  <c r="AU63"/>
  <c r="AT41"/>
  <c r="AU67"/>
  <c r="AT36"/>
  <c r="AU62"/>
  <c r="AW58" i="12"/>
  <c r="J58" i="14" s="1"/>
  <c r="E15" i="36" s="1"/>
  <c r="AQ53" i="13"/>
  <c r="P14" i="18"/>
  <c r="X20" i="20"/>
  <c r="Q13" i="18"/>
  <c r="S65" i="15"/>
  <c r="T49"/>
  <c r="AE14" i="18"/>
  <c r="AM20" i="20"/>
  <c r="AF13" i="18"/>
  <c r="AR35" i="19"/>
  <c r="AS61"/>
  <c r="AR34"/>
  <c r="AS60"/>
  <c r="AS37"/>
  <c r="AT63"/>
  <c r="AS38"/>
  <c r="AU64"/>
  <c r="AU28" i="12"/>
  <c r="AS62" i="7"/>
  <c r="AT62" s="1"/>
  <c r="AT6" i="19"/>
  <c r="AT15"/>
  <c r="AT18" s="1"/>
  <c r="AT10"/>
  <c r="AW56" i="12"/>
  <c r="AU5" i="19"/>
  <c r="AO86"/>
  <c r="AO89" s="1"/>
  <c r="AP91" s="1"/>
  <c r="AM5" i="25"/>
  <c r="V5" i="20"/>
  <c r="R68" i="12"/>
  <c r="BA18" i="20"/>
  <c r="I27" i="16"/>
  <c r="BC27"/>
  <c r="AV55" i="12"/>
  <c r="AV53" s="1"/>
  <c r="AW54"/>
  <c r="AP92" i="19"/>
  <c r="W11" i="20"/>
  <c r="BB78" i="19"/>
  <c r="AR12"/>
  <c r="O15" i="18"/>
  <c r="AQ88" i="19"/>
  <c r="AP89"/>
  <c r="AQ91" s="1"/>
  <c r="AQ92" l="1"/>
  <c r="M99"/>
  <c r="O117" i="12"/>
  <c r="O119" s="1"/>
  <c r="T30" i="16" s="1"/>
  <c r="P113" i="12"/>
  <c r="AS17" i="19"/>
  <c r="AS18" s="1"/>
  <c r="AR13"/>
  <c r="AU57" i="7"/>
  <c r="AU61" s="1"/>
  <c r="AW39" i="12"/>
  <c r="AW41"/>
  <c r="AW45"/>
  <c r="J45" i="14" s="1"/>
  <c r="AW40" i="12"/>
  <c r="AW38"/>
  <c r="AW42"/>
  <c r="J54" i="14"/>
  <c r="H18" i="20"/>
  <c r="R69" i="12"/>
  <c r="R72"/>
  <c r="R95" s="1"/>
  <c r="AU15" i="19"/>
  <c r="AU6"/>
  <c r="AU10"/>
  <c r="AF14" i="18"/>
  <c r="AN20" i="20"/>
  <c r="AG13" i="18"/>
  <c r="T65" i="15"/>
  <c r="U49"/>
  <c r="Q14" i="18"/>
  <c r="Q15"/>
  <c r="Y20" i="20"/>
  <c r="R13" i="18"/>
  <c r="Y19" i="16"/>
  <c r="BL44" i="12"/>
  <c r="BI43" i="19"/>
  <c r="BJ69"/>
  <c r="AX58" i="12"/>
  <c r="AR53" i="13"/>
  <c r="BG43" i="12"/>
  <c r="BD42" i="19"/>
  <c r="BD78" s="1"/>
  <c r="BD68"/>
  <c r="Q95" i="12"/>
  <c r="AR88" i="19"/>
  <c r="AX54" i="12"/>
  <c r="BC78" i="19"/>
  <c r="O17" i="18"/>
  <c r="O16"/>
  <c r="X35" i="16"/>
  <c r="W21" i="20" s="1"/>
  <c r="W22" s="1"/>
  <c r="AV61" i="12"/>
  <c r="BD27" i="16"/>
  <c r="BB18" i="20"/>
  <c r="AW55" i="12"/>
  <c r="J56" i="14"/>
  <c r="E16" i="36" s="1"/>
  <c r="AT11" i="19"/>
  <c r="AU16" s="1"/>
  <c r="AT20"/>
  <c r="BA40" i="16" s="1"/>
  <c r="AU36" i="12"/>
  <c r="AU35"/>
  <c r="AU37"/>
  <c r="AS29" i="19"/>
  <c r="AS55"/>
  <c r="T62" i="12"/>
  <c r="Y9" i="16"/>
  <c r="Y10" s="1"/>
  <c r="AK28"/>
  <c r="AI19" i="20"/>
  <c r="S94" i="19"/>
  <c r="S95"/>
  <c r="Z16" i="16" s="1"/>
  <c r="T93" i="19"/>
  <c r="AT26" i="12"/>
  <c r="W5" i="20"/>
  <c r="S68" i="12"/>
  <c r="L99" i="19"/>
  <c r="N117" i="12"/>
  <c r="N119" s="1"/>
  <c r="S30" i="16" s="1"/>
  <c r="AS11" i="13"/>
  <c r="AS12"/>
  <c r="AS27"/>
  <c r="AY57" i="12" s="1"/>
  <c r="AS26" i="13"/>
  <c r="AS43"/>
  <c r="AY58" i="12" s="1"/>
  <c r="AS42" i="13"/>
  <c r="AT20"/>
  <c r="AT50"/>
  <c r="AT19"/>
  <c r="AT17"/>
  <c r="AU5"/>
  <c r="AT46"/>
  <c r="AT30"/>
  <c r="AT16"/>
  <c r="AT51"/>
  <c r="AT29"/>
  <c r="AT31"/>
  <c r="AT35"/>
  <c r="AT18"/>
  <c r="AT15"/>
  <c r="AT47"/>
  <c r="AT14"/>
  <c r="AT33"/>
  <c r="AT36"/>
  <c r="AT32"/>
  <c r="AT45"/>
  <c r="AT48"/>
  <c r="AX56" i="12"/>
  <c r="AV5" i="19"/>
  <c r="AV36" i="12"/>
  <c r="AV35"/>
  <c r="AV37"/>
  <c r="AT29" i="19"/>
  <c r="AT55"/>
  <c r="F11" i="36"/>
  <c r="M46" i="14"/>
  <c r="BH44" i="19"/>
  <c r="BK46" i="12"/>
  <c r="BJ70" i="19"/>
  <c r="AR77"/>
  <c r="AY38" i="16" s="1"/>
  <c r="P15" i="18"/>
  <c r="AS12" i="19"/>
  <c r="AQ89"/>
  <c r="AR91" s="1"/>
  <c r="X10" i="20"/>
  <c r="X11" s="1"/>
  <c r="AT12" i="19" l="1"/>
  <c r="AT13" s="1"/>
  <c r="AV34" i="12"/>
  <c r="AV26" s="1"/>
  <c r="AT33" i="19"/>
  <c r="AT59"/>
  <c r="AV6"/>
  <c r="AV15"/>
  <c r="AV10"/>
  <c r="AU19" i="13"/>
  <c r="AU17"/>
  <c r="AU20"/>
  <c r="AU50"/>
  <c r="AV5"/>
  <c r="AU46"/>
  <c r="AU30"/>
  <c r="AU16"/>
  <c r="AU51"/>
  <c r="AU29"/>
  <c r="AU31"/>
  <c r="AU35"/>
  <c r="AU18"/>
  <c r="AU15"/>
  <c r="AU47"/>
  <c r="AU14"/>
  <c r="AU33"/>
  <c r="AU36"/>
  <c r="AU32"/>
  <c r="AU45"/>
  <c r="AU48"/>
  <c r="Z19" i="16"/>
  <c r="AJ19" i="20"/>
  <c r="AL28" i="16"/>
  <c r="X5" i="20"/>
  <c r="T68" i="12"/>
  <c r="AU34"/>
  <c r="AS33" i="19"/>
  <c r="AS59"/>
  <c r="AW53" i="12"/>
  <c r="J55" i="14"/>
  <c r="AV57" i="7"/>
  <c r="AV61" s="1"/>
  <c r="AX39" i="12"/>
  <c r="AX41"/>
  <c r="AX45"/>
  <c r="AX38"/>
  <c r="AX40"/>
  <c r="AX42"/>
  <c r="Q113"/>
  <c r="R113" s="1"/>
  <c r="BE42" i="19"/>
  <c r="BH43" i="12"/>
  <c r="BE68" i="19"/>
  <c r="BJ43"/>
  <c r="BM44" i="12"/>
  <c r="BK69" i="19"/>
  <c r="U62" i="12"/>
  <c r="Z9" i="16"/>
  <c r="Z10" s="1"/>
  <c r="AU11" i="19"/>
  <c r="AV16" s="1"/>
  <c r="AU41"/>
  <c r="AV67"/>
  <c r="J42" i="14"/>
  <c r="AU38" i="19"/>
  <c r="AW64"/>
  <c r="J40" i="14"/>
  <c r="AU39" i="19"/>
  <c r="AW65"/>
  <c r="J41" i="14"/>
  <c r="AW28" i="12"/>
  <c r="AU62" i="7"/>
  <c r="AS21" i="19"/>
  <c r="AZ18" i="16" s="1"/>
  <c r="AS20" i="19"/>
  <c r="AZ40" i="16" s="1"/>
  <c r="AT21" i="19"/>
  <c r="BA18" i="16" s="1"/>
  <c r="N99" i="19"/>
  <c r="P117" i="12"/>
  <c r="P119" s="1"/>
  <c r="U30" i="16" s="1"/>
  <c r="AY54" i="12"/>
  <c r="AR92" i="19"/>
  <c r="Y10" i="20"/>
  <c r="AS13" i="19"/>
  <c r="P16" i="18"/>
  <c r="P17"/>
  <c r="Y35" i="16"/>
  <c r="X21" i="20" s="1"/>
  <c r="X22" s="1"/>
  <c r="BI44" i="19"/>
  <c r="BL46" i="12"/>
  <c r="BK70" i="19"/>
  <c r="AT35"/>
  <c r="AU61"/>
  <c r="AT34"/>
  <c r="AU60"/>
  <c r="AX55" i="12"/>
  <c r="AT42" i="13"/>
  <c r="AT43"/>
  <c r="AZ58" i="12" s="1"/>
  <c r="AT12" i="13"/>
  <c r="AT11"/>
  <c r="AZ54" i="12" s="1"/>
  <c r="AT26" i="13"/>
  <c r="AT27"/>
  <c r="AZ57" i="12" s="1"/>
  <c r="AY56"/>
  <c r="AY55" s="1"/>
  <c r="AY53" s="1"/>
  <c r="AY61" s="1"/>
  <c r="AW5" i="19"/>
  <c r="S29" i="16"/>
  <c r="R4" i="20"/>
  <c r="R7" s="1"/>
  <c r="M101" i="19"/>
  <c r="T39" i="16" s="1"/>
  <c r="L101" i="19"/>
  <c r="S39" i="16" s="1"/>
  <c r="R12" i="20" s="1"/>
  <c r="R13" s="1"/>
  <c r="N101" i="19"/>
  <c r="U39" i="16" s="1"/>
  <c r="T12" i="20" s="1"/>
  <c r="T13" s="1"/>
  <c r="S69" i="12"/>
  <c r="S72"/>
  <c r="AR86" i="19"/>
  <c r="AR89" s="1"/>
  <c r="AS91" s="1"/>
  <c r="AP5" i="25"/>
  <c r="U93" i="19"/>
  <c r="T94"/>
  <c r="T95"/>
  <c r="AA16" i="16" s="1"/>
  <c r="AS35" i="19"/>
  <c r="AT61"/>
  <c r="AS34"/>
  <c r="AT60"/>
  <c r="BC18" i="20"/>
  <c r="BE27" i="16"/>
  <c r="S86" i="12"/>
  <c r="O18" i="18"/>
  <c r="R14"/>
  <c r="AD15" s="1"/>
  <c r="Z20" i="20"/>
  <c r="AA20"/>
  <c r="Q17" i="18"/>
  <c r="Q16"/>
  <c r="Z35" i="16"/>
  <c r="Y21" i="20" s="1"/>
  <c r="Y22" s="1"/>
  <c r="U65" i="15"/>
  <c r="V49"/>
  <c r="AG14" i="18"/>
  <c r="AG15" s="1"/>
  <c r="AO20" i="20"/>
  <c r="G20"/>
  <c r="AH13" i="18"/>
  <c r="AU36" i="19"/>
  <c r="AV62"/>
  <c r="J38" i="14"/>
  <c r="AU37" i="19"/>
  <c r="AV63"/>
  <c r="J39" i="14"/>
  <c r="T29" i="16"/>
  <c r="S4" i="20"/>
  <c r="S7" s="1"/>
  <c r="Y11"/>
  <c r="AU18" i="19"/>
  <c r="AU21" s="1"/>
  <c r="BB18" i="16" s="1"/>
  <c r="I18" s="1"/>
  <c r="R15" i="18" l="1"/>
  <c r="S12" i="20"/>
  <c r="S13" s="1"/>
  <c r="S24" s="1"/>
  <c r="AG16" i="18"/>
  <c r="AG17"/>
  <c r="AP35" i="16"/>
  <c r="AD16" i="18"/>
  <c r="AD17"/>
  <c r="AM35" i="16"/>
  <c r="V65" i="15"/>
  <c r="W49"/>
  <c r="U86" i="12"/>
  <c r="U90" s="1"/>
  <c r="U92" s="1"/>
  <c r="Q18" i="18"/>
  <c r="R16"/>
  <c r="R17"/>
  <c r="AA35" i="16"/>
  <c r="Z21" i="20" s="1"/>
  <c r="S90" i="12"/>
  <c r="BF27" i="16"/>
  <c r="BD18" i="20"/>
  <c r="AA19" i="16"/>
  <c r="V93" i="19"/>
  <c r="U94"/>
  <c r="U95"/>
  <c r="AB16" i="16" s="1"/>
  <c r="AW6" i="19"/>
  <c r="AW15"/>
  <c r="AW10"/>
  <c r="AX57" i="7"/>
  <c r="AX61" s="1"/>
  <c r="AZ39" i="12"/>
  <c r="AZ41"/>
  <c r="AZ45"/>
  <c r="AZ38"/>
  <c r="AZ40"/>
  <c r="AZ42"/>
  <c r="AX53"/>
  <c r="T86"/>
  <c r="T90" s="1"/>
  <c r="T92" s="1"/>
  <c r="P18" i="18"/>
  <c r="Y5" i="20"/>
  <c r="U68" i="12"/>
  <c r="BN44"/>
  <c r="BK43" i="19"/>
  <c r="BL69"/>
  <c r="P99"/>
  <c r="R117" i="12"/>
  <c r="R119" s="1"/>
  <c r="W30" i="16" s="1"/>
  <c r="AV38" i="19"/>
  <c r="AX64"/>
  <c r="AV37"/>
  <c r="AW63"/>
  <c r="AS88"/>
  <c r="AS92" s="1"/>
  <c r="AT77"/>
  <c r="BA38" i="16" s="1"/>
  <c r="T69" i="12"/>
  <c r="T72"/>
  <c r="T95" s="1"/>
  <c r="AU43" i="13"/>
  <c r="BA58" i="12" s="1"/>
  <c r="AU42" i="13"/>
  <c r="AU11"/>
  <c r="AU12"/>
  <c r="AU27"/>
  <c r="BA57" i="12" s="1"/>
  <c r="AU26" i="13"/>
  <c r="AV11" i="19"/>
  <c r="AW16" s="1"/>
  <c r="Z22" i="20"/>
  <c r="R24"/>
  <c r="R27" s="1"/>
  <c r="AU20" i="19"/>
  <c r="BB40" i="16" s="1"/>
  <c r="I40" s="1"/>
  <c r="BE78" i="19"/>
  <c r="Z10" i="20"/>
  <c r="AT88" i="19"/>
  <c r="AS77"/>
  <c r="AZ38" i="16" s="1"/>
  <c r="T31"/>
  <c r="T36"/>
  <c r="K28" i="18" s="1"/>
  <c r="K32" s="1"/>
  <c r="T21" i="16"/>
  <c r="T23" s="1"/>
  <c r="AH14" i="18"/>
  <c r="AH15" s="1"/>
  <c r="AP20" i="20"/>
  <c r="AI13" i="18"/>
  <c r="V62" i="12"/>
  <c r="AA9" i="16"/>
  <c r="AA10" s="1"/>
  <c r="S15" i="18"/>
  <c r="T15"/>
  <c r="U15"/>
  <c r="V15"/>
  <c r="W15"/>
  <c r="AA15"/>
  <c r="X15"/>
  <c r="Y15"/>
  <c r="AB15"/>
  <c r="Z15"/>
  <c r="AC15"/>
  <c r="S31" i="16"/>
  <c r="S21"/>
  <c r="S23" s="1"/>
  <c r="S36"/>
  <c r="J28" i="18" s="1"/>
  <c r="J32" s="1"/>
  <c r="AZ56" i="12"/>
  <c r="AZ55" s="1"/>
  <c r="AZ53" s="1"/>
  <c r="AZ61" s="1"/>
  <c r="AX5" i="19"/>
  <c r="BJ44"/>
  <c r="BM46" i="12"/>
  <c r="BL70" i="19"/>
  <c r="AY39" i="12"/>
  <c r="AY41"/>
  <c r="AY45"/>
  <c r="AW57" i="7"/>
  <c r="AW61" s="1"/>
  <c r="AY38" i="12"/>
  <c r="AY40"/>
  <c r="AY42"/>
  <c r="U29" i="16"/>
  <c r="T4" i="20"/>
  <c r="T7" s="1"/>
  <c r="T24" s="1"/>
  <c r="AW35" i="12"/>
  <c r="AW37"/>
  <c r="AW36"/>
  <c r="AU29" i="19"/>
  <c r="AU55"/>
  <c r="J28" i="14"/>
  <c r="BI43" i="12"/>
  <c r="BF42" i="19"/>
  <c r="BF78" s="1"/>
  <c r="BF68"/>
  <c r="O99"/>
  <c r="Q117" i="12"/>
  <c r="Q119" s="1"/>
  <c r="V30" i="16" s="1"/>
  <c r="AV41" i="19"/>
  <c r="AW67"/>
  <c r="AV36"/>
  <c r="AW62"/>
  <c r="AV39"/>
  <c r="AX65"/>
  <c r="AX28" i="12"/>
  <c r="AV62" i="7"/>
  <c r="AW61" i="12"/>
  <c r="J61" i="14" s="1"/>
  <c r="J53"/>
  <c r="K53" s="1"/>
  <c r="AU26" i="12"/>
  <c r="AM28" i="16"/>
  <c r="AK19" i="20"/>
  <c r="AV20" i="13"/>
  <c r="AV50"/>
  <c r="AV19"/>
  <c r="AV17"/>
  <c r="AW5"/>
  <c r="AV32"/>
  <c r="AV45"/>
  <c r="AV48"/>
  <c r="AV46"/>
  <c r="AV30"/>
  <c r="AV16"/>
  <c r="AV51"/>
  <c r="AV29"/>
  <c r="AV31"/>
  <c r="AV35"/>
  <c r="AV18"/>
  <c r="AV15"/>
  <c r="AV34"/>
  <c r="AV47"/>
  <c r="AV14"/>
  <c r="AV33"/>
  <c r="AV36"/>
  <c r="AT86" i="19"/>
  <c r="AT89" s="1"/>
  <c r="AU91" s="1"/>
  <c r="AR5" i="25"/>
  <c r="AF15" i="18"/>
  <c r="AU12" i="19"/>
  <c r="AE15" i="18"/>
  <c r="Z11" i="20"/>
  <c r="BA54" i="12" l="1"/>
  <c r="AH17" i="18"/>
  <c r="AH16"/>
  <c r="AQ35" i="16"/>
  <c r="AN28"/>
  <c r="AL19" i="20"/>
  <c r="AS86" i="19"/>
  <c r="AS89" s="1"/>
  <c r="AT91" s="1"/>
  <c r="AQ5" i="25"/>
  <c r="AX35" i="12"/>
  <c r="AX37"/>
  <c r="AX36"/>
  <c r="AV29" i="19"/>
  <c r="AV55"/>
  <c r="AW41"/>
  <c r="AX67"/>
  <c r="AW37"/>
  <c r="AX63"/>
  <c r="AB16" i="18"/>
  <c r="AB17"/>
  <c r="AK35" i="16"/>
  <c r="W17" i="18"/>
  <c r="W16"/>
  <c r="AF35" i="16"/>
  <c r="S17" i="18"/>
  <c r="S16"/>
  <c r="AB35" i="16"/>
  <c r="AA21" i="20" s="1"/>
  <c r="AA22" s="1"/>
  <c r="AV17" i="19"/>
  <c r="AV18" s="1"/>
  <c r="AU13"/>
  <c r="AF16" i="18"/>
  <c r="AF17"/>
  <c r="AO35" i="16"/>
  <c r="AV26" i="13"/>
  <c r="AV27"/>
  <c r="BB57" i="12" s="1"/>
  <c r="AV42" i="13"/>
  <c r="AV43"/>
  <c r="BB58" i="12" s="1"/>
  <c r="AW19" i="13"/>
  <c r="AW17"/>
  <c r="AW20"/>
  <c r="AW50"/>
  <c r="AX5"/>
  <c r="AW32"/>
  <c r="AW45"/>
  <c r="AW48"/>
  <c r="AW46"/>
  <c r="AW30"/>
  <c r="AW16"/>
  <c r="AW51"/>
  <c r="AW29"/>
  <c r="AW31"/>
  <c r="AW35"/>
  <c r="AW18"/>
  <c r="AW15"/>
  <c r="AW34"/>
  <c r="AW47"/>
  <c r="AW14"/>
  <c r="AW33"/>
  <c r="AW36"/>
  <c r="V29" i="16"/>
  <c r="U4" i="20"/>
  <c r="U7" s="1"/>
  <c r="BG42" i="19"/>
  <c r="BG78" s="1"/>
  <c r="BG68"/>
  <c r="BJ43" i="12"/>
  <c r="L43" i="14"/>
  <c r="E12" i="36"/>
  <c r="K28" i="14"/>
  <c r="AU34" i="19"/>
  <c r="AV60"/>
  <c r="J36" i="14"/>
  <c r="AW34" i="12"/>
  <c r="AU33" i="19"/>
  <c r="AU59"/>
  <c r="J35" i="14"/>
  <c r="U31" i="16"/>
  <c r="U21"/>
  <c r="U23" s="1"/>
  <c r="U36"/>
  <c r="L28" i="18" s="1"/>
  <c r="L32" s="1"/>
  <c r="AW38" i="19"/>
  <c r="AY64"/>
  <c r="AY28" i="12"/>
  <c r="AW62" i="7"/>
  <c r="AW39" i="19"/>
  <c r="AY65"/>
  <c r="BK44"/>
  <c r="BN46" i="12"/>
  <c r="BM70" i="19"/>
  <c r="AX6"/>
  <c r="AX15"/>
  <c r="AX10"/>
  <c r="Z16" i="18"/>
  <c r="Z17"/>
  <c r="AI35" i="16"/>
  <c r="Y17" i="18"/>
  <c r="Y16"/>
  <c r="AH35" i="16"/>
  <c r="AA17" i="18"/>
  <c r="AA16"/>
  <c r="AJ35" i="16"/>
  <c r="V16" i="18"/>
  <c r="V17"/>
  <c r="AE35" i="16"/>
  <c r="T16" i="18"/>
  <c r="T17"/>
  <c r="AC35" i="16"/>
  <c r="AB21" i="20" s="1"/>
  <c r="AB22" s="1"/>
  <c r="AI14" i="18"/>
  <c r="AI15" s="1"/>
  <c r="AQ20" i="20"/>
  <c r="AJ13" i="18"/>
  <c r="BA56" i="12"/>
  <c r="AY5" i="19"/>
  <c r="BL43"/>
  <c r="BO44" i="12"/>
  <c r="BM69" i="19"/>
  <c r="U69" i="12"/>
  <c r="U72"/>
  <c r="U95" s="1"/>
  <c r="AX41" i="19"/>
  <c r="AY67"/>
  <c r="AX36"/>
  <c r="AY62"/>
  <c r="AX39"/>
  <c r="AZ65"/>
  <c r="AZ28" i="12"/>
  <c r="AX62" i="7"/>
  <c r="BE18" i="20"/>
  <c r="BG27" i="16"/>
  <c r="S92" i="12"/>
  <c r="S95" s="1"/>
  <c r="V86"/>
  <c r="V90" s="1"/>
  <c r="V92" s="1"/>
  <c r="R18" i="18"/>
  <c r="W65" i="15"/>
  <c r="X49"/>
  <c r="AH86" i="12"/>
  <c r="AH90" s="1"/>
  <c r="AH92" s="1"/>
  <c r="AD18" i="18"/>
  <c r="H35" i="16"/>
  <c r="G21" i="20" s="1"/>
  <c r="S43" i="16"/>
  <c r="T43"/>
  <c r="AV12" i="19"/>
  <c r="AV13" s="1"/>
  <c r="AW18"/>
  <c r="AE17" i="18"/>
  <c r="AE16"/>
  <c r="AN35" i="16"/>
  <c r="AV12" i="13"/>
  <c r="AV11"/>
  <c r="BB54" i="12" s="1"/>
  <c r="E17" i="36"/>
  <c r="K61" i="14"/>
  <c r="P101" i="19"/>
  <c r="W39" i="16" s="1"/>
  <c r="O101" i="19"/>
  <c r="V39" i="16" s="1"/>
  <c r="U12" i="20" s="1"/>
  <c r="U13" s="1"/>
  <c r="AU35" i="19"/>
  <c r="AV61"/>
  <c r="J37" i="14"/>
  <c r="AW36" i="19"/>
  <c r="AX62"/>
  <c r="AC17" i="18"/>
  <c r="AC16"/>
  <c r="AL35" i="16"/>
  <c r="X16" i="18"/>
  <c r="X17"/>
  <c r="AG35" i="16"/>
  <c r="U17" i="18"/>
  <c r="U16"/>
  <c r="AD35" i="16"/>
  <c r="Z5" i="20"/>
  <c r="V68" i="12"/>
  <c r="S26" i="20"/>
  <c r="S27" s="1"/>
  <c r="R28"/>
  <c r="BA39" i="12"/>
  <c r="BA41"/>
  <c r="BA45"/>
  <c r="AY57" i="7"/>
  <c r="AY61" s="1"/>
  <c r="BA38" i="12"/>
  <c r="BA40"/>
  <c r="BA42"/>
  <c r="W29" i="16"/>
  <c r="V4" i="20"/>
  <c r="V7" s="1"/>
  <c r="AX61" i="12"/>
  <c r="AX38" i="19"/>
  <c r="AZ64"/>
  <c r="AX37"/>
  <c r="AY63"/>
  <c r="AW11"/>
  <c r="AX16" s="1"/>
  <c r="AW12"/>
  <c r="AW21"/>
  <c r="BD18" i="16" s="1"/>
  <c r="AW20" i="19"/>
  <c r="BD40" i="16" s="1"/>
  <c r="AB19"/>
  <c r="V95" i="19"/>
  <c r="AC16" i="16" s="1"/>
  <c r="V94" i="19"/>
  <c r="W93"/>
  <c r="W62" i="12"/>
  <c r="AB9" i="16"/>
  <c r="AB10" s="1"/>
  <c r="AK86" i="12"/>
  <c r="AK90" s="1"/>
  <c r="AK92" s="1"/>
  <c r="AG18" i="18"/>
  <c r="AT92" i="19"/>
  <c r="AW13"/>
  <c r="AA10" i="20"/>
  <c r="AA11" l="1"/>
  <c r="AU77" i="19"/>
  <c r="BB38" i="16" s="1"/>
  <c r="I38" s="1"/>
  <c r="AI16" i="18"/>
  <c r="AI17"/>
  <c r="AR35" i="16"/>
  <c r="W95" i="19"/>
  <c r="AD16" i="16" s="1"/>
  <c r="W94" i="19"/>
  <c r="X93"/>
  <c r="AC10" i="20"/>
  <c r="AC19" i="16"/>
  <c r="W31"/>
  <c r="W36"/>
  <c r="N28" i="18" s="1"/>
  <c r="N32" s="1"/>
  <c r="W21" i="16"/>
  <c r="W23" s="1"/>
  <c r="AY38" i="19"/>
  <c r="BA64"/>
  <c r="BA28" i="12"/>
  <c r="AY62" i="7"/>
  <c r="AY39" i="19"/>
  <c r="BA65"/>
  <c r="V69" i="12"/>
  <c r="V72"/>
  <c r="V95" s="1"/>
  <c r="G35" i="16"/>
  <c r="AC21" i="20"/>
  <c r="F35" i="16"/>
  <c r="Y86" i="12"/>
  <c r="Y90" s="1"/>
  <c r="Y92" s="1"/>
  <c r="U18" i="18"/>
  <c r="AB86" i="12"/>
  <c r="AB90" s="1"/>
  <c r="AB92" s="1"/>
  <c r="X18" i="18"/>
  <c r="AG86" i="12"/>
  <c r="AG90" s="1"/>
  <c r="AG92" s="1"/>
  <c r="AC18" i="18"/>
  <c r="BB56" i="12"/>
  <c r="BB55" s="1"/>
  <c r="BB53" s="1"/>
  <c r="BB61" s="1"/>
  <c r="AZ5" i="19"/>
  <c r="X62" i="12"/>
  <c r="AC9" i="16"/>
  <c r="AC10" s="1"/>
  <c r="V113" i="12"/>
  <c r="T99" i="19" s="1"/>
  <c r="U113" i="12"/>
  <c r="S113"/>
  <c r="BH27" i="16"/>
  <c r="BF18" i="20"/>
  <c r="BP44" i="12"/>
  <c r="BM43" i="19"/>
  <c r="BN69"/>
  <c r="BA55" i="12"/>
  <c r="Z86"/>
  <c r="Z90" s="1"/>
  <c r="Z92" s="1"/>
  <c r="V18" i="18"/>
  <c r="AE86" i="12"/>
  <c r="AE90" s="1"/>
  <c r="AE92" s="1"/>
  <c r="AA18" i="18"/>
  <c r="BL44" i="19"/>
  <c r="BO46" i="12"/>
  <c r="BN70" i="19"/>
  <c r="AW26" i="12"/>
  <c r="J34" i="14"/>
  <c r="AW11" i="13"/>
  <c r="AW12"/>
  <c r="AV20" i="19"/>
  <c r="BC40" i="16" s="1"/>
  <c r="AV21" i="19"/>
  <c r="BC18" i="16" s="1"/>
  <c r="AA86" i="12"/>
  <c r="AA90" s="1"/>
  <c r="AA92" s="1"/>
  <c r="W18" i="18"/>
  <c r="AF86" i="12"/>
  <c r="AF90" s="1"/>
  <c r="AF92" s="1"/>
  <c r="AB18" i="18"/>
  <c r="AV35" i="19"/>
  <c r="AW61"/>
  <c r="AL86" i="12"/>
  <c r="AH18" i="18"/>
  <c r="AB10" i="20"/>
  <c r="V12"/>
  <c r="V13" s="1"/>
  <c r="AX18" i="19"/>
  <c r="AX21" s="1"/>
  <c r="BE18" i="16" s="1"/>
  <c r="U43"/>
  <c r="U24" i="20"/>
  <c r="AA5"/>
  <c r="W68" i="12"/>
  <c r="AY41" i="19"/>
  <c r="AZ67"/>
  <c r="AY36"/>
  <c r="AZ62"/>
  <c r="AY37"/>
  <c r="AZ63"/>
  <c r="S28" i="20"/>
  <c r="T26"/>
  <c r="T27" s="1"/>
  <c r="AZ57" i="7"/>
  <c r="AZ61" s="1"/>
  <c r="BB39" i="12"/>
  <c r="BB41"/>
  <c r="BB45"/>
  <c r="BB38"/>
  <c r="BB40"/>
  <c r="BB42"/>
  <c r="AI86"/>
  <c r="AI90" s="1"/>
  <c r="AI92" s="1"/>
  <c r="AE18" i="18"/>
  <c r="X65" i="15"/>
  <c r="Y49"/>
  <c r="AZ35" i="12"/>
  <c r="AZ37"/>
  <c r="AZ36"/>
  <c r="AX29" i="19"/>
  <c r="AX55"/>
  <c r="AY6"/>
  <c r="AY15"/>
  <c r="AY10"/>
  <c r="AJ14" i="18"/>
  <c r="AJ15" s="1"/>
  <c r="AR20" i="20"/>
  <c r="AK13" i="18"/>
  <c r="X86" i="12"/>
  <c r="X90" s="1"/>
  <c r="X92" s="1"/>
  <c r="T18" i="18"/>
  <c r="AC86" i="12"/>
  <c r="AC90" s="1"/>
  <c r="AC92" s="1"/>
  <c r="Y18" i="18"/>
  <c r="AD86" i="12"/>
  <c r="AD90" s="1"/>
  <c r="AD92" s="1"/>
  <c r="Z18" i="18"/>
  <c r="AX11" i="19"/>
  <c r="AY16" s="1"/>
  <c r="AX20"/>
  <c r="BE40" i="16" s="1"/>
  <c r="AY35" i="12"/>
  <c r="AY37"/>
  <c r="AY36"/>
  <c r="AW29" i="19"/>
  <c r="AW55"/>
  <c r="BH42"/>
  <c r="BK43" i="12"/>
  <c r="BH68" i="19"/>
  <c r="V31" i="16"/>
  <c r="V21"/>
  <c r="V23" s="1"/>
  <c r="V36"/>
  <c r="M28" i="18" s="1"/>
  <c r="M32" s="1"/>
  <c r="AW27" i="13"/>
  <c r="BC57" i="12" s="1"/>
  <c r="AW26" i="13"/>
  <c r="AW43"/>
  <c r="BC58" i="12" s="1"/>
  <c r="AW42" i="13"/>
  <c r="AX20"/>
  <c r="AX50"/>
  <c r="AX21"/>
  <c r="AX19"/>
  <c r="AX17"/>
  <c r="AY5"/>
  <c r="AX46"/>
  <c r="AX30"/>
  <c r="AX16"/>
  <c r="AX51"/>
  <c r="AX29"/>
  <c r="AX31"/>
  <c r="AX35"/>
  <c r="AX18"/>
  <c r="AX15"/>
  <c r="AX34"/>
  <c r="AX37"/>
  <c r="AX47"/>
  <c r="AX14"/>
  <c r="AX33"/>
  <c r="AX36"/>
  <c r="AX32"/>
  <c r="AX45"/>
  <c r="AX48"/>
  <c r="AJ86" i="12"/>
  <c r="AJ90" s="1"/>
  <c r="AJ92" s="1"/>
  <c r="AF18" i="18"/>
  <c r="W86" i="12"/>
  <c r="S18" i="18"/>
  <c r="AV34" i="19"/>
  <c r="AW60"/>
  <c r="AX34" i="12"/>
  <c r="AV33" i="19"/>
  <c r="AV59"/>
  <c r="AO28" i="16"/>
  <c r="AM19" i="20"/>
  <c r="AB11"/>
  <c r="V24"/>
  <c r="AD21"/>
  <c r="AD22" s="1"/>
  <c r="AU88" i="19"/>
  <c r="AU92" s="1"/>
  <c r="AJ17" i="18" l="1"/>
  <c r="AJ16"/>
  <c r="AS35" i="16"/>
  <c r="AV88" i="19"/>
  <c r="AV77"/>
  <c r="BC38" i="16" s="1"/>
  <c r="W90" i="12"/>
  <c r="W92" s="1"/>
  <c r="I86" i="14"/>
  <c r="I90" s="1"/>
  <c r="I92" s="1"/>
  <c r="AX42" i="13"/>
  <c r="AX43"/>
  <c r="BD58" i="12" s="1"/>
  <c r="AX11" i="13"/>
  <c r="AX12"/>
  <c r="AX26"/>
  <c r="AX27"/>
  <c r="BD57" i="12" s="1"/>
  <c r="BI42" i="19"/>
  <c r="BL43" i="12"/>
  <c r="BI68" i="19"/>
  <c r="AW35"/>
  <c r="AX61"/>
  <c r="AK15" i="18"/>
  <c r="AK14"/>
  <c r="AS20" i="20"/>
  <c r="AL13" i="18"/>
  <c r="AY11" i="19"/>
  <c r="AZ16" s="1"/>
  <c r="AX34"/>
  <c r="AY60"/>
  <c r="AZ34" i="12"/>
  <c r="AZ26" s="1"/>
  <c r="AX33" i="19"/>
  <c r="AX59"/>
  <c r="Y62" i="12"/>
  <c r="AD9" i="16"/>
  <c r="AZ38" i="19"/>
  <c r="BB64"/>
  <c r="AZ37"/>
  <c r="BA63"/>
  <c r="U26" i="20"/>
  <c r="T28"/>
  <c r="AL90" i="12"/>
  <c r="AL92" s="1"/>
  <c r="BC56"/>
  <c r="BA5" i="19"/>
  <c r="E13" i="36"/>
  <c r="K34" i="14"/>
  <c r="BA53" i="12"/>
  <c r="BN43" i="19"/>
  <c r="BQ44" i="12"/>
  <c r="BO69" i="19"/>
  <c r="Q99"/>
  <c r="S117" i="12"/>
  <c r="S119" s="1"/>
  <c r="X30" i="16" s="1"/>
  <c r="S99" i="19"/>
  <c r="U117" i="12"/>
  <c r="U119" s="1"/>
  <c r="Z30" i="16" s="1"/>
  <c r="AB5" i="20"/>
  <c r="X68" i="12"/>
  <c r="AC22" i="20"/>
  <c r="AX12" i="19"/>
  <c r="V117" i="12"/>
  <c r="V119" s="1"/>
  <c r="AA30" i="16" s="1"/>
  <c r="W43"/>
  <c r="AN19" i="20"/>
  <c r="AP28" i="16"/>
  <c r="AX26" i="12"/>
  <c r="AY21" i="13"/>
  <c r="AY19"/>
  <c r="AY17"/>
  <c r="AY20"/>
  <c r="AY50"/>
  <c r="AZ5"/>
  <c r="AY46"/>
  <c r="AY30"/>
  <c r="AY16"/>
  <c r="AY51"/>
  <c r="AY29"/>
  <c r="AY31"/>
  <c r="AY35"/>
  <c r="AY18"/>
  <c r="AY15"/>
  <c r="AY34"/>
  <c r="AY47"/>
  <c r="AY14"/>
  <c r="AY33"/>
  <c r="AY36"/>
  <c r="AY32"/>
  <c r="AY37"/>
  <c r="AY45"/>
  <c r="AY48"/>
  <c r="AW34" i="19"/>
  <c r="AX60"/>
  <c r="AY34" i="12"/>
  <c r="AY26" s="1"/>
  <c r="AW33" i="19"/>
  <c r="AW59"/>
  <c r="AX35"/>
  <c r="AY61"/>
  <c r="Y65" i="15"/>
  <c r="Z49"/>
  <c r="AZ41" i="19"/>
  <c r="BA67"/>
  <c r="AZ36"/>
  <c r="BA62"/>
  <c r="AZ39"/>
  <c r="BB65"/>
  <c r="BB28" i="12"/>
  <c r="AZ62" i="7"/>
  <c r="W69" i="12"/>
  <c r="W72"/>
  <c r="W95" s="1"/>
  <c r="AU86" i="19"/>
  <c r="AU89" s="1"/>
  <c r="AV91" s="1"/>
  <c r="AS5" i="25"/>
  <c r="J26" i="14"/>
  <c r="K26" s="1"/>
  <c r="BM44" i="19"/>
  <c r="BP46" i="12"/>
  <c r="BO70" i="19"/>
  <c r="BG18" i="20"/>
  <c r="BI27" i="16"/>
  <c r="AZ6" i="19"/>
  <c r="AZ15"/>
  <c r="AZ18" s="1"/>
  <c r="AZ10"/>
  <c r="BA35" i="12"/>
  <c r="BA37"/>
  <c r="BA36"/>
  <c r="AY29" i="19"/>
  <c r="AY55"/>
  <c r="Y93"/>
  <c r="X95"/>
  <c r="AE16" i="16" s="1"/>
  <c r="AD10" i="20" s="1"/>
  <c r="X94" i="19"/>
  <c r="G16" i="16"/>
  <c r="F16"/>
  <c r="AD19"/>
  <c r="AM86" i="12"/>
  <c r="AM90" s="1"/>
  <c r="AM92" s="1"/>
  <c r="AI18" i="18"/>
  <c r="V43" i="16"/>
  <c r="BH78" i="19"/>
  <c r="AE21" i="20"/>
  <c r="U27"/>
  <c r="BC54" i="12"/>
  <c r="T113"/>
  <c r="AC11" i="20"/>
  <c r="R99" i="19" l="1"/>
  <c r="T117" i="12"/>
  <c r="T119" s="1"/>
  <c r="Y30" i="16" s="1"/>
  <c r="AE22" i="20"/>
  <c r="F19" i="16"/>
  <c r="C48" i="36"/>
  <c r="G19" i="16"/>
  <c r="AE19"/>
  <c r="AY35" i="19"/>
  <c r="AZ61"/>
  <c r="AZ11"/>
  <c r="BA16" s="1"/>
  <c r="AZ12"/>
  <c r="AS7" i="25"/>
  <c r="AW48" i="12" s="1"/>
  <c r="AS6" i="25"/>
  <c r="W113" i="12"/>
  <c r="BB35"/>
  <c r="BB37"/>
  <c r="BB36"/>
  <c r="AZ29" i="19"/>
  <c r="AZ55"/>
  <c r="Z62" i="12"/>
  <c r="AE9" i="16"/>
  <c r="AE10" s="1"/>
  <c r="AW88" i="19"/>
  <c r="AX77"/>
  <c r="BE38" i="16" s="1"/>
  <c r="AW77" i="19"/>
  <c r="BD38" i="16" s="1"/>
  <c r="AY11" i="13"/>
  <c r="AY12"/>
  <c r="AZ20"/>
  <c r="AZ50"/>
  <c r="AZ21"/>
  <c r="AZ19"/>
  <c r="AZ17"/>
  <c r="BA5"/>
  <c r="AZ32"/>
  <c r="AZ45"/>
  <c r="AZ48"/>
  <c r="AZ38"/>
  <c r="AZ46"/>
  <c r="AZ30"/>
  <c r="AZ16"/>
  <c r="AZ51"/>
  <c r="AZ29"/>
  <c r="AZ31"/>
  <c r="AZ35"/>
  <c r="AZ18"/>
  <c r="AZ15"/>
  <c r="AZ34"/>
  <c r="AZ37"/>
  <c r="AZ47"/>
  <c r="AZ14"/>
  <c r="AZ33"/>
  <c r="AZ36"/>
  <c r="AV86" i="19"/>
  <c r="AV89" s="1"/>
  <c r="AW91" s="1"/>
  <c r="AT5" i="25"/>
  <c r="Z4" i="20"/>
  <c r="Z7" s="1"/>
  <c r="BA61" i="12"/>
  <c r="E41" i="36"/>
  <c r="E56" s="1"/>
  <c r="E57" s="1"/>
  <c r="BC55" i="12"/>
  <c r="G9" i="16"/>
  <c r="G10" s="1"/>
  <c r="F9"/>
  <c r="F10" s="1"/>
  <c r="AD10"/>
  <c r="AX86" i="19"/>
  <c r="AV5" i="25"/>
  <c r="AV7" s="1"/>
  <c r="AZ48" i="12" s="1"/>
  <c r="AK16" i="18"/>
  <c r="AK17"/>
  <c r="AT35" i="16"/>
  <c r="BJ42" i="19"/>
  <c r="BM43" i="12"/>
  <c r="BJ68" i="19"/>
  <c r="BD56" i="12"/>
  <c r="BD55" s="1"/>
  <c r="BD53" s="1"/>
  <c r="BD61" s="1"/>
  <c r="BB5" i="19"/>
  <c r="AN86" i="12"/>
  <c r="AN90" s="1"/>
  <c r="AN92" s="1"/>
  <c r="AJ18" i="18"/>
  <c r="AZ13" i="19"/>
  <c r="BC39" i="12"/>
  <c r="BC41"/>
  <c r="BC45"/>
  <c r="BA57" i="7"/>
  <c r="BA61" s="1"/>
  <c r="BC38" i="12"/>
  <c r="BC40"/>
  <c r="BC42"/>
  <c r="U28" i="20"/>
  <c r="V26"/>
  <c r="V27" s="1"/>
  <c r="Y94" i="19"/>
  <c r="Z93"/>
  <c r="Y95"/>
  <c r="AF16" i="16" s="1"/>
  <c r="AE10" i="20" s="1"/>
  <c r="AY34" i="19"/>
  <c r="AZ60"/>
  <c r="BA34" i="12"/>
  <c r="BA26" s="1"/>
  <c r="AY33" i="19"/>
  <c r="AY88" s="1"/>
  <c r="AY59"/>
  <c r="BJ27" i="16"/>
  <c r="BH18" i="20"/>
  <c r="BN44" i="19"/>
  <c r="BQ46" i="12"/>
  <c r="BP70" i="19"/>
  <c r="Z65" i="15"/>
  <c r="AA49"/>
  <c r="AW86" i="19"/>
  <c r="AW89" s="1"/>
  <c r="AX91" s="1"/>
  <c r="AU5" i="25"/>
  <c r="AU7" s="1"/>
  <c r="AY48" i="12" s="1"/>
  <c r="AY43" i="13"/>
  <c r="BE58" i="12" s="1"/>
  <c r="AY42" i="13"/>
  <c r="AY27"/>
  <c r="BE57" i="12" s="1"/>
  <c r="AY26" i="13"/>
  <c r="AQ28" i="16"/>
  <c r="AO19" i="20"/>
  <c r="H28" i="16"/>
  <c r="AY17" i="19"/>
  <c r="AY18" s="1"/>
  <c r="AX13"/>
  <c r="X69" i="12"/>
  <c r="X72"/>
  <c r="X95" s="1"/>
  <c r="Y4" i="20"/>
  <c r="Y7" s="1"/>
  <c r="X29" i="16"/>
  <c r="W4" i="20"/>
  <c r="W7" s="1"/>
  <c r="S101" i="19"/>
  <c r="Z39" i="16" s="1"/>
  <c r="T100" i="19"/>
  <c r="T101" s="1"/>
  <c r="AA39" i="16" s="1"/>
  <c r="Z12" i="20" s="1"/>
  <c r="Z13" s="1"/>
  <c r="U100" i="19"/>
  <c r="Q101"/>
  <c r="X39" i="16" s="1"/>
  <c r="W12" i="20" s="1"/>
  <c r="W13" s="1"/>
  <c r="R101" i="19"/>
  <c r="Y39" i="16" s="1"/>
  <c r="BR44" i="12"/>
  <c r="BO43" i="19"/>
  <c r="BP69"/>
  <c r="BA6"/>
  <c r="BA15"/>
  <c r="BA18" s="1"/>
  <c r="BA10"/>
  <c r="AC5" i="20"/>
  <c r="Y68" i="12"/>
  <c r="AL14" i="18"/>
  <c r="AL15" s="1"/>
  <c r="AT20" i="20"/>
  <c r="AM13" i="18"/>
  <c r="AD11" i="20"/>
  <c r="AF21"/>
  <c r="AX88" i="19"/>
  <c r="AX92" s="1"/>
  <c r="AY12"/>
  <c r="BI78"/>
  <c r="BD54" i="12"/>
  <c r="AV92" i="19"/>
  <c r="AL17" i="18" l="1"/>
  <c r="AL16"/>
  <c r="AU35" i="16"/>
  <c r="BB57" i="7"/>
  <c r="BB61" s="1"/>
  <c r="BD39" i="12"/>
  <c r="BD41"/>
  <c r="BD45"/>
  <c r="BD38"/>
  <c r="BD40"/>
  <c r="BD42"/>
  <c r="AY13" i="19"/>
  <c r="AF22" i="20"/>
  <c r="AM14" i="18"/>
  <c r="AM15" s="1"/>
  <c r="AU20" i="20"/>
  <c r="AN13" i="18"/>
  <c r="Y69" i="12"/>
  <c r="Y72"/>
  <c r="Y95" s="1"/>
  <c r="BA11" i="19"/>
  <c r="BB16" s="1"/>
  <c r="BA12"/>
  <c r="BB17" s="1"/>
  <c r="BA21"/>
  <c r="BH18" i="16" s="1"/>
  <c r="BA20" i="19"/>
  <c r="BH40" i="16" s="1"/>
  <c r="BP43" i="19"/>
  <c r="BS44" i="12"/>
  <c r="BQ69" i="19"/>
  <c r="AY21"/>
  <c r="BF18" i="16" s="1"/>
  <c r="AY20" i="19"/>
  <c r="BF40" i="16" s="1"/>
  <c r="G19" i="20"/>
  <c r="G22" s="1"/>
  <c r="AR28" i="16"/>
  <c r="AP19" i="20"/>
  <c r="AA62" i="12"/>
  <c r="AF9" i="16"/>
  <c r="AF10" s="1"/>
  <c r="BO44" i="19"/>
  <c r="BR46" i="12"/>
  <c r="BQ70" i="19"/>
  <c r="BI18" i="20"/>
  <c r="BK27" i="16"/>
  <c r="AY86" i="19"/>
  <c r="AY89" s="1"/>
  <c r="AZ91" s="1"/>
  <c r="AW5" i="25"/>
  <c r="AW7" s="1"/>
  <c r="BA48" i="12" s="1"/>
  <c r="Z94" i="19"/>
  <c r="Z95"/>
  <c r="AG16" i="16" s="1"/>
  <c r="AA93" i="19"/>
  <c r="W26" i="20"/>
  <c r="V28"/>
  <c r="BA41" i="19"/>
  <c r="BB67"/>
  <c r="BA36"/>
  <c r="BB62"/>
  <c r="BA37"/>
  <c r="BB63"/>
  <c r="AO86" i="12"/>
  <c r="AK18" i="18"/>
  <c r="AZ47" i="12"/>
  <c r="AX45" i="19"/>
  <c r="C44" i="36"/>
  <c r="BC53" i="12"/>
  <c r="E59" i="36"/>
  <c r="E32" s="1"/>
  <c r="C16" i="38" s="1"/>
  <c r="AZ11" i="13"/>
  <c r="AZ12"/>
  <c r="AZ26"/>
  <c r="AZ27"/>
  <c r="BF57" i="12" s="1"/>
  <c r="AZ35" i="19"/>
  <c r="BA61"/>
  <c r="U99"/>
  <c r="W117" i="12"/>
  <c r="W119" s="1"/>
  <c r="AB30" i="16" s="1"/>
  <c r="AW47" i="12"/>
  <c r="AU45" i="19"/>
  <c r="AU71"/>
  <c r="J48" i="14"/>
  <c r="K48" s="1"/>
  <c r="Y29" i="16"/>
  <c r="X4" i="20"/>
  <c r="X7" s="1"/>
  <c r="BA13" i="19"/>
  <c r="X12" i="20"/>
  <c r="X13" s="1"/>
  <c r="Y12"/>
  <c r="Y13" s="1"/>
  <c r="W24"/>
  <c r="W27" s="1"/>
  <c r="Y24"/>
  <c r="BJ78" i="19"/>
  <c r="BE54" i="12"/>
  <c r="Y113"/>
  <c r="W99" i="19" s="1"/>
  <c r="AZ21"/>
  <c r="BG18" i="16" s="1"/>
  <c r="AG21" i="20"/>
  <c r="AY77" i="19"/>
  <c r="BF38" i="16" s="1"/>
  <c r="Z100" i="19"/>
  <c r="W100"/>
  <c r="AC100"/>
  <c r="X31" i="16"/>
  <c r="X21"/>
  <c r="X23" s="1"/>
  <c r="X36"/>
  <c r="O28" i="18" s="1"/>
  <c r="O32" s="1"/>
  <c r="AY47" i="12"/>
  <c r="AW45" i="19"/>
  <c r="AA65" i="15"/>
  <c r="AB49"/>
  <c r="AF10" i="20"/>
  <c r="AF19" i="16"/>
  <c r="BA38" i="19"/>
  <c r="BC64"/>
  <c r="BC28" i="12"/>
  <c r="BA62" i="7"/>
  <c r="BA39" i="19"/>
  <c r="BC65"/>
  <c r="BB6"/>
  <c r="BB15"/>
  <c r="BB10"/>
  <c r="BK42"/>
  <c r="BK68"/>
  <c r="BN43" i="12"/>
  <c r="AT7" i="25"/>
  <c r="AX48" i="12" s="1"/>
  <c r="AZ42" i="13"/>
  <c r="AZ43"/>
  <c r="BF58" i="12" s="1"/>
  <c r="BA21" i="13"/>
  <c r="BA19"/>
  <c r="BA17"/>
  <c r="BA20"/>
  <c r="BA50"/>
  <c r="BB5"/>
  <c r="BA32"/>
  <c r="BA37"/>
  <c r="BA45"/>
  <c r="BA48"/>
  <c r="BA38"/>
  <c r="BA46"/>
  <c r="BA30"/>
  <c r="BA16"/>
  <c r="BA51"/>
  <c r="BA29"/>
  <c r="BA31"/>
  <c r="BA35"/>
  <c r="BA18"/>
  <c r="BA15"/>
  <c r="BA34"/>
  <c r="BA47"/>
  <c r="BA14"/>
  <c r="BA33"/>
  <c r="BA36"/>
  <c r="BE56" i="12"/>
  <c r="BE55" s="1"/>
  <c r="BE53" s="1"/>
  <c r="BE61" s="1"/>
  <c r="BC5" i="19"/>
  <c r="AD5" i="20"/>
  <c r="Z68" i="12"/>
  <c r="AZ34" i="19"/>
  <c r="BA60"/>
  <c r="BB34" i="12"/>
  <c r="AZ33" i="19"/>
  <c r="AZ88" s="1"/>
  <c r="AZ92" s="1"/>
  <c r="AZ59"/>
  <c r="AZ77"/>
  <c r="BG38" i="16" s="1"/>
  <c r="AX89" i="19"/>
  <c r="AY91" s="1"/>
  <c r="AY92" s="1"/>
  <c r="Z24" i="20"/>
  <c r="AW92" i="19"/>
  <c r="X113" i="12"/>
  <c r="AZ20" i="19"/>
  <c r="BG40" i="16" s="1"/>
  <c r="AE11" i="20"/>
  <c r="V99" i="19" l="1"/>
  <c r="X117" i="12"/>
  <c r="X119" s="1"/>
  <c r="AC30" i="16" s="1"/>
  <c r="BB26" i="12"/>
  <c r="BA27" i="13"/>
  <c r="BG57" i="12" s="1"/>
  <c r="BA26" i="13"/>
  <c r="BB20"/>
  <c r="BB50"/>
  <c r="BB21"/>
  <c r="BB19"/>
  <c r="BB17"/>
  <c r="BB49"/>
  <c r="BC5"/>
  <c r="BB38"/>
  <c r="BB46"/>
  <c r="BB30"/>
  <c r="BB16"/>
  <c r="BB51"/>
  <c r="BB29"/>
  <c r="BB31"/>
  <c r="BB35"/>
  <c r="BB18"/>
  <c r="BB15"/>
  <c r="BB34"/>
  <c r="BB37"/>
  <c r="BB47"/>
  <c r="BB14"/>
  <c r="BB33"/>
  <c r="BB36"/>
  <c r="BB32"/>
  <c r="BB45"/>
  <c r="BB48"/>
  <c r="BL42" i="19"/>
  <c r="BO43" i="12"/>
  <c r="BL68" i="19"/>
  <c r="BC35" i="12"/>
  <c r="BC37"/>
  <c r="BC36"/>
  <c r="BA29" i="19"/>
  <c r="BA55"/>
  <c r="AB65" i="15"/>
  <c r="AC49"/>
  <c r="AG22" i="20"/>
  <c r="AH21"/>
  <c r="X26"/>
  <c r="W28"/>
  <c r="AU79" i="19"/>
  <c r="AA4" i="20"/>
  <c r="AA7" s="1"/>
  <c r="BC61" i="12"/>
  <c r="AG19" i="16"/>
  <c r="BA47" i="12"/>
  <c r="AY45" i="19"/>
  <c r="AE5" i="20"/>
  <c r="AA68" i="12"/>
  <c r="AN14" i="18"/>
  <c r="AN15" s="1"/>
  <c r="AV20" i="20"/>
  <c r="AO13" i="18"/>
  <c r="BB41" i="19"/>
  <c r="BC67"/>
  <c r="BB36"/>
  <c r="BC62"/>
  <c r="BB39"/>
  <c r="BD65"/>
  <c r="BD28" i="12"/>
  <c r="BB62" i="7"/>
  <c r="AP86" i="12"/>
  <c r="AP90" s="1"/>
  <c r="AP92" s="1"/>
  <c r="AL18" i="18"/>
  <c r="BK78" i="19"/>
  <c r="BB18"/>
  <c r="BB20" s="1"/>
  <c r="BI40" i="16" s="1"/>
  <c r="AF11" i="20"/>
  <c r="X43" i="16"/>
  <c r="X24" i="20"/>
  <c r="X27" s="1"/>
  <c r="BF54" i="12"/>
  <c r="AI21" i="20"/>
  <c r="AI22" s="1"/>
  <c r="Z69" i="12"/>
  <c r="Z72"/>
  <c r="Z95" s="1"/>
  <c r="Z113" s="1"/>
  <c r="X99" i="19" s="1"/>
  <c r="BC6"/>
  <c r="BC15"/>
  <c r="BC10"/>
  <c r="BA11" i="13"/>
  <c r="BA12"/>
  <c r="BA43"/>
  <c r="BG58" i="12" s="1"/>
  <c r="BA42" i="13"/>
  <c r="AX47" i="12"/>
  <c r="AV45" i="19"/>
  <c r="AX79" s="1"/>
  <c r="BB11"/>
  <c r="BC16" s="1"/>
  <c r="BB21"/>
  <c r="BI18" i="16" s="1"/>
  <c r="AB62" i="12"/>
  <c r="AG9" i="16"/>
  <c r="AG10" s="1"/>
  <c r="BE39" i="12"/>
  <c r="BE41"/>
  <c r="BE45"/>
  <c r="BC57" i="7"/>
  <c r="BC61" s="1"/>
  <c r="BE38" i="12"/>
  <c r="BE40"/>
  <c r="BE42"/>
  <c r="Y31" i="16"/>
  <c r="Y36"/>
  <c r="P28" i="18" s="1"/>
  <c r="P32" s="1"/>
  <c r="Y21" i="16"/>
  <c r="Y23" s="1"/>
  <c r="Z29"/>
  <c r="J47" i="14"/>
  <c r="V101" i="19"/>
  <c r="AC39" i="16" s="1"/>
  <c r="U101" i="19"/>
  <c r="AB39" i="16" s="1"/>
  <c r="AA12" i="20" s="1"/>
  <c r="AA13" s="1"/>
  <c r="X101" i="19"/>
  <c r="AE39" i="16" s="1"/>
  <c r="BF56" i="12"/>
  <c r="BF55" s="1"/>
  <c r="BF53" s="1"/>
  <c r="BF61" s="1"/>
  <c r="BD5" i="19"/>
  <c r="AO90" i="12"/>
  <c r="AO92" s="1"/>
  <c r="AB93" i="19"/>
  <c r="AA94"/>
  <c r="AA95"/>
  <c r="AH16" i="16" s="1"/>
  <c r="BL27"/>
  <c r="BJ18" i="20"/>
  <c r="BP44" i="19"/>
  <c r="BS46" i="12"/>
  <c r="BR70" i="19"/>
  <c r="AS28" i="16"/>
  <c r="AQ19" i="20"/>
  <c r="BT44" i="12"/>
  <c r="BQ43" i="19"/>
  <c r="BR69"/>
  <c r="AM16" i="18"/>
  <c r="AM17"/>
  <c r="AV35" i="16"/>
  <c r="BB38" i="19"/>
  <c r="BD64"/>
  <c r="BB37"/>
  <c r="BC63"/>
  <c r="Y117" i="12"/>
  <c r="Y119" s="1"/>
  <c r="AD30" i="16" s="1"/>
  <c r="AB12" i="20" l="1"/>
  <c r="AB13" s="1"/>
  <c r="BG54" i="12"/>
  <c r="AN17" i="18"/>
  <c r="AN16"/>
  <c r="AW35" i="16"/>
  <c r="AB95" i="19"/>
  <c r="AI16" i="16" s="1"/>
  <c r="AC93" i="19"/>
  <c r="AB94"/>
  <c r="X28" i="20"/>
  <c r="Y26"/>
  <c r="Y27" s="1"/>
  <c r="BD35" i="12"/>
  <c r="BD37"/>
  <c r="BD36"/>
  <c r="BB29" i="19"/>
  <c r="BB55"/>
  <c r="AX80"/>
  <c r="BE17" i="16" s="1"/>
  <c r="BC34" i="12"/>
  <c r="BA33" i="19"/>
  <c r="BA59"/>
  <c r="BB42" i="13"/>
  <c r="BB43"/>
  <c r="BH58" i="12" s="1"/>
  <c r="BB11" i="13"/>
  <c r="BB12"/>
  <c r="BB26"/>
  <c r="BB27"/>
  <c r="BH57" i="12" s="1"/>
  <c r="BC21" i="13"/>
  <c r="BC19"/>
  <c r="BC17"/>
  <c r="BC49"/>
  <c r="BC20"/>
  <c r="BC50"/>
  <c r="BD5"/>
  <c r="BC38"/>
  <c r="BC46"/>
  <c r="BC30"/>
  <c r="BC16"/>
  <c r="BC51"/>
  <c r="BC29"/>
  <c r="BC31"/>
  <c r="BC35"/>
  <c r="BC18"/>
  <c r="BC15"/>
  <c r="BC34"/>
  <c r="BC47"/>
  <c r="BC14"/>
  <c r="BC33"/>
  <c r="BC36"/>
  <c r="BC32"/>
  <c r="BC37"/>
  <c r="BC45"/>
  <c r="BC48"/>
  <c r="AB4" i="20"/>
  <c r="AB7" s="1"/>
  <c r="AB24" s="1"/>
  <c r="BL78" i="19"/>
  <c r="AR19" i="20"/>
  <c r="AT28" i="16"/>
  <c r="AH10" i="20"/>
  <c r="AH19" i="16"/>
  <c r="E19" i="36"/>
  <c r="K47" i="14"/>
  <c r="Z31" i="16"/>
  <c r="Z43" s="1"/>
  <c r="Z36"/>
  <c r="Q28" i="18" s="1"/>
  <c r="Q32" s="1"/>
  <c r="Z21" i="16"/>
  <c r="Z23" s="1"/>
  <c r="AA29"/>
  <c r="BC41" i="19"/>
  <c r="BD67"/>
  <c r="BC36"/>
  <c r="BD62"/>
  <c r="BC37"/>
  <c r="BD63"/>
  <c r="AF5" i="20"/>
  <c r="AB68" i="12"/>
  <c r="BG39"/>
  <c r="BG41"/>
  <c r="BG45"/>
  <c r="BE57" i="7"/>
  <c r="BE61" s="1"/>
  <c r="BG38" i="12"/>
  <c r="BG40"/>
  <c r="BG42"/>
  <c r="AC65" i="15"/>
  <c r="AD49"/>
  <c r="BA34" i="19"/>
  <c r="BB60"/>
  <c r="AC4" i="20"/>
  <c r="AC7" s="1"/>
  <c r="AQ86" i="12"/>
  <c r="AQ90" s="1"/>
  <c r="AQ92" s="1"/>
  <c r="AM18" i="18"/>
  <c r="BR43" i="19"/>
  <c r="BU44" i="12"/>
  <c r="BS69" i="19"/>
  <c r="BQ44"/>
  <c r="BT46" i="12"/>
  <c r="BS70" i="19"/>
  <c r="BK18" i="20"/>
  <c r="BM27" i="16"/>
  <c r="BD6" i="19"/>
  <c r="BD15"/>
  <c r="BD10"/>
  <c r="BC38"/>
  <c r="BE64"/>
  <c r="BE28" i="12"/>
  <c r="BC62" i="7"/>
  <c r="BC39" i="19"/>
  <c r="BE65"/>
  <c r="BG56" i="12"/>
  <c r="BG55" s="1"/>
  <c r="BG53" s="1"/>
  <c r="BG61" s="1"/>
  <c r="BE5" i="19"/>
  <c r="BC11"/>
  <c r="BD16" s="1"/>
  <c r="BD57" i="7"/>
  <c r="BD61" s="1"/>
  <c r="BF39" i="12"/>
  <c r="BF41"/>
  <c r="BF45"/>
  <c r="BF38"/>
  <c r="BF40"/>
  <c r="BF42"/>
  <c r="AO14" i="18"/>
  <c r="AO15" s="1"/>
  <c r="AW20" i="20"/>
  <c r="AP13" i="18"/>
  <c r="AA69" i="12"/>
  <c r="AA117"/>
  <c r="AA119" s="1"/>
  <c r="AF30" i="16" s="1"/>
  <c r="AA72" i="12"/>
  <c r="AA95" s="1"/>
  <c r="AA113" s="1"/>
  <c r="Y99" i="19" s="1"/>
  <c r="AU80"/>
  <c r="BB17" i="16" s="1"/>
  <c r="I17" s="1"/>
  <c r="AH22" i="20"/>
  <c r="AJ21"/>
  <c r="AC62" i="12"/>
  <c r="AH9" i="16"/>
  <c r="AH10" s="1"/>
  <c r="BA35" i="19"/>
  <c r="BB61"/>
  <c r="BM42"/>
  <c r="BP43" i="12"/>
  <c r="BM68" i="19"/>
  <c r="AZ86"/>
  <c r="AZ89" s="1"/>
  <c r="BA91" s="1"/>
  <c r="AX5" i="25"/>
  <c r="BC18" i="19"/>
  <c r="BC20" s="1"/>
  <c r="BJ40" i="16" s="1"/>
  <c r="AG10" i="20"/>
  <c r="W101" i="19"/>
  <c r="AD39" i="16" s="1"/>
  <c r="Y43"/>
  <c r="BB12" i="19"/>
  <c r="Z117" i="12"/>
  <c r="Z119" s="1"/>
  <c r="AE30" i="16" s="1"/>
  <c r="AG11" i="20"/>
  <c r="AA24"/>
  <c r="AY79" i="19"/>
  <c r="AV79"/>
  <c r="AW79"/>
  <c r="BC21" l="1"/>
  <c r="BJ18" i="16" s="1"/>
  <c r="AO16" i="18"/>
  <c r="AO17"/>
  <c r="AX35" i="16"/>
  <c r="AW80" i="19"/>
  <c r="BD17" i="16" s="1"/>
  <c r="AV80" i="19"/>
  <c r="BC17" i="16" s="1"/>
  <c r="AY80" i="19"/>
  <c r="BF17" i="16" s="1"/>
  <c r="AX7" i="25"/>
  <c r="BB48" i="12" s="1"/>
  <c r="AJ22" i="20"/>
  <c r="AK21"/>
  <c r="Y101" i="19"/>
  <c r="AF39" i="16" s="1"/>
  <c r="AE12" i="20" s="1"/>
  <c r="AE13" s="1"/>
  <c r="BD38" i="19"/>
  <c r="BF64"/>
  <c r="BD37"/>
  <c r="BE63"/>
  <c r="BE6"/>
  <c r="BE15"/>
  <c r="BE10"/>
  <c r="BR44"/>
  <c r="BU46" i="12"/>
  <c r="BT70" i="19"/>
  <c r="AD65" i="15"/>
  <c r="AE49"/>
  <c r="BE41" i="19"/>
  <c r="BF67"/>
  <c r="BE36"/>
  <c r="BF62"/>
  <c r="BE37"/>
  <c r="BF63"/>
  <c r="AA31" i="16"/>
  <c r="AA21"/>
  <c r="AA23" s="1"/>
  <c r="AA36"/>
  <c r="R28" i="18" s="1"/>
  <c r="R32" s="1"/>
  <c r="AB29" i="16"/>
  <c r="AU28"/>
  <c r="AS19" i="20"/>
  <c r="BC11" i="13"/>
  <c r="BC12"/>
  <c r="BH56" i="12"/>
  <c r="BH55" s="1"/>
  <c r="BH53" s="1"/>
  <c r="BF5" i="19"/>
  <c r="BA88"/>
  <c r="BA92" s="1"/>
  <c r="BA77"/>
  <c r="BH38" i="16" s="1"/>
  <c r="BB35" i="19"/>
  <c r="BC61"/>
  <c r="Z26" i="20"/>
  <c r="Z27" s="1"/>
  <c r="Y28"/>
  <c r="AI19" i="16"/>
  <c r="AR86" i="12"/>
  <c r="AN18" i="18"/>
  <c r="BM78" i="19"/>
  <c r="BC12"/>
  <c r="BC13" s="1"/>
  <c r="BD18"/>
  <c r="BD20" s="1"/>
  <c r="BK40" i="16" s="1"/>
  <c r="AD4" i="20"/>
  <c r="AD7" s="1"/>
  <c r="BB13" i="19"/>
  <c r="F39" i="16"/>
  <c r="G39"/>
  <c r="AC12" i="20"/>
  <c r="AC13" s="1"/>
  <c r="BN42" i="19"/>
  <c r="BQ43" i="12"/>
  <c r="BN68" i="19"/>
  <c r="AG5" i="20"/>
  <c r="AC68" i="12"/>
  <c r="AE4" i="20"/>
  <c r="AE7" s="1"/>
  <c r="AE24" s="1"/>
  <c r="AP14" i="18"/>
  <c r="AP15" s="1"/>
  <c r="AX20" i="20"/>
  <c r="AQ13" i="18"/>
  <c r="BD41" i="19"/>
  <c r="BE67"/>
  <c r="BD36"/>
  <c r="BE62"/>
  <c r="BD39"/>
  <c r="BF65"/>
  <c r="BF28" i="12"/>
  <c r="BD62" i="7"/>
  <c r="BE35" i="12"/>
  <c r="BE37"/>
  <c r="BE36"/>
  <c r="BC29" i="19"/>
  <c r="BC55"/>
  <c r="BD11"/>
  <c r="BE16" s="1"/>
  <c r="BD21"/>
  <c r="BK18" i="16" s="1"/>
  <c r="BN27"/>
  <c r="BL18" i="20"/>
  <c r="BV44" i="12"/>
  <c r="BS43" i="19"/>
  <c r="BT69"/>
  <c r="N44" i="14"/>
  <c r="AD62" i="12"/>
  <c r="AI9" i="16"/>
  <c r="AI10" s="1"/>
  <c r="BE38" i="19"/>
  <c r="BG64"/>
  <c r="BG28" i="12"/>
  <c r="BE62" i="7"/>
  <c r="BE39" i="19"/>
  <c r="BG65"/>
  <c r="AB69" i="12"/>
  <c r="AB117"/>
  <c r="AB119" s="1"/>
  <c r="AG30" i="16" s="1"/>
  <c r="AB72" i="12"/>
  <c r="AB95" s="1"/>
  <c r="AB113" s="1"/>
  <c r="Z99" i="19" s="1"/>
  <c r="Z101" s="1"/>
  <c r="AG39" i="16" s="1"/>
  <c r="AF12" i="20" s="1"/>
  <c r="AF13" s="1"/>
  <c r="BC43" i="13"/>
  <c r="BI58" i="12" s="1"/>
  <c r="L58" i="14" s="1"/>
  <c r="F15" i="36" s="1"/>
  <c r="BC42" i="13"/>
  <c r="BC27"/>
  <c r="BI57" i="12" s="1"/>
  <c r="L57" i="14" s="1"/>
  <c r="F14" i="36" s="1"/>
  <c r="BC26" i="13"/>
  <c r="BD20"/>
  <c r="BD50"/>
  <c r="BD21"/>
  <c r="BD19"/>
  <c r="BD17"/>
  <c r="BD49"/>
  <c r="BE5"/>
  <c r="BD32"/>
  <c r="BD45"/>
  <c r="BD48"/>
  <c r="BD38"/>
  <c r="BD46"/>
  <c r="BD30"/>
  <c r="BD16"/>
  <c r="BD51"/>
  <c r="BD29"/>
  <c r="BD31"/>
  <c r="BD35"/>
  <c r="BD18"/>
  <c r="BD15"/>
  <c r="BD34"/>
  <c r="BD37"/>
  <c r="BD47"/>
  <c r="BD14"/>
  <c r="BD33"/>
  <c r="BD36"/>
  <c r="BC26" i="12"/>
  <c r="BB34" i="19"/>
  <c r="BC60"/>
  <c r="BD34" i="12"/>
  <c r="BD26" s="1"/>
  <c r="BB33" i="19"/>
  <c r="BB59"/>
  <c r="AC94"/>
  <c r="AD93"/>
  <c r="AC95"/>
  <c r="AJ16" i="16" s="1"/>
  <c r="AD12" i="20"/>
  <c r="AD13" s="1"/>
  <c r="AC24"/>
  <c r="AH11"/>
  <c r="BH54" i="12"/>
  <c r="AD24" i="20" l="1"/>
  <c r="AP17" i="18"/>
  <c r="AP16"/>
  <c r="AY35" i="16"/>
  <c r="BB86" i="19"/>
  <c r="AZ5" i="25"/>
  <c r="AZ7" s="1"/>
  <c r="BD48" i="12" s="1"/>
  <c r="BA86" i="19"/>
  <c r="BA89" s="1"/>
  <c r="BB91" s="1"/>
  <c r="AY5" i="25"/>
  <c r="BE21" i="13"/>
  <c r="BE19"/>
  <c r="BE17"/>
  <c r="BE49"/>
  <c r="BE20"/>
  <c r="BE50"/>
  <c r="BF5"/>
  <c r="BE32"/>
  <c r="BE45"/>
  <c r="BE48"/>
  <c r="BE38"/>
  <c r="BE46"/>
  <c r="BE30"/>
  <c r="BE16"/>
  <c r="BE51"/>
  <c r="BE29"/>
  <c r="BE31"/>
  <c r="BE35"/>
  <c r="BE18"/>
  <c r="BE15"/>
  <c r="BE34"/>
  <c r="BE37"/>
  <c r="BE47"/>
  <c r="BE14"/>
  <c r="BE33"/>
  <c r="BE36"/>
  <c r="AF4" i="20"/>
  <c r="AF7" s="1"/>
  <c r="AF24" s="1"/>
  <c r="BM18"/>
  <c r="BO27" i="16"/>
  <c r="J27"/>
  <c r="BF57" i="7"/>
  <c r="BF61" s="1"/>
  <c r="BH39" i="12"/>
  <c r="BH41"/>
  <c r="BH45"/>
  <c r="BH40"/>
  <c r="BH38"/>
  <c r="BH42"/>
  <c r="AJ19" i="16"/>
  <c r="BB88" i="19"/>
  <c r="BB92" s="1"/>
  <c r="BB77"/>
  <c r="BI38" i="16" s="1"/>
  <c r="BD12" i="13"/>
  <c r="BD11"/>
  <c r="BD26"/>
  <c r="BD27"/>
  <c r="BJ57" i="12" s="1"/>
  <c r="BG35"/>
  <c r="BG37"/>
  <c r="BG36"/>
  <c r="BE29" i="19"/>
  <c r="BE55"/>
  <c r="AH5" i="20"/>
  <c r="AD68" i="12"/>
  <c r="BW44"/>
  <c r="BT43" i="19"/>
  <c r="BU69"/>
  <c r="BC35"/>
  <c r="BD61"/>
  <c r="AQ14" i="18"/>
  <c r="AQ15" s="1"/>
  <c r="AY20" i="20"/>
  <c r="AR13" i="18"/>
  <c r="AC69" i="12"/>
  <c r="AC72"/>
  <c r="AC95" s="1"/>
  <c r="AC113" s="1"/>
  <c r="AA99" i="19" s="1"/>
  <c r="BO42"/>
  <c r="BR43" i="12"/>
  <c r="BO68" i="19"/>
  <c r="AR90" i="12"/>
  <c r="AR92" s="1"/>
  <c r="Z28" i="20"/>
  <c r="AA26"/>
  <c r="AA27" s="1"/>
  <c r="BH61" i="12"/>
  <c r="AB31" i="16"/>
  <c r="AB21"/>
  <c r="AB23" s="1"/>
  <c r="AB36"/>
  <c r="S28" i="18" s="1"/>
  <c r="S32" s="1"/>
  <c r="AC29" i="16"/>
  <c r="AE65" i="15"/>
  <c r="AF49"/>
  <c r="AK22" i="20"/>
  <c r="AL21"/>
  <c r="BD12" i="19"/>
  <c r="BD13" s="1"/>
  <c r="AI10" i="20"/>
  <c r="BI54" i="12"/>
  <c r="AE93" i="19"/>
  <c r="AD95"/>
  <c r="AK16" i="16" s="1"/>
  <c r="AD94" i="19"/>
  <c r="BD42" i="13"/>
  <c r="BD43"/>
  <c r="BJ58" i="12" s="1"/>
  <c r="BC34" i="19"/>
  <c r="BD60"/>
  <c r="BE34" i="12"/>
  <c r="BE26" s="1"/>
  <c r="BC33" i="19"/>
  <c r="BC59"/>
  <c r="BF35" i="12"/>
  <c r="BF37"/>
  <c r="BF36"/>
  <c r="BD29" i="19"/>
  <c r="BD55"/>
  <c r="BF6"/>
  <c r="BF15"/>
  <c r="BF10"/>
  <c r="BI56" i="12"/>
  <c r="BG5" i="19"/>
  <c r="AV28" i="16"/>
  <c r="AT19" i="20"/>
  <c r="AE62" i="12"/>
  <c r="AJ9" i="16"/>
  <c r="AJ10" s="1"/>
  <c r="BS44" i="19"/>
  <c r="BV46" i="12"/>
  <c r="BU70" i="19"/>
  <c r="N46" i="14"/>
  <c r="BE11" i="19"/>
  <c r="BF16" s="1"/>
  <c r="BB47" i="12"/>
  <c r="AZ45" i="19"/>
  <c r="AS86" i="12"/>
  <c r="AS90" s="1"/>
  <c r="AS92" s="1"/>
  <c r="AO18" i="18"/>
  <c r="BN78" i="19"/>
  <c r="AI11" i="20"/>
  <c r="AA43" i="16"/>
  <c r="AI5" i="20" l="1"/>
  <c r="AE68" i="12"/>
  <c r="BG6" i="19"/>
  <c r="BG15"/>
  <c r="BG10"/>
  <c r="AK19" i="16"/>
  <c r="AZ79" i="19"/>
  <c r="G11" i="36"/>
  <c r="O46" i="14"/>
  <c r="BW46" i="12"/>
  <c r="BT44" i="19"/>
  <c r="BV70"/>
  <c r="AW28" i="16"/>
  <c r="AU19" i="20"/>
  <c r="BI55" i="12"/>
  <c r="L56" i="14"/>
  <c r="F16" i="36" s="1"/>
  <c r="BD35" i="19"/>
  <c r="BE61"/>
  <c r="BC86"/>
  <c r="BA5" i="25"/>
  <c r="BA7" s="1"/>
  <c r="BE48" i="12" s="1"/>
  <c r="AE95" i="19"/>
  <c r="AL16" i="16" s="1"/>
  <c r="AF93" i="19"/>
  <c r="AE94"/>
  <c r="BI39" i="12"/>
  <c r="BI41"/>
  <c r="BI45"/>
  <c r="L45" i="14" s="1"/>
  <c r="BG57" i="7"/>
  <c r="BG61" s="1"/>
  <c r="BI38" i="12"/>
  <c r="BI42"/>
  <c r="BI40"/>
  <c r="L54" i="14"/>
  <c r="AF62" i="12"/>
  <c r="AK9" i="16"/>
  <c r="AK10" s="1"/>
  <c r="AB26" i="20"/>
  <c r="AB27" s="1"/>
  <c r="AA28"/>
  <c r="AR14" i="18"/>
  <c r="AR15"/>
  <c r="AZ20" i="20"/>
  <c r="AS13" i="18"/>
  <c r="BE34" i="19"/>
  <c r="BF60"/>
  <c r="BG34" i="12"/>
  <c r="BG26" s="1"/>
  <c r="BE33" i="19"/>
  <c r="BE59"/>
  <c r="BJ56" i="12"/>
  <c r="BH5" i="19"/>
  <c r="BF36"/>
  <c r="BG62"/>
  <c r="BF37"/>
  <c r="BG63"/>
  <c r="BP27" i="16"/>
  <c r="BN18" i="20"/>
  <c r="BE43" i="13"/>
  <c r="BK58" i="12" s="1"/>
  <c r="BE42" i="13"/>
  <c r="BF20"/>
  <c r="BF50"/>
  <c r="BF21"/>
  <c r="BF19"/>
  <c r="BF17"/>
  <c r="BF49"/>
  <c r="BG5"/>
  <c r="BF38"/>
  <c r="BF46"/>
  <c r="BF30"/>
  <c r="BF16"/>
  <c r="BF51"/>
  <c r="BF29"/>
  <c r="BF31"/>
  <c r="BF35"/>
  <c r="BF18"/>
  <c r="BF15"/>
  <c r="BF34"/>
  <c r="BF37"/>
  <c r="BF47"/>
  <c r="BF14"/>
  <c r="BF33"/>
  <c r="BF36"/>
  <c r="BF32"/>
  <c r="BF45"/>
  <c r="BF48"/>
  <c r="AY7" i="25"/>
  <c r="BC48" i="12" s="1"/>
  <c r="BD47"/>
  <c r="BB45" i="19"/>
  <c r="AT86" i="12"/>
  <c r="AT90" s="1"/>
  <c r="AT92" s="1"/>
  <c r="AP18" i="18"/>
  <c r="BE12" i="19"/>
  <c r="BF18"/>
  <c r="BF20" s="1"/>
  <c r="BM40" i="16" s="1"/>
  <c r="BE17" i="19"/>
  <c r="BE18" s="1"/>
  <c r="AB43" i="16"/>
  <c r="BO78" i="19"/>
  <c r="AJ10" i="20"/>
  <c r="BF11" i="19"/>
  <c r="BG16" s="1"/>
  <c r="BF21"/>
  <c r="BM18" i="16" s="1"/>
  <c r="BD34" i="19"/>
  <c r="BE60"/>
  <c r="BF34" i="12"/>
  <c r="BF26" s="1"/>
  <c r="BD33" i="19"/>
  <c r="BD88" s="1"/>
  <c r="BD59"/>
  <c r="BC88"/>
  <c r="BC77"/>
  <c r="BJ38" i="16" s="1"/>
  <c r="AL22" i="20"/>
  <c r="AM21"/>
  <c r="AF65" i="15"/>
  <c r="AG49"/>
  <c r="AC31" i="16"/>
  <c r="AC36"/>
  <c r="T28" i="18" s="1"/>
  <c r="T32" s="1"/>
  <c r="AC21" i="16"/>
  <c r="AC23" s="1"/>
  <c r="AD29"/>
  <c r="BP42" i="19"/>
  <c r="BS43" i="12"/>
  <c r="BP68" i="19"/>
  <c r="AA101"/>
  <c r="AH39" i="16" s="1"/>
  <c r="AG12" i="20" s="1"/>
  <c r="AG13" s="1"/>
  <c r="AQ16" i="18"/>
  <c r="AQ17"/>
  <c r="AZ35" i="16"/>
  <c r="BU43" i="19"/>
  <c r="BX44" i="12"/>
  <c r="BV69" i="19"/>
  <c r="AD69" i="12"/>
  <c r="AD72"/>
  <c r="AD95" s="1"/>
  <c r="AD113" s="1"/>
  <c r="AB99" i="19" s="1"/>
  <c r="AB101" s="1"/>
  <c r="AI39" i="16" s="1"/>
  <c r="BE35" i="19"/>
  <c r="BF61"/>
  <c r="BF41"/>
  <c r="BG67"/>
  <c r="BF38"/>
  <c r="BH64"/>
  <c r="BF39"/>
  <c r="BH65"/>
  <c r="BH28" i="12"/>
  <c r="BF62" i="7"/>
  <c r="I18" i="20"/>
  <c r="BE11" i="13"/>
  <c r="BK54" i="12" s="1"/>
  <c r="BE12" i="13"/>
  <c r="BE27"/>
  <c r="BK57" i="12" s="1"/>
  <c r="BE26" i="13"/>
  <c r="BD77" i="19"/>
  <c r="BK38" i="16" s="1"/>
  <c r="AC117" i="12"/>
  <c r="AC119" s="1"/>
  <c r="AH30" i="16" s="1"/>
  <c r="BJ54" i="12"/>
  <c r="AJ11" i="20"/>
  <c r="BB89" i="19"/>
  <c r="BC91" s="1"/>
  <c r="BP78" l="1"/>
  <c r="AC43" i="16"/>
  <c r="BK39" i="12"/>
  <c r="BK41"/>
  <c r="BK45"/>
  <c r="BI57" i="7"/>
  <c r="BI61" s="1"/>
  <c r="BK38" i="12"/>
  <c r="BK40"/>
  <c r="BK42"/>
  <c r="BH35"/>
  <c r="BH37"/>
  <c r="BH36"/>
  <c r="BF29" i="19"/>
  <c r="BF55"/>
  <c r="AU86" i="12"/>
  <c r="AU90" s="1"/>
  <c r="AU92" s="1"/>
  <c r="AQ18" i="18"/>
  <c r="BD86" i="19"/>
  <c r="BD89" s="1"/>
  <c r="BE91" s="1"/>
  <c r="BB5" i="25"/>
  <c r="BE20" i="19"/>
  <c r="BL40" i="16" s="1"/>
  <c r="BE21" i="19"/>
  <c r="BL18" i="16" s="1"/>
  <c r="BC47" i="12"/>
  <c r="BA45" i="19"/>
  <c r="BA71"/>
  <c r="BF42" i="13"/>
  <c r="BF43"/>
  <c r="BL58" i="12" s="1"/>
  <c r="BF12" i="13"/>
  <c r="BF11"/>
  <c r="BF26"/>
  <c r="BF27"/>
  <c r="BL57" i="12" s="1"/>
  <c r="BG21" i="13"/>
  <c r="BG19"/>
  <c r="BG17"/>
  <c r="BG49"/>
  <c r="BG20"/>
  <c r="BG50"/>
  <c r="BH5"/>
  <c r="BG38"/>
  <c r="BG46"/>
  <c r="BG30"/>
  <c r="BG16"/>
  <c r="BG51"/>
  <c r="BG29"/>
  <c r="BG31"/>
  <c r="BG35"/>
  <c r="BG18"/>
  <c r="BG15"/>
  <c r="BG34"/>
  <c r="BG37"/>
  <c r="BG47"/>
  <c r="BG14"/>
  <c r="BG33"/>
  <c r="BG36"/>
  <c r="BG32"/>
  <c r="BG45"/>
  <c r="BG48"/>
  <c r="BJ55" i="12"/>
  <c r="AS14" i="18"/>
  <c r="AS15" s="1"/>
  <c r="BA20" i="20"/>
  <c r="H20"/>
  <c r="AT13" i="18"/>
  <c r="AR17"/>
  <c r="AR16"/>
  <c r="BA35" i="16"/>
  <c r="BG41" i="19"/>
  <c r="BH67"/>
  <c r="L42" i="14"/>
  <c r="BI28" i="12"/>
  <c r="BG62" i="7"/>
  <c r="BG39" i="19"/>
  <c r="BI65"/>
  <c r="L41" i="14"/>
  <c r="AL19" i="16"/>
  <c r="BI53" i="12"/>
  <c r="L55" i="14"/>
  <c r="AZ80" i="19"/>
  <c r="BG17" i="16" s="1"/>
  <c r="AE69" i="12"/>
  <c r="AE72"/>
  <c r="AE95" s="1"/>
  <c r="AE113" s="1"/>
  <c r="AC99" i="19" s="1"/>
  <c r="BE88"/>
  <c r="BE92" s="1"/>
  <c r="BC89"/>
  <c r="BD91" s="1"/>
  <c r="AK10" i="20"/>
  <c r="BG18" i="19"/>
  <c r="BE77"/>
  <c r="BL38" i="16" s="1"/>
  <c r="AG62" i="12"/>
  <c r="AL9" i="16"/>
  <c r="AL10" s="1"/>
  <c r="AM22" i="20"/>
  <c r="AN21"/>
  <c r="BH57" i="7"/>
  <c r="BH61" s="1"/>
  <c r="BJ39" i="12"/>
  <c r="BJ41"/>
  <c r="BJ45"/>
  <c r="BJ38"/>
  <c r="BJ40"/>
  <c r="BJ42"/>
  <c r="AG4" i="20"/>
  <c r="AG7" s="1"/>
  <c r="AG24" s="1"/>
  <c r="BK56" i="12"/>
  <c r="BK55" s="1"/>
  <c r="BK53" s="1"/>
  <c r="BK61" s="1"/>
  <c r="BI5" i="19"/>
  <c r="BY44" i="12"/>
  <c r="BV43" i="19"/>
  <c r="BW69"/>
  <c r="BQ42"/>
  <c r="BT43" i="12"/>
  <c r="BQ68" i="19"/>
  <c r="G29" i="16"/>
  <c r="F29"/>
  <c r="AD31"/>
  <c r="AD21"/>
  <c r="AD36"/>
  <c r="AE29"/>
  <c r="AG65" i="15"/>
  <c r="AH49"/>
  <c r="BE13" i="19"/>
  <c r="BO18" i="20"/>
  <c r="BQ27" i="16"/>
  <c r="BH6" i="19"/>
  <c r="BH15"/>
  <c r="BH10"/>
  <c r="BE86"/>
  <c r="BE89" s="1"/>
  <c r="BF91" s="1"/>
  <c r="BC5" i="25"/>
  <c r="BC7" s="1"/>
  <c r="BG48" i="12" s="1"/>
  <c r="AC26" i="20"/>
  <c r="AC27" s="1"/>
  <c r="AB28"/>
  <c r="AJ5"/>
  <c r="AF68" i="12"/>
  <c r="BG38" i="19"/>
  <c r="BI64"/>
  <c r="L40" i="14"/>
  <c r="BG36" i="19"/>
  <c r="BH62"/>
  <c r="L38" i="14"/>
  <c r="BG37" i="19"/>
  <c r="BH63"/>
  <c r="L39" i="14"/>
  <c r="AF94" i="19"/>
  <c r="AF95"/>
  <c r="AM16" i="16" s="1"/>
  <c r="AG93" i="19"/>
  <c r="BE47" i="12"/>
  <c r="BC45" i="19"/>
  <c r="AV19" i="20"/>
  <c r="AX28" i="16"/>
  <c r="BX46" i="12"/>
  <c r="BU44" i="19"/>
  <c r="BW70"/>
  <c r="BG11"/>
  <c r="BH16" s="1"/>
  <c r="BG20"/>
  <c r="BN40" i="16" s="1"/>
  <c r="J40" s="1"/>
  <c r="BG21" i="19"/>
  <c r="BN18" i="16" s="1"/>
  <c r="J18" s="1"/>
  <c r="AH12" i="20"/>
  <c r="AH13" s="1"/>
  <c r="AD117" i="12"/>
  <c r="AD119" s="1"/>
  <c r="AI30" i="16" s="1"/>
  <c r="AG100" i="19"/>
  <c r="BC92"/>
  <c r="BD92"/>
  <c r="BF12"/>
  <c r="BF13" s="1"/>
  <c r="AK11" i="20"/>
  <c r="BG12" i="19" l="1"/>
  <c r="BH17" s="1"/>
  <c r="BL54" i="12"/>
  <c r="AS16" i="18"/>
  <c r="AS17"/>
  <c r="BB35" i="16"/>
  <c r="BY46" i="12"/>
  <c r="BV44" i="19"/>
  <c r="BX70"/>
  <c r="AY28" i="16"/>
  <c r="AW19" i="20"/>
  <c r="AM19" i="16"/>
  <c r="AH62" i="12"/>
  <c r="AM9" i="16"/>
  <c r="AM10" s="1"/>
  <c r="AH93" i="19"/>
  <c r="AG94"/>
  <c r="AG95"/>
  <c r="AN16" i="16" s="1"/>
  <c r="AM10" i="20" s="1"/>
  <c r="AF69" i="12"/>
  <c r="AF72"/>
  <c r="AF95" s="1"/>
  <c r="AF113" s="1"/>
  <c r="AD99" i="19" s="1"/>
  <c r="BG47" i="12"/>
  <c r="BE45" i="19"/>
  <c r="BH11"/>
  <c r="BI16" s="1"/>
  <c r="BR27" i="16"/>
  <c r="BP18" i="20"/>
  <c r="AH65" i="15"/>
  <c r="AI49"/>
  <c r="AE31" i="16"/>
  <c r="AE43" s="1"/>
  <c r="AE36"/>
  <c r="V28" i="18" s="1"/>
  <c r="V32" s="1"/>
  <c r="AE21" i="16"/>
  <c r="AE23" s="1"/>
  <c r="AF29"/>
  <c r="G21"/>
  <c r="F21"/>
  <c r="F23" s="1"/>
  <c r="AD23"/>
  <c r="F30"/>
  <c r="F31"/>
  <c r="BI15" i="19"/>
  <c r="BI18" s="1"/>
  <c r="BI6"/>
  <c r="BI10"/>
  <c r="BH38"/>
  <c r="BJ64"/>
  <c r="BH37"/>
  <c r="BI63"/>
  <c r="AK5" i="20"/>
  <c r="AG68" i="12"/>
  <c r="BI35"/>
  <c r="BI37"/>
  <c r="BI36"/>
  <c r="BG29" i="19"/>
  <c r="BG55"/>
  <c r="L28" i="14"/>
  <c r="AT15" i="18"/>
  <c r="AT14"/>
  <c r="BB20" i="20"/>
  <c r="AU13" i="18"/>
  <c r="BG43" i="13"/>
  <c r="BM58" i="12" s="1"/>
  <c r="BG42" i="13"/>
  <c r="BG11"/>
  <c r="BM54" i="12" s="1"/>
  <c r="BG12" i="13"/>
  <c r="BG27"/>
  <c r="BM57" i="12" s="1"/>
  <c r="BG26" i="13"/>
  <c r="BH22"/>
  <c r="BH20"/>
  <c r="BH50"/>
  <c r="BH21"/>
  <c r="BH19"/>
  <c r="BH17"/>
  <c r="BH49"/>
  <c r="BI5"/>
  <c r="BH32"/>
  <c r="BH45"/>
  <c r="BH48"/>
  <c r="BH38"/>
  <c r="BH46"/>
  <c r="BH30"/>
  <c r="BH16"/>
  <c r="BH51"/>
  <c r="BH29"/>
  <c r="BH31"/>
  <c r="BH35"/>
  <c r="BH18"/>
  <c r="BH15"/>
  <c r="BH34"/>
  <c r="BH37"/>
  <c r="BH47"/>
  <c r="BH14"/>
  <c r="BH33"/>
  <c r="BH36"/>
  <c r="BL56" i="12"/>
  <c r="BL55" s="1"/>
  <c r="BL53" s="1"/>
  <c r="BL61" s="1"/>
  <c r="BJ5" i="19"/>
  <c r="BF34"/>
  <c r="BG60"/>
  <c r="BH34" i="12"/>
  <c r="BH26" s="1"/>
  <c r="BF33" i="19"/>
  <c r="BF59"/>
  <c r="BI38"/>
  <c r="BK64"/>
  <c r="BK28" i="12"/>
  <c r="BI39" i="19"/>
  <c r="BK65"/>
  <c r="BG13"/>
  <c r="BQ78"/>
  <c r="AE117" i="12"/>
  <c r="AE119" s="1"/>
  <c r="AJ30" i="16" s="1"/>
  <c r="AH4" i="20"/>
  <c r="AH7" s="1"/>
  <c r="AH24" s="1"/>
  <c r="AD26"/>
  <c r="AD27" s="1"/>
  <c r="AC28"/>
  <c r="G36" i="16"/>
  <c r="U28" i="18"/>
  <c r="U32" s="1"/>
  <c r="F36" i="16"/>
  <c r="G30"/>
  <c r="G31"/>
  <c r="BR42" i="19"/>
  <c r="BU43" i="12"/>
  <c r="BR68" i="19"/>
  <c r="BW43"/>
  <c r="BZ44" i="12"/>
  <c r="BX69" i="19"/>
  <c r="BH41"/>
  <c r="BI67"/>
  <c r="BH36"/>
  <c r="BI62"/>
  <c r="BH39"/>
  <c r="BJ65"/>
  <c r="BJ28" i="12"/>
  <c r="BH62" i="7"/>
  <c r="BI62" s="1"/>
  <c r="AN22" i="20"/>
  <c r="AO21"/>
  <c r="AC101" i="19"/>
  <c r="AJ39" i="16" s="1"/>
  <c r="AI12" i="20" s="1"/>
  <c r="AI13" s="1"/>
  <c r="AF100" i="19"/>
  <c r="BI61" i="12"/>
  <c r="L61" i="14" s="1"/>
  <c r="L53"/>
  <c r="M53" s="1"/>
  <c r="AV86" i="12"/>
  <c r="AV90" s="1"/>
  <c r="AV92" s="1"/>
  <c r="AR18" i="18"/>
  <c r="BJ53" i="12"/>
  <c r="BJ57" i="7"/>
  <c r="BJ61" s="1"/>
  <c r="BL39" i="12"/>
  <c r="BL41"/>
  <c r="BL45"/>
  <c r="BL38"/>
  <c r="BL40"/>
  <c r="BL42"/>
  <c r="BB79" i="19"/>
  <c r="BC79"/>
  <c r="BA79"/>
  <c r="BB7" i="25"/>
  <c r="BF48" i="12" s="1"/>
  <c r="BF35" i="19"/>
  <c r="BG61"/>
  <c r="BI41"/>
  <c r="BJ67"/>
  <c r="BI36"/>
  <c r="BJ62"/>
  <c r="BI37"/>
  <c r="BJ63"/>
  <c r="BH18"/>
  <c r="BH21" s="1"/>
  <c r="BO18" i="16" s="1"/>
  <c r="AD43"/>
  <c r="AL10" i="20"/>
  <c r="AL11" s="1"/>
  <c r="BA80" i="19" l="1"/>
  <c r="BH17" i="16" s="1"/>
  <c r="BB80" i="19"/>
  <c r="BI17" i="16" s="1"/>
  <c r="BJ38" i="19"/>
  <c r="BL64"/>
  <c r="BJ37"/>
  <c r="BK63"/>
  <c r="AI100"/>
  <c r="AO100"/>
  <c r="AL100"/>
  <c r="AP21" i="20"/>
  <c r="AO22"/>
  <c r="CA44" i="12"/>
  <c r="BX43" i="19"/>
  <c r="BY69"/>
  <c r="BF86"/>
  <c r="BD5" i="25"/>
  <c r="BH42" i="13"/>
  <c r="BH43"/>
  <c r="BN58" i="12" s="1"/>
  <c r="BI21" i="13"/>
  <c r="BI19"/>
  <c r="BI17"/>
  <c r="BI49"/>
  <c r="BI22"/>
  <c r="BI20"/>
  <c r="BI50"/>
  <c r="BJ5"/>
  <c r="BI32"/>
  <c r="BI45"/>
  <c r="BI48"/>
  <c r="BI38"/>
  <c r="BI46"/>
  <c r="BI30"/>
  <c r="BI16"/>
  <c r="BI51"/>
  <c r="BI29"/>
  <c r="BI31"/>
  <c r="BI35"/>
  <c r="BI18"/>
  <c r="BI15"/>
  <c r="BI34"/>
  <c r="BI37"/>
  <c r="BI47"/>
  <c r="BI14"/>
  <c r="BI33"/>
  <c r="BI36"/>
  <c r="BM56" i="12"/>
  <c r="BK5" i="19"/>
  <c r="AU14" i="18"/>
  <c r="AU15" s="1"/>
  <c r="BC20" i="20"/>
  <c r="AV13" i="18"/>
  <c r="F12" i="36"/>
  <c r="M28" i="14"/>
  <c r="BG34" i="19"/>
  <c r="BH60"/>
  <c r="L36" i="14"/>
  <c r="BI34" i="12"/>
  <c r="BG33" i="19"/>
  <c r="BG59"/>
  <c r="L35" i="14"/>
  <c r="AG69" i="12"/>
  <c r="AG72"/>
  <c r="AG95" s="1"/>
  <c r="AG113" s="1"/>
  <c r="AE99" i="19" s="1"/>
  <c r="AE101" s="1"/>
  <c r="AL39" i="16" s="1"/>
  <c r="AF31"/>
  <c r="AF21"/>
  <c r="AF23" s="1"/>
  <c r="AF36"/>
  <c r="W28" i="18" s="1"/>
  <c r="W32" s="1"/>
  <c r="AG29" i="16"/>
  <c r="AI65" i="15"/>
  <c r="AJ49"/>
  <c r="BQ18" i="20"/>
  <c r="BS27" i="16"/>
  <c r="AN19"/>
  <c r="AH94" i="19"/>
  <c r="AI93"/>
  <c r="AH95"/>
  <c r="AO16" i="16" s="1"/>
  <c r="AZ28"/>
  <c r="AX19" i="20"/>
  <c r="BZ46" i="12"/>
  <c r="BW44" i="19"/>
  <c r="BY70"/>
  <c r="I35" i="16"/>
  <c r="H21" i="20" s="1"/>
  <c r="BR78" i="19"/>
  <c r="BH20"/>
  <c r="BO40" i="16" s="1"/>
  <c r="BH12" i="19"/>
  <c r="AF117" i="12"/>
  <c r="AF119" s="1"/>
  <c r="AK30" i="16" s="1"/>
  <c r="AM11" i="20"/>
  <c r="BF47" i="12"/>
  <c r="BD45" i="19"/>
  <c r="BC80"/>
  <c r="BJ17" i="16" s="1"/>
  <c r="BJ41" i="19"/>
  <c r="BK67"/>
  <c r="BJ36"/>
  <c r="BK62"/>
  <c r="BJ39"/>
  <c r="BL65"/>
  <c r="BL28" i="12"/>
  <c r="BJ62" i="7"/>
  <c r="BJ61" i="12"/>
  <c r="F17" i="36"/>
  <c r="M61" i="14"/>
  <c r="BJ35" i="12"/>
  <c r="BJ37"/>
  <c r="BJ36"/>
  <c r="BH29" i="19"/>
  <c r="BH55"/>
  <c r="BV43" i="12"/>
  <c r="BS42" i="19"/>
  <c r="BS78" s="1"/>
  <c r="BS68"/>
  <c r="N43" i="14"/>
  <c r="C38" i="36"/>
  <c r="G43" i="16"/>
  <c r="AE26" i="20"/>
  <c r="AE27" s="1"/>
  <c r="AD28"/>
  <c r="AI4"/>
  <c r="AI7" s="1"/>
  <c r="AI24" s="1"/>
  <c r="BK35" i="12"/>
  <c r="BK37"/>
  <c r="BK36"/>
  <c r="BI29" i="19"/>
  <c r="BI55"/>
  <c r="BF88"/>
  <c r="BF92" s="1"/>
  <c r="BF77"/>
  <c r="BM38" i="16" s="1"/>
  <c r="BJ6" i="19"/>
  <c r="BJ15"/>
  <c r="BJ10"/>
  <c r="BH12" i="13"/>
  <c r="BH11"/>
  <c r="BH26"/>
  <c r="BH27"/>
  <c r="BN57" i="12" s="1"/>
  <c r="BM39"/>
  <c r="BM41"/>
  <c r="BM45"/>
  <c r="BK57" i="7"/>
  <c r="BK61" s="1"/>
  <c r="BM38" i="12"/>
  <c r="BM40"/>
  <c r="BM42"/>
  <c r="AT16" i="18"/>
  <c r="AT17"/>
  <c r="BC35" i="16"/>
  <c r="BG35" i="19"/>
  <c r="BH61"/>
  <c r="L37" i="14"/>
  <c r="BI11" i="19"/>
  <c r="BJ16" s="1"/>
  <c r="BI21"/>
  <c r="BP18" i="16" s="1"/>
  <c r="BI20" i="19"/>
  <c r="BP40" i="16" s="1"/>
  <c r="C49" i="36"/>
  <c r="G23" i="16"/>
  <c r="AI62" i="12"/>
  <c r="AN9" i="16"/>
  <c r="AN10" s="1"/>
  <c r="AD101" i="19"/>
  <c r="AK39" i="16" s="1"/>
  <c r="AJ12" i="20" s="1"/>
  <c r="AJ13" s="1"/>
  <c r="AL5"/>
  <c r="AH68" i="12"/>
  <c r="AW86"/>
  <c r="AS18" i="18"/>
  <c r="F43" i="16"/>
  <c r="BJ18" i="19" l="1"/>
  <c r="BI12"/>
  <c r="AU17" i="18"/>
  <c r="AU16"/>
  <c r="BD35" i="16"/>
  <c r="AH69" i="12"/>
  <c r="AH72"/>
  <c r="AH95" s="1"/>
  <c r="AH113" s="1"/>
  <c r="AF99" i="19" s="1"/>
  <c r="AX86" i="12"/>
  <c r="AT18" i="18"/>
  <c r="BK38" i="19"/>
  <c r="BM64"/>
  <c r="BM28" i="12"/>
  <c r="BK62" i="7"/>
  <c r="BK39" i="19"/>
  <c r="BM65"/>
  <c r="BJ11"/>
  <c r="BK16" s="1"/>
  <c r="BJ20"/>
  <c r="BQ40" i="16" s="1"/>
  <c r="BJ21" i="19"/>
  <c r="BQ18" i="16" s="1"/>
  <c r="BI34" i="19"/>
  <c r="BJ60"/>
  <c r="BK34" i="12"/>
  <c r="BK26" s="1"/>
  <c r="BI33" i="19"/>
  <c r="BI59"/>
  <c r="AF26" i="20"/>
  <c r="AF27" s="1"/>
  <c r="AE28"/>
  <c r="BT68" i="19"/>
  <c r="BW43" i="12"/>
  <c r="BT42" i="19"/>
  <c r="BT78" s="1"/>
  <c r="BH34"/>
  <c r="BI60"/>
  <c r="BJ34" i="12"/>
  <c r="BH33" i="19"/>
  <c r="BH59"/>
  <c r="BD79"/>
  <c r="BE79"/>
  <c r="AJ4" i="20"/>
  <c r="AJ7" s="1"/>
  <c r="AJ24" s="1"/>
  <c r="BH13" i="19"/>
  <c r="BZ70"/>
  <c r="CA46" i="12"/>
  <c r="BX44" i="19"/>
  <c r="AO19" i="16"/>
  <c r="BT27"/>
  <c r="BR18" i="20"/>
  <c r="AJ65" i="15"/>
  <c r="AK49"/>
  <c r="AG31" i="16"/>
  <c r="AG21"/>
  <c r="AG23" s="1"/>
  <c r="AG36"/>
  <c r="X28" i="18" s="1"/>
  <c r="X32" s="1"/>
  <c r="AH29" i="16"/>
  <c r="L34" i="14"/>
  <c r="BI26" i="12"/>
  <c r="AV14" i="18"/>
  <c r="AV15" s="1"/>
  <c r="BD20" i="20"/>
  <c r="AW13" i="18"/>
  <c r="BK15" i="19"/>
  <c r="BK6"/>
  <c r="BK10"/>
  <c r="BI11" i="13"/>
  <c r="BI12"/>
  <c r="BI27"/>
  <c r="BO57" i="12" s="1"/>
  <c r="BI26" i="13"/>
  <c r="BN54" i="12"/>
  <c r="BI13" i="19"/>
  <c r="AN10" i="20"/>
  <c r="AK12"/>
  <c r="AK13" s="1"/>
  <c r="AG117" i="12"/>
  <c r="AG119" s="1"/>
  <c r="AL30" i="16" s="1"/>
  <c r="BF89" i="19"/>
  <c r="BG91" s="1"/>
  <c r="AW90" i="12"/>
  <c r="AW92" s="1"/>
  <c r="J86" i="14"/>
  <c r="AM5" i="20"/>
  <c r="AI68" i="12"/>
  <c r="D34" i="36"/>
  <c r="C50"/>
  <c r="C51" s="1"/>
  <c r="BK41" i="19"/>
  <c r="BL67"/>
  <c r="BK36"/>
  <c r="BL62"/>
  <c r="BK37"/>
  <c r="BL63"/>
  <c r="BN56" i="12"/>
  <c r="BN55" s="1"/>
  <c r="BN53" s="1"/>
  <c r="BN61" s="1"/>
  <c r="BL5" i="19"/>
  <c r="BI35"/>
  <c r="BJ61"/>
  <c r="BH35"/>
  <c r="BI61"/>
  <c r="BL35" i="12"/>
  <c r="BL37"/>
  <c r="BL36"/>
  <c r="BJ29" i="19"/>
  <c r="BJ55"/>
  <c r="BA28" i="16"/>
  <c r="AY19" i="20"/>
  <c r="AJ93" i="19"/>
  <c r="AI94"/>
  <c r="AI95"/>
  <c r="AP16" i="16" s="1"/>
  <c r="AO10" i="20" s="1"/>
  <c r="AJ62" i="12"/>
  <c r="AO9" i="16"/>
  <c r="AO10" s="1"/>
  <c r="BG88" i="19"/>
  <c r="BG92" s="1"/>
  <c r="BG77"/>
  <c r="BN38" i="16" s="1"/>
  <c r="BM55" i="12"/>
  <c r="BI43" i="13"/>
  <c r="BO58" i="12" s="1"/>
  <c r="BI42" i="13"/>
  <c r="BJ22"/>
  <c r="BJ20"/>
  <c r="BJ50"/>
  <c r="BJ21"/>
  <c r="BJ19"/>
  <c r="BJ17"/>
  <c r="BJ49"/>
  <c r="BK5"/>
  <c r="BJ38"/>
  <c r="BJ46"/>
  <c r="BJ30"/>
  <c r="BJ16"/>
  <c r="BJ51"/>
  <c r="BJ29"/>
  <c r="BJ31"/>
  <c r="BJ35"/>
  <c r="BJ18"/>
  <c r="BJ15"/>
  <c r="BJ34"/>
  <c r="BJ37"/>
  <c r="BJ47"/>
  <c r="BJ14"/>
  <c r="BJ33"/>
  <c r="BJ36"/>
  <c r="BJ32"/>
  <c r="BJ45"/>
  <c r="BJ48"/>
  <c r="BD7" i="25"/>
  <c r="BH48" i="12" s="1"/>
  <c r="BY43" i="19"/>
  <c r="CB44" i="12"/>
  <c r="BZ69" i="19"/>
  <c r="AQ21" i="20"/>
  <c r="AP22"/>
  <c r="AN11"/>
  <c r="AF43" i="16"/>
  <c r="AV16" i="18" l="1"/>
  <c r="AV17"/>
  <c r="BE35" i="16"/>
  <c r="BH47" i="12"/>
  <c r="BF45" i="19"/>
  <c r="BJ42" i="13"/>
  <c r="BJ43"/>
  <c r="BP58" i="12" s="1"/>
  <c r="BJ12" i="13"/>
  <c r="BJ11"/>
  <c r="BJ26"/>
  <c r="BJ27"/>
  <c r="BP57" i="12" s="1"/>
  <c r="AQ22" i="20"/>
  <c r="AR21"/>
  <c r="CC44" i="12"/>
  <c r="BZ43" i="19"/>
  <c r="CA69"/>
  <c r="BM53" i="12"/>
  <c r="AN5" i="20"/>
  <c r="AJ68" i="12"/>
  <c r="AZ19" i="20"/>
  <c r="BB28" i="16"/>
  <c r="BJ34" i="19"/>
  <c r="BK60"/>
  <c r="BL34" i="12"/>
  <c r="BL26" s="1"/>
  <c r="BJ33" i="19"/>
  <c r="BJ59"/>
  <c r="BL6"/>
  <c r="BL15"/>
  <c r="BL10"/>
  <c r="AI69" i="12"/>
  <c r="AI72"/>
  <c r="AI95" s="1"/>
  <c r="AI113" s="1"/>
  <c r="AG99" i="19" s="1"/>
  <c r="J90" i="14"/>
  <c r="K86"/>
  <c r="AK4" i="20"/>
  <c r="AK7" s="1"/>
  <c r="AK24" s="1"/>
  <c r="BL57" i="7"/>
  <c r="BL61" s="1"/>
  <c r="BN39" i="12"/>
  <c r="BN41"/>
  <c r="BN45"/>
  <c r="BN38"/>
  <c r="BN40"/>
  <c r="BN42"/>
  <c r="BK11" i="19"/>
  <c r="BL16" s="1"/>
  <c r="AW14" i="18"/>
  <c r="AW15" s="1"/>
  <c r="BE20" i="20"/>
  <c r="AX13" i="18"/>
  <c r="BG86" i="19"/>
  <c r="BG89" s="1"/>
  <c r="BH91" s="1"/>
  <c r="BE5" i="25"/>
  <c r="L26" i="14"/>
  <c r="M26" s="1"/>
  <c r="AH31" i="16"/>
  <c r="AH21"/>
  <c r="AH23" s="1"/>
  <c r="AH36"/>
  <c r="Y28" i="18" s="1"/>
  <c r="Y32" s="1"/>
  <c r="AI29" i="16"/>
  <c r="AK65" i="15"/>
  <c r="AL49"/>
  <c r="BS18" i="20"/>
  <c r="BU27" i="16"/>
  <c r="BD80" i="19"/>
  <c r="BK17" i="16" s="1"/>
  <c r="AG26" i="20"/>
  <c r="AG27" s="1"/>
  <c r="AF28"/>
  <c r="BM35" i="12"/>
  <c r="BM37"/>
  <c r="BM36"/>
  <c r="BK29" i="19"/>
  <c r="BK55"/>
  <c r="AX90" i="12"/>
  <c r="AX92" s="1"/>
  <c r="AF101" i="19"/>
  <c r="AM39" i="16" s="1"/>
  <c r="AL12" i="20" s="1"/>
  <c r="AL13" s="1"/>
  <c r="BO54" i="12"/>
  <c r="BH88" i="19"/>
  <c r="BH92" s="1"/>
  <c r="BI88"/>
  <c r="BH77"/>
  <c r="BO38" i="16" s="1"/>
  <c r="BI77" i="19"/>
  <c r="BP38" i="16" s="1"/>
  <c r="BK21" i="13"/>
  <c r="BK19"/>
  <c r="BK17"/>
  <c r="BK49"/>
  <c r="BK22"/>
  <c r="BK20"/>
  <c r="BK50"/>
  <c r="BL5"/>
  <c r="BK38"/>
  <c r="BK46"/>
  <c r="BK30"/>
  <c r="BK16"/>
  <c r="BK51"/>
  <c r="BK29"/>
  <c r="BK31"/>
  <c r="BK35"/>
  <c r="BK18"/>
  <c r="BK15"/>
  <c r="BK34"/>
  <c r="BK37"/>
  <c r="BK47"/>
  <c r="BK14"/>
  <c r="BK33"/>
  <c r="BK36"/>
  <c r="BK32"/>
  <c r="BK45"/>
  <c r="BK48"/>
  <c r="J38" i="16"/>
  <c r="H16"/>
  <c r="AP19"/>
  <c r="AJ94" i="19"/>
  <c r="AJ95"/>
  <c r="AQ16" i="16" s="1"/>
  <c r="AP10" i="20" s="1"/>
  <c r="AK93" i="19"/>
  <c r="BJ35"/>
  <c r="BK61"/>
  <c r="BO56" i="12"/>
  <c r="BM5" i="19"/>
  <c r="F13" i="36"/>
  <c r="M34" i="14"/>
  <c r="AK62" i="12"/>
  <c r="AP9" i="16"/>
  <c r="CA70" i="19"/>
  <c r="CB46" i="12"/>
  <c r="BY44" i="19"/>
  <c r="BE80"/>
  <c r="BL17" i="16" s="1"/>
  <c r="BJ26" i="12"/>
  <c r="BU42" i="19"/>
  <c r="BU78" s="1"/>
  <c r="BU68"/>
  <c r="BX43" i="12"/>
  <c r="BI86" i="19"/>
  <c r="BI89" s="1"/>
  <c r="BJ91" s="1"/>
  <c r="BG5" i="25"/>
  <c r="BG7" s="1"/>
  <c r="BK48" i="12" s="1"/>
  <c r="AY86"/>
  <c r="AY90" s="1"/>
  <c r="AY92" s="1"/>
  <c r="AU18" i="18"/>
  <c r="AG43" i="16"/>
  <c r="AO11" i="20"/>
  <c r="BJ12" i="19"/>
  <c r="AH117" i="12"/>
  <c r="AH119" s="1"/>
  <c r="AM30" i="16" s="1"/>
  <c r="BK12" i="19" l="1"/>
  <c r="BK13" s="1"/>
  <c r="AI117" i="12"/>
  <c r="AI119" s="1"/>
  <c r="AN30" i="16" s="1"/>
  <c r="AW17" i="18"/>
  <c r="AW16"/>
  <c r="BF35" i="16"/>
  <c r="BJ13" i="19"/>
  <c r="BK17"/>
  <c r="BK18" s="1"/>
  <c r="BL20" s="1"/>
  <c r="BS40" i="16" s="1"/>
  <c r="BK47" i="12"/>
  <c r="BI45" i="19"/>
  <c r="BV68"/>
  <c r="BY43" i="12"/>
  <c r="BV42" i="19"/>
  <c r="BV78" s="1"/>
  <c r="AL4" i="20"/>
  <c r="AL7" s="1"/>
  <c r="AL24" s="1"/>
  <c r="BH86" i="19"/>
  <c r="BH89" s="1"/>
  <c r="BI91" s="1"/>
  <c r="BF5" i="25"/>
  <c r="AO5" i="20"/>
  <c r="AK68" i="12"/>
  <c r="I62" i="14"/>
  <c r="F41" i="36"/>
  <c r="F56" s="1"/>
  <c r="F57" s="1"/>
  <c r="BO55" i="12"/>
  <c r="AK95" i="19"/>
  <c r="AR16" i="16" s="1"/>
  <c r="AQ10" i="20" s="1"/>
  <c r="AK94" i="19"/>
  <c r="AL93"/>
  <c r="BK43" i="13"/>
  <c r="BQ58" i="12" s="1"/>
  <c r="BK42" i="13"/>
  <c r="BK11"/>
  <c r="BK12"/>
  <c r="BK27"/>
  <c r="BQ57" i="12" s="1"/>
  <c r="BK26" i="13"/>
  <c r="BL22"/>
  <c r="BL20"/>
  <c r="BL50"/>
  <c r="BL21"/>
  <c r="BL19"/>
  <c r="BL17"/>
  <c r="BL49"/>
  <c r="BM5"/>
  <c r="BL32"/>
  <c r="BL45"/>
  <c r="BL48"/>
  <c r="BL38"/>
  <c r="BL46"/>
  <c r="BL30"/>
  <c r="BL16"/>
  <c r="BL51"/>
  <c r="BL29"/>
  <c r="BL31"/>
  <c r="BL35"/>
  <c r="BL18"/>
  <c r="BL15"/>
  <c r="BL34"/>
  <c r="BL37"/>
  <c r="BL47"/>
  <c r="BL14"/>
  <c r="BL33"/>
  <c r="BL36"/>
  <c r="BK35" i="19"/>
  <c r="BL61"/>
  <c r="AL62" i="12"/>
  <c r="AQ9" i="16"/>
  <c r="AQ10" s="1"/>
  <c r="BE7" i="25"/>
  <c r="BI48" i="12" s="1"/>
  <c r="BE6" i="25"/>
  <c r="AX15" i="18"/>
  <c r="AX14"/>
  <c r="BF20" i="20"/>
  <c r="AY13" i="18"/>
  <c r="BL38" i="19"/>
  <c r="BN64"/>
  <c r="BL37"/>
  <c r="BM63"/>
  <c r="AG101"/>
  <c r="AN39" i="16" s="1"/>
  <c r="AM12" i="20" s="1"/>
  <c r="AM13" s="1"/>
  <c r="BJ86" i="19"/>
  <c r="BH5" i="25"/>
  <c r="BH7" s="1"/>
  <c r="BL48" i="12" s="1"/>
  <c r="BC28" i="16"/>
  <c r="BA19" i="20"/>
  <c r="I28" i="16"/>
  <c r="AJ69" i="12"/>
  <c r="AJ72"/>
  <c r="AJ95" s="1"/>
  <c r="AJ113" s="1"/>
  <c r="AH99" i="19" s="1"/>
  <c r="BM61" i="12"/>
  <c r="AR22" i="20"/>
  <c r="AS21"/>
  <c r="BF79" i="19"/>
  <c r="AH43" i="16"/>
  <c r="BL18" i="19"/>
  <c r="BP54" i="12"/>
  <c r="CC46"/>
  <c r="BZ44" i="19"/>
  <c r="CB70"/>
  <c r="H9" i="16"/>
  <c r="H10" s="1"/>
  <c r="AP10"/>
  <c r="BM15" i="19"/>
  <c r="BM6"/>
  <c r="BM10"/>
  <c r="AQ19" i="16"/>
  <c r="AP11" i="20" s="1"/>
  <c r="D48" i="36"/>
  <c r="H19" i="16"/>
  <c r="G10" i="20"/>
  <c r="BO39" i="12"/>
  <c r="BO41"/>
  <c r="BO45"/>
  <c r="BM57" i="7"/>
  <c r="BM61" s="1"/>
  <c r="BO38" i="12"/>
  <c r="BO40"/>
  <c r="BO42"/>
  <c r="BK34" i="19"/>
  <c r="BL60"/>
  <c r="BM34" i="12"/>
  <c r="BK33" i="19"/>
  <c r="BK59"/>
  <c r="AH26" i="20"/>
  <c r="AH27" s="1"/>
  <c r="AG28"/>
  <c r="BV27" i="16"/>
  <c r="BT18" i="20"/>
  <c r="AL65" i="15"/>
  <c r="AM49"/>
  <c r="AI31" i="16"/>
  <c r="AI36"/>
  <c r="Z28" i="18" s="1"/>
  <c r="Z32" s="1"/>
  <c r="AI21" i="16"/>
  <c r="AI23" s="1"/>
  <c r="AJ29"/>
  <c r="BL41" i="19"/>
  <c r="BM67"/>
  <c r="BL36"/>
  <c r="BM62"/>
  <c r="BL39"/>
  <c r="BN65"/>
  <c r="BN28" i="12"/>
  <c r="BL62" i="7"/>
  <c r="J92" i="14"/>
  <c r="K92" s="1"/>
  <c r="K90"/>
  <c r="AM4" i="20"/>
  <c r="AM7" s="1"/>
  <c r="AM24" s="1"/>
  <c r="BL11" i="19"/>
  <c r="BM16" s="1"/>
  <c r="BL21"/>
  <c r="BS18" i="16" s="1"/>
  <c r="BJ88" i="19"/>
  <c r="BJ92" s="1"/>
  <c r="BJ77"/>
  <c r="BQ38" i="16" s="1"/>
  <c r="CA43" i="19"/>
  <c r="CD44" i="12"/>
  <c r="CB69" i="19"/>
  <c r="BP56" i="12"/>
  <c r="BP55" s="1"/>
  <c r="BP53" s="1"/>
  <c r="BP61" s="1"/>
  <c r="BN5" i="19"/>
  <c r="AZ86" i="12"/>
  <c r="AZ90" s="1"/>
  <c r="AZ92" s="1"/>
  <c r="AV18" i="18"/>
  <c r="BI92" i="19"/>
  <c r="AJ31" i="16" l="1"/>
  <c r="AJ21"/>
  <c r="AJ23" s="1"/>
  <c r="AJ36"/>
  <c r="AA28" i="18" s="1"/>
  <c r="AA32" s="1"/>
  <c r="AK29" i="16"/>
  <c r="AM65" i="15"/>
  <c r="AN49"/>
  <c r="BW27" i="16"/>
  <c r="BU18" i="20"/>
  <c r="AI26"/>
  <c r="AI27" s="1"/>
  <c r="AH28"/>
  <c r="BK88" i="19"/>
  <c r="BK77"/>
  <c r="BR38" i="16" s="1"/>
  <c r="BM41" i="19"/>
  <c r="BN67"/>
  <c r="BM36"/>
  <c r="BN62"/>
  <c r="BM37"/>
  <c r="BN63"/>
  <c r="G11" i="20"/>
  <c r="D31" i="36"/>
  <c r="BM11" i="19"/>
  <c r="BN16" s="1"/>
  <c r="BM12"/>
  <c r="BF80"/>
  <c r="BM17" i="16" s="1"/>
  <c r="AS22" i="20"/>
  <c r="AT21"/>
  <c r="AH101" i="19"/>
  <c r="AO39" i="16" s="1"/>
  <c r="AN12" i="20" s="1"/>
  <c r="AN13" s="1"/>
  <c r="H19"/>
  <c r="H22" s="1"/>
  <c r="BD28" i="16"/>
  <c r="BB19" i="20"/>
  <c r="AX16" i="18"/>
  <c r="AX17"/>
  <c r="BG35" i="16"/>
  <c r="BI47" i="12"/>
  <c r="BG45" i="19"/>
  <c r="BG71"/>
  <c r="L48" i="14"/>
  <c r="M48" s="1"/>
  <c r="AP5" i="20"/>
  <c r="AL68" i="12"/>
  <c r="BL42" i="13"/>
  <c r="BL43"/>
  <c r="BR58" i="12" s="1"/>
  <c r="BM21" i="13"/>
  <c r="BM19"/>
  <c r="BM17"/>
  <c r="BM49"/>
  <c r="BM22"/>
  <c r="BM20"/>
  <c r="BM50"/>
  <c r="BN5"/>
  <c r="BM32"/>
  <c r="BM45"/>
  <c r="BM48"/>
  <c r="BM38"/>
  <c r="BM46"/>
  <c r="BM30"/>
  <c r="BM16"/>
  <c r="BM51"/>
  <c r="BM29"/>
  <c r="BM31"/>
  <c r="BM35"/>
  <c r="BM18"/>
  <c r="BM15"/>
  <c r="BM34"/>
  <c r="BM37"/>
  <c r="BM47"/>
  <c r="BM14"/>
  <c r="BM33"/>
  <c r="BM36"/>
  <c r="BQ56" i="12"/>
  <c r="BQ55" s="1"/>
  <c r="BQ53" s="1"/>
  <c r="BQ61" s="1"/>
  <c r="BO5" i="19"/>
  <c r="AL94"/>
  <c r="AL95"/>
  <c r="AS16" i="16" s="1"/>
  <c r="AM93" i="19"/>
  <c r="AR10" i="20"/>
  <c r="AR19" i="16"/>
  <c r="BO53" i="12"/>
  <c r="AK69"/>
  <c r="AK72"/>
  <c r="AK95" s="1"/>
  <c r="AK113" s="1"/>
  <c r="AK117" s="1"/>
  <c r="AK119" s="1"/>
  <c r="AP30" i="16" s="1"/>
  <c r="BF7" i="25"/>
  <c r="BJ48" i="12" s="1"/>
  <c r="BA86"/>
  <c r="BA90" s="1"/>
  <c r="BA92" s="1"/>
  <c r="AW18" i="18"/>
  <c r="BJ89" i="19"/>
  <c r="BK91" s="1"/>
  <c r="CE44" i="12"/>
  <c r="CB43" i="19"/>
  <c r="CC69"/>
  <c r="BN6"/>
  <c r="BN15"/>
  <c r="BN10"/>
  <c r="BN35" i="12"/>
  <c r="BN37"/>
  <c r="BN36"/>
  <c r="BL29" i="19"/>
  <c r="BL55"/>
  <c r="AM62" i="12"/>
  <c r="AR9" i="16"/>
  <c r="AR10" s="1"/>
  <c r="BM26" i="12"/>
  <c r="BM38" i="19"/>
  <c r="BO64"/>
  <c r="BO28" i="12"/>
  <c r="BM62" i="7"/>
  <c r="BM39" i="19"/>
  <c r="BO65"/>
  <c r="D44" i="36"/>
  <c r="CC70" i="19"/>
  <c r="CD46" i="12"/>
  <c r="CA44" i="19"/>
  <c r="BN57" i="7"/>
  <c r="BN61" s="1"/>
  <c r="BP39" i="12"/>
  <c r="BP41"/>
  <c r="BP45"/>
  <c r="BP38"/>
  <c r="BP40"/>
  <c r="BP42"/>
  <c r="BL47"/>
  <c r="BJ45" i="19"/>
  <c r="AY14" i="18"/>
  <c r="AY15" s="1"/>
  <c r="BG20" i="20"/>
  <c r="AZ13" i="18"/>
  <c r="BL12" i="13"/>
  <c r="BL11"/>
  <c r="BL26"/>
  <c r="BL27"/>
  <c r="BR57" i="12" s="1"/>
  <c r="F58" i="36"/>
  <c r="F59"/>
  <c r="F32" s="1"/>
  <c r="D16" i="38" s="1"/>
  <c r="D18" i="36"/>
  <c r="G5" i="20"/>
  <c r="I68" i="14"/>
  <c r="BW42" i="19"/>
  <c r="BW68"/>
  <c r="BZ43" i="12"/>
  <c r="BK20" i="19"/>
  <c r="BR40" i="16" s="1"/>
  <c r="BK21" i="19"/>
  <c r="BR18" i="16" s="1"/>
  <c r="BL12" i="19"/>
  <c r="AI43" i="16"/>
  <c r="AQ11" i="20"/>
  <c r="BM13" i="19"/>
  <c r="BM18"/>
  <c r="BM21" s="1"/>
  <c r="BT18" i="16" s="1"/>
  <c r="AJ117" i="12"/>
  <c r="AJ119" s="1"/>
  <c r="AO30" i="16" s="1"/>
  <c r="BQ54" i="12"/>
  <c r="BW78" i="19" l="1"/>
  <c r="BQ39" i="12"/>
  <c r="BQ41"/>
  <c r="BQ45"/>
  <c r="BO57" i="7"/>
  <c r="BO61" s="1"/>
  <c r="BQ38" i="12"/>
  <c r="BQ40"/>
  <c r="BQ42"/>
  <c r="BN17" i="19"/>
  <c r="BL13"/>
  <c r="BR56" i="12"/>
  <c r="BR55" s="1"/>
  <c r="BP5" i="19"/>
  <c r="AZ15" i="18"/>
  <c r="AZ14"/>
  <c r="BH20" i="20"/>
  <c r="BA13" i="18"/>
  <c r="AY17"/>
  <c r="AY16"/>
  <c r="BH35" i="16"/>
  <c r="BN41" i="19"/>
  <c r="BO67"/>
  <c r="BN36"/>
  <c r="BO62"/>
  <c r="BN39"/>
  <c r="BP65"/>
  <c r="BP28" i="12"/>
  <c r="BN62" i="7"/>
  <c r="CE46" i="12"/>
  <c r="CB44" i="19"/>
  <c r="CD70"/>
  <c r="BK86"/>
  <c r="BK89" s="1"/>
  <c r="BL91" s="1"/>
  <c r="BI5" i="25"/>
  <c r="BL34" i="19"/>
  <c r="BM60"/>
  <c r="BN34" i="12"/>
  <c r="BL33" i="19"/>
  <c r="BL59"/>
  <c r="BN11"/>
  <c r="BO16" s="1"/>
  <c r="BJ47" i="12"/>
  <c r="BH45" i="19"/>
  <c r="AO4" i="20"/>
  <c r="AO7" s="1"/>
  <c r="AM95" i="19"/>
  <c r="AT16" i="16" s="1"/>
  <c r="AN93" i="19"/>
  <c r="AM94"/>
  <c r="BM43" i="13"/>
  <c r="BS58" i="12" s="1"/>
  <c r="BM42" i="13"/>
  <c r="BN22"/>
  <c r="BN20"/>
  <c r="BN50"/>
  <c r="BN21"/>
  <c r="BN19"/>
  <c r="BN17"/>
  <c r="BN49"/>
  <c r="BO5"/>
  <c r="BN38"/>
  <c r="BN46"/>
  <c r="BN30"/>
  <c r="BN16"/>
  <c r="BN51"/>
  <c r="BN29"/>
  <c r="BN31"/>
  <c r="BN35"/>
  <c r="BN18"/>
  <c r="BN15"/>
  <c r="BN34"/>
  <c r="BN37"/>
  <c r="BN47"/>
  <c r="BN14"/>
  <c r="BN33"/>
  <c r="BN36"/>
  <c r="BN32"/>
  <c r="BN45"/>
  <c r="BN48"/>
  <c r="AL69" i="12"/>
  <c r="AL72"/>
  <c r="AL95" s="1"/>
  <c r="AL113" s="1"/>
  <c r="L47" i="14"/>
  <c r="BB86" i="12"/>
  <c r="AX18" i="18"/>
  <c r="BE28" i="16"/>
  <c r="BC19" i="20"/>
  <c r="BX27" i="16"/>
  <c r="BV18" i="20"/>
  <c r="AN62" i="12"/>
  <c r="AS9" i="16"/>
  <c r="AS10" s="1"/>
  <c r="BJ79" i="19"/>
  <c r="BM20"/>
  <c r="BT40" i="16" s="1"/>
  <c r="AJ43"/>
  <c r="AN4" i="20"/>
  <c r="AN7" s="1"/>
  <c r="AN24" s="1"/>
  <c r="BX68" i="19"/>
  <c r="CA43" i="12"/>
  <c r="BX42" i="19"/>
  <c r="BX78" s="1"/>
  <c r="I72" i="14"/>
  <c r="I95" s="1"/>
  <c r="B9" i="38"/>
  <c r="D20" i="36"/>
  <c r="D33"/>
  <c r="B15" i="38" s="1"/>
  <c r="BN38" i="19"/>
  <c r="BP64"/>
  <c r="BN37"/>
  <c r="BO63"/>
  <c r="BO35" i="12"/>
  <c r="BO37"/>
  <c r="BO36"/>
  <c r="BM29" i="19"/>
  <c r="BM55"/>
  <c r="AQ5" i="20"/>
  <c r="AM68" i="12"/>
  <c r="BL35" i="19"/>
  <c r="BM61"/>
  <c r="CC43"/>
  <c r="CF44" i="12"/>
  <c r="CD69" i="19"/>
  <c r="AI99"/>
  <c r="I113" i="14"/>
  <c r="I117" s="1"/>
  <c r="I119" s="1"/>
  <c r="BO61" i="12"/>
  <c r="AS10" i="20"/>
  <c r="AS19" i="16"/>
  <c r="BO15" i="19"/>
  <c r="BO18" s="1"/>
  <c r="BO6"/>
  <c r="BO10"/>
  <c r="BM11" i="13"/>
  <c r="BM12"/>
  <c r="BM27"/>
  <c r="BS57" i="12" s="1"/>
  <c r="BM26" i="13"/>
  <c r="AT22" i="20"/>
  <c r="AU21"/>
  <c r="AJ26"/>
  <c r="AJ27" s="1"/>
  <c r="AI28"/>
  <c r="AN65" i="15"/>
  <c r="AO49"/>
  <c r="AK31" i="16"/>
  <c r="AK36"/>
  <c r="AB28" i="18" s="1"/>
  <c r="AB32" s="1"/>
  <c r="AK21" i="16"/>
  <c r="AK23" s="1"/>
  <c r="AL29"/>
  <c r="BR54" i="12"/>
  <c r="BN18" i="19"/>
  <c r="BN21" s="1"/>
  <c r="BU18" i="16" s="1"/>
  <c r="BG79" i="19"/>
  <c r="BK92"/>
  <c r="AK43" i="16" l="1"/>
  <c r="BS54" i="12"/>
  <c r="BG80" i="19"/>
  <c r="BN17" i="16" s="1"/>
  <c r="J17" s="1"/>
  <c r="BP57" i="7"/>
  <c r="BP61" s="1"/>
  <c r="BR39" i="12"/>
  <c r="BR41"/>
  <c r="BR45"/>
  <c r="BR38"/>
  <c r="BR40"/>
  <c r="BR42"/>
  <c r="AL31" i="16"/>
  <c r="AL43" s="1"/>
  <c r="AL36"/>
  <c r="AC28" i="18" s="1"/>
  <c r="AC32" s="1"/>
  <c r="AL21" i="16"/>
  <c r="AL23" s="1"/>
  <c r="AM29"/>
  <c r="AO65" i="15"/>
  <c r="AP49"/>
  <c r="AU22" i="20"/>
  <c r="AV21"/>
  <c r="BS56" i="12"/>
  <c r="BS55" s="1"/>
  <c r="BS53" s="1"/>
  <c r="BS61" s="1"/>
  <c r="BQ5" i="19"/>
  <c r="AI101"/>
  <c r="AP39" i="16" s="1"/>
  <c r="CG44" i="12"/>
  <c r="CD43" i="19"/>
  <c r="CE69"/>
  <c r="BM34"/>
  <c r="BN60"/>
  <c r="BO34" i="12"/>
  <c r="BO26" s="1"/>
  <c r="BM33" i="19"/>
  <c r="BM59"/>
  <c r="B10" i="38"/>
  <c r="D23" i="36"/>
  <c r="BY42" i="19"/>
  <c r="BY68"/>
  <c r="CB43" i="12"/>
  <c r="BY27" i="16"/>
  <c r="BW18" i="20"/>
  <c r="F19" i="36"/>
  <c r="M47" i="14"/>
  <c r="AJ99" i="19"/>
  <c r="AJ101" s="1"/>
  <c r="AQ39" i="16" s="1"/>
  <c r="AP12" i="20" s="1"/>
  <c r="AP13" s="1"/>
  <c r="BN42" i="13"/>
  <c r="BN43"/>
  <c r="BT58" i="12" s="1"/>
  <c r="BN12" i="13"/>
  <c r="BN11"/>
  <c r="BT54" i="12" s="1"/>
  <c r="BN26" i="13"/>
  <c r="BN27"/>
  <c r="BT57" i="12" s="1"/>
  <c r="BO21" i="13"/>
  <c r="CC21" s="1"/>
  <c r="BO19"/>
  <c r="CC19" s="1"/>
  <c r="BO17"/>
  <c r="CC17" s="1"/>
  <c r="BO49"/>
  <c r="CC49" s="1"/>
  <c r="BO22"/>
  <c r="CC22" s="1"/>
  <c r="BO20"/>
  <c r="CC20" s="1"/>
  <c r="BO50"/>
  <c r="CC50" s="1"/>
  <c r="BP5"/>
  <c r="BO38"/>
  <c r="CC38" s="1"/>
  <c r="BO46"/>
  <c r="CC46" s="1"/>
  <c r="BO30"/>
  <c r="CC30" s="1"/>
  <c r="BO16"/>
  <c r="CC16" s="1"/>
  <c r="BO51"/>
  <c r="BO29"/>
  <c r="BO31"/>
  <c r="CC31" s="1"/>
  <c r="BO35"/>
  <c r="CC35" s="1"/>
  <c r="BO18"/>
  <c r="CC18" s="1"/>
  <c r="BO15"/>
  <c r="CC15" s="1"/>
  <c r="BO34"/>
  <c r="CC34" s="1"/>
  <c r="BO37"/>
  <c r="CC37" s="1"/>
  <c r="BO47"/>
  <c r="CC47" s="1"/>
  <c r="BO14"/>
  <c r="BO33"/>
  <c r="CC33" s="1"/>
  <c r="BO36"/>
  <c r="CC36" s="1"/>
  <c r="BO32"/>
  <c r="CC32" s="1"/>
  <c r="BO45"/>
  <c r="BO48"/>
  <c r="CC48" s="1"/>
  <c r="AN94" i="19"/>
  <c r="AO93"/>
  <c r="AN95"/>
  <c r="AU16" i="16" s="1"/>
  <c r="AT10" i="20" s="1"/>
  <c r="BH79" i="19"/>
  <c r="BI79"/>
  <c r="BL88"/>
  <c r="BL92" s="1"/>
  <c r="BL77"/>
  <c r="BS38" i="16" s="1"/>
  <c r="CF46" i="12"/>
  <c r="CC44" i="19"/>
  <c r="CE70"/>
  <c r="BP35" i="12"/>
  <c r="BP37"/>
  <c r="BP36"/>
  <c r="BN29" i="19"/>
  <c r="BN55"/>
  <c r="BA14" i="18"/>
  <c r="BA15"/>
  <c r="BI20" i="20"/>
  <c r="BB13" i="18"/>
  <c r="BP6" i="19"/>
  <c r="BP15"/>
  <c r="BP10"/>
  <c r="BO41"/>
  <c r="BP67"/>
  <c r="BO36"/>
  <c r="BP62"/>
  <c r="BO37"/>
  <c r="BP63"/>
  <c r="BN20"/>
  <c r="BU40" i="16" s="1"/>
  <c r="AO62" i="12"/>
  <c r="AT9" i="16"/>
  <c r="AT10" s="1"/>
  <c r="AK26" i="20"/>
  <c r="AK27" s="1"/>
  <c r="AJ28"/>
  <c r="BS39" i="12"/>
  <c r="BS41"/>
  <c r="BS45"/>
  <c r="BQ57" i="7"/>
  <c r="BQ61" s="1"/>
  <c r="BS38" i="12"/>
  <c r="BS40"/>
  <c r="BS42"/>
  <c r="BO11" i="19"/>
  <c r="BP16" s="1"/>
  <c r="BO20"/>
  <c r="BV40" i="16" s="1"/>
  <c r="BO21" i="19"/>
  <c r="BV18" i="16" s="1"/>
  <c r="AM69" i="12"/>
  <c r="AM72"/>
  <c r="AM95" s="1"/>
  <c r="AM113" s="1"/>
  <c r="AK99" i="19" s="1"/>
  <c r="AK101" s="1"/>
  <c r="AR39" i="16" s="1"/>
  <c r="AQ12" i="20" s="1"/>
  <c r="AQ13" s="1"/>
  <c r="BM35" i="19"/>
  <c r="BN61"/>
  <c r="BJ80"/>
  <c r="BQ17" i="16" s="1"/>
  <c r="AR5" i="20"/>
  <c r="AN68" i="12"/>
  <c r="BD19" i="20"/>
  <c r="BF28" i="16"/>
  <c r="BB90" i="12"/>
  <c r="BB92" s="1"/>
  <c r="AT19" i="16"/>
  <c r="AS11" i="20" s="1"/>
  <c r="BN26" i="12"/>
  <c r="BI7" i="25"/>
  <c r="BM48" i="12" s="1"/>
  <c r="BC86"/>
  <c r="BC90" s="1"/>
  <c r="BC92" s="1"/>
  <c r="AY18" i="18"/>
  <c r="AZ16"/>
  <c r="AZ17"/>
  <c r="BI35" i="16"/>
  <c r="BR53" i="12"/>
  <c r="BO38" i="19"/>
  <c r="BQ64"/>
  <c r="BQ28" i="12"/>
  <c r="BO62" i="7"/>
  <c r="BO39" i="19"/>
  <c r="BQ65"/>
  <c r="AR11" i="20"/>
  <c r="AL117" i="12"/>
  <c r="AL119" s="1"/>
  <c r="AQ30" i="16" s="1"/>
  <c r="BN12" i="19"/>
  <c r="BQ41" l="1"/>
  <c r="BR67"/>
  <c r="BQ36"/>
  <c r="BR62"/>
  <c r="BQ37"/>
  <c r="BR63"/>
  <c r="AL26" i="20"/>
  <c r="AL27" s="1"/>
  <c r="AK28"/>
  <c r="AS5"/>
  <c r="AO68" i="12"/>
  <c r="BB14" i="18"/>
  <c r="BB15" s="1"/>
  <c r="BJ20" i="20"/>
  <c r="BC13" i="18"/>
  <c r="BA17"/>
  <c r="BA16"/>
  <c r="BJ35" i="16"/>
  <c r="BN34" i="19"/>
  <c r="BO60"/>
  <c r="BP34" i="12"/>
  <c r="BN33" i="19"/>
  <c r="BN59"/>
  <c r="BI80"/>
  <c r="BP17" i="16" s="1"/>
  <c r="AO94" i="19"/>
  <c r="AP93"/>
  <c r="AO95"/>
  <c r="AV16" i="16" s="1"/>
  <c r="BT56" i="12"/>
  <c r="BT55" s="1"/>
  <c r="BR5" i="19"/>
  <c r="BZ27" i="16"/>
  <c r="BX18" i="20"/>
  <c r="BZ68" i="19"/>
  <c r="CC43" i="12"/>
  <c r="BZ42" i="19"/>
  <c r="BZ78" s="1"/>
  <c r="B8" i="38"/>
  <c r="B13"/>
  <c r="B14" s="1"/>
  <c r="B17" s="1"/>
  <c r="B28" s="1"/>
  <c r="B30" s="1"/>
  <c r="B31" s="1"/>
  <c r="BM88" i="19"/>
  <c r="BM77"/>
  <c r="BT38" i="16" s="1"/>
  <c r="CE43" i="19"/>
  <c r="P44" i="14"/>
  <c r="BQ15" i="19"/>
  <c r="BQ6"/>
  <c r="BQ10"/>
  <c r="AW21" i="20"/>
  <c r="AV22"/>
  <c r="AP65" i="15"/>
  <c r="AQ49"/>
  <c r="AM31" i="16"/>
  <c r="AM43" s="1"/>
  <c r="AM36"/>
  <c r="AD28" i="18" s="1"/>
  <c r="AD32" s="1"/>
  <c r="AM21" i="16"/>
  <c r="AM23" s="1"/>
  <c r="AN29"/>
  <c r="BP41" i="19"/>
  <c r="BQ67"/>
  <c r="BP36"/>
  <c r="BQ62"/>
  <c r="BP39"/>
  <c r="BR65"/>
  <c r="BR28" i="12"/>
  <c r="BP62" i="7"/>
  <c r="BP18" i="19"/>
  <c r="BP21" s="1"/>
  <c r="BW18" i="16" s="1"/>
  <c r="BY78" i="19"/>
  <c r="BN13"/>
  <c r="BQ35" i="12"/>
  <c r="BQ37"/>
  <c r="BQ36"/>
  <c r="BO29" i="19"/>
  <c r="BO55"/>
  <c r="BR61" i="12"/>
  <c r="BD86"/>
  <c r="AZ18" i="18"/>
  <c r="AP4" i="20"/>
  <c r="AP7" s="1"/>
  <c r="AP24" s="1"/>
  <c r="BM47" i="12"/>
  <c r="BK45" i="19"/>
  <c r="BK79" s="1"/>
  <c r="BL86"/>
  <c r="BL89" s="1"/>
  <c r="BM91" s="1"/>
  <c r="BJ5" i="25"/>
  <c r="BG28" i="16"/>
  <c r="BE19" i="20"/>
  <c r="AN69" i="12"/>
  <c r="AN72"/>
  <c r="AN95" s="1"/>
  <c r="AN113" s="1"/>
  <c r="AL99" i="19" s="1"/>
  <c r="AL101" s="1"/>
  <c r="AS39" i="16" s="1"/>
  <c r="AR12" i="20" s="1"/>
  <c r="BQ38" i="19"/>
  <c r="BS64"/>
  <c r="BS28" i="12"/>
  <c r="BQ62" i="7"/>
  <c r="BQ39" i="19"/>
  <c r="BS65"/>
  <c r="BP11"/>
  <c r="BQ16" s="1"/>
  <c r="BN35"/>
  <c r="BO61"/>
  <c r="CG46" i="12"/>
  <c r="CD44" i="19"/>
  <c r="BH80"/>
  <c r="BO17" i="16" s="1"/>
  <c r="AU10" i="20"/>
  <c r="AU19" i="16"/>
  <c r="BO43" i="13"/>
  <c r="BU58" i="12" s="1"/>
  <c r="N58" i="14" s="1"/>
  <c r="G15" i="36" s="1"/>
  <c r="BO42" i="13"/>
  <c r="CC45"/>
  <c r="BO11"/>
  <c r="BO12"/>
  <c r="CC14"/>
  <c r="BO27"/>
  <c r="BU57" i="12" s="1"/>
  <c r="N57" i="14" s="1"/>
  <c r="G14" i="36" s="1"/>
  <c r="BO26" i="13"/>
  <c r="CC29"/>
  <c r="BP21"/>
  <c r="BP19"/>
  <c r="BP17"/>
  <c r="BP49"/>
  <c r="BP22"/>
  <c r="BP20"/>
  <c r="BP50"/>
  <c r="BQ5"/>
  <c r="BP32"/>
  <c r="BP45"/>
  <c r="BP48"/>
  <c r="BP38"/>
  <c r="BP46"/>
  <c r="BP30"/>
  <c r="BP16"/>
  <c r="BP51"/>
  <c r="BP29"/>
  <c r="BP31"/>
  <c r="BP35"/>
  <c r="BP18"/>
  <c r="BP15"/>
  <c r="BP34"/>
  <c r="BP37"/>
  <c r="BP47"/>
  <c r="BP14"/>
  <c r="BP33"/>
  <c r="BP36"/>
  <c r="BR57" i="7"/>
  <c r="BR61" s="1"/>
  <c r="BT39" i="12"/>
  <c r="BT41"/>
  <c r="BT45"/>
  <c r="BT38"/>
  <c r="BT40"/>
  <c r="BT42"/>
  <c r="D26" i="36"/>
  <c r="D38"/>
  <c r="BM86" i="19"/>
  <c r="BM89" s="1"/>
  <c r="BN91" s="1"/>
  <c r="BK5" i="25"/>
  <c r="BK7" s="1"/>
  <c r="BO48" i="12" s="1"/>
  <c r="H39" i="16"/>
  <c r="AO12" i="20"/>
  <c r="AO13" s="1"/>
  <c r="AO24" s="1"/>
  <c r="AP62" i="12"/>
  <c r="AU9" i="16"/>
  <c r="AU10" s="1"/>
  <c r="BP38" i="19"/>
  <c r="BR64"/>
  <c r="BP37"/>
  <c r="BQ63"/>
  <c r="AR13" i="20"/>
  <c r="AM117" i="12"/>
  <c r="AM119" s="1"/>
  <c r="AR30" i="16" s="1"/>
  <c r="BO12" i="19"/>
  <c r="BO13" s="1"/>
  <c r="BP20" l="1"/>
  <c r="BW40" i="16" s="1"/>
  <c r="BB16" i="18"/>
  <c r="BB17"/>
  <c r="BK35" i="16"/>
  <c r="CE44" i="19"/>
  <c r="P46" i="14"/>
  <c r="BD90" i="12"/>
  <c r="BD92" s="1"/>
  <c r="BO34" i="19"/>
  <c r="BP60"/>
  <c r="BQ34" i="12"/>
  <c r="BQ26" s="1"/>
  <c r="BO33" i="19"/>
  <c r="BO59"/>
  <c r="BR35" i="12"/>
  <c r="BR37"/>
  <c r="BR36"/>
  <c r="BP29" i="19"/>
  <c r="BP55"/>
  <c r="AQ62" i="12"/>
  <c r="AV9" i="16"/>
  <c r="AV10" s="1"/>
  <c r="AW22" i="20"/>
  <c r="AX21"/>
  <c r="BQ11" i="19"/>
  <c r="BR16" s="1"/>
  <c r="BQ12"/>
  <c r="CA42"/>
  <c r="CA68"/>
  <c r="CD43" i="12"/>
  <c r="K27" i="16"/>
  <c r="CA27"/>
  <c r="BY18" i="20"/>
  <c r="BZ18"/>
  <c r="BT53" i="12"/>
  <c r="AV19" i="16"/>
  <c r="BN88" i="19"/>
  <c r="BN92" s="1"/>
  <c r="BN77"/>
  <c r="BU38" i="16" s="1"/>
  <c r="BE86" i="12"/>
  <c r="BE90" s="1"/>
  <c r="BE92" s="1"/>
  <c r="BA18" i="18"/>
  <c r="AM26" i="20"/>
  <c r="AM27" s="1"/>
  <c r="AL28"/>
  <c r="BU54" i="12"/>
  <c r="AU11" i="20"/>
  <c r="AT11"/>
  <c r="AQ4"/>
  <c r="AQ7" s="1"/>
  <c r="AQ24" s="1"/>
  <c r="AT5"/>
  <c r="AP68" i="12"/>
  <c r="D42" i="36"/>
  <c r="D30" s="1"/>
  <c r="G12" i="20"/>
  <c r="G13" s="1"/>
  <c r="BR38" i="19"/>
  <c r="BT64"/>
  <c r="BR37"/>
  <c r="BS63"/>
  <c r="BP11" i="13"/>
  <c r="BP12"/>
  <c r="BP26"/>
  <c r="BP27"/>
  <c r="BV57" i="12" s="1"/>
  <c r="BO47"/>
  <c r="BM45" i="19"/>
  <c r="BR41"/>
  <c r="BS67"/>
  <c r="BR36"/>
  <c r="BS62"/>
  <c r="BR39"/>
  <c r="BT65"/>
  <c r="BT28" i="12"/>
  <c r="BR62" i="7"/>
  <c r="BP42" i="13"/>
  <c r="BP43"/>
  <c r="BV58" i="12" s="1"/>
  <c r="BQ22" i="13"/>
  <c r="BQ20"/>
  <c r="BQ50"/>
  <c r="BQ21"/>
  <c r="BQ19"/>
  <c r="BQ17"/>
  <c r="BQ49"/>
  <c r="BR5"/>
  <c r="BQ32"/>
  <c r="BQ45"/>
  <c r="BQ48"/>
  <c r="BQ38"/>
  <c r="BQ46"/>
  <c r="BQ30"/>
  <c r="BQ16"/>
  <c r="BQ51"/>
  <c r="BQ29"/>
  <c r="BQ31"/>
  <c r="BQ35"/>
  <c r="BQ18"/>
  <c r="BQ15"/>
  <c r="BQ34"/>
  <c r="BQ37"/>
  <c r="BQ47"/>
  <c r="BQ14"/>
  <c r="BQ33"/>
  <c r="BQ36"/>
  <c r="BU56" i="12"/>
  <c r="BS5" i="19"/>
  <c r="BS35" i="12"/>
  <c r="BS37"/>
  <c r="BS36"/>
  <c r="BQ29" i="19"/>
  <c r="BQ55"/>
  <c r="BH28" i="16"/>
  <c r="BF19" i="20"/>
  <c r="BJ7" i="25"/>
  <c r="BN48" i="12" s="1"/>
  <c r="BK80" i="19"/>
  <c r="BR17" i="16" s="1"/>
  <c r="BO35" i="19"/>
  <c r="BP61"/>
  <c r="AN31" i="16"/>
  <c r="AN36"/>
  <c r="AE28" i="18" s="1"/>
  <c r="AE32" s="1"/>
  <c r="AN21" i="16"/>
  <c r="AN23" s="1"/>
  <c r="AO29"/>
  <c r="AQ65" i="15"/>
  <c r="AR49"/>
  <c r="BR6" i="19"/>
  <c r="BR15"/>
  <c r="BR18" s="1"/>
  <c r="BR10"/>
  <c r="AP94"/>
  <c r="AP95"/>
  <c r="AW16" i="16" s="1"/>
  <c r="AQ93" i="19"/>
  <c r="BP26" i="12"/>
  <c r="BC14" i="18"/>
  <c r="BC15" s="1"/>
  <c r="BK20" i="20"/>
  <c r="BD13" i="18"/>
  <c r="AO69" i="12"/>
  <c r="AO72"/>
  <c r="AO95" s="1"/>
  <c r="AO113" s="1"/>
  <c r="D35" i="36"/>
  <c r="BP12" i="19"/>
  <c r="BP13" s="1"/>
  <c r="AN117" i="12"/>
  <c r="AN119" s="1"/>
  <c r="AS30" i="16" s="1"/>
  <c r="BQ13" i="19"/>
  <c r="BM92"/>
  <c r="BO77" l="1"/>
  <c r="BV38" i="16" s="1"/>
  <c r="BC17" i="18"/>
  <c r="BC16"/>
  <c r="BL35" i="16"/>
  <c r="AR4" i="20"/>
  <c r="AR7" s="1"/>
  <c r="AR24" s="1"/>
  <c r="BS34" i="12"/>
  <c r="BS26" s="1"/>
  <c r="BQ33" i="19"/>
  <c r="BQ59"/>
  <c r="BQ42" i="13"/>
  <c r="BQ43"/>
  <c r="BW58" i="12" s="1"/>
  <c r="E34" i="36"/>
  <c r="D49"/>
  <c r="D50" s="1"/>
  <c r="D51" s="1"/>
  <c r="BD14" i="18"/>
  <c r="BD15" s="1"/>
  <c r="BL20" i="20"/>
  <c r="BE13" i="18"/>
  <c r="AW19" i="16"/>
  <c r="BR11" i="19"/>
  <c r="BS16" s="1"/>
  <c r="AR62" i="12"/>
  <c r="AW9" i="16"/>
  <c r="AW10" s="1"/>
  <c r="BN47" i="12"/>
  <c r="BL45" i="19"/>
  <c r="BL79" s="1"/>
  <c r="BM71"/>
  <c r="BQ35"/>
  <c r="BR61"/>
  <c r="BS15"/>
  <c r="BS6"/>
  <c r="BS10"/>
  <c r="BQ11" i="13"/>
  <c r="BQ12"/>
  <c r="BQ26"/>
  <c r="BQ27"/>
  <c r="BW57" i="12" s="1"/>
  <c r="BT35"/>
  <c r="BT37"/>
  <c r="BT36"/>
  <c r="BR29" i="19"/>
  <c r="BR55"/>
  <c r="BV56" i="12"/>
  <c r="BT5" i="19"/>
  <c r="AP69" i="12"/>
  <c r="AP72"/>
  <c r="AP95" s="1"/>
  <c r="AP113" s="1"/>
  <c r="AN99" i="19" s="1"/>
  <c r="BU39" i="12"/>
  <c r="BU41"/>
  <c r="BU45"/>
  <c r="N45" i="14" s="1"/>
  <c r="BS57" i="7"/>
  <c r="BS61" s="1"/>
  <c r="BU38" i="12"/>
  <c r="BU40"/>
  <c r="BU42"/>
  <c r="N54" i="14"/>
  <c r="AN26" i="20"/>
  <c r="AN27" s="1"/>
  <c r="AM28"/>
  <c r="BT61" i="12"/>
  <c r="CB27" i="16"/>
  <c r="CB68" i="19"/>
  <c r="CE43" i="12"/>
  <c r="CB42" i="19"/>
  <c r="CB78" s="1"/>
  <c r="AU5" i="20"/>
  <c r="AQ68" i="12"/>
  <c r="BP34" i="19"/>
  <c r="BQ60"/>
  <c r="BR34" i="12"/>
  <c r="BP33" i="19"/>
  <c r="BP59"/>
  <c r="BO86"/>
  <c r="BM5" i="25"/>
  <c r="BM7" s="1"/>
  <c r="BQ48" i="12" s="1"/>
  <c r="AN43" i="16"/>
  <c r="AV10" i="20"/>
  <c r="CA78" i="19"/>
  <c r="AM99"/>
  <c r="AM101" s="1"/>
  <c r="AT39" i="16" s="1"/>
  <c r="AS12" i="20" s="1"/>
  <c r="AS13" s="1"/>
  <c r="BN86" i="19"/>
  <c r="BN89" s="1"/>
  <c r="BO91" s="1"/>
  <c r="BL5" i="25"/>
  <c r="AQ95" i="19"/>
  <c r="AX16" i="16" s="1"/>
  <c r="AQ94" i="19"/>
  <c r="AR93"/>
  <c r="AR65" i="15"/>
  <c r="AS49"/>
  <c r="AO31" i="16"/>
  <c r="AO36"/>
  <c r="AF28" i="18" s="1"/>
  <c r="AF32" s="1"/>
  <c r="AO21" i="16"/>
  <c r="AO23" s="1"/>
  <c r="AP29"/>
  <c r="BI28"/>
  <c r="BG19" i="20"/>
  <c r="BQ34" i="19"/>
  <c r="BR60"/>
  <c r="BU55" i="12"/>
  <c r="N56" i="14"/>
  <c r="G16" i="36" s="1"/>
  <c r="BR21" i="13"/>
  <c r="BR19"/>
  <c r="BR17"/>
  <c r="BR49"/>
  <c r="BR22"/>
  <c r="BR20"/>
  <c r="BR50"/>
  <c r="BS5"/>
  <c r="BR38"/>
  <c r="BR46"/>
  <c r="BR30"/>
  <c r="BR16"/>
  <c r="BR51"/>
  <c r="BR29"/>
  <c r="BR31"/>
  <c r="BR35"/>
  <c r="BR18"/>
  <c r="BR15"/>
  <c r="BR34"/>
  <c r="BR37"/>
  <c r="BR47"/>
  <c r="BR14"/>
  <c r="BR33"/>
  <c r="BR36"/>
  <c r="BR32"/>
  <c r="BR45"/>
  <c r="BR48"/>
  <c r="J18" i="20"/>
  <c r="AY21"/>
  <c r="AX22"/>
  <c r="BP35" i="19"/>
  <c r="BQ61"/>
  <c r="H11" i="36"/>
  <c r="Q46" i="14"/>
  <c r="BF86" i="12"/>
  <c r="BF90" s="1"/>
  <c r="BF92" s="1"/>
  <c r="BB18" i="18"/>
  <c r="AO117" i="12"/>
  <c r="AO119" s="1"/>
  <c r="AT30" i="16" s="1"/>
  <c r="BM79" i="19"/>
  <c r="BV54" i="12"/>
  <c r="AV11" i="20"/>
  <c r="BO88" i="19"/>
  <c r="BQ17"/>
  <c r="BQ18" s="1"/>
  <c r="BR20" s="1"/>
  <c r="BY40" i="16" s="1"/>
  <c r="BO92" i="19" l="1"/>
  <c r="AO43" i="16"/>
  <c r="BS18" i="19"/>
  <c r="BR12"/>
  <c r="BR13" s="1"/>
  <c r="BD16" i="18"/>
  <c r="BD17"/>
  <c r="BM35" i="16"/>
  <c r="BM80" i="19"/>
  <c r="BT17" i="16" s="1"/>
  <c r="AS4" i="20"/>
  <c r="AS7" s="1"/>
  <c r="AS24" s="1"/>
  <c r="I11" i="36"/>
  <c r="BU53" i="12"/>
  <c r="N55" i="14"/>
  <c r="H29" i="16"/>
  <c r="AP31"/>
  <c r="AP43" s="1"/>
  <c r="AP36"/>
  <c r="AP21"/>
  <c r="AQ29"/>
  <c r="AS65" i="15"/>
  <c r="AT49"/>
  <c r="AR95" i="19"/>
  <c r="AY16" i="16" s="1"/>
  <c r="AX10" i="20" s="1"/>
  <c r="AR94" i="19"/>
  <c r="AS93"/>
  <c r="AX19" i="16"/>
  <c r="BL7" i="25"/>
  <c r="BP48" i="12" s="1"/>
  <c r="BP88" i="19"/>
  <c r="BP77"/>
  <c r="BW38" i="16" s="1"/>
  <c r="AQ69" i="12"/>
  <c r="AQ117"/>
  <c r="AQ119" s="1"/>
  <c r="AV30" i="16" s="1"/>
  <c r="AQ72" i="12"/>
  <c r="AQ95" s="1"/>
  <c r="AQ113" s="1"/>
  <c r="CC42" i="19"/>
  <c r="CC78" s="1"/>
  <c r="CC68"/>
  <c r="CF43" i="12"/>
  <c r="AN28" i="20"/>
  <c r="AO26"/>
  <c r="AO27" s="1"/>
  <c r="BS41" i="19"/>
  <c r="BT67"/>
  <c r="N42" i="14"/>
  <c r="BT62" i="19"/>
  <c r="BS36"/>
  <c r="N38" i="14"/>
  <c r="BS37" i="19"/>
  <c r="BT63"/>
  <c r="N39" i="14"/>
  <c r="BT15" i="19"/>
  <c r="BT10"/>
  <c r="BT6"/>
  <c r="BR35"/>
  <c r="BS61"/>
  <c r="BW56" i="12"/>
  <c r="BW55" s="1"/>
  <c r="BW53" s="1"/>
  <c r="BW61" s="1"/>
  <c r="BU5" i="19"/>
  <c r="AV5" i="20"/>
  <c r="AR68" i="12"/>
  <c r="BG86"/>
  <c r="BG90" s="1"/>
  <c r="BG92" s="1"/>
  <c r="BC18" i="18"/>
  <c r="BO89" i="19"/>
  <c r="BP91" s="1"/>
  <c r="AP117" i="12"/>
  <c r="AP119" s="1"/>
  <c r="AU30" i="16" s="1"/>
  <c r="AW10" i="20"/>
  <c r="BQ88" i="19"/>
  <c r="BQ21"/>
  <c r="BX18" i="16" s="1"/>
  <c r="BQ20" i="19"/>
  <c r="BX40" i="16" s="1"/>
  <c r="BV38" i="12"/>
  <c r="BV40"/>
  <c r="BV42"/>
  <c r="BT57" i="7"/>
  <c r="BT61" s="1"/>
  <c r="BV39" i="12"/>
  <c r="BV41"/>
  <c r="BV45"/>
  <c r="AY22" i="20"/>
  <c r="AZ21"/>
  <c r="BR42" i="13"/>
  <c r="BR43"/>
  <c r="BX58" i="12" s="1"/>
  <c r="BR11" i="13"/>
  <c r="BR12"/>
  <c r="BR26"/>
  <c r="BR27"/>
  <c r="BX57" i="12" s="1"/>
  <c r="BS22" i="13"/>
  <c r="BS20"/>
  <c r="BS50"/>
  <c r="BS21"/>
  <c r="BS19"/>
  <c r="BS17"/>
  <c r="BS49"/>
  <c r="BT5"/>
  <c r="BS38"/>
  <c r="BS46"/>
  <c r="BS30"/>
  <c r="BS16"/>
  <c r="BS51"/>
  <c r="BS29"/>
  <c r="BS31"/>
  <c r="BS35"/>
  <c r="BS18"/>
  <c r="BS15"/>
  <c r="BS34"/>
  <c r="BS37"/>
  <c r="BS47"/>
  <c r="BS14"/>
  <c r="BS33"/>
  <c r="BS36"/>
  <c r="BS32"/>
  <c r="BS45"/>
  <c r="BS48"/>
  <c r="BH19" i="20"/>
  <c r="BJ28" i="16"/>
  <c r="AS62" i="12"/>
  <c r="AX9" i="16"/>
  <c r="AX10" s="1"/>
  <c r="BQ47" i="12"/>
  <c r="BO45" i="19"/>
  <c r="BR26" i="12"/>
  <c r="CC27" i="16"/>
  <c r="BS38" i="19"/>
  <c r="BU64"/>
  <c r="N40" i="14"/>
  <c r="BU28" i="12"/>
  <c r="BS62" i="7"/>
  <c r="BS39" i="19"/>
  <c r="BU65"/>
  <c r="N41" i="14"/>
  <c r="BV55" i="12"/>
  <c r="BR34" i="19"/>
  <c r="BS60"/>
  <c r="BT34" i="12"/>
  <c r="BT26" s="1"/>
  <c r="BR33" i="19"/>
  <c r="BR59"/>
  <c r="BS11"/>
  <c r="BT16" s="1"/>
  <c r="BS12"/>
  <c r="BT17" s="1"/>
  <c r="BS20"/>
  <c r="BZ40" i="16" s="1"/>
  <c r="K40" s="1"/>
  <c r="BS21" i="19"/>
  <c r="BZ18" i="16" s="1"/>
  <c r="K18" s="1"/>
  <c r="BL80" i="19"/>
  <c r="BS17" i="16" s="1"/>
  <c r="BE14" i="18"/>
  <c r="BE15" s="1"/>
  <c r="I20" i="20"/>
  <c r="BM20"/>
  <c r="BF13" i="18"/>
  <c r="BQ86" i="19"/>
  <c r="BQ89" s="1"/>
  <c r="BR91" s="1"/>
  <c r="BO5" i="25"/>
  <c r="BO7" s="1"/>
  <c r="BS48" i="12" s="1"/>
  <c r="AN101" i="19"/>
  <c r="AU39" i="16" s="1"/>
  <c r="AT12" i="20" s="1"/>
  <c r="AT13" s="1"/>
  <c r="BW54" i="12"/>
  <c r="BR21" i="19"/>
  <c r="BY18" i="16" s="1"/>
  <c r="AW11" i="20"/>
  <c r="BQ77" i="19"/>
  <c r="BX38" i="16" s="1"/>
  <c r="BE17" i="18" l="1"/>
  <c r="BE16"/>
  <c r="BN35" i="16"/>
  <c r="BU57" i="7"/>
  <c r="BU61" s="1"/>
  <c r="BW38" i="12"/>
  <c r="BW40"/>
  <c r="BW42"/>
  <c r="BW39"/>
  <c r="BW41"/>
  <c r="BW45"/>
  <c r="BS47"/>
  <c r="BQ45" i="19"/>
  <c r="BF14" i="18"/>
  <c r="BF15" s="1"/>
  <c r="BN20" i="20"/>
  <c r="BG13" i="18"/>
  <c r="BR86" i="19"/>
  <c r="BP5" i="25"/>
  <c r="BP7" s="1"/>
  <c r="BT48" i="12" s="1"/>
  <c r="CD27" i="16"/>
  <c r="BP86" i="19"/>
  <c r="BP89" s="1"/>
  <c r="BQ91" s="1"/>
  <c r="BN5" i="25"/>
  <c r="AW5" i="20"/>
  <c r="AS68" i="12"/>
  <c r="BK28" i="16"/>
  <c r="BI19" i="20"/>
  <c r="AZ22"/>
  <c r="BA21"/>
  <c r="BT39" i="19"/>
  <c r="BV65"/>
  <c r="BV28" i="12"/>
  <c r="BT62" i="7"/>
  <c r="BT38" i="19"/>
  <c r="BV64"/>
  <c r="AT4" i="20"/>
  <c r="AT7" s="1"/>
  <c r="AT24" s="1"/>
  <c r="AR69" i="12"/>
  <c r="AR72"/>
  <c r="AR95" s="1"/>
  <c r="AR113" s="1"/>
  <c r="AP99" i="19" s="1"/>
  <c r="BU15"/>
  <c r="BU10"/>
  <c r="BU6"/>
  <c r="BT11"/>
  <c r="BU16" s="1"/>
  <c r="AP26" i="20"/>
  <c r="AP27" s="1"/>
  <c r="AO28"/>
  <c r="CD68" i="19"/>
  <c r="CG43" i="12"/>
  <c r="CD42" i="19"/>
  <c r="CD78" s="1"/>
  <c r="AU4" i="20"/>
  <c r="AU7" s="1"/>
  <c r="AT65" i="15"/>
  <c r="AU49"/>
  <c r="AQ31" i="16"/>
  <c r="AQ36"/>
  <c r="AH28" i="18" s="1"/>
  <c r="AH32" s="1"/>
  <c r="AQ21" i="16"/>
  <c r="AQ23" s="1"/>
  <c r="AR29"/>
  <c r="AG28" i="18"/>
  <c r="AG32" s="1"/>
  <c r="H36" i="16"/>
  <c r="H30"/>
  <c r="G4" i="20" s="1"/>
  <c r="G7" s="1"/>
  <c r="G24" s="1"/>
  <c r="G27" s="1"/>
  <c r="H31" i="16"/>
  <c r="H43" s="1"/>
  <c r="BU61" i="12"/>
  <c r="N61" i="14" s="1"/>
  <c r="N53"/>
  <c r="O53" s="1"/>
  <c r="BX54" i="12"/>
  <c r="BT18" i="19"/>
  <c r="BT21" s="1"/>
  <c r="CA18" i="16" s="1"/>
  <c r="BR88" i="19"/>
  <c r="BR92" s="1"/>
  <c r="BR77"/>
  <c r="BY38" i="16" s="1"/>
  <c r="BV53" i="12"/>
  <c r="BU35"/>
  <c r="BU37"/>
  <c r="BU36"/>
  <c r="BS55" i="19"/>
  <c r="BS29"/>
  <c r="N28" i="14"/>
  <c r="BS42" i="13"/>
  <c r="BS43"/>
  <c r="BY58" i="12" s="1"/>
  <c r="BS11" i="13"/>
  <c r="BS12"/>
  <c r="BS26"/>
  <c r="BS27"/>
  <c r="BY57" i="12" s="1"/>
  <c r="BT21" i="13"/>
  <c r="BT19"/>
  <c r="BT17"/>
  <c r="BT49"/>
  <c r="BT22"/>
  <c r="BT20"/>
  <c r="BT50"/>
  <c r="BU5"/>
  <c r="BT32"/>
  <c r="BT45"/>
  <c r="BT48"/>
  <c r="BT38"/>
  <c r="BT46"/>
  <c r="BT30"/>
  <c r="BT16"/>
  <c r="BT51"/>
  <c r="BT29"/>
  <c r="BT31"/>
  <c r="BT35"/>
  <c r="BT18"/>
  <c r="BT15"/>
  <c r="BT34"/>
  <c r="BT37"/>
  <c r="BT47"/>
  <c r="BT14"/>
  <c r="BT33"/>
  <c r="BT36"/>
  <c r="BX56" i="12"/>
  <c r="BV5" i="19"/>
  <c r="BT37"/>
  <c r="BU63"/>
  <c r="BT41"/>
  <c r="BU67"/>
  <c r="BT36"/>
  <c r="BU62"/>
  <c r="AO99"/>
  <c r="BP47" i="12"/>
  <c r="BN45" i="19"/>
  <c r="BN79" s="1"/>
  <c r="AS94"/>
  <c r="AS95"/>
  <c r="AZ16" i="16" s="1"/>
  <c r="AT93" i="19"/>
  <c r="AY10" i="20"/>
  <c r="AY19" i="16"/>
  <c r="AT62" i="12"/>
  <c r="AY9" i="16"/>
  <c r="AY10" s="1"/>
  <c r="H21"/>
  <c r="H23" s="1"/>
  <c r="AP23"/>
  <c r="BH86" i="12"/>
  <c r="BH90" s="1"/>
  <c r="BH92" s="1"/>
  <c r="BD18" i="18"/>
  <c r="BQ92" i="19"/>
  <c r="BS13"/>
  <c r="BP92"/>
  <c r="AQ43" i="16" l="1"/>
  <c r="BF17" i="18"/>
  <c r="BF16"/>
  <c r="BO35" i="16"/>
  <c r="AX5" i="20"/>
  <c r="AT68" i="12"/>
  <c r="AZ19" i="16"/>
  <c r="BT42" i="13"/>
  <c r="BT43"/>
  <c r="BZ58" i="12" s="1"/>
  <c r="BU22" i="13"/>
  <c r="BU20"/>
  <c r="BU50"/>
  <c r="BU21"/>
  <c r="BU19"/>
  <c r="BU17"/>
  <c r="BU49"/>
  <c r="BV5"/>
  <c r="BU32"/>
  <c r="BU45"/>
  <c r="BU48"/>
  <c r="BU38"/>
  <c r="BU46"/>
  <c r="BU30"/>
  <c r="BU16"/>
  <c r="BU51"/>
  <c r="BU29"/>
  <c r="BU31"/>
  <c r="BU35"/>
  <c r="BU18"/>
  <c r="BU15"/>
  <c r="BU34"/>
  <c r="BU37"/>
  <c r="BU47"/>
  <c r="BU14"/>
  <c r="BU33"/>
  <c r="BU36"/>
  <c r="BY56" i="12"/>
  <c r="BY55" s="1"/>
  <c r="BY53" s="1"/>
  <c r="BY61" s="1"/>
  <c r="BW5" i="19"/>
  <c r="BS35"/>
  <c r="BT61"/>
  <c r="N37" i="14"/>
  <c r="AU93" i="19"/>
  <c r="AT94"/>
  <c r="AT95"/>
  <c r="BA16" i="16" s="1"/>
  <c r="AZ10" i="20" s="1"/>
  <c r="AO101" i="19"/>
  <c r="AV39" i="16" s="1"/>
  <c r="AU12" i="20" s="1"/>
  <c r="AU13" s="1"/>
  <c r="AS100" i="19"/>
  <c r="AR100"/>
  <c r="BV6"/>
  <c r="BV15"/>
  <c r="BV10"/>
  <c r="BT11" i="13"/>
  <c r="BT12"/>
  <c r="BT26"/>
  <c r="BT27"/>
  <c r="BZ57" i="12" s="1"/>
  <c r="G12" i="36"/>
  <c r="O28" i="14"/>
  <c r="BS34" i="19"/>
  <c r="BT60"/>
  <c r="N36" i="14"/>
  <c r="BU34" i="12"/>
  <c r="BS33" i="19"/>
  <c r="BS59"/>
  <c r="N35" i="14"/>
  <c r="BV61" i="12"/>
  <c r="BX38"/>
  <c r="BX40"/>
  <c r="BX42"/>
  <c r="BV57" i="7"/>
  <c r="BV61" s="1"/>
  <c r="BX39" i="12"/>
  <c r="BX41"/>
  <c r="BX45"/>
  <c r="AR31" i="16"/>
  <c r="AR36"/>
  <c r="AI28" i="18" s="1"/>
  <c r="AI32" s="1"/>
  <c r="AR21" i="16"/>
  <c r="AR23" s="1"/>
  <c r="AS29"/>
  <c r="AU65" i="15"/>
  <c r="AV49"/>
  <c r="AQ26" i="20"/>
  <c r="AQ27" s="1"/>
  <c r="AP28"/>
  <c r="AP101" i="19"/>
  <c r="AW39" i="16" s="1"/>
  <c r="AV12" i="20" s="1"/>
  <c r="AV13" s="1"/>
  <c r="BA22"/>
  <c r="BB21"/>
  <c r="BL28" i="16"/>
  <c r="BJ19" i="20"/>
  <c r="BN7" i="25"/>
  <c r="BR48" i="12" s="1"/>
  <c r="BT47"/>
  <c r="BR45" i="19"/>
  <c r="BG15" i="18"/>
  <c r="BG14"/>
  <c r="BO20" i="20"/>
  <c r="BH13" i="18"/>
  <c r="BV63" i="19"/>
  <c r="BU37"/>
  <c r="BW64"/>
  <c r="BU38"/>
  <c r="BW28" i="12"/>
  <c r="BU62" i="7"/>
  <c r="J35" i="16"/>
  <c r="I21" i="20" s="1"/>
  <c r="BI86" i="12"/>
  <c r="BE18" i="18"/>
  <c r="BO79" i="19"/>
  <c r="AY11" i="20"/>
  <c r="BY54" i="12"/>
  <c r="BT20" i="19"/>
  <c r="CA40" i="16" s="1"/>
  <c r="BT12" i="19"/>
  <c r="AR117" i="12"/>
  <c r="AR119" s="1"/>
  <c r="AW30" i="16" s="1"/>
  <c r="BN80" i="19"/>
  <c r="BU17" i="16" s="1"/>
  <c r="BX55" i="12"/>
  <c r="G17" i="36"/>
  <c r="O61" i="14"/>
  <c r="H26" i="20"/>
  <c r="G28"/>
  <c r="AU62" i="12"/>
  <c r="AZ9" i="16"/>
  <c r="AZ10" s="1"/>
  <c r="CE42" i="19"/>
  <c r="CE78" s="1"/>
  <c r="CE68"/>
  <c r="P43" i="14"/>
  <c r="BU11" i="19"/>
  <c r="BV16" s="1"/>
  <c r="BU12"/>
  <c r="BU13" s="1"/>
  <c r="BV36" i="12"/>
  <c r="BV35"/>
  <c r="BV37"/>
  <c r="BT29" i="19"/>
  <c r="BT55"/>
  <c r="AS69" i="12"/>
  <c r="AS72"/>
  <c r="AS95" s="1"/>
  <c r="AS113" s="1"/>
  <c r="AS117" s="1"/>
  <c r="AS119" s="1"/>
  <c r="AX30" i="16" s="1"/>
  <c r="CE27"/>
  <c r="BW65" i="19"/>
  <c r="BU39"/>
  <c r="BV67"/>
  <c r="BU41"/>
  <c r="BV62"/>
  <c r="BU36"/>
  <c r="AX11" i="20"/>
  <c r="AU24"/>
  <c r="BU18" i="19"/>
  <c r="BU20" s="1"/>
  <c r="CB40" i="16" s="1"/>
  <c r="BR89" i="19"/>
  <c r="BS91" s="1"/>
  <c r="BU21" l="1"/>
  <c r="CB18" i="16" s="1"/>
  <c r="AW4" i="20"/>
  <c r="AW7" s="1"/>
  <c r="CF27" i="16"/>
  <c r="BV34" i="12"/>
  <c r="BT59" i="19"/>
  <c r="BT33"/>
  <c r="BU60"/>
  <c r="BT34"/>
  <c r="AV4" i="20"/>
  <c r="AV7" s="1"/>
  <c r="AV24" s="1"/>
  <c r="BT13" i="19"/>
  <c r="BW57" i="7"/>
  <c r="BW61" s="1"/>
  <c r="BY38" i="12"/>
  <c r="BY40"/>
  <c r="BY42"/>
  <c r="BY39"/>
  <c r="BY41"/>
  <c r="BY45"/>
  <c r="BH14" i="18"/>
  <c r="BH15" s="1"/>
  <c r="BP20" i="20"/>
  <c r="BI13" i="18"/>
  <c r="BM28" i="16"/>
  <c r="BK19" i="20"/>
  <c r="AR26"/>
  <c r="AR27" s="1"/>
  <c r="AQ28"/>
  <c r="AV62" i="12"/>
  <c r="BA9" i="16"/>
  <c r="BA10" s="1"/>
  <c r="BV39" i="19"/>
  <c r="BX65"/>
  <c r="BX28" i="12"/>
  <c r="BV62" i="7"/>
  <c r="BV38" i="19"/>
  <c r="BX64"/>
  <c r="N34" i="14"/>
  <c r="BU26" i="12"/>
  <c r="BZ56"/>
  <c r="BX5" i="19"/>
  <c r="BV11"/>
  <c r="BW16" s="1"/>
  <c r="BW6"/>
  <c r="BW15"/>
  <c r="BW10"/>
  <c r="BU11" i="13"/>
  <c r="BU12"/>
  <c r="BU26"/>
  <c r="BU27"/>
  <c r="CA57" i="12" s="1"/>
  <c r="BJ86"/>
  <c r="BF18" i="18"/>
  <c r="AR43" i="16"/>
  <c r="AQ99" i="19"/>
  <c r="BU61"/>
  <c r="BT35"/>
  <c r="AY5" i="20"/>
  <c r="AU68" i="12"/>
  <c r="BX53"/>
  <c r="BO80" i="19"/>
  <c r="BV17" i="16" s="1"/>
  <c r="BI90" i="12"/>
  <c r="BI92" s="1"/>
  <c r="L86" i="14"/>
  <c r="BW36" i="12"/>
  <c r="BW35"/>
  <c r="BW37"/>
  <c r="BU55" i="19"/>
  <c r="BU29"/>
  <c r="BG16" i="18"/>
  <c r="BG17"/>
  <c r="BP35" i="16"/>
  <c r="BR47" i="12"/>
  <c r="BP45" i="19"/>
  <c r="BB22" i="20"/>
  <c r="BC21"/>
  <c r="AV65" i="15"/>
  <c r="AW49"/>
  <c r="AS31" i="16"/>
  <c r="AS21"/>
  <c r="AS23" s="1"/>
  <c r="AS36"/>
  <c r="AJ28" i="18" s="1"/>
  <c r="AJ32" s="1"/>
  <c r="AT29" i="16"/>
  <c r="BV37" i="19"/>
  <c r="BW63"/>
  <c r="BV41"/>
  <c r="BW67"/>
  <c r="BV36"/>
  <c r="BW62"/>
  <c r="BS88"/>
  <c r="BS92" s="1"/>
  <c r="BS77"/>
  <c r="BZ38" i="16" s="1"/>
  <c r="AX100" i="19"/>
  <c r="AU100"/>
  <c r="BA100"/>
  <c r="BA19" i="16"/>
  <c r="AU94" i="19"/>
  <c r="AV93"/>
  <c r="AU95"/>
  <c r="BB16" i="16" s="1"/>
  <c r="BU42" i="13"/>
  <c r="BU43"/>
  <c r="CA58" i="12" s="1"/>
  <c r="BV21" i="13"/>
  <c r="BV19"/>
  <c r="BV17"/>
  <c r="BV49"/>
  <c r="BV22"/>
  <c r="BV20"/>
  <c r="BV50"/>
  <c r="BW5"/>
  <c r="BV38"/>
  <c r="BV46"/>
  <c r="BV30"/>
  <c r="BV16"/>
  <c r="BV51"/>
  <c r="BV29"/>
  <c r="BV31"/>
  <c r="BV35"/>
  <c r="BV18"/>
  <c r="BV15"/>
  <c r="BV34"/>
  <c r="BV37"/>
  <c r="BV47"/>
  <c r="BV14"/>
  <c r="BV33"/>
  <c r="BV36"/>
  <c r="BV32"/>
  <c r="BV45"/>
  <c r="BV48"/>
  <c r="AT69" i="12"/>
  <c r="AT117"/>
  <c r="AT119" s="1"/>
  <c r="AY30" i="16" s="1"/>
  <c r="AT72" i="12"/>
  <c r="AT95" s="1"/>
  <c r="AT113" s="1"/>
  <c r="AR99" i="19" s="1"/>
  <c r="AR101" s="1"/>
  <c r="AY39" i="16" s="1"/>
  <c r="BZ54" i="12"/>
  <c r="BV18" i="19"/>
  <c r="BV20" s="1"/>
  <c r="CC40" i="16" s="1"/>
  <c r="AZ11" i="20"/>
  <c r="BV12" i="19" l="1"/>
  <c r="BH17" i="18"/>
  <c r="BH16"/>
  <c r="BQ35" i="16"/>
  <c r="BZ38" i="12"/>
  <c r="BZ40"/>
  <c r="BZ42"/>
  <c r="BX57" i="7"/>
  <c r="BX61" s="1"/>
  <c r="BZ39" i="12"/>
  <c r="BZ41"/>
  <c r="BZ45"/>
  <c r="K38" i="16"/>
  <c r="AW62" i="12"/>
  <c r="BB9" i="16"/>
  <c r="BC22" i="20"/>
  <c r="BD21"/>
  <c r="BP79" i="19"/>
  <c r="BQ79"/>
  <c r="BU35"/>
  <c r="BV61"/>
  <c r="BU34"/>
  <c r="BV60"/>
  <c r="BX61" i="12"/>
  <c r="CA56"/>
  <c r="CA55" s="1"/>
  <c r="CA53" s="1"/>
  <c r="CA61" s="1"/>
  <c r="BY5" i="19"/>
  <c r="BW11"/>
  <c r="BX16" s="1"/>
  <c r="BZ55" i="12"/>
  <c r="G13" i="36"/>
  <c r="O34" i="14"/>
  <c r="AZ5" i="20"/>
  <c r="AV68" i="12"/>
  <c r="AS26" i="20"/>
  <c r="AS27" s="1"/>
  <c r="AR28"/>
  <c r="BI14" i="18"/>
  <c r="BI15" s="1"/>
  <c r="BQ20" i="20"/>
  <c r="BJ13" i="18"/>
  <c r="BW39" i="19"/>
  <c r="BY65"/>
  <c r="BW41"/>
  <c r="BX67"/>
  <c r="BW36"/>
  <c r="BX62"/>
  <c r="AS43" i="16"/>
  <c r="BV21" i="19"/>
  <c r="CC18" i="16" s="1"/>
  <c r="AX4" i="20"/>
  <c r="AX7" s="1"/>
  <c r="AW93" i="19"/>
  <c r="AV94"/>
  <c r="AV95"/>
  <c r="BC16" i="16" s="1"/>
  <c r="BV42" i="13"/>
  <c r="BV43"/>
  <c r="CB58" i="12" s="1"/>
  <c r="BV11" i="13"/>
  <c r="BV12"/>
  <c r="BV26"/>
  <c r="BV27"/>
  <c r="CB57" i="12" s="1"/>
  <c r="BW22" i="13"/>
  <c r="BW20"/>
  <c r="BW50"/>
  <c r="BW21"/>
  <c r="BW19"/>
  <c r="BW17"/>
  <c r="BW49"/>
  <c r="BX5"/>
  <c r="BW38"/>
  <c r="BW46"/>
  <c r="BW30"/>
  <c r="BW16"/>
  <c r="BW51"/>
  <c r="BW29"/>
  <c r="BW31"/>
  <c r="BW35"/>
  <c r="BW18"/>
  <c r="BW15"/>
  <c r="BW34"/>
  <c r="BW37"/>
  <c r="BW47"/>
  <c r="BW14"/>
  <c r="BW33"/>
  <c r="BW36"/>
  <c r="BW32"/>
  <c r="BW45"/>
  <c r="BW48"/>
  <c r="I16" i="16"/>
  <c r="BB10" i="20"/>
  <c r="BB19" i="16"/>
  <c r="AT31"/>
  <c r="AT36"/>
  <c r="AK28" i="18" s="1"/>
  <c r="AK32" s="1"/>
  <c r="AT21" i="16"/>
  <c r="AT23" s="1"/>
  <c r="AU29"/>
  <c r="AW65" i="15"/>
  <c r="AX49"/>
  <c r="BK86" i="12"/>
  <c r="BK90" s="1"/>
  <c r="BK92" s="1"/>
  <c r="BG18" i="18"/>
  <c r="BW34" i="12"/>
  <c r="BW26" s="1"/>
  <c r="BU33" i="19"/>
  <c r="BU59"/>
  <c r="M86" i="14"/>
  <c r="L90"/>
  <c r="AU69" i="12"/>
  <c r="AU72"/>
  <c r="AU95" s="1"/>
  <c r="AU113" s="1"/>
  <c r="AS99" i="19" s="1"/>
  <c r="AS101" s="1"/>
  <c r="AZ39" i="16" s="1"/>
  <c r="AY12" i="20" s="1"/>
  <c r="AY13" s="1"/>
  <c r="AQ101" i="19"/>
  <c r="AX39" i="16" s="1"/>
  <c r="AW12" i="20" s="1"/>
  <c r="AW13" s="1"/>
  <c r="BJ90" i="12"/>
  <c r="BJ92" s="1"/>
  <c r="BX15" i="19"/>
  <c r="BX18" s="1"/>
  <c r="BX10"/>
  <c r="BX6"/>
  <c r="BS86"/>
  <c r="BS89" s="1"/>
  <c r="BT91" s="1"/>
  <c r="BQ5" i="25"/>
  <c r="N26" i="14"/>
  <c r="O26" s="1"/>
  <c r="BX36" i="12"/>
  <c r="BX35"/>
  <c r="BX37"/>
  <c r="BV29" i="19"/>
  <c r="BV55"/>
  <c r="BL19" i="20"/>
  <c r="BN28" i="16"/>
  <c r="BW37" i="19"/>
  <c r="BX63"/>
  <c r="BW38"/>
  <c r="BY64"/>
  <c r="BY28" i="12"/>
  <c r="BW62" i="7"/>
  <c r="BT88" i="19"/>
  <c r="BT92" s="1"/>
  <c r="BT77"/>
  <c r="CA38" i="16" s="1"/>
  <c r="BV26" i="12"/>
  <c r="CG27" i="16"/>
  <c r="AX12" i="20"/>
  <c r="AX13" s="1"/>
  <c r="BA10"/>
  <c r="BR79" i="19"/>
  <c r="CA54" i="12"/>
  <c r="AW24" i="20"/>
  <c r="BW17" i="19" l="1"/>
  <c r="BW18" s="1"/>
  <c r="BW21" s="1"/>
  <c r="CD18" i="16" s="1"/>
  <c r="BV13" i="19"/>
  <c r="BW12"/>
  <c r="BW13" s="1"/>
  <c r="BI16" i="18"/>
  <c r="BI17"/>
  <c r="BR35" i="16"/>
  <c r="BY57" i="7"/>
  <c r="BY61" s="1"/>
  <c r="CA38" i="12"/>
  <c r="CA40"/>
  <c r="CA42"/>
  <c r="CA39"/>
  <c r="CA41"/>
  <c r="CA45"/>
  <c r="BV35" i="19"/>
  <c r="BW61"/>
  <c r="BV34"/>
  <c r="BW60"/>
  <c r="BQ7" i="25"/>
  <c r="BU48" i="12" s="1"/>
  <c r="BQ6" i="25"/>
  <c r="BX11" i="19"/>
  <c r="BY16" s="1"/>
  <c r="BX12"/>
  <c r="BX21"/>
  <c r="CE18" i="16" s="1"/>
  <c r="BX20" i="19"/>
  <c r="CE40" i="16" s="1"/>
  <c r="M90" i="14"/>
  <c r="L92"/>
  <c r="M92" s="1"/>
  <c r="BU86" i="19"/>
  <c r="BS5" i="25"/>
  <c r="BS7" s="1"/>
  <c r="BW48" i="12" s="1"/>
  <c r="AX62"/>
  <c r="BC9" i="16"/>
  <c r="BC10" s="1"/>
  <c r="E48" i="36"/>
  <c r="I19" i="16"/>
  <c r="H10" i="20"/>
  <c r="BW42" i="13"/>
  <c r="BW43"/>
  <c r="CC58" i="12" s="1"/>
  <c r="BW11" i="13"/>
  <c r="BW12"/>
  <c r="BW26"/>
  <c r="BW27"/>
  <c r="CC57" i="12" s="1"/>
  <c r="BX21" i="13"/>
  <c r="BX19"/>
  <c r="BX17"/>
  <c r="BX49"/>
  <c r="BX22"/>
  <c r="BX20"/>
  <c r="BX50"/>
  <c r="BY5"/>
  <c r="BX32"/>
  <c r="BX45"/>
  <c r="BX48"/>
  <c r="BX38"/>
  <c r="BX46"/>
  <c r="BX30"/>
  <c r="BX16"/>
  <c r="BX51"/>
  <c r="BX29"/>
  <c r="BX31"/>
  <c r="BX35"/>
  <c r="BX18"/>
  <c r="BX15"/>
  <c r="BX34"/>
  <c r="BX37"/>
  <c r="BX47"/>
  <c r="BX14"/>
  <c r="BX33"/>
  <c r="BX36"/>
  <c r="CB56" i="12"/>
  <c r="BZ5" i="19"/>
  <c r="BC19" i="16"/>
  <c r="AX93" i="19"/>
  <c r="AW94"/>
  <c r="AW95"/>
  <c r="BD16" i="16" s="1"/>
  <c r="AT26" i="20"/>
  <c r="AT27" s="1"/>
  <c r="AS28"/>
  <c r="G41" i="36"/>
  <c r="G56" s="1"/>
  <c r="G57" s="1"/>
  <c r="BZ53" i="12"/>
  <c r="BP80" i="19"/>
  <c r="BW17" i="16" s="1"/>
  <c r="BA5" i="20"/>
  <c r="AW68" i="12"/>
  <c r="J62" i="14"/>
  <c r="BX37" i="19"/>
  <c r="BY63"/>
  <c r="BX41"/>
  <c r="BY67"/>
  <c r="BX36"/>
  <c r="BY62"/>
  <c r="BL86" i="12"/>
  <c r="BH18" i="18"/>
  <c r="AU117" i="12"/>
  <c r="AU119" s="1"/>
  <c r="AZ30" i="16" s="1"/>
  <c r="AT43"/>
  <c r="BB11" i="20"/>
  <c r="AX24"/>
  <c r="BW20" i="19"/>
  <c r="CD40" i="16" s="1"/>
  <c r="BT86" i="19"/>
  <c r="BT89" s="1"/>
  <c r="BU91" s="1"/>
  <c r="BR5" i="25"/>
  <c r="BR80" i="19"/>
  <c r="BY17" i="16" s="1"/>
  <c r="CH27"/>
  <c r="BY36" i="12"/>
  <c r="BY35"/>
  <c r="BY37"/>
  <c r="BW29" i="19"/>
  <c r="BW55"/>
  <c r="BO28" i="16"/>
  <c r="BM19" i="20"/>
  <c r="J28" i="16"/>
  <c r="BX34" i="12"/>
  <c r="BV33" i="19"/>
  <c r="BV59"/>
  <c r="BU88"/>
  <c r="BU77"/>
  <c r="CB38" i="16" s="1"/>
  <c r="AX65" i="15"/>
  <c r="AY49"/>
  <c r="AU31" i="16"/>
  <c r="AU21"/>
  <c r="AU23" s="1"/>
  <c r="AU36"/>
  <c r="AL28" i="18" s="1"/>
  <c r="AL32" s="1"/>
  <c r="AV29" i="16"/>
  <c r="BJ14" i="18"/>
  <c r="BJ15"/>
  <c r="BR20" i="20"/>
  <c r="BK13" i="18"/>
  <c r="AV69" i="12"/>
  <c r="AV117"/>
  <c r="AV119" s="1"/>
  <c r="BA30" i="16" s="1"/>
  <c r="AV72" i="12"/>
  <c r="AV95" s="1"/>
  <c r="AV113" s="1"/>
  <c r="AT99" i="19" s="1"/>
  <c r="BY6"/>
  <c r="BY15"/>
  <c r="BY18" s="1"/>
  <c r="BY10"/>
  <c r="BQ80"/>
  <c r="BX17" i="16" s="1"/>
  <c r="BD22" i="20"/>
  <c r="BE21"/>
  <c r="I9" i="16"/>
  <c r="I10" s="1"/>
  <c r="BB10"/>
  <c r="BX39" i="19"/>
  <c r="BZ65"/>
  <c r="BZ28" i="12"/>
  <c r="BX62" i="7"/>
  <c r="BX38" i="19"/>
  <c r="BZ64"/>
  <c r="BA11" i="20"/>
  <c r="BX13" i="19"/>
  <c r="CB54" i="12"/>
  <c r="BE22" i="20" l="1"/>
  <c r="BF21"/>
  <c r="BY11" i="19"/>
  <c r="BZ16" s="1"/>
  <c r="BY12"/>
  <c r="BZ17" s="1"/>
  <c r="BY21"/>
  <c r="CF18" i="16" s="1"/>
  <c r="BY20" i="19"/>
  <c r="CF40" i="16" s="1"/>
  <c r="BK14" i="18"/>
  <c r="BK15" s="1"/>
  <c r="BS20" i="20"/>
  <c r="BL13" i="18"/>
  <c r="BX26" i="12"/>
  <c r="I19" i="20"/>
  <c r="I22" s="1"/>
  <c r="BP28" i="16"/>
  <c r="BN19" i="20"/>
  <c r="BW35" i="19"/>
  <c r="BX61"/>
  <c r="BW34"/>
  <c r="BX60"/>
  <c r="BR7" i="25"/>
  <c r="BV48" i="12" s="1"/>
  <c r="BL90"/>
  <c r="BL92" s="1"/>
  <c r="E18" i="36"/>
  <c r="K62" i="14"/>
  <c r="H5" i="20"/>
  <c r="J68" i="14"/>
  <c r="BZ61" i="12"/>
  <c r="G58" i="36"/>
  <c r="G59"/>
  <c r="G32" s="1"/>
  <c r="E16" i="38" s="1"/>
  <c r="AU26" i="20"/>
  <c r="AU27" s="1"/>
  <c r="AT28"/>
  <c r="BZ6" i="19"/>
  <c r="BZ15"/>
  <c r="BZ18" s="1"/>
  <c r="BZ10"/>
  <c r="BX11" i="13"/>
  <c r="BX12"/>
  <c r="BX26"/>
  <c r="BX27"/>
  <c r="CD57" i="12" s="1"/>
  <c r="H11" i="20"/>
  <c r="E31" i="36"/>
  <c r="BB5" i="20"/>
  <c r="AX68" i="12"/>
  <c r="BU47"/>
  <c r="BS45" i="19"/>
  <c r="BS79" s="1"/>
  <c r="BS71"/>
  <c r="N48" i="14"/>
  <c r="O48" s="1"/>
  <c r="BZ63" i="19"/>
  <c r="BY37"/>
  <c r="CA64"/>
  <c r="BY38"/>
  <c r="CA28" i="12"/>
  <c r="BY62" i="7"/>
  <c r="BY13" i="19"/>
  <c r="CC54" i="12"/>
  <c r="BU89" i="19"/>
  <c r="BV91" s="1"/>
  <c r="CB38" i="12"/>
  <c r="CB40"/>
  <c r="CB42"/>
  <c r="BZ57" i="7"/>
  <c r="BZ61" s="1"/>
  <c r="CB39" i="12"/>
  <c r="CB41"/>
  <c r="CB45"/>
  <c r="BZ36"/>
  <c r="BZ35"/>
  <c r="BZ37"/>
  <c r="BX29" i="19"/>
  <c r="BX55"/>
  <c r="AZ4" i="20"/>
  <c r="AZ7" s="1"/>
  <c r="AZ24" s="1"/>
  <c r="BJ17" i="18"/>
  <c r="BJ16"/>
  <c r="BS35" i="16"/>
  <c r="AV31"/>
  <c r="AV36"/>
  <c r="AM28" i="18" s="1"/>
  <c r="AM32" s="1"/>
  <c r="AV21" i="16"/>
  <c r="AV23" s="1"/>
  <c r="AW29"/>
  <c r="AY65" i="15"/>
  <c r="AZ49"/>
  <c r="E44" i="36"/>
  <c r="AT101" i="19"/>
  <c r="BA39" i="16" s="1"/>
  <c r="AZ12" i="20" s="1"/>
  <c r="AZ13" s="1"/>
  <c r="AY62" i="12"/>
  <c r="BD9" i="16"/>
  <c r="BD10" s="1"/>
  <c r="BV88" i="19"/>
  <c r="BV92" s="1"/>
  <c r="BV77"/>
  <c r="CC38" i="16" s="1"/>
  <c r="BY34" i="12"/>
  <c r="BY26" s="1"/>
  <c r="BW33" i="19"/>
  <c r="BW88" s="1"/>
  <c r="BW59"/>
  <c r="CI27" i="16"/>
  <c r="AY4" i="20"/>
  <c r="AY7" s="1"/>
  <c r="AY24" s="1"/>
  <c r="AW69" i="12"/>
  <c r="AW72"/>
  <c r="AW95" s="1"/>
  <c r="AW113" s="1"/>
  <c r="BD19" i="16"/>
  <c r="AX95" i="19"/>
  <c r="BE16" i="16" s="1"/>
  <c r="AY93" i="19"/>
  <c r="AX94"/>
  <c r="CB55" i="12"/>
  <c r="BX42" i="13"/>
  <c r="BX43"/>
  <c r="CD58" i="12" s="1"/>
  <c r="BY22" i="13"/>
  <c r="BY20"/>
  <c r="BY50"/>
  <c r="BY21"/>
  <c r="BY19"/>
  <c r="BY17"/>
  <c r="BY49"/>
  <c r="BZ5"/>
  <c r="BY32"/>
  <c r="BY45"/>
  <c r="BY48"/>
  <c r="BY38"/>
  <c r="BY46"/>
  <c r="BY30"/>
  <c r="BY16"/>
  <c r="BY51"/>
  <c r="BY29"/>
  <c r="BY31"/>
  <c r="BY35"/>
  <c r="BY18"/>
  <c r="BY15"/>
  <c r="BY34"/>
  <c r="BY37"/>
  <c r="BY47"/>
  <c r="BY14"/>
  <c r="BY33"/>
  <c r="BY36"/>
  <c r="CC56" i="12"/>
  <c r="CC55" s="1"/>
  <c r="CC53" s="1"/>
  <c r="CC61" s="1"/>
  <c r="CA5" i="19"/>
  <c r="BW47" i="12"/>
  <c r="BU45" i="19"/>
  <c r="CA65"/>
  <c r="BY39"/>
  <c r="BZ67"/>
  <c r="BY41"/>
  <c r="BZ62"/>
  <c r="BY36"/>
  <c r="BM86" i="12"/>
  <c r="BM90" s="1"/>
  <c r="BM92" s="1"/>
  <c r="BI18" i="18"/>
  <c r="AU43" i="16"/>
  <c r="BU92" i="19"/>
  <c r="BC10" i="20"/>
  <c r="BC11" l="1"/>
  <c r="BK16" i="18"/>
  <c r="BK17"/>
  <c r="BT35" i="16"/>
  <c r="BY42" i="13"/>
  <c r="BY43"/>
  <c r="CE58" i="12" s="1"/>
  <c r="CA15" i="19"/>
  <c r="CA10"/>
  <c r="CA6"/>
  <c r="BY11" i="13"/>
  <c r="BY12"/>
  <c r="BY26"/>
  <c r="BY27"/>
  <c r="CE57" i="12" s="1"/>
  <c r="CB53"/>
  <c r="BE19" i="16"/>
  <c r="BW86" i="19"/>
  <c r="BW89" s="1"/>
  <c r="BX91" s="1"/>
  <c r="BU5" i="25"/>
  <c r="BU7" s="1"/>
  <c r="BY48" i="12" s="1"/>
  <c r="BC5" i="20"/>
  <c r="AY68" i="12"/>
  <c r="AZ65" i="15"/>
  <c r="BA49"/>
  <c r="AW31" i="16"/>
  <c r="AW36"/>
  <c r="AN28" i="18" s="1"/>
  <c r="AN32" s="1"/>
  <c r="AW21" i="16"/>
  <c r="AW23" s="1"/>
  <c r="AX29"/>
  <c r="BN86" i="12"/>
  <c r="BN90" s="1"/>
  <c r="BN92" s="1"/>
  <c r="BJ18" i="18"/>
  <c r="BZ34" i="12"/>
  <c r="BZ26" s="1"/>
  <c r="BX59" i="19"/>
  <c r="BX33"/>
  <c r="BZ37"/>
  <c r="CA63"/>
  <c r="BZ41"/>
  <c r="CA67"/>
  <c r="BZ36"/>
  <c r="CA62"/>
  <c r="BS80"/>
  <c r="BZ17" i="16" s="1"/>
  <c r="K17" s="1"/>
  <c r="AX69" i="12"/>
  <c r="AX117"/>
  <c r="AX119" s="1"/>
  <c r="BC30" i="16" s="1"/>
  <c r="AX72" i="12"/>
  <c r="AX95" s="1"/>
  <c r="AX113" s="1"/>
  <c r="C9" i="38"/>
  <c r="E20" i="36"/>
  <c r="E33"/>
  <c r="C15" i="38" s="1"/>
  <c r="BL14" i="18"/>
  <c r="BL15"/>
  <c r="BT20" i="20"/>
  <c r="BM13" i="18"/>
  <c r="BD10" i="20"/>
  <c r="CD54" i="12"/>
  <c r="BW77" i="19"/>
  <c r="CD38" i="16" s="1"/>
  <c r="BZ21" i="13"/>
  <c r="BZ19"/>
  <c r="BZ17"/>
  <c r="BZ49"/>
  <c r="BZ22"/>
  <c r="BZ20"/>
  <c r="BZ50"/>
  <c r="CA5"/>
  <c r="BZ38"/>
  <c r="BZ46"/>
  <c r="BZ30"/>
  <c r="BZ16"/>
  <c r="BZ51"/>
  <c r="BZ29"/>
  <c r="BZ31"/>
  <c r="BZ35"/>
  <c r="BZ18"/>
  <c r="BZ15"/>
  <c r="BZ34"/>
  <c r="BZ37"/>
  <c r="BZ47"/>
  <c r="BZ14"/>
  <c r="BZ33"/>
  <c r="BZ36"/>
  <c r="BZ32"/>
  <c r="BZ45"/>
  <c r="BZ48"/>
  <c r="AY94" i="19"/>
  <c r="AY95"/>
  <c r="BF16" i="16" s="1"/>
  <c r="AZ93" i="19"/>
  <c r="AU99"/>
  <c r="J113" i="14"/>
  <c r="J117" s="1"/>
  <c r="J119" s="1"/>
  <c r="K119" s="1"/>
  <c r="CJ27" i="16"/>
  <c r="AZ62" i="12"/>
  <c r="BE9" i="16"/>
  <c r="BE10" s="1"/>
  <c r="BY61" i="19"/>
  <c r="BX35"/>
  <c r="BY60"/>
  <c r="BX34"/>
  <c r="BZ39"/>
  <c r="CB65"/>
  <c r="CB28" i="12"/>
  <c r="BZ62" i="7"/>
  <c r="BZ38" i="19"/>
  <c r="CB64"/>
  <c r="CA57" i="7"/>
  <c r="CA61" s="1"/>
  <c r="CC38" i="12"/>
  <c r="CC40"/>
  <c r="CC42"/>
  <c r="CC39"/>
  <c r="CC41"/>
  <c r="CC45"/>
  <c r="CA36"/>
  <c r="CA35"/>
  <c r="CA37"/>
  <c r="BY55" i="19"/>
  <c r="BY29"/>
  <c r="N47" i="14"/>
  <c r="CD56" i="12"/>
  <c r="CD55" s="1"/>
  <c r="CD53" s="1"/>
  <c r="CD61" s="1"/>
  <c r="CB5" i="19"/>
  <c r="BZ11"/>
  <c r="CA16" s="1"/>
  <c r="BZ20"/>
  <c r="CG40" i="16" s="1"/>
  <c r="BZ21" i="19"/>
  <c r="CG18" i="16" s="1"/>
  <c r="AV26" i="20"/>
  <c r="AV27" s="1"/>
  <c r="AU28"/>
  <c r="K68" i="14"/>
  <c r="J72"/>
  <c r="BV47" i="12"/>
  <c r="BT45" i="19"/>
  <c r="BT79" s="1"/>
  <c r="BQ28" i="16"/>
  <c r="BO19" i="20"/>
  <c r="BV86" i="19"/>
  <c r="BV89" s="1"/>
  <c r="BW91" s="1"/>
  <c r="BT5" i="25"/>
  <c r="BF22" i="20"/>
  <c r="BG21"/>
  <c r="BD11"/>
  <c r="AW117" i="12"/>
  <c r="AW119" s="1"/>
  <c r="BB30" i="16" s="1"/>
  <c r="BW92" i="19"/>
  <c r="AV43" i="16"/>
  <c r="BU79" i="19" l="1"/>
  <c r="AW43" i="16"/>
  <c r="CB6" i="19"/>
  <c r="CB15"/>
  <c r="CB10"/>
  <c r="CA34" i="12"/>
  <c r="BY59" i="19"/>
  <c r="BY33"/>
  <c r="CA38"/>
  <c r="CC64"/>
  <c r="BU80"/>
  <c r="CB17" i="16" s="1"/>
  <c r="BG22" i="20"/>
  <c r="BH21"/>
  <c r="BT80" i="19"/>
  <c r="CA17" i="16" s="1"/>
  <c r="J95" i="14"/>
  <c r="K95" s="1"/>
  <c r="K72"/>
  <c r="AW26" i="20"/>
  <c r="AW27" s="1"/>
  <c r="AV28"/>
  <c r="BZ61" i="19"/>
  <c r="BY35"/>
  <c r="BZ60"/>
  <c r="BY34"/>
  <c r="CA39"/>
  <c r="CC65"/>
  <c r="CA41"/>
  <c r="CB67"/>
  <c r="CA36"/>
  <c r="CB62"/>
  <c r="CB36" i="12"/>
  <c r="CB35"/>
  <c r="CB37"/>
  <c r="BZ29" i="19"/>
  <c r="BZ55"/>
  <c r="CK27" i="16"/>
  <c r="AU101" i="19"/>
  <c r="BB39" i="16" s="1"/>
  <c r="BF19"/>
  <c r="C10" i="38"/>
  <c r="E23" i="36"/>
  <c r="AV99" i="19"/>
  <c r="AV101" s="1"/>
  <c r="BC39" i="16" s="1"/>
  <c r="AX31"/>
  <c r="AX21"/>
  <c r="AX23" s="1"/>
  <c r="AX36"/>
  <c r="AO28" i="18" s="1"/>
  <c r="AO32" s="1"/>
  <c r="AY29" i="16"/>
  <c r="BA65" i="15"/>
  <c r="BB49"/>
  <c r="AY69" i="12"/>
  <c r="AY72"/>
  <c r="AY95" s="1"/>
  <c r="AY113" s="1"/>
  <c r="AW99" i="19" s="1"/>
  <c r="AW101" s="1"/>
  <c r="BD39" i="16" s="1"/>
  <c r="BC12" i="20" s="1"/>
  <c r="BC13" s="1"/>
  <c r="CB61" i="12"/>
  <c r="BZ12" i="19"/>
  <c r="BE10" i="20"/>
  <c r="CE54" i="12"/>
  <c r="BA4" i="20"/>
  <c r="BA7" s="1"/>
  <c r="BT7" i="25"/>
  <c r="BX48" i="12" s="1"/>
  <c r="BP19" i="20"/>
  <c r="BR28" i="16"/>
  <c r="G19" i="36"/>
  <c r="O47" i="14"/>
  <c r="CA37" i="19"/>
  <c r="CB63"/>
  <c r="CC28" i="12"/>
  <c r="CA62" i="7"/>
  <c r="BD5" i="20"/>
  <c r="AZ68" i="12"/>
  <c r="AZ94" i="19"/>
  <c r="BA93"/>
  <c r="AZ95"/>
  <c r="BG16" i="16" s="1"/>
  <c r="BZ42" i="13"/>
  <c r="BZ43"/>
  <c r="CF58" i="12" s="1"/>
  <c r="BZ11" i="13"/>
  <c r="BZ12"/>
  <c r="BZ26"/>
  <c r="BZ27"/>
  <c r="CF57" i="12" s="1"/>
  <c r="CA22" i="13"/>
  <c r="CA20"/>
  <c r="CA50"/>
  <c r="CA21"/>
  <c r="CA19"/>
  <c r="CA17"/>
  <c r="CA49"/>
  <c r="CA38"/>
  <c r="CA46"/>
  <c r="CA30"/>
  <c r="CA16"/>
  <c r="CA51"/>
  <c r="CA29"/>
  <c r="CA31"/>
  <c r="CA35"/>
  <c r="CA18"/>
  <c r="CA15"/>
  <c r="CA34"/>
  <c r="CA37"/>
  <c r="CA47"/>
  <c r="CA14"/>
  <c r="CA33"/>
  <c r="CA36"/>
  <c r="CA32"/>
  <c r="CA45"/>
  <c r="CA48"/>
  <c r="CD38" i="12"/>
  <c r="CD40"/>
  <c r="CD42"/>
  <c r="CB57" i="7"/>
  <c r="CB61" s="1"/>
  <c r="CD39" i="12"/>
  <c r="CD41"/>
  <c r="CD45"/>
  <c r="BM14" i="18"/>
  <c r="BM15" s="1"/>
  <c r="BU20" i="20"/>
  <c r="BN13" i="18"/>
  <c r="BL17"/>
  <c r="BL16"/>
  <c r="BU35" i="16"/>
  <c r="BB4" i="20"/>
  <c r="BB7" s="1"/>
  <c r="BX86" i="19"/>
  <c r="BV5" i="25"/>
  <c r="BV7" s="1"/>
  <c r="BZ48" i="12" s="1"/>
  <c r="BA62"/>
  <c r="BF9" i="16"/>
  <c r="BF10" s="1"/>
  <c r="BY47" i="12"/>
  <c r="BW45" i="19"/>
  <c r="CE56" i="12"/>
  <c r="CE55" s="1"/>
  <c r="CE53" s="1"/>
  <c r="CE61" s="1"/>
  <c r="CC5" i="19"/>
  <c r="CA12"/>
  <c r="CA11"/>
  <c r="CB16" s="1"/>
  <c r="BO86" i="12"/>
  <c r="BK18" i="18"/>
  <c r="BX88" i="19"/>
  <c r="BX92" s="1"/>
  <c r="BE11" i="20"/>
  <c r="CA18" i="19"/>
  <c r="CA21" s="1"/>
  <c r="CH18" i="16" s="1"/>
  <c r="BX77" i="19"/>
  <c r="CE38" i="16" s="1"/>
  <c r="BY77" i="19" l="1"/>
  <c r="CF38" i="16" s="1"/>
  <c r="BM16" i="18"/>
  <c r="BM17"/>
  <c r="BV35" i="16"/>
  <c r="BE5" i="20"/>
  <c r="BA68" i="12"/>
  <c r="BN14" i="18"/>
  <c r="BN15" s="1"/>
  <c r="BV20" i="20"/>
  <c r="BO13" i="18"/>
  <c r="CC63" i="19"/>
  <c r="CB37"/>
  <c r="CC67"/>
  <c r="CB41"/>
  <c r="CC62"/>
  <c r="CB36"/>
  <c r="CA42" i="13"/>
  <c r="CA43"/>
  <c r="CG58" i="12" s="1"/>
  <c r="P58" i="14" s="1"/>
  <c r="H15" i="36" s="1"/>
  <c r="I15" s="1"/>
  <c r="CA11" i="13"/>
  <c r="CA12"/>
  <c r="CA26"/>
  <c r="CA27"/>
  <c r="CG57" i="12" s="1"/>
  <c r="P57" i="14" s="1"/>
  <c r="H14" i="36" s="1"/>
  <c r="I14" s="1"/>
  <c r="BG19" i="16"/>
  <c r="CC36" i="12"/>
  <c r="CC35"/>
  <c r="CC37"/>
  <c r="CA29" i="19"/>
  <c r="CA55"/>
  <c r="BX47" i="12"/>
  <c r="BV45" i="19"/>
  <c r="BV79" s="1"/>
  <c r="CC57" i="7"/>
  <c r="CC61" s="1"/>
  <c r="CE38" i="12"/>
  <c r="CE40"/>
  <c r="CE42"/>
  <c r="CE39"/>
  <c r="CE41"/>
  <c r="CE45"/>
  <c r="BZ13" i="19"/>
  <c r="BB62" i="12"/>
  <c r="BG9" i="16"/>
  <c r="BG10" s="1"/>
  <c r="C13" i="38"/>
  <c r="C14" s="1"/>
  <c r="C17" s="1"/>
  <c r="C28" s="1"/>
  <c r="C30" s="1"/>
  <c r="C31" s="1"/>
  <c r="C8"/>
  <c r="BZ35" i="19"/>
  <c r="CA61"/>
  <c r="BZ34"/>
  <c r="CA60"/>
  <c r="CB11"/>
  <c r="CC16" s="1"/>
  <c r="CA20"/>
  <c r="CH40" i="16" s="1"/>
  <c r="BX89" i="19"/>
  <c r="BY91" s="1"/>
  <c r="CF54" i="12"/>
  <c r="BA24" i="20"/>
  <c r="AY117" i="12"/>
  <c r="AY119" s="1"/>
  <c r="BD30" i="16" s="1"/>
  <c r="AX43"/>
  <c r="BB12" i="20"/>
  <c r="BB13" s="1"/>
  <c r="BB24" s="1"/>
  <c r="BF10"/>
  <c r="BO90" i="12"/>
  <c r="BO92" s="1"/>
  <c r="CC15" i="19"/>
  <c r="CC10"/>
  <c r="CC6"/>
  <c r="BZ47" i="12"/>
  <c r="BX45" i="19"/>
  <c r="BX79" s="1"/>
  <c r="BP86" i="12"/>
  <c r="BP90" s="1"/>
  <c r="BP92" s="1"/>
  <c r="BL18" i="18"/>
  <c r="CD65" i="19"/>
  <c r="CB39"/>
  <c r="CD28" i="12"/>
  <c r="CB62" i="7"/>
  <c r="CD64" i="19"/>
  <c r="CB38"/>
  <c r="CF56" i="12"/>
  <c r="CF55" s="1"/>
  <c r="CF53" s="1"/>
  <c r="CF61" s="1"/>
  <c r="CD5" i="19"/>
  <c r="BB93"/>
  <c r="BA94"/>
  <c r="BA95"/>
  <c r="BH16" i="16" s="1"/>
  <c r="AZ69" i="12"/>
  <c r="AZ72"/>
  <c r="AZ95" s="1"/>
  <c r="AZ113" s="1"/>
  <c r="BS28" i="16"/>
  <c r="BQ19" i="20"/>
  <c r="BB65" i="15"/>
  <c r="BC49"/>
  <c r="AY31" i="16"/>
  <c r="AY43" s="1"/>
  <c r="AY36"/>
  <c r="AP28" i="18" s="1"/>
  <c r="AP32" s="1"/>
  <c r="AY21" i="16"/>
  <c r="AY23" s="1"/>
  <c r="AZ29"/>
  <c r="E26" i="36"/>
  <c r="E38"/>
  <c r="I39" i="16"/>
  <c r="BA12" i="20"/>
  <c r="BA13" s="1"/>
  <c r="CL27" i="16"/>
  <c r="CB34" i="12"/>
  <c r="CB26" s="1"/>
  <c r="BZ33" i="19"/>
  <c r="BZ59"/>
  <c r="AX26" i="20"/>
  <c r="AX27" s="1"/>
  <c r="AW28"/>
  <c r="BH22"/>
  <c r="BI21"/>
  <c r="CA26" i="12"/>
  <c r="BW79" i="19"/>
  <c r="CA13"/>
  <c r="BF11" i="20"/>
  <c r="BY88" i="19"/>
  <c r="CB18"/>
  <c r="CB21" s="1"/>
  <c r="CI18" i="16" s="1"/>
  <c r="BY86" i="19" l="1"/>
  <c r="BY89" s="1"/>
  <c r="BZ91" s="1"/>
  <c r="BW5" i="25"/>
  <c r="BZ86" i="19"/>
  <c r="BX5" i="25"/>
  <c r="BX7" s="1"/>
  <c r="CB48" i="12" s="1"/>
  <c r="E42" i="36"/>
  <c r="E30" s="1"/>
  <c r="H12" i="20"/>
  <c r="H13" s="1"/>
  <c r="AX99" i="19"/>
  <c r="BH19" i="16"/>
  <c r="BB95" i="19"/>
  <c r="BI16" i="16" s="1"/>
  <c r="BB94" i="19"/>
  <c r="BC93"/>
  <c r="CD36" i="12"/>
  <c r="CD35"/>
  <c r="CD37"/>
  <c r="CB55" i="19"/>
  <c r="CB29"/>
  <c r="BC4" i="20"/>
  <c r="BC7" s="1"/>
  <c r="BC24" s="1"/>
  <c r="BW80" i="19"/>
  <c r="CD17" i="16" s="1"/>
  <c r="AY26" i="20"/>
  <c r="AY27" s="1"/>
  <c r="AX28"/>
  <c r="BZ88" i="19"/>
  <c r="BZ92" s="1"/>
  <c r="BZ77"/>
  <c r="CG38" i="16" s="1"/>
  <c r="AZ31"/>
  <c r="AZ36"/>
  <c r="AQ28" i="18" s="1"/>
  <c r="AQ32" s="1"/>
  <c r="AZ21" i="16"/>
  <c r="AZ23" s="1"/>
  <c r="BA29"/>
  <c r="BC65" i="15"/>
  <c r="BD49"/>
  <c r="BT28" i="16"/>
  <c r="BR19" i="20"/>
  <c r="CD15" i="19"/>
  <c r="CD10"/>
  <c r="CD6"/>
  <c r="CC11"/>
  <c r="CD16" s="1"/>
  <c r="CC37"/>
  <c r="CD63"/>
  <c r="CC38"/>
  <c r="CE64"/>
  <c r="CE28" i="12"/>
  <c r="CC62" i="7"/>
  <c r="CA35" i="19"/>
  <c r="CB61"/>
  <c r="CA34"/>
  <c r="CB60"/>
  <c r="E35" i="36"/>
  <c r="BY92" i="19"/>
  <c r="AZ117" i="12"/>
  <c r="AZ119" s="1"/>
  <c r="BE30" i="16" s="1"/>
  <c r="CB20" i="19"/>
  <c r="CI40" i="16" s="1"/>
  <c r="CB12" i="19"/>
  <c r="BG10" i="20"/>
  <c r="CG54" i="12"/>
  <c r="BI22" i="20"/>
  <c r="BJ21"/>
  <c r="BC62" i="12"/>
  <c r="BH9" i="16"/>
  <c r="BH10" s="1"/>
  <c r="BX80" i="19"/>
  <c r="CE17" i="16" s="1"/>
  <c r="CF38" i="12"/>
  <c r="CF40"/>
  <c r="CD38" i="19" s="1"/>
  <c r="CF42" i="12"/>
  <c r="CD57" i="7"/>
  <c r="CD61" s="1"/>
  <c r="CF39" i="12"/>
  <c r="CF41"/>
  <c r="CD39" i="19" s="1"/>
  <c r="CF45" i="12"/>
  <c r="BF5" i="20"/>
  <c r="BB68" i="12"/>
  <c r="CC39" i="19"/>
  <c r="CE65"/>
  <c r="CC41"/>
  <c r="CD67"/>
  <c r="CC36"/>
  <c r="CD62"/>
  <c r="BV80"/>
  <c r="CC17" i="16" s="1"/>
  <c r="CC34" i="12"/>
  <c r="CC26" s="1"/>
  <c r="CA33" i="19"/>
  <c r="CA88" s="1"/>
  <c r="CA59"/>
  <c r="CG56" i="12"/>
  <c r="CE5" i="19"/>
  <c r="BO14" i="18"/>
  <c r="BO15" s="1"/>
  <c r="BW20" i="20"/>
  <c r="BP13" i="18"/>
  <c r="BN17"/>
  <c r="BN16"/>
  <c r="BW35" i="16"/>
  <c r="BA69" i="12"/>
  <c r="BA72"/>
  <c r="BA95" s="1"/>
  <c r="BA113" s="1"/>
  <c r="AY99" i="19" s="1"/>
  <c r="AY101" s="1"/>
  <c r="BF39" i="16" s="1"/>
  <c r="BQ86" i="12"/>
  <c r="BM18" i="18"/>
  <c r="BG11" i="20"/>
  <c r="BO16" i="18" l="1"/>
  <c r="BO17"/>
  <c r="BX35" i="16"/>
  <c r="CF28" i="12"/>
  <c r="CD62" i="7"/>
  <c r="CE36" i="12"/>
  <c r="CE35"/>
  <c r="CE37"/>
  <c r="CC29" i="19"/>
  <c r="CC55"/>
  <c r="CD11"/>
  <c r="CE16" s="1"/>
  <c r="BD65" i="15"/>
  <c r="BE49"/>
  <c r="BA31" i="16"/>
  <c r="BA36"/>
  <c r="AR28" i="18" s="1"/>
  <c r="AR32" s="1"/>
  <c r="BA21" i="16"/>
  <c r="BA23" s="1"/>
  <c r="BB29"/>
  <c r="CD34" i="12"/>
  <c r="CD26" s="1"/>
  <c r="CB33" i="19"/>
  <c r="CB59"/>
  <c r="CB47" i="12"/>
  <c r="BZ45" i="19"/>
  <c r="CD18"/>
  <c r="BP14" i="18"/>
  <c r="BP15" s="1"/>
  <c r="BX20" i="20"/>
  <c r="BQ13" i="18"/>
  <c r="CE15" i="19"/>
  <c r="CE18" s="1"/>
  <c r="CE10"/>
  <c r="CE6"/>
  <c r="CA86"/>
  <c r="CA89" s="1"/>
  <c r="CB91" s="1"/>
  <c r="BY5" i="25"/>
  <c r="BY7" s="1"/>
  <c r="CC48" i="12" s="1"/>
  <c r="BQ90"/>
  <c r="BQ92" s="1"/>
  <c r="BR86"/>
  <c r="BR90" s="1"/>
  <c r="BR92" s="1"/>
  <c r="BN18" i="18"/>
  <c r="CG55" i="12"/>
  <c r="P56" i="14"/>
  <c r="H16" i="36" s="1"/>
  <c r="I16" s="1"/>
  <c r="BB69" i="12"/>
  <c r="BB72"/>
  <c r="BB95" s="1"/>
  <c r="BB113" s="1"/>
  <c r="AZ99" i="19" s="1"/>
  <c r="AZ101" s="1"/>
  <c r="BG39" i="16" s="1"/>
  <c r="BF12" i="20" s="1"/>
  <c r="BF13" s="1"/>
  <c r="CD37" i="19"/>
  <c r="CE63"/>
  <c r="CD41"/>
  <c r="CE67"/>
  <c r="CD36"/>
  <c r="CE62"/>
  <c r="BG5" i="20"/>
  <c r="BC68" i="12"/>
  <c r="BJ22" i="20"/>
  <c r="BK21"/>
  <c r="CE57" i="7"/>
  <c r="CE61" s="1"/>
  <c r="CG38" i="12"/>
  <c r="CG40"/>
  <c r="CG42"/>
  <c r="CG39"/>
  <c r="CG41"/>
  <c r="CG45"/>
  <c r="P45" i="14" s="1"/>
  <c r="P54"/>
  <c r="CC17" i="19"/>
  <c r="CC18" s="1"/>
  <c r="CD20" s="1"/>
  <c r="CK40" i="16" s="1"/>
  <c r="CB13" i="19"/>
  <c r="BD4" i="20"/>
  <c r="BD7" s="1"/>
  <c r="E49" i="36"/>
  <c r="E50" s="1"/>
  <c r="E51" s="1"/>
  <c r="F34"/>
  <c r="BU28" i="16"/>
  <c r="BS19" i="20"/>
  <c r="BD62" i="12"/>
  <c r="BI9" i="16"/>
  <c r="BI10" s="1"/>
  <c r="AZ26" i="20"/>
  <c r="AZ27" s="1"/>
  <c r="AY28"/>
  <c r="CB35" i="19"/>
  <c r="CC61"/>
  <c r="CB34"/>
  <c r="CC60"/>
  <c r="BC94"/>
  <c r="BC95"/>
  <c r="BJ16" i="16" s="1"/>
  <c r="BI10" i="20" s="1"/>
  <c r="BD93" i="19"/>
  <c r="BI19" i="16"/>
  <c r="AX101" i="19"/>
  <c r="BE39" i="16" s="1"/>
  <c r="BD12" i="20" s="1"/>
  <c r="BD13" s="1"/>
  <c r="BW7" i="25"/>
  <c r="CA48" i="12" s="1"/>
  <c r="BA117"/>
  <c r="BA119" s="1"/>
  <c r="BF30" i="16" s="1"/>
  <c r="CC12" i="19"/>
  <c r="AZ43" i="16"/>
  <c r="BH10" i="20"/>
  <c r="BZ89" i="19"/>
  <c r="CA91" s="1"/>
  <c r="CA92" s="1"/>
  <c r="CA77"/>
  <c r="CH38" i="16" s="1"/>
  <c r="BA43" l="1"/>
  <c r="CD12" i="19"/>
  <c r="CD13" s="1"/>
  <c r="BP17" i="18"/>
  <c r="BP16"/>
  <c r="BY35" i="16"/>
  <c r="CC13" i="19"/>
  <c r="BE4" i="20"/>
  <c r="BE7" s="1"/>
  <c r="CA47" i="12"/>
  <c r="BY45" i="19"/>
  <c r="BY79" s="1"/>
  <c r="BY71"/>
  <c r="BD94"/>
  <c r="BD95"/>
  <c r="BK16" i="16" s="1"/>
  <c r="BE93" i="19"/>
  <c r="BA26" i="20"/>
  <c r="BA27" s="1"/>
  <c r="AZ28"/>
  <c r="BT19"/>
  <c r="BV28" i="16"/>
  <c r="CE39" i="19"/>
  <c r="P41" i="14"/>
  <c r="CE41" i="19"/>
  <c r="P42" i="14"/>
  <c r="CE36" i="19"/>
  <c r="P38" i="14"/>
  <c r="BQ14" i="18"/>
  <c r="BQ15" s="1"/>
  <c r="BZ20" i="20"/>
  <c r="BY20"/>
  <c r="J20"/>
  <c r="BR13" i="18"/>
  <c r="CB88" i="19"/>
  <c r="CB92" s="1"/>
  <c r="CB77"/>
  <c r="CI38" i="16" s="1"/>
  <c r="I29"/>
  <c r="BB31"/>
  <c r="BB43" s="1"/>
  <c r="BB36"/>
  <c r="BB21"/>
  <c r="BC29"/>
  <c r="BE65" i="15"/>
  <c r="BF49"/>
  <c r="CE34" i="12"/>
  <c r="CE26" s="1"/>
  <c r="CC33" i="19"/>
  <c r="CC59"/>
  <c r="BB117" i="12"/>
  <c r="BB119" s="1"/>
  <c r="BG30" i="16" s="1"/>
  <c r="BJ10" i="20"/>
  <c r="BJ19" i="16"/>
  <c r="BI11" i="20" s="1"/>
  <c r="BH5"/>
  <c r="BD68" i="12"/>
  <c r="CC21" i="19"/>
  <c r="CJ18" i="16" s="1"/>
  <c r="CC20" i="19"/>
  <c r="CJ40" i="16" s="1"/>
  <c r="CE37" i="19"/>
  <c r="P39" i="14"/>
  <c r="CE38" i="19"/>
  <c r="P40" i="14"/>
  <c r="CG28" i="12"/>
  <c r="CE62" i="7"/>
  <c r="BK22" i="20"/>
  <c r="BL21"/>
  <c r="BC69" i="12"/>
  <c r="BC72"/>
  <c r="BC95" s="1"/>
  <c r="BC113" s="1"/>
  <c r="BA99" i="19" s="1"/>
  <c r="CG53" i="12"/>
  <c r="P55" i="14"/>
  <c r="CC47" i="12"/>
  <c r="CA45" i="19"/>
  <c r="CA79" s="1"/>
  <c r="CE11"/>
  <c r="CE21"/>
  <c r="CL18" i="16" s="1"/>
  <c r="CE20" i="19"/>
  <c r="CL40" i="16" s="1"/>
  <c r="CB86" i="19"/>
  <c r="CB89" s="1"/>
  <c r="CC91" s="1"/>
  <c r="BZ5" i="25"/>
  <c r="BE62" i="12"/>
  <c r="BJ9" i="16"/>
  <c r="BJ10" s="1"/>
  <c r="CC35" i="19"/>
  <c r="CD61"/>
  <c r="CC34"/>
  <c r="CD60"/>
  <c r="CF36" i="12"/>
  <c r="CF35"/>
  <c r="CF37"/>
  <c r="CD29" i="19"/>
  <c r="CD55"/>
  <c r="BS86" i="12"/>
  <c r="BS90" s="1"/>
  <c r="BS92" s="1"/>
  <c r="BO18" i="18"/>
  <c r="BD24" i="20"/>
  <c r="BH11"/>
  <c r="BE12"/>
  <c r="BE13" s="1"/>
  <c r="BZ79" i="19"/>
  <c r="CD21"/>
  <c r="CK18" i="16" s="1"/>
  <c r="CF34" i="12" l="1"/>
  <c r="CF26" s="1"/>
  <c r="CD33" i="19"/>
  <c r="CD59"/>
  <c r="BZ7" i="25"/>
  <c r="CD48" i="12" s="1"/>
  <c r="BA101" i="19"/>
  <c r="BH39" i="16" s="1"/>
  <c r="BG12" i="20" s="1"/>
  <c r="BG13" s="1"/>
  <c r="BE100" i="19"/>
  <c r="BD100"/>
  <c r="BL22" i="20"/>
  <c r="BM21"/>
  <c r="BZ80" i="19"/>
  <c r="CG17" i="16" s="1"/>
  <c r="CD35" i="19"/>
  <c r="CE61"/>
  <c r="CD34"/>
  <c r="CE60"/>
  <c r="BI5" i="20"/>
  <c r="BE68" i="12"/>
  <c r="CG61"/>
  <c r="P61" i="14" s="1"/>
  <c r="P53"/>
  <c r="Q53" s="1"/>
  <c r="CG36" i="12"/>
  <c r="CG35"/>
  <c r="CG37"/>
  <c r="CE29" i="19"/>
  <c r="CE55"/>
  <c r="P28" i="14"/>
  <c r="BF4" i="20"/>
  <c r="BF7" s="1"/>
  <c r="BF24" s="1"/>
  <c r="CC88" i="19"/>
  <c r="CC92" s="1"/>
  <c r="CC77"/>
  <c r="CJ38" i="16" s="1"/>
  <c r="BF65" i="15"/>
  <c r="BG49"/>
  <c r="BC31" i="16"/>
  <c r="BC21"/>
  <c r="BC23" s="1"/>
  <c r="BC36"/>
  <c r="AT28" i="18" s="1"/>
  <c r="AT32" s="1"/>
  <c r="BD29" i="16"/>
  <c r="AS28" i="18"/>
  <c r="AS32" s="1"/>
  <c r="I36" i="16"/>
  <c r="I30"/>
  <c r="H4" i="20" s="1"/>
  <c r="H7" s="1"/>
  <c r="H24" s="1"/>
  <c r="H27" s="1"/>
  <c r="I31" i="16"/>
  <c r="I43" s="1"/>
  <c r="BQ16" i="18"/>
  <c r="BQ17"/>
  <c r="BZ35" i="16"/>
  <c r="BW28"/>
  <c r="BU19" i="20"/>
  <c r="BB26"/>
  <c r="BB27" s="1"/>
  <c r="BA28"/>
  <c r="BK10"/>
  <c r="BK19" i="16"/>
  <c r="BY80" i="19"/>
  <c r="CF17" i="16" s="1"/>
  <c r="BT86" i="12"/>
  <c r="BT90" s="1"/>
  <c r="BT92" s="1"/>
  <c r="BP18" i="18"/>
  <c r="CE12" i="19"/>
  <c r="CF17" s="1"/>
  <c r="BC117" i="12"/>
  <c r="BC119" s="1"/>
  <c r="BH30" i="16" s="1"/>
  <c r="BE24" i="20"/>
  <c r="CA80" i="19"/>
  <c r="CH17" i="16" s="1"/>
  <c r="BD69" i="12"/>
  <c r="BD72"/>
  <c r="BD95" s="1"/>
  <c r="BD113" s="1"/>
  <c r="BB99" i="19" s="1"/>
  <c r="CC86"/>
  <c r="CC89" s="1"/>
  <c r="CD91" s="1"/>
  <c r="CA5" i="25"/>
  <c r="CA7" s="1"/>
  <c r="CE48" i="12" s="1"/>
  <c r="BF62"/>
  <c r="BK9" i="16"/>
  <c r="BK10" s="1"/>
  <c r="I21"/>
  <c r="I23" s="1"/>
  <c r="BB23"/>
  <c r="BR14" i="18"/>
  <c r="BR15" s="1"/>
  <c r="BS13"/>
  <c r="BE95" i="19"/>
  <c r="BL16" i="16" s="1"/>
  <c r="BF93" i="19"/>
  <c r="BE94"/>
  <c r="BJ11" i="20"/>
  <c r="BR16" i="18" l="1"/>
  <c r="BR17"/>
  <c r="BG93" i="19"/>
  <c r="BF95"/>
  <c r="BM16" i="16" s="1"/>
  <c r="BF94" i="19"/>
  <c r="BJ5" i="20"/>
  <c r="BF68" i="12"/>
  <c r="BC26" i="20"/>
  <c r="BC27" s="1"/>
  <c r="BB28"/>
  <c r="K35" i="16"/>
  <c r="J21" i="20" s="1"/>
  <c r="BD31" i="16"/>
  <c r="BD21"/>
  <c r="BD23" s="1"/>
  <c r="BD36"/>
  <c r="AU28" i="18" s="1"/>
  <c r="AU32" s="1"/>
  <c r="BE29" i="16"/>
  <c r="BG65" i="15"/>
  <c r="BH49"/>
  <c r="H12" i="36"/>
  <c r="Q28" i="14"/>
  <c r="CE35" i="19"/>
  <c r="P37" i="14"/>
  <c r="CE34" i="19"/>
  <c r="P36" i="14"/>
  <c r="H17" i="36"/>
  <c r="I17" s="1"/>
  <c r="Q61" i="14"/>
  <c r="CD88" i="19"/>
  <c r="CD92" s="1"/>
  <c r="CD77"/>
  <c r="CK38" i="16" s="1"/>
  <c r="BL10" i="20"/>
  <c r="BL19" i="16"/>
  <c r="BS14" i="18"/>
  <c r="BS15" s="1"/>
  <c r="BT13"/>
  <c r="CE47" i="12"/>
  <c r="CC45" i="19"/>
  <c r="BB101"/>
  <c r="BI39" i="16" s="1"/>
  <c r="BH12" i="20" s="1"/>
  <c r="BH13" s="1"/>
  <c r="BG4"/>
  <c r="BG7" s="1"/>
  <c r="BG24" s="1"/>
  <c r="BX28" i="16"/>
  <c r="BV19" i="20"/>
  <c r="BU86" i="12"/>
  <c r="BQ18" i="18"/>
  <c r="I26" i="20"/>
  <c r="H28"/>
  <c r="BG62" i="12"/>
  <c r="BL9" i="16"/>
  <c r="BL10" s="1"/>
  <c r="CG34" i="12"/>
  <c r="CE59" i="19"/>
  <c r="CE33"/>
  <c r="P35" i="14"/>
  <c r="BE69" i="12"/>
  <c r="BE117"/>
  <c r="BE119" s="1"/>
  <c r="BJ30" i="16" s="1"/>
  <c r="BE72" i="12"/>
  <c r="BE95" s="1"/>
  <c r="BE113" s="1"/>
  <c r="BC99" i="19" s="1"/>
  <c r="BC101" s="1"/>
  <c r="BJ39" i="16" s="1"/>
  <c r="BM22" i="20"/>
  <c r="BN21"/>
  <c r="BG100" i="19"/>
  <c r="BM100"/>
  <c r="BJ100"/>
  <c r="CD47" i="12"/>
  <c r="CB45" i="19"/>
  <c r="CB79" s="1"/>
  <c r="CD86"/>
  <c r="CD89" s="1"/>
  <c r="CE91" s="1"/>
  <c r="CB5" i="25"/>
  <c r="CB7" s="1"/>
  <c r="CF48" i="12" s="1"/>
  <c r="BD117"/>
  <c r="BD119" s="1"/>
  <c r="BI30" i="16" s="1"/>
  <c r="BC43"/>
  <c r="CE13" i="19"/>
  <c r="CC79" l="1"/>
  <c r="BS17" i="18"/>
  <c r="BS16"/>
  <c r="BI4" i="20"/>
  <c r="BI7" s="1"/>
  <c r="BH65" i="15"/>
  <c r="BI49"/>
  <c r="BE31" i="16"/>
  <c r="BE21"/>
  <c r="BE23" s="1"/>
  <c r="BE36"/>
  <c r="AV28" i="18" s="1"/>
  <c r="AV32" s="1"/>
  <c r="BF29" i="16"/>
  <c r="BF69" i="12"/>
  <c r="BF72"/>
  <c r="BF95" s="1"/>
  <c r="BF113" s="1"/>
  <c r="BD99" i="19" s="1"/>
  <c r="BG94"/>
  <c r="BH93"/>
  <c r="BG95"/>
  <c r="BN16" i="16" s="1"/>
  <c r="BK5" i="20"/>
  <c r="BG68" i="12"/>
  <c r="BU90"/>
  <c r="BU92" s="1"/>
  <c r="N86" i="14"/>
  <c r="P86"/>
  <c r="CC80" i="19"/>
  <c r="CJ17" i="16" s="1"/>
  <c r="BH4" i="20"/>
  <c r="BH7" s="1"/>
  <c r="BH24" s="1"/>
  <c r="CF47" i="12"/>
  <c r="CD45" i="19"/>
  <c r="CD79" s="1"/>
  <c r="CB80"/>
  <c r="CI17" i="16" s="1"/>
  <c r="BN22" i="20"/>
  <c r="BO21"/>
  <c r="CE88" i="19"/>
  <c r="CE92" s="1"/>
  <c r="CE77"/>
  <c r="CL38" i="16" s="1"/>
  <c r="P34" i="14"/>
  <c r="CG26" i="12"/>
  <c r="BY28" i="16"/>
  <c r="BW19" i="20"/>
  <c r="BT14" i="18"/>
  <c r="BT15" s="1"/>
  <c r="BU13"/>
  <c r="I12" i="36"/>
  <c r="BH62" i="12"/>
  <c r="BM9" i="16"/>
  <c r="BM10" s="1"/>
  <c r="BD26" i="20"/>
  <c r="BD27" s="1"/>
  <c r="BC28"/>
  <c r="BM10"/>
  <c r="BM19" i="16"/>
  <c r="BK11" i="20"/>
  <c r="BI12"/>
  <c r="BI13" s="1"/>
  <c r="BD43" i="16"/>
  <c r="BR18" i="18"/>
  <c r="BT16" l="1"/>
  <c r="BT17"/>
  <c r="BX19" i="20"/>
  <c r="BZ28" i="16"/>
  <c r="CE86" i="19"/>
  <c r="CE89" s="1"/>
  <c r="CC5" i="25"/>
  <c r="P26" i="14"/>
  <c r="Q26" s="1"/>
  <c r="BE26" i="20"/>
  <c r="BE27" s="1"/>
  <c r="BD28"/>
  <c r="BL5"/>
  <c r="BH68" i="12"/>
  <c r="BU14" i="18"/>
  <c r="BU15" s="1"/>
  <c r="BV13"/>
  <c r="H13" i="36"/>
  <c r="Q34" i="14"/>
  <c r="BO22" i="20"/>
  <c r="BP21"/>
  <c r="CD80" i="19"/>
  <c r="CK17" i="16" s="1"/>
  <c r="P90" i="14"/>
  <c r="Q86"/>
  <c r="J16" i="16"/>
  <c r="BN19"/>
  <c r="BM11" i="20" s="1"/>
  <c r="BF31" i="16"/>
  <c r="BF21"/>
  <c r="BF23" s="1"/>
  <c r="BF36"/>
  <c r="AW28" i="18" s="1"/>
  <c r="AW32" s="1"/>
  <c r="BG29" i="16"/>
  <c r="BI65" i="15"/>
  <c r="BJ49"/>
  <c r="BL11" i="20"/>
  <c r="BF117" i="12"/>
  <c r="BF119" s="1"/>
  <c r="BK30" i="16" s="1"/>
  <c r="BI24" i="20"/>
  <c r="BS18" i="18"/>
  <c r="O86" i="14"/>
  <c r="N90"/>
  <c r="BG69" i="12"/>
  <c r="BG72"/>
  <c r="BG95" s="1"/>
  <c r="BG113" s="1"/>
  <c r="BE99" i="19" s="1"/>
  <c r="BH94"/>
  <c r="BI93"/>
  <c r="BH95"/>
  <c r="BO16" i="16" s="1"/>
  <c r="BD101" i="19"/>
  <c r="BK39" i="16" s="1"/>
  <c r="BJ12" i="20" s="1"/>
  <c r="BJ13" s="1"/>
  <c r="BI62" i="12"/>
  <c r="BN9" i="16"/>
  <c r="BE43"/>
  <c r="BO19" l="1"/>
  <c r="O90" i="14"/>
  <c r="N92"/>
  <c r="O92" s="1"/>
  <c r="BJ62" i="12"/>
  <c r="BO9" i="16"/>
  <c r="BO10" s="1"/>
  <c r="BP22" i="20"/>
  <c r="BQ21"/>
  <c r="BV14" i="18"/>
  <c r="BW13"/>
  <c r="BV15"/>
  <c r="BU17"/>
  <c r="BU18" s="1"/>
  <c r="BU16"/>
  <c r="BF26" i="20"/>
  <c r="BF27" s="1"/>
  <c r="BE28"/>
  <c r="CC7" i="25"/>
  <c r="CG48" i="12" s="1"/>
  <c r="CC6" i="25"/>
  <c r="BF43" i="16"/>
  <c r="BN10" i="20"/>
  <c r="BM5"/>
  <c r="BI68" i="12"/>
  <c r="L62" i="14"/>
  <c r="J9" i="16"/>
  <c r="J10" s="1"/>
  <c r="BN10"/>
  <c r="BJ93" i="19"/>
  <c r="BI94"/>
  <c r="BI95"/>
  <c r="BP16" i="16" s="1"/>
  <c r="BE101" i="19"/>
  <c r="BL39" i="16" s="1"/>
  <c r="BK12" i="20" s="1"/>
  <c r="BK13" s="1"/>
  <c r="BJ4"/>
  <c r="BJ7" s="1"/>
  <c r="BJ24" s="1"/>
  <c r="BJ65" i="15"/>
  <c r="BK49"/>
  <c r="BG31" i="16"/>
  <c r="BG43" s="1"/>
  <c r="BG36"/>
  <c r="AX28" i="18" s="1"/>
  <c r="AX32" s="1"/>
  <c r="BG21" i="16"/>
  <c r="BG23" s="1"/>
  <c r="BH29"/>
  <c r="F48" i="36"/>
  <c r="J19" i="16"/>
  <c r="I10" i="20"/>
  <c r="P92" i="14"/>
  <c r="Q92" s="1"/>
  <c r="Q90"/>
  <c r="I13" i="36"/>
  <c r="H41"/>
  <c r="H56" s="1"/>
  <c r="H57" s="1"/>
  <c r="BH69" i="12"/>
  <c r="BH117"/>
  <c r="BH119" s="1"/>
  <c r="BM30" i="16" s="1"/>
  <c r="BH72" i="12"/>
  <c r="BH95" s="1"/>
  <c r="BH113" s="1"/>
  <c r="BF99" i="19" s="1"/>
  <c r="CA28" i="16"/>
  <c r="BY19" i="20"/>
  <c r="K28" i="16"/>
  <c r="BZ19" i="20"/>
  <c r="BG117" i="12"/>
  <c r="BG119" s="1"/>
  <c r="BL30" i="16" s="1"/>
  <c r="BN11" i="20"/>
  <c r="BT18" i="18"/>
  <c r="BK4" i="20" l="1"/>
  <c r="BK7" s="1"/>
  <c r="BK24" s="1"/>
  <c r="BF101" i="19"/>
  <c r="BM39" i="16" s="1"/>
  <c r="BL12" i="20" s="1"/>
  <c r="BL13" s="1"/>
  <c r="H58" i="36"/>
  <c r="H59"/>
  <c r="H32" s="1"/>
  <c r="F16" i="38" s="1"/>
  <c r="BH31" i="16"/>
  <c r="BH36"/>
  <c r="AY28" i="18" s="1"/>
  <c r="AY32" s="1"/>
  <c r="BH21" i="16"/>
  <c r="BH23" s="1"/>
  <c r="BI29"/>
  <c r="BK65" i="15"/>
  <c r="BL49"/>
  <c r="BP19" i="16"/>
  <c r="BJ94" i="19"/>
  <c r="BJ95"/>
  <c r="BQ16" i="16" s="1"/>
  <c r="BK93" i="19"/>
  <c r="F44" i="36"/>
  <c r="BI69" i="12"/>
  <c r="BI72"/>
  <c r="BI95" s="1"/>
  <c r="BI113" s="1"/>
  <c r="BV17" i="18"/>
  <c r="BV16"/>
  <c r="BQ22" i="20"/>
  <c r="BR21"/>
  <c r="J19"/>
  <c r="J22" s="1"/>
  <c r="CB28" i="16"/>
  <c r="BL4" i="20"/>
  <c r="BL7" s="1"/>
  <c r="BL24" s="1"/>
  <c r="I41" i="36"/>
  <c r="I56" s="1"/>
  <c r="I57" s="1"/>
  <c r="I58" s="1"/>
  <c r="I11" i="20"/>
  <c r="F31" i="36"/>
  <c r="BK62" i="12"/>
  <c r="BP9" i="16"/>
  <c r="BP10" s="1"/>
  <c r="F18" i="36"/>
  <c r="M62" i="14"/>
  <c r="I5" i="20"/>
  <c r="L68" i="14"/>
  <c r="CG47" i="12"/>
  <c r="CE45" i="19"/>
  <c r="CE79" s="1"/>
  <c r="CE71"/>
  <c r="P48" i="14"/>
  <c r="Q48" s="1"/>
  <c r="BF28" i="20"/>
  <c r="BG26"/>
  <c r="BG27" s="1"/>
  <c r="BW14" i="18"/>
  <c r="BX13"/>
  <c r="BW15"/>
  <c r="BN5" i="20"/>
  <c r="BJ68" i="12"/>
  <c r="BO10" i="20"/>
  <c r="BJ69" i="12" l="1"/>
  <c r="BJ72"/>
  <c r="BJ95" s="1"/>
  <c r="BJ113" s="1"/>
  <c r="BX14" i="18"/>
  <c r="BX15" s="1"/>
  <c r="BY13"/>
  <c r="BH26" i="20"/>
  <c r="BH27" s="1"/>
  <c r="BG28"/>
  <c r="BW16" i="18"/>
  <c r="BW17"/>
  <c r="P47" i="14"/>
  <c r="D9" i="38"/>
  <c r="F20" i="36"/>
  <c r="F33"/>
  <c r="D15" i="38" s="1"/>
  <c r="BQ19" i="16"/>
  <c r="BL65" i="15"/>
  <c r="BM49"/>
  <c r="BI31" i="16"/>
  <c r="BI36"/>
  <c r="AZ28" i="18" s="1"/>
  <c r="AZ32" s="1"/>
  <c r="BI21" i="16"/>
  <c r="BI23" s="1"/>
  <c r="BJ29"/>
  <c r="BO11" i="20"/>
  <c r="BV18" i="18"/>
  <c r="I59" i="36"/>
  <c r="I32" s="1"/>
  <c r="G16" i="38" s="1"/>
  <c r="CE80" i="19"/>
  <c r="CL17" i="16" s="1"/>
  <c r="M68" i="14"/>
  <c r="L72"/>
  <c r="BO5" i="20"/>
  <c r="BK68" i="12"/>
  <c r="CC28" i="16"/>
  <c r="BR22" i="20"/>
  <c r="BS21"/>
  <c r="BG99" i="19"/>
  <c r="L113" i="14"/>
  <c r="L117" s="1"/>
  <c r="L119" s="1"/>
  <c r="M119" s="1"/>
  <c r="BK95" i="19"/>
  <c r="BR16" i="16" s="1"/>
  <c r="BL93" i="19"/>
  <c r="BK94"/>
  <c r="BL62" i="12"/>
  <c r="BQ9" i="16"/>
  <c r="BQ10" s="1"/>
  <c r="BI117" i="12"/>
  <c r="BI119" s="1"/>
  <c r="BN30" i="16" s="1"/>
  <c r="BP10" i="20"/>
  <c r="BH43" i="16"/>
  <c r="BW18" i="18" l="1"/>
  <c r="BP5" i="20"/>
  <c r="BL68" i="12"/>
  <c r="BR19" i="16"/>
  <c r="BG101" i="19"/>
  <c r="BN39" i="16" s="1"/>
  <c r="CD28"/>
  <c r="BJ31"/>
  <c r="BJ36"/>
  <c r="BA28" i="18" s="1"/>
  <c r="BA32" s="1"/>
  <c r="BJ21" i="16"/>
  <c r="BJ23" s="1"/>
  <c r="BK29"/>
  <c r="BM65" i="15"/>
  <c r="BN49"/>
  <c r="D10" i="38"/>
  <c r="F23" i="36"/>
  <c r="H19"/>
  <c r="I19" s="1"/>
  <c r="Q47" i="14"/>
  <c r="BY15" i="18"/>
  <c r="BY14"/>
  <c r="BZ13"/>
  <c r="BX16"/>
  <c r="BX17"/>
  <c r="BX18" s="1"/>
  <c r="BM4" i="20"/>
  <c r="BM7" s="1"/>
  <c r="BL94" i="19"/>
  <c r="BM93"/>
  <c r="BL95"/>
  <c r="BS16" i="16" s="1"/>
  <c r="BT21" i="20"/>
  <c r="BS22"/>
  <c r="BK69" i="12"/>
  <c r="BK72"/>
  <c r="BK95" s="1"/>
  <c r="BK113" s="1"/>
  <c r="BI99" i="19" s="1"/>
  <c r="BI101" s="1"/>
  <c r="BP39" i="16" s="1"/>
  <c r="BO12" i="20" s="1"/>
  <c r="BO13" s="1"/>
  <c r="M72" i="14"/>
  <c r="L95"/>
  <c r="M95" s="1"/>
  <c r="BM62" i="12"/>
  <c r="BR9" i="16"/>
  <c r="BR10" s="1"/>
  <c r="BH28" i="20"/>
  <c r="BI26"/>
  <c r="BI27" s="1"/>
  <c r="BH99" i="19"/>
  <c r="BH101" s="1"/>
  <c r="BO39" i="16" s="1"/>
  <c r="BP11" i="20"/>
  <c r="BI43" i="16"/>
  <c r="BQ10" i="20"/>
  <c r="BJ117" i="12"/>
  <c r="BJ119" s="1"/>
  <c r="BO30" i="16" s="1"/>
  <c r="BN4" i="20" l="1"/>
  <c r="BN7" s="1"/>
  <c r="BJ26"/>
  <c r="BJ27" s="1"/>
  <c r="BI28"/>
  <c r="BT22"/>
  <c r="BU21"/>
  <c r="BS19" i="16"/>
  <c r="BZ14" i="18"/>
  <c r="CA13"/>
  <c r="BZ15"/>
  <c r="BY17"/>
  <c r="BY16"/>
  <c r="F26" i="36"/>
  <c r="F38"/>
  <c r="BN65" i="15"/>
  <c r="BO49"/>
  <c r="BK31" i="16"/>
  <c r="BK36"/>
  <c r="BB28" i="18" s="1"/>
  <c r="BB32" s="1"/>
  <c r="BK21" i="16"/>
  <c r="BK23" s="1"/>
  <c r="BL29"/>
  <c r="J39"/>
  <c r="BM12" i="20"/>
  <c r="BM13" s="1"/>
  <c r="BL69" i="12"/>
  <c r="BL72"/>
  <c r="BL95" s="1"/>
  <c r="BL113" s="1"/>
  <c r="BQ5" i="20"/>
  <c r="BM68" i="12"/>
  <c r="BN93" i="19"/>
  <c r="BM94"/>
  <c r="BM95"/>
  <c r="BT16" i="16" s="1"/>
  <c r="D13" i="38"/>
  <c r="D14" s="1"/>
  <c r="D17" s="1"/>
  <c r="D28" s="1"/>
  <c r="D30" s="1"/>
  <c r="D31" s="1"/>
  <c r="D8"/>
  <c r="BN62" i="12"/>
  <c r="BS9" i="16"/>
  <c r="BS10" s="1"/>
  <c r="CE28"/>
  <c r="BQ11" i="20"/>
  <c r="BR10"/>
  <c r="BR11" s="1"/>
  <c r="BN12"/>
  <c r="BN13" s="1"/>
  <c r="BK117" i="12"/>
  <c r="BK119" s="1"/>
  <c r="BP30" i="16" s="1"/>
  <c r="BM24" i="20"/>
  <c r="BJ43" i="16"/>
  <c r="BN24" i="20" l="1"/>
  <c r="BK43" i="16"/>
  <c r="BY18" i="18"/>
  <c r="BO4" i="20"/>
  <c r="BO7" s="1"/>
  <c r="BO24" s="1"/>
  <c r="CF28" i="16"/>
  <c r="BR5" i="20"/>
  <c r="BN68" i="12"/>
  <c r="BM69"/>
  <c r="BM72"/>
  <c r="BM95" s="1"/>
  <c r="BM113" s="1"/>
  <c r="BK99" i="19" s="1"/>
  <c r="BK101" s="1"/>
  <c r="BR39" i="16" s="1"/>
  <c r="BQ12" i="20" s="1"/>
  <c r="BQ13" s="1"/>
  <c r="BJ99" i="19"/>
  <c r="BJ101" s="1"/>
  <c r="BQ39" i="16" s="1"/>
  <c r="BP12" i="20" s="1"/>
  <c r="BP13" s="1"/>
  <c r="F42" i="36"/>
  <c r="F30" s="1"/>
  <c r="I12" i="20"/>
  <c r="I13" s="1"/>
  <c r="BO62" i="12"/>
  <c r="BT9" i="16"/>
  <c r="BT10" s="1"/>
  <c r="CA14" i="18"/>
  <c r="CB13"/>
  <c r="CA15"/>
  <c r="BT19" i="16"/>
  <c r="BN95" i="19"/>
  <c r="BU16" i="16" s="1"/>
  <c r="BN94" i="19"/>
  <c r="BO93"/>
  <c r="BL31" i="16"/>
  <c r="BL21"/>
  <c r="BL23" s="1"/>
  <c r="BL36"/>
  <c r="BC28" i="18" s="1"/>
  <c r="BC32" s="1"/>
  <c r="BM29" i="16"/>
  <c r="BO65" i="15"/>
  <c r="BP49"/>
  <c r="BZ17" i="18"/>
  <c r="BZ16"/>
  <c r="BV21" i="20"/>
  <c r="BU22"/>
  <c r="BJ28"/>
  <c r="BK26"/>
  <c r="BK27" s="1"/>
  <c r="BL117" i="12"/>
  <c r="BL119" s="1"/>
  <c r="BQ30" i="16" s="1"/>
  <c r="F35" i="36"/>
  <c r="BS10" i="20"/>
  <c r="F49" i="36" l="1"/>
  <c r="F50" s="1"/>
  <c r="F51" s="1"/>
  <c r="G34"/>
  <c r="BL26" i="20"/>
  <c r="BL27" s="1"/>
  <c r="BK28"/>
  <c r="BP65" i="15"/>
  <c r="BQ49"/>
  <c r="BM31" i="16"/>
  <c r="BM21"/>
  <c r="BM23" s="1"/>
  <c r="BM36"/>
  <c r="BD28" i="18" s="1"/>
  <c r="BD32" s="1"/>
  <c r="BN29" i="16"/>
  <c r="BO94" i="19"/>
  <c r="BP93"/>
  <c r="BO95"/>
  <c r="BV16" i="16" s="1"/>
  <c r="BU10" i="20" s="1"/>
  <c r="BU19" i="16"/>
  <c r="CA16" i="18"/>
  <c r="CA17"/>
  <c r="BS5" i="20"/>
  <c r="BO68" i="12"/>
  <c r="CG28" i="16"/>
  <c r="BP4" i="20"/>
  <c r="BP7" s="1"/>
  <c r="BP24" s="1"/>
  <c r="BV22"/>
  <c r="BW21"/>
  <c r="BP62" i="12"/>
  <c r="BU9" i="16"/>
  <c r="BU10" s="1"/>
  <c r="CB14" i="18"/>
  <c r="CB15" s="1"/>
  <c r="CC13"/>
  <c r="BN69" i="12"/>
  <c r="BN72"/>
  <c r="BN95" s="1"/>
  <c r="BN113" s="1"/>
  <c r="BT10" i="20"/>
  <c r="BS11"/>
  <c r="BZ18" i="18"/>
  <c r="BL43" i="16"/>
  <c r="BT11" i="20"/>
  <c r="BM117" i="12"/>
  <c r="BM119" s="1"/>
  <c r="BR30" i="16" s="1"/>
  <c r="BQ4" i="20" l="1"/>
  <c r="BQ7" s="1"/>
  <c r="BQ24" s="1"/>
  <c r="BL99" i="19"/>
  <c r="BL101" s="1"/>
  <c r="BS39" i="16" s="1"/>
  <c r="BR12" i="20" s="1"/>
  <c r="BR13" s="1"/>
  <c r="CC14" i="18"/>
  <c r="CC15" s="1"/>
  <c r="CB16"/>
  <c r="CB17"/>
  <c r="CB18" s="1"/>
  <c r="BT5" i="20"/>
  <c r="BP68" i="12"/>
  <c r="CH28" i="16"/>
  <c r="BV19"/>
  <c r="BQ62" i="12"/>
  <c r="BV9" i="16"/>
  <c r="BV10" s="1"/>
  <c r="BM26" i="20"/>
  <c r="BM27" s="1"/>
  <c r="BL28"/>
  <c r="BW22"/>
  <c r="BX21"/>
  <c r="BO69" i="12"/>
  <c r="BO72"/>
  <c r="BO95" s="1"/>
  <c r="BO113" s="1"/>
  <c r="BM99" i="19" s="1"/>
  <c r="BP94"/>
  <c r="BQ93"/>
  <c r="BP95"/>
  <c r="BW16" i="16" s="1"/>
  <c r="J29"/>
  <c r="BN31"/>
  <c r="BN21"/>
  <c r="BN36"/>
  <c r="BO29"/>
  <c r="BQ65" i="15"/>
  <c r="BR49"/>
  <c r="BN117" i="12"/>
  <c r="BN119" s="1"/>
  <c r="BS30" i="16" s="1"/>
  <c r="BM43"/>
  <c r="CA18" i="18"/>
  <c r="BU11" i="20"/>
  <c r="CC17" i="18" l="1"/>
  <c r="CC18" s="1"/>
  <c r="CC16"/>
  <c r="BR4" i="20"/>
  <c r="BR7" s="1"/>
  <c r="BR24" s="1"/>
  <c r="BR65" i="15"/>
  <c r="BS49"/>
  <c r="BO31" i="16"/>
  <c r="BO36"/>
  <c r="BF28" i="18" s="1"/>
  <c r="BF32" s="1"/>
  <c r="BO21" i="16"/>
  <c r="BO23" s="1"/>
  <c r="BP29"/>
  <c r="J21"/>
  <c r="J23" s="1"/>
  <c r="BN23"/>
  <c r="J30"/>
  <c r="I4" i="20" s="1"/>
  <c r="I7" s="1"/>
  <c r="I24" s="1"/>
  <c r="I27" s="1"/>
  <c r="J31" i="16"/>
  <c r="BQ94" i="19"/>
  <c r="BR93"/>
  <c r="BQ95"/>
  <c r="BX16" i="16" s="1"/>
  <c r="BM101" i="19"/>
  <c r="BT39" i="16" s="1"/>
  <c r="BS12" i="20" s="1"/>
  <c r="BS13" s="1"/>
  <c r="BP100" i="19"/>
  <c r="BS100" s="1"/>
  <c r="BV100" s="1"/>
  <c r="BY100" s="1"/>
  <c r="CB100" s="1"/>
  <c r="CE100" s="1"/>
  <c r="BQ100"/>
  <c r="BT100" s="1"/>
  <c r="BW100" s="1"/>
  <c r="BZ100" s="1"/>
  <c r="CC100" s="1"/>
  <c r="BP69" i="12"/>
  <c r="BP72"/>
  <c r="BP95" s="1"/>
  <c r="BP113" s="1"/>
  <c r="BR62"/>
  <c r="BW9" i="16"/>
  <c r="BW10" s="1"/>
  <c r="J36"/>
  <c r="BE28" i="18"/>
  <c r="BE32" s="1"/>
  <c r="BW10" i="20"/>
  <c r="BW19" i="16"/>
  <c r="BX22" i="20"/>
  <c r="BY21"/>
  <c r="BN26"/>
  <c r="BN27" s="1"/>
  <c r="BM28"/>
  <c r="BU5"/>
  <c r="BQ68" i="12"/>
  <c r="CI28" i="16"/>
  <c r="BN43"/>
  <c r="BO117" i="12"/>
  <c r="BO119" s="1"/>
  <c r="BT30" i="16" s="1"/>
  <c r="BV10" i="20"/>
  <c r="J43" i="16" l="1"/>
  <c r="BS4" i="20"/>
  <c r="BS7" s="1"/>
  <c r="BS24" s="1"/>
  <c r="BQ69" i="12"/>
  <c r="BQ72"/>
  <c r="BQ95" s="1"/>
  <c r="BQ113" s="1"/>
  <c r="BY22" i="20"/>
  <c r="BZ21"/>
  <c r="BN99" i="19"/>
  <c r="BN101" s="1"/>
  <c r="BU39" i="16" s="1"/>
  <c r="BT12" i="20" s="1"/>
  <c r="BT13" s="1"/>
  <c r="BR95" i="19"/>
  <c r="BY16" i="16" s="1"/>
  <c r="BS93" i="19"/>
  <c r="BR94"/>
  <c r="BP31" i="16"/>
  <c r="BP36"/>
  <c r="BG28" i="18" s="1"/>
  <c r="BG32" s="1"/>
  <c r="BP21" i="16"/>
  <c r="BP23" s="1"/>
  <c r="BQ29"/>
  <c r="BS65" i="15"/>
  <c r="BT49"/>
  <c r="CJ28" i="16"/>
  <c r="BN28" i="20"/>
  <c r="BO26"/>
  <c r="BO27" s="1"/>
  <c r="BV5"/>
  <c r="BR68" i="12"/>
  <c r="BX19" i="16"/>
  <c r="I28" i="20"/>
  <c r="J26"/>
  <c r="BS62" i="12"/>
  <c r="BX9" i="16"/>
  <c r="BX10" s="1"/>
  <c r="BV11" i="20"/>
  <c r="BP117" i="12"/>
  <c r="BP119" s="1"/>
  <c r="BU30" i="16" s="1"/>
  <c r="BO43"/>
  <c r="BT4" i="20" l="1"/>
  <c r="BT7" s="1"/>
  <c r="BT24" s="1"/>
  <c r="BR69" i="12"/>
  <c r="BR72"/>
  <c r="BR95" s="1"/>
  <c r="BR113" s="1"/>
  <c r="BP99" i="19" s="1"/>
  <c r="BO28" i="20"/>
  <c r="BP26"/>
  <c r="BP27" s="1"/>
  <c r="BT65" i="15"/>
  <c r="BU49"/>
  <c r="BQ31" i="16"/>
  <c r="BQ36"/>
  <c r="BH28" i="18" s="1"/>
  <c r="BH32" s="1"/>
  <c r="BQ21" i="16"/>
  <c r="BQ23" s="1"/>
  <c r="BR29"/>
  <c r="BY19"/>
  <c r="BZ22" i="20"/>
  <c r="CA21"/>
  <c r="BO99" i="19"/>
  <c r="BO101" s="1"/>
  <c r="BV39" i="16" s="1"/>
  <c r="BU12" i="20" s="1"/>
  <c r="BU13" s="1"/>
  <c r="BW5"/>
  <c r="BS68" i="12"/>
  <c r="CK28" i="16"/>
  <c r="BT62" i="12"/>
  <c r="BY9" i="16"/>
  <c r="BY10" s="1"/>
  <c r="BT93" i="19"/>
  <c r="BS95"/>
  <c r="BZ16" i="16" s="1"/>
  <c r="BS94" i="19"/>
  <c r="BW11" i="20"/>
  <c r="BX10"/>
  <c r="BX11" s="1"/>
  <c r="BP43" i="16"/>
  <c r="BQ117" i="12"/>
  <c r="BQ119" s="1"/>
  <c r="BV30" i="16" s="1"/>
  <c r="BP101" i="19" l="1"/>
  <c r="BW39" i="16" s="1"/>
  <c r="BV12" i="20" s="1"/>
  <c r="BV13" s="1"/>
  <c r="K16" i="16"/>
  <c r="BZ10" i="20"/>
  <c r="BZ19" i="16"/>
  <c r="BS69" i="12"/>
  <c r="BS72"/>
  <c r="BS95" s="1"/>
  <c r="BS113" s="1"/>
  <c r="CA22" i="20"/>
  <c r="CB21"/>
  <c r="BR31" i="16"/>
  <c r="BR36"/>
  <c r="BI28" i="18" s="1"/>
  <c r="BI32" s="1"/>
  <c r="BR21" i="16"/>
  <c r="BR23" s="1"/>
  <c r="BS29"/>
  <c r="BU65" i="15"/>
  <c r="BV62" i="12" s="1"/>
  <c r="BV49" i="15"/>
  <c r="BQ26" i="20"/>
  <c r="BQ27" s="1"/>
  <c r="BP28"/>
  <c r="BU4"/>
  <c r="BU7" s="1"/>
  <c r="BU24" s="1"/>
  <c r="BT94" i="19"/>
  <c r="BT95"/>
  <c r="CA16" i="16" s="1"/>
  <c r="CA19" s="1"/>
  <c r="BU93" i="19"/>
  <c r="BX5" i="20"/>
  <c r="BT68" i="12"/>
  <c r="CL28" i="16"/>
  <c r="BU62" i="12"/>
  <c r="BZ9" i="16"/>
  <c r="BY10" i="20"/>
  <c r="BQ43" i="16"/>
  <c r="BR117" i="12"/>
  <c r="BR119" s="1"/>
  <c r="BW30" i="16" s="1"/>
  <c r="BY5" i="20" l="1"/>
  <c r="BU68" i="12"/>
  <c r="N62" i="14"/>
  <c r="BV65" i="15"/>
  <c r="BW62" i="12" s="1"/>
  <c r="BW49" i="15"/>
  <c r="BS31" i="16"/>
  <c r="BS21"/>
  <c r="BS23" s="1"/>
  <c r="BS36"/>
  <c r="BJ28" i="18" s="1"/>
  <c r="BJ32" s="1"/>
  <c r="BT29" i="16"/>
  <c r="CB22" i="20"/>
  <c r="CC21"/>
  <c r="BQ99" i="19"/>
  <c r="BQ101" s="1"/>
  <c r="BX39" i="16" s="1"/>
  <c r="BW12" i="20" s="1"/>
  <c r="BW13" s="1"/>
  <c r="G48" i="36"/>
  <c r="K19" i="16"/>
  <c r="J11" i="20" s="1"/>
  <c r="J10"/>
  <c r="BV4"/>
  <c r="BV7" s="1"/>
  <c r="BV24" s="1"/>
  <c r="K9" i="16"/>
  <c r="K10" s="1"/>
  <c r="BZ10"/>
  <c r="BT69" i="12"/>
  <c r="BT72"/>
  <c r="BT95" s="1"/>
  <c r="BT113" s="1"/>
  <c r="BR99" i="19" s="1"/>
  <c r="BR101" s="1"/>
  <c r="BY39" i="16" s="1"/>
  <c r="BX12" i="20" s="1"/>
  <c r="BX13" s="1"/>
  <c r="BU94" i="19"/>
  <c r="BV93"/>
  <c r="BU95"/>
  <c r="CB16" i="16" s="1"/>
  <c r="CB19" s="1"/>
  <c r="BR26" i="20"/>
  <c r="BR27" s="1"/>
  <c r="BQ28"/>
  <c r="BZ5"/>
  <c r="BV68" i="12"/>
  <c r="BZ11" i="20"/>
  <c r="BY11"/>
  <c r="BR43" i="16"/>
  <c r="BS117" i="12"/>
  <c r="BS119" s="1"/>
  <c r="BX30" i="16" s="1"/>
  <c r="BV72" i="12" l="1"/>
  <c r="BV95" s="1"/>
  <c r="BS26" i="20"/>
  <c r="BS27" s="1"/>
  <c r="BR28"/>
  <c r="BW93" i="19"/>
  <c r="BV94"/>
  <c r="BV95"/>
  <c r="CC16" i="16" s="1"/>
  <c r="CC19" s="1"/>
  <c r="G44" i="36"/>
  <c r="CC22" i="20"/>
  <c r="CD21"/>
  <c r="BT31" i="16"/>
  <c r="BT21"/>
  <c r="BT23" s="1"/>
  <c r="BT36"/>
  <c r="BK28" i="18" s="1"/>
  <c r="BK32" s="1"/>
  <c r="BU29" i="16"/>
  <c r="BW65" i="15"/>
  <c r="BX62" i="12" s="1"/>
  <c r="BX49" i="15"/>
  <c r="G18" i="36"/>
  <c r="O62" i="14"/>
  <c r="J5" i="20"/>
  <c r="N68" i="14"/>
  <c r="BW4" i="20"/>
  <c r="BW7" s="1"/>
  <c r="BW24" s="1"/>
  <c r="H31" i="36"/>
  <c r="G31"/>
  <c r="CA5" i="20"/>
  <c r="BW68" i="12"/>
  <c r="BU69"/>
  <c r="BV69" s="1"/>
  <c r="BU72"/>
  <c r="BU95" s="1"/>
  <c r="BU113" s="1"/>
  <c r="BT117"/>
  <c r="BT119" s="1"/>
  <c r="BY30" i="16" s="1"/>
  <c r="BS43"/>
  <c r="BS99" i="19" l="1"/>
  <c r="BS101" s="1"/>
  <c r="BZ39" i="16" s="1"/>
  <c r="N113" i="14"/>
  <c r="N117"/>
  <c r="N119" s="1"/>
  <c r="O119" s="1"/>
  <c r="O68"/>
  <c r="N72"/>
  <c r="BX65" i="15"/>
  <c r="BY62" i="12" s="1"/>
  <c r="BY49" i="15"/>
  <c r="BU31" i="16"/>
  <c r="BU21"/>
  <c r="BU23" s="1"/>
  <c r="BU36"/>
  <c r="BL28" i="18" s="1"/>
  <c r="BL32" s="1"/>
  <c r="BV29" i="16"/>
  <c r="CD22" i="20"/>
  <c r="CE21"/>
  <c r="BW94" i="19"/>
  <c r="BX93"/>
  <c r="BW95"/>
  <c r="CD16" i="16" s="1"/>
  <c r="CD19" s="1"/>
  <c r="BS28" i="20"/>
  <c r="BT26"/>
  <c r="BT27" s="1"/>
  <c r="BX4"/>
  <c r="BX7" s="1"/>
  <c r="BX24" s="1"/>
  <c r="BW69" i="12"/>
  <c r="BW72"/>
  <c r="BW95" s="1"/>
  <c r="E9" i="38"/>
  <c r="G20" i="36"/>
  <c r="G33"/>
  <c r="E15" i="38" s="1"/>
  <c r="CB5" i="20"/>
  <c r="BX68" i="12"/>
  <c r="BU117"/>
  <c r="BU119" s="1"/>
  <c r="BZ30" i="16" s="1"/>
  <c r="BT43"/>
  <c r="BV113" i="12"/>
  <c r="BT99" i="19" l="1"/>
  <c r="BT101" s="1"/>
  <c r="CA39" i="16" s="1"/>
  <c r="BV117" i="12"/>
  <c r="BV119" s="1"/>
  <c r="CA30" i="16" s="1"/>
  <c r="BY4" i="20"/>
  <c r="BY7" s="1"/>
  <c r="E10" i="38"/>
  <c r="G23" i="36"/>
  <c r="BX95" i="19"/>
  <c r="CE16" i="16" s="1"/>
  <c r="CE19" s="1"/>
  <c r="BY93" i="19"/>
  <c r="BX94"/>
  <c r="CE22" i="20"/>
  <c r="CF21"/>
  <c r="BV31" i="16"/>
  <c r="BV36"/>
  <c r="BM28" i="18" s="1"/>
  <c r="BM32" s="1"/>
  <c r="BV21" i="16"/>
  <c r="BV23" s="1"/>
  <c r="BW29"/>
  <c r="BY65" i="15"/>
  <c r="BZ62" i="12" s="1"/>
  <c r="BZ49" i="15"/>
  <c r="O72" i="14"/>
  <c r="N95"/>
  <c r="O95" s="1"/>
  <c r="K39" i="16"/>
  <c r="BY12" i="20"/>
  <c r="BY13" s="1"/>
  <c r="BZ12"/>
  <c r="BZ13" s="1"/>
  <c r="BX69" i="12"/>
  <c r="BX72"/>
  <c r="BX95" s="1"/>
  <c r="BT28" i="20"/>
  <c r="BU26"/>
  <c r="BU27" s="1"/>
  <c r="CC5"/>
  <c r="BY68" i="12"/>
  <c r="BW113"/>
  <c r="BU43" i="16"/>
  <c r="BX113" i="12" l="1"/>
  <c r="BV99" i="19" s="1"/>
  <c r="BY69" i="12"/>
  <c r="BY72"/>
  <c r="BY95" s="1"/>
  <c r="BY113" s="1"/>
  <c r="BW99" i="19" s="1"/>
  <c r="BV26" i="20"/>
  <c r="BV27" s="1"/>
  <c r="BU28"/>
  <c r="BZ65" i="15"/>
  <c r="CA62" i="12" s="1"/>
  <c r="CA49" i="15"/>
  <c r="BW31" i="16"/>
  <c r="BW36"/>
  <c r="BN28" i="18" s="1"/>
  <c r="BN32" s="1"/>
  <c r="BW21" i="16"/>
  <c r="BW23" s="1"/>
  <c r="BX29"/>
  <c r="CF22" i="20"/>
  <c r="CG21"/>
  <c r="E13" i="38"/>
  <c r="E14" s="1"/>
  <c r="E17" s="1"/>
  <c r="E28" s="1"/>
  <c r="E30" s="1"/>
  <c r="E31" s="1"/>
  <c r="E11"/>
  <c r="E8"/>
  <c r="BU99" i="19"/>
  <c r="BU101" s="1"/>
  <c r="CB39" i="16" s="1"/>
  <c r="P113" i="14"/>
  <c r="BW117" i="12"/>
  <c r="BW119" s="1"/>
  <c r="CB30" i="16" s="1"/>
  <c r="G42" i="36"/>
  <c r="J12" i="20"/>
  <c r="J13" s="1"/>
  <c r="CD5"/>
  <c r="BZ68" i="12"/>
  <c r="BY94" i="19"/>
  <c r="BY95"/>
  <c r="CF16" i="16" s="1"/>
  <c r="CF19" s="1"/>
  <c r="BZ93" i="19"/>
  <c r="G26" i="36"/>
  <c r="G38"/>
  <c r="BZ4" i="20"/>
  <c r="BZ7" s="1"/>
  <c r="BZ24" s="1"/>
  <c r="BY24"/>
  <c r="BX117" i="12"/>
  <c r="BX119" s="1"/>
  <c r="CC30" i="16" s="1"/>
  <c r="BV43"/>
  <c r="CA93" i="19" l="1"/>
  <c r="BZ95"/>
  <c r="CG16" i="16" s="1"/>
  <c r="CG19" s="1"/>
  <c r="BZ94" i="19"/>
  <c r="BZ69" i="12"/>
  <c r="BZ72"/>
  <c r="BZ95" s="1"/>
  <c r="BZ113" s="1"/>
  <c r="BX99" i="19" s="1"/>
  <c r="BX101" s="1"/>
  <c r="CE39" i="16" s="1"/>
  <c r="CA4" i="20"/>
  <c r="CA7" s="1"/>
  <c r="CA24" s="1"/>
  <c r="CG22"/>
  <c r="CH21"/>
  <c r="BX31" i="16"/>
  <c r="BX21"/>
  <c r="BX23" s="1"/>
  <c r="BX36"/>
  <c r="BO28" i="18" s="1"/>
  <c r="BO32" s="1"/>
  <c r="BY29" i="16"/>
  <c r="CA65" i="15"/>
  <c r="CB62" i="12" s="1"/>
  <c r="CB49" i="15"/>
  <c r="CB4" i="20"/>
  <c r="CB7" s="1"/>
  <c r="CB24" s="1"/>
  <c r="G30" i="36"/>
  <c r="H30"/>
  <c r="CE5" i="20"/>
  <c r="CA68" i="12"/>
  <c r="BW26" i="20"/>
  <c r="BW27" s="1"/>
  <c r="BV28"/>
  <c r="BW101" i="19"/>
  <c r="CD39" i="16" s="1"/>
  <c r="BY117" i="12"/>
  <c r="BY119" s="1"/>
  <c r="CD30" i="16" s="1"/>
  <c r="BV101" i="19"/>
  <c r="CC39" i="16" s="1"/>
  <c r="G35" i="36"/>
  <c r="BW43" i="16"/>
  <c r="CF5" i="20" l="1"/>
  <c r="CB68" i="12"/>
  <c r="CB93" i="19"/>
  <c r="CA94"/>
  <c r="CA95"/>
  <c r="CH16" i="16" s="1"/>
  <c r="CH19" s="1"/>
  <c r="BX43"/>
  <c r="H34" i="36"/>
  <c r="G49"/>
  <c r="G50" s="1"/>
  <c r="G51" s="1"/>
  <c r="BX26" i="20"/>
  <c r="BX27" s="1"/>
  <c r="BW28"/>
  <c r="CC4"/>
  <c r="CC7" s="1"/>
  <c r="CC24" s="1"/>
  <c r="CA69" i="12"/>
  <c r="CA72"/>
  <c r="CA95" s="1"/>
  <c r="CA113" s="1"/>
  <c r="BY99" i="19" s="1"/>
  <c r="BY101" s="1"/>
  <c r="CF39" i="16" s="1"/>
  <c r="CB65" i="15"/>
  <c r="CC62" i="12" s="1"/>
  <c r="CC49" i="15"/>
  <c r="BY31" i="16"/>
  <c r="BY36"/>
  <c r="BP28" i="18" s="1"/>
  <c r="BP32" s="1"/>
  <c r="BY21" i="16"/>
  <c r="BY23" s="1"/>
  <c r="BZ29"/>
  <c r="CH22" i="20"/>
  <c r="CI21"/>
  <c r="BZ117" i="12"/>
  <c r="BZ119" s="1"/>
  <c r="CE30" i="16" s="1"/>
  <c r="CI22" i="20" l="1"/>
  <c r="CJ21"/>
  <c r="K29" i="16"/>
  <c r="BZ31"/>
  <c r="BZ36"/>
  <c r="BZ21"/>
  <c r="CA29"/>
  <c r="CC65" i="15"/>
  <c r="CD62" i="12" s="1"/>
  <c r="CD49" i="15"/>
  <c r="CD4" i="20"/>
  <c r="CD7" s="1"/>
  <c r="CD24" s="1"/>
  <c r="CG5"/>
  <c r="CC68" i="12"/>
  <c r="BY43" i="16"/>
  <c r="BY26" i="20"/>
  <c r="BY27" s="1"/>
  <c r="BX28"/>
  <c r="CB94" i="19"/>
  <c r="CC93"/>
  <c r="CB95"/>
  <c r="CI16" i="16" s="1"/>
  <c r="CI19" s="1"/>
  <c r="CB69" i="12"/>
  <c r="CB72"/>
  <c r="CB95" s="1"/>
  <c r="CB113" s="1"/>
  <c r="BZ99" i="19" s="1"/>
  <c r="BZ101" s="1"/>
  <c r="CG39" i="16" s="1"/>
  <c r="CA117" i="12"/>
  <c r="CA119" s="1"/>
  <c r="CF30" i="16" s="1"/>
  <c r="BZ43" l="1"/>
  <c r="CD93" i="19"/>
  <c r="CC94"/>
  <c r="CC95"/>
  <c r="CJ16" i="16" s="1"/>
  <c r="CJ19" s="1"/>
  <c r="CC69" i="12"/>
  <c r="CC72"/>
  <c r="CC95" s="1"/>
  <c r="CC113" s="1"/>
  <c r="CA99" i="19" s="1"/>
  <c r="CA101" s="1"/>
  <c r="CH39" i="16" s="1"/>
  <c r="CD65" i="15"/>
  <c r="CE62" i="12" s="1"/>
  <c r="CE49" i="15"/>
  <c r="CA31" i="16"/>
  <c r="CB29"/>
  <c r="BQ28" i="18"/>
  <c r="BQ32" s="1"/>
  <c r="K36" i="16"/>
  <c r="K30"/>
  <c r="J4" i="20" s="1"/>
  <c r="J7" s="1"/>
  <c r="J24" s="1"/>
  <c r="J27" s="1"/>
  <c r="K31" i="16"/>
  <c r="K43" s="1"/>
  <c r="CB117" i="12"/>
  <c r="CB119" s="1"/>
  <c r="CG30" i="16" s="1"/>
  <c r="CE4" i="20"/>
  <c r="CE7" s="1"/>
  <c r="CE24" s="1"/>
  <c r="BZ26"/>
  <c r="BZ27" s="1"/>
  <c r="BY28"/>
  <c r="CH5"/>
  <c r="CD68" i="12"/>
  <c r="K21" i="16"/>
  <c r="K23" s="1"/>
  <c r="BZ23"/>
  <c r="CJ22" i="20"/>
  <c r="CK21"/>
  <c r="CK22" s="1"/>
  <c r="CC117" i="12" l="1"/>
  <c r="CC119" s="1"/>
  <c r="CH30" i="16" s="1"/>
  <c r="CD69" i="12"/>
  <c r="CD72"/>
  <c r="CD95" s="1"/>
  <c r="CD113" s="1"/>
  <c r="CB99" i="19" s="1"/>
  <c r="CB101" s="1"/>
  <c r="CI39" i="16" s="1"/>
  <c r="CF4" i="20"/>
  <c r="CF7" s="1"/>
  <c r="CF24" s="1"/>
  <c r="CI5"/>
  <c r="CE68" i="12"/>
  <c r="CG4" i="20"/>
  <c r="CG7" s="1"/>
  <c r="CG24" s="1"/>
  <c r="CD94" i="19"/>
  <c r="CE93"/>
  <c r="CD95"/>
  <c r="CK16" i="16" s="1"/>
  <c r="CK19" s="1"/>
  <c r="J28" i="20"/>
  <c r="BZ28"/>
  <c r="CA26"/>
  <c r="CA27" s="1"/>
  <c r="CB31" i="16"/>
  <c r="CC29"/>
  <c r="CE65" i="15"/>
  <c r="CF62" i="12" s="1"/>
  <c r="CF49" i="15"/>
  <c r="CF65" s="1"/>
  <c r="CG62" i="12" l="1"/>
  <c r="CE9" i="16"/>
  <c r="CE10" s="1"/>
  <c r="CL9"/>
  <c r="CL10" s="1"/>
  <c r="CG9"/>
  <c r="CG10" s="1"/>
  <c r="CA9"/>
  <c r="CA10" s="1"/>
  <c r="CC9"/>
  <c r="CC10" s="1"/>
  <c r="CI9"/>
  <c r="CI10" s="1"/>
  <c r="CH9"/>
  <c r="CH10" s="1"/>
  <c r="CD9"/>
  <c r="CD10" s="1"/>
  <c r="CF9"/>
  <c r="CF10" s="1"/>
  <c r="CJ9"/>
  <c r="CJ10" s="1"/>
  <c r="CK9"/>
  <c r="CK10" s="1"/>
  <c r="CB9"/>
  <c r="CB10" s="1"/>
  <c r="CC31"/>
  <c r="CD29"/>
  <c r="CB26" i="20"/>
  <c r="CB27" s="1"/>
  <c r="CA28"/>
  <c r="CE94" i="19"/>
  <c r="CE95"/>
  <c r="CL16" i="16" s="1"/>
  <c r="CL19" s="1"/>
  <c r="CE69" i="12"/>
  <c r="CE72"/>
  <c r="CE95" s="1"/>
  <c r="CE113" s="1"/>
  <c r="CC99" i="19" s="1"/>
  <c r="CC101" s="1"/>
  <c r="CJ39" i="16" s="1"/>
  <c r="CJ5" i="20"/>
  <c r="CF68" i="12"/>
  <c r="CD117"/>
  <c r="CD119" s="1"/>
  <c r="CI30" i="16" s="1"/>
  <c r="CE117" i="12" l="1"/>
  <c r="CE119" s="1"/>
  <c r="CJ30" i="16" s="1"/>
  <c r="CI4" i="20" s="1"/>
  <c r="CI7" s="1"/>
  <c r="CI24" s="1"/>
  <c r="CD31" i="16"/>
  <c r="CE29"/>
  <c r="CB23"/>
  <c r="CB21"/>
  <c r="CB36"/>
  <c r="CD21"/>
  <c r="CD36"/>
  <c r="BU28" i="18" s="1"/>
  <c r="BU32" s="1"/>
  <c r="CD23" i="16"/>
  <c r="CA36"/>
  <c r="CA21"/>
  <c r="CA23" s="1"/>
  <c r="CK5" i="20"/>
  <c r="CG68" i="12"/>
  <c r="P62" i="14"/>
  <c r="CH4" i="20"/>
  <c r="CH7" s="1"/>
  <c r="CH24" s="1"/>
  <c r="CF69" i="12"/>
  <c r="CF72"/>
  <c r="CF95" s="1"/>
  <c r="CF113" s="1"/>
  <c r="CD99" i="19" s="1"/>
  <c r="CD101" s="1"/>
  <c r="CK39" i="16" s="1"/>
  <c r="CC26" i="20"/>
  <c r="CC27" s="1"/>
  <c r="CB28"/>
  <c r="CC36" i="16"/>
  <c r="BT28" i="18" s="1"/>
  <c r="BT32" s="1"/>
  <c r="CC23" i="16"/>
  <c r="CC21"/>
  <c r="CE36"/>
  <c r="BV28" i="18" s="1"/>
  <c r="BV32" s="1"/>
  <c r="CE21" i="16"/>
  <c r="CE23" s="1"/>
  <c r="CC43"/>
  <c r="CD43" l="1"/>
  <c r="CF117" i="12"/>
  <c r="CF119" s="1"/>
  <c r="CK30" i="16" s="1"/>
  <c r="CC28" i="20"/>
  <c r="CD26"/>
  <c r="CD27" s="1"/>
  <c r="CJ4"/>
  <c r="CJ7" s="1"/>
  <c r="CJ24" s="1"/>
  <c r="H18" i="36"/>
  <c r="Q62" i="14"/>
  <c r="P68"/>
  <c r="BR28" i="18"/>
  <c r="BR32" s="1"/>
  <c r="CA43" i="16"/>
  <c r="BS28" i="18"/>
  <c r="BS32" s="1"/>
  <c r="CB43" i="16"/>
  <c r="CG69" i="12"/>
  <c r="CG72"/>
  <c r="CG95" s="1"/>
  <c r="CG113" s="1"/>
  <c r="CE99" i="19" s="1"/>
  <c r="CE101" s="1"/>
  <c r="CL39" i="16" s="1"/>
  <c r="CE31"/>
  <c r="CE43" s="1"/>
  <c r="CF29"/>
  <c r="CG117" i="12" l="1"/>
  <c r="CG119" s="1"/>
  <c r="CL30" i="16" s="1"/>
  <c r="CK4" i="20" s="1"/>
  <c r="CK7" s="1"/>
  <c r="CK24" s="1"/>
  <c r="P117" i="14"/>
  <c r="P119" s="1"/>
  <c r="Q119" s="1"/>
  <c r="Q68"/>
  <c r="P72"/>
  <c r="I18" i="36"/>
  <c r="F9" i="38"/>
  <c r="H20" i="36"/>
  <c r="H33"/>
  <c r="F15" i="38" s="1"/>
  <c r="CF31" i="16"/>
  <c r="CG29"/>
  <c r="CF21"/>
  <c r="CF23" s="1"/>
  <c r="CF36"/>
  <c r="BW28" i="18" s="1"/>
  <c r="BW32" s="1"/>
  <c r="CE26" i="20"/>
  <c r="CE27" s="1"/>
  <c r="CD28"/>
  <c r="CG31" i="16" l="1"/>
  <c r="CH29"/>
  <c r="CG36"/>
  <c r="BX28" i="18" s="1"/>
  <c r="BX32" s="1"/>
  <c r="CG21" i="16"/>
  <c r="CG23" s="1"/>
  <c r="P95" i="14"/>
  <c r="Q95" s="1"/>
  <c r="Q72"/>
  <c r="CE28" i="20"/>
  <c r="CF26"/>
  <c r="CF27" s="1"/>
  <c r="H22" i="36"/>
  <c r="H23" s="1"/>
  <c r="F10" i="38"/>
  <c r="L7" i="36"/>
  <c r="I33"/>
  <c r="G15" i="38" s="1"/>
  <c r="G9"/>
  <c r="I20" i="36"/>
  <c r="CF43" i="16"/>
  <c r="H26" i="36" l="1"/>
  <c r="H35" s="1"/>
  <c r="H38"/>
  <c r="I22"/>
  <c r="G10" i="38"/>
  <c r="I23" i="36"/>
  <c r="I26" s="1"/>
  <c r="F11" i="38"/>
  <c r="F12"/>
  <c r="F13" s="1"/>
  <c r="F14" s="1"/>
  <c r="F17" s="1"/>
  <c r="F28" s="1"/>
  <c r="F8"/>
  <c r="CG26" i="20"/>
  <c r="CG27" s="1"/>
  <c r="CF28"/>
  <c r="CH31" i="16"/>
  <c r="CH36"/>
  <c r="BY28" i="18" s="1"/>
  <c r="BY32" s="1"/>
  <c r="CI29" i="16"/>
  <c r="CH21"/>
  <c r="CH23" s="1"/>
  <c r="CG43"/>
  <c r="G28" i="38" l="1"/>
  <c r="F30"/>
  <c r="F31" s="1"/>
  <c r="H49" i="36"/>
  <c r="H50" s="1"/>
  <c r="H51" s="1"/>
  <c r="I34"/>
  <c r="CI31" i="16"/>
  <c r="CJ29"/>
  <c r="CI36"/>
  <c r="BZ28" i="18" s="1"/>
  <c r="BZ32" s="1"/>
  <c r="CI21" i="16"/>
  <c r="CI23" s="1"/>
  <c r="CG28" i="20"/>
  <c r="CH26"/>
  <c r="CH27" s="1"/>
  <c r="G11" i="38"/>
  <c r="G12"/>
  <c r="G13" s="1"/>
  <c r="G14" s="1"/>
  <c r="G17" s="1"/>
  <c r="G8"/>
  <c r="I35" i="36"/>
  <c r="I49" s="1"/>
  <c r="CH43" i="16"/>
  <c r="I38" i="36"/>
  <c r="I50" l="1"/>
  <c r="I51" s="1"/>
  <c r="N7"/>
  <c r="H28" i="38"/>
  <c r="G30"/>
  <c r="CI26" i="20"/>
  <c r="CI27" s="1"/>
  <c r="CH28"/>
  <c r="CJ31" i="16"/>
  <c r="CJ21"/>
  <c r="CJ23" s="1"/>
  <c r="CJ36"/>
  <c r="CA28" i="18" s="1"/>
  <c r="CA32" s="1"/>
  <c r="CK29" i="16"/>
  <c r="CI43"/>
  <c r="G31" i="38"/>
  <c r="CI28" i="20" l="1"/>
  <c r="CJ26"/>
  <c r="CJ27" s="1"/>
  <c r="I28" i="38"/>
  <c r="H30"/>
  <c r="H31" s="1"/>
  <c r="B33"/>
  <c r="I36"/>
  <c r="CK31" i="16"/>
  <c r="CK36"/>
  <c r="CB28" i="18" s="1"/>
  <c r="CB32" s="1"/>
  <c r="CK21" i="16"/>
  <c r="CK23" s="1"/>
  <c r="CL29"/>
  <c r="P7" i="36"/>
  <c r="Q11" s="1"/>
  <c r="Q12" s="1"/>
  <c r="L13" s="1"/>
  <c r="CJ43" i="16"/>
  <c r="Q17" i="36" l="1"/>
  <c r="Q18" s="1"/>
  <c r="N19" s="1"/>
  <c r="CL31" i="16"/>
  <c r="CL21"/>
  <c r="CL23" s="1"/>
  <c r="CL36"/>
  <c r="CC28" i="18" s="1"/>
  <c r="CC32" s="1"/>
  <c r="J28" i="38"/>
  <c r="I30"/>
  <c r="I31" s="1"/>
  <c r="CK26" i="20"/>
  <c r="CK27" s="1"/>
  <c r="CK28" s="1"/>
  <c r="CJ28"/>
  <c r="CK43" i="16"/>
  <c r="K28" i="38" l="1"/>
  <c r="J30"/>
  <c r="J31" s="1"/>
  <c r="CL43" i="16"/>
  <c r="L28" i="38" l="1"/>
  <c r="K30"/>
  <c r="K31" s="1"/>
  <c r="M28" l="1"/>
  <c r="L30"/>
  <c r="L31" s="1"/>
  <c r="B34" l="1"/>
  <c r="N28"/>
  <c r="M30"/>
  <c r="M31" s="1"/>
  <c r="O28" l="1"/>
  <c r="N30"/>
  <c r="N31"/>
  <c r="P28" l="1"/>
  <c r="O30"/>
  <c r="O31"/>
  <c r="Q28" l="1"/>
  <c r="P30"/>
  <c r="P31"/>
  <c r="R28" l="1"/>
  <c r="Q30"/>
  <c r="Q31"/>
  <c r="S28" l="1"/>
  <c r="R30"/>
  <c r="R31"/>
  <c r="T28" l="1"/>
  <c r="S30"/>
  <c r="S31"/>
  <c r="U28" l="1"/>
  <c r="T30"/>
  <c r="T31"/>
  <c r="V28" l="1"/>
  <c r="U30"/>
  <c r="U31"/>
  <c r="W28" l="1"/>
  <c r="V30"/>
  <c r="V31"/>
  <c r="B35" l="1"/>
  <c r="X28"/>
  <c r="W30"/>
  <c r="W31" s="1"/>
  <c r="Y28" l="1"/>
  <c r="X30"/>
  <c r="X31" s="1"/>
  <c r="Z28" l="1"/>
  <c r="Y30"/>
  <c r="Y31" s="1"/>
  <c r="AA28" l="1"/>
  <c r="Z30"/>
  <c r="Z31" s="1"/>
  <c r="AB28" l="1"/>
  <c r="AA30"/>
  <c r="AA31" s="1"/>
  <c r="AC28" l="1"/>
  <c r="AB30"/>
  <c r="AB31" s="1"/>
  <c r="AD28" l="1"/>
  <c r="AC30"/>
  <c r="AC31" s="1"/>
  <c r="AE28" l="1"/>
  <c r="AD30"/>
  <c r="AD31" s="1"/>
  <c r="AF28" l="1"/>
  <c r="AE30"/>
  <c r="AE31" s="1"/>
  <c r="AG28" l="1"/>
  <c r="AF30"/>
  <c r="AF31" s="1"/>
  <c r="B36" l="1"/>
  <c r="AH28"/>
  <c r="AG30"/>
  <c r="AG31" s="1"/>
  <c r="AI28" l="1"/>
  <c r="AH30"/>
  <c r="AH31"/>
  <c r="AJ28" l="1"/>
  <c r="AI30"/>
  <c r="AI31"/>
  <c r="AK28" l="1"/>
  <c r="AJ30"/>
  <c r="AJ31"/>
  <c r="AL28" l="1"/>
  <c r="AK30"/>
  <c r="AK31"/>
  <c r="AM28" l="1"/>
  <c r="AL30"/>
  <c r="AL31"/>
  <c r="AN28" l="1"/>
  <c r="AM30"/>
  <c r="AM31"/>
  <c r="AO28" l="1"/>
  <c r="AN30"/>
  <c r="AN31"/>
  <c r="AP28" l="1"/>
  <c r="AO30"/>
  <c r="AO31"/>
  <c r="AQ28" l="1"/>
  <c r="AP30"/>
  <c r="AP31"/>
  <c r="B37" l="1"/>
  <c r="AR28"/>
  <c r="AQ30"/>
  <c r="AQ31" s="1"/>
  <c r="AS28" l="1"/>
  <c r="AR30"/>
  <c r="AR31"/>
  <c r="AT28" l="1"/>
  <c r="AS30"/>
  <c r="AS31"/>
  <c r="AU28" l="1"/>
  <c r="AT30"/>
  <c r="AT31"/>
  <c r="AV28" l="1"/>
  <c r="AU30"/>
  <c r="AU31"/>
  <c r="AW28" l="1"/>
  <c r="AV30"/>
  <c r="AV31"/>
  <c r="AX28" l="1"/>
  <c r="AW30"/>
  <c r="AW31"/>
  <c r="AY28" l="1"/>
  <c r="AX30"/>
  <c r="AX31"/>
  <c r="AZ28" l="1"/>
  <c r="AY30"/>
  <c r="AY31"/>
  <c r="BA28" l="1"/>
  <c r="AZ30"/>
  <c r="AZ31"/>
  <c r="BB28" l="1"/>
  <c r="BA30"/>
  <c r="BA31"/>
  <c r="BC28" l="1"/>
  <c r="BB30"/>
  <c r="BB31"/>
  <c r="BD28" l="1"/>
  <c r="BC30"/>
  <c r="BC31"/>
  <c r="BE28" l="1"/>
  <c r="BD30"/>
  <c r="BD31"/>
  <c r="BF28" l="1"/>
  <c r="BE30"/>
  <c r="BE31"/>
  <c r="BG28" l="1"/>
  <c r="BF30"/>
  <c r="BF31" s="1"/>
  <c r="BH28" l="1"/>
  <c r="BG30"/>
  <c r="BG31"/>
  <c r="BI28" l="1"/>
  <c r="BH30"/>
  <c r="BH31"/>
  <c r="BJ28" l="1"/>
  <c r="BI30"/>
  <c r="BI31"/>
  <c r="BK28" l="1"/>
  <c r="BJ30"/>
  <c r="BJ31"/>
  <c r="BL28" l="1"/>
  <c r="BK30"/>
  <c r="BK31"/>
  <c r="BM28" l="1"/>
  <c r="BL30"/>
  <c r="BL31"/>
  <c r="BN28" l="1"/>
  <c r="BM30"/>
  <c r="BM31"/>
  <c r="BO28" l="1"/>
  <c r="BN30"/>
  <c r="BN31"/>
  <c r="BP28" l="1"/>
  <c r="BO30"/>
  <c r="BO31"/>
  <c r="BQ28" l="1"/>
  <c r="BP30"/>
  <c r="BP31"/>
  <c r="BR28" l="1"/>
  <c r="BQ30"/>
  <c r="BQ31"/>
  <c r="BS28" l="1"/>
  <c r="BR30"/>
  <c r="BR31"/>
  <c r="BT28" l="1"/>
  <c r="BS30"/>
  <c r="BS31"/>
  <c r="BU28" l="1"/>
  <c r="BT30"/>
  <c r="BT31"/>
  <c r="BV28" l="1"/>
  <c r="BU30"/>
  <c r="BU31"/>
  <c r="BW28" l="1"/>
  <c r="BV30"/>
  <c r="BV31"/>
  <c r="BX28" l="1"/>
  <c r="BW30"/>
  <c r="BW31"/>
  <c r="BY28" l="1"/>
  <c r="BX30"/>
  <c r="BX31"/>
  <c r="BZ28" l="1"/>
  <c r="BY30"/>
  <c r="BY31"/>
  <c r="CA28" l="1"/>
  <c r="BZ30"/>
  <c r="BZ31"/>
  <c r="CB28" l="1"/>
  <c r="CA30"/>
  <c r="CA31"/>
  <c r="CC28" l="1"/>
  <c r="CB30"/>
  <c r="CB31"/>
  <c r="CD28" l="1"/>
  <c r="CC30"/>
  <c r="CC31"/>
  <c r="CE28" l="1"/>
  <c r="CD30"/>
  <c r="CD31"/>
  <c r="CF28" l="1"/>
  <c r="CE30"/>
  <c r="CE31"/>
  <c r="CG28" l="1"/>
  <c r="CF30"/>
  <c r="CF31"/>
  <c r="CH28" l="1"/>
  <c r="CG30"/>
  <c r="CG31"/>
  <c r="CI28" l="1"/>
  <c r="CH30"/>
  <c r="CH31"/>
  <c r="CJ28" l="1"/>
  <c r="CI30"/>
  <c r="CI31"/>
  <c r="CK28" l="1"/>
  <c r="CJ30"/>
  <c r="CJ31"/>
  <c r="CL28" l="1"/>
  <c r="CK30"/>
  <c r="CK31"/>
  <c r="CM28" l="1"/>
  <c r="CL30"/>
  <c r="CL31"/>
  <c r="CN28" l="1"/>
  <c r="CM30"/>
  <c r="CM31"/>
  <c r="CO28" l="1"/>
  <c r="CN30"/>
  <c r="CN31"/>
  <c r="CP28" l="1"/>
  <c r="CO30"/>
  <c r="CO31"/>
  <c r="CQ28" l="1"/>
  <c r="CP30"/>
  <c r="CP31"/>
  <c r="CR28" l="1"/>
  <c r="CQ30"/>
  <c r="CQ31"/>
  <c r="CS28" l="1"/>
  <c r="CR30"/>
  <c r="CR31"/>
  <c r="CT28" l="1"/>
  <c r="CS30"/>
  <c r="CS31"/>
  <c r="CU28" l="1"/>
  <c r="CT30"/>
  <c r="CT31"/>
  <c r="CV28" l="1"/>
  <c r="CU30"/>
  <c r="CU31"/>
  <c r="CW28" l="1"/>
  <c r="CV30"/>
  <c r="CV31"/>
  <c r="CX28" l="1"/>
  <c r="CX30" s="1"/>
  <c r="CW30"/>
  <c r="CW31"/>
  <c r="CX31" l="1"/>
  <c r="B38" s="1"/>
  <c r="E45" s="1"/>
  <c r="E42" s="1"/>
  <c r="G45" l="1"/>
  <c r="G42" s="1"/>
</calcChain>
</file>

<file path=xl/comments1.xml><?xml version="1.0" encoding="utf-8"?>
<comments xmlns="http://schemas.openxmlformats.org/spreadsheetml/2006/main">
  <authors>
    <author>Olivier Steu</author>
  </authors>
  <commentList>
    <comment ref="J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K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L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M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N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O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P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Q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R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S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T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U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V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W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X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Y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Z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A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B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C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D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E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F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G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H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I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J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K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L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M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N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O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P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Q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R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S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T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U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V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W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X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Y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AZ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A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B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C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D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E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F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G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H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I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J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K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L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M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N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O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P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Q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R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S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T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U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V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W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X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Y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BZ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CA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CB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  <comment ref="CC6" authorId="0">
      <text>
        <r>
          <rPr>
            <b/>
            <sz val="8"/>
            <color indexed="81"/>
            <rFont val="Tahoma"/>
            <family val="2"/>
          </rPr>
          <t>Olivier Steu:</t>
        </r>
        <r>
          <rPr>
            <sz val="8"/>
            <color indexed="81"/>
            <rFont val="Tahoma"/>
            <family val="2"/>
          </rPr>
          <t xml:space="preserve">
0 : financement par capital</t>
        </r>
      </text>
    </comment>
  </commentList>
</comments>
</file>

<file path=xl/sharedStrings.xml><?xml version="1.0" encoding="utf-8"?>
<sst xmlns="http://schemas.openxmlformats.org/spreadsheetml/2006/main" count="971" uniqueCount="551">
  <si>
    <t>Facturation</t>
  </si>
  <si>
    <t>Total</t>
  </si>
  <si>
    <t>Cumulé / an</t>
  </si>
  <si>
    <t>Coûts</t>
  </si>
  <si>
    <t>nombre</t>
  </si>
  <si>
    <t>Ventes de marchandises</t>
  </si>
  <si>
    <t>FC</t>
  </si>
  <si>
    <t>Production vendue de biens</t>
  </si>
  <si>
    <t>FF</t>
  </si>
  <si>
    <t>Production vendue de services</t>
  </si>
  <si>
    <t>FI</t>
  </si>
  <si>
    <t xml:space="preserve">             </t>
  </si>
  <si>
    <t>Chiffres d'affaires nets</t>
  </si>
  <si>
    <t>FL</t>
  </si>
  <si>
    <t>Production stockee</t>
  </si>
  <si>
    <t>FM</t>
  </si>
  <si>
    <t>Production immobilisée</t>
  </si>
  <si>
    <t>Subventions d'exploitation</t>
  </si>
  <si>
    <t>Reprises sur amorts . et prov, transfert de charges (9)</t>
  </si>
  <si>
    <t>FP</t>
  </si>
  <si>
    <t>Autres produits (1)  (11)</t>
  </si>
  <si>
    <t>FQ</t>
  </si>
  <si>
    <t xml:space="preserve">           </t>
  </si>
  <si>
    <t>total des produits d'exploitation   (2)</t>
  </si>
  <si>
    <t>(I)</t>
  </si>
  <si>
    <t>FR</t>
  </si>
  <si>
    <t>achats de marchandises (compris droits de douane)</t>
  </si>
  <si>
    <t>FS</t>
  </si>
  <si>
    <t>variation de stock (marchandises)</t>
  </si>
  <si>
    <t>FT</t>
  </si>
  <si>
    <t>achats mat prem et autres approv (compris douane)</t>
  </si>
  <si>
    <t>FU</t>
  </si>
  <si>
    <t>variation de stock (mat prem et approvisionnements)</t>
  </si>
  <si>
    <t>FV</t>
  </si>
  <si>
    <t>autres achats et charges externes (3)  (6bis)</t>
  </si>
  <si>
    <t>FW</t>
  </si>
  <si>
    <t>impots, taxes et versements assimiles</t>
  </si>
  <si>
    <t>FX</t>
  </si>
  <si>
    <t>salaires et traitements</t>
  </si>
  <si>
    <t>FY</t>
  </si>
  <si>
    <t>charges sociales (10)</t>
  </si>
  <si>
    <t>FZ</t>
  </si>
  <si>
    <t>: dot aux amortismts</t>
  </si>
  <si>
    <t>GA</t>
  </si>
  <si>
    <t>: dot aux provisions</t>
  </si>
  <si>
    <t>GB</t>
  </si>
  <si>
    <t>dot d'expl</t>
  </si>
  <si>
    <t>- sur actif circ</t>
  </si>
  <si>
    <t>GC</t>
  </si>
  <si>
    <t>- pour risques et charg : dot aux prov</t>
  </si>
  <si>
    <t>autres charges (12)</t>
  </si>
  <si>
    <t>GE</t>
  </si>
  <si>
    <t>total des charges d'exploitation (4)</t>
  </si>
  <si>
    <t>(II)</t>
  </si>
  <si>
    <t>GF</t>
  </si>
  <si>
    <t>- résultat d'exploitation      (I-II)</t>
  </si>
  <si>
    <t>GG</t>
  </si>
  <si>
    <t>bénéfice attribué ou perte transferée</t>
  </si>
  <si>
    <t>(III)</t>
  </si>
  <si>
    <t>GH</t>
  </si>
  <si>
    <t>perte supportée ou bénéfice transferé</t>
  </si>
  <si>
    <t>(IV)</t>
  </si>
  <si>
    <t>GI</t>
  </si>
  <si>
    <t>produits financiers de participations     (5)</t>
  </si>
  <si>
    <t>GJ</t>
  </si>
  <si>
    <t>GK</t>
  </si>
  <si>
    <t>autres intérêts et produits assimilés (5)</t>
  </si>
  <si>
    <t>GL</t>
  </si>
  <si>
    <t>reprises sur provisions et transferts de charges</t>
  </si>
  <si>
    <t>GM</t>
  </si>
  <si>
    <t>differences positives de change</t>
  </si>
  <si>
    <t>GN</t>
  </si>
  <si>
    <t>produits nets sur cessions de val mob de placement</t>
  </si>
  <si>
    <t>GO</t>
  </si>
  <si>
    <t>total des produits financiers</t>
  </si>
  <si>
    <t>(V)</t>
  </si>
  <si>
    <t>GP</t>
  </si>
  <si>
    <t>dotations financières aux amorts et provisions</t>
  </si>
  <si>
    <t>GQ</t>
  </si>
  <si>
    <t>intérêts et charges assimilées (6)</t>
  </si>
  <si>
    <t>différences négatives de change</t>
  </si>
  <si>
    <t>GS</t>
  </si>
  <si>
    <t>charges nettes sur cessions de val mob de placemt</t>
  </si>
  <si>
    <t>GT</t>
  </si>
  <si>
    <t>total des charges financières</t>
  </si>
  <si>
    <t>(VI)</t>
  </si>
  <si>
    <t>GU</t>
  </si>
  <si>
    <t>- résultat financier      (V-VI)</t>
  </si>
  <si>
    <t>GV</t>
  </si>
  <si>
    <t>- résultat courant avant impots (I-II+III-IV+V-VI)</t>
  </si>
  <si>
    <t>GW</t>
  </si>
  <si>
    <t>Produits exceptionnels sur operations de gestion</t>
  </si>
  <si>
    <t>HA</t>
  </si>
  <si>
    <t>Produits exceptionnels sur operations en capital</t>
  </si>
  <si>
    <t>HB</t>
  </si>
  <si>
    <t>Reprises sur provisions et transferts de charges</t>
  </si>
  <si>
    <t>HC</t>
  </si>
  <si>
    <t>Total des produits exceptionnels  7</t>
  </si>
  <si>
    <t>(VII)</t>
  </si>
  <si>
    <t>HD</t>
  </si>
  <si>
    <t>Charges exceptionnelles sur operations de gestion</t>
  </si>
  <si>
    <t>HE</t>
  </si>
  <si>
    <t>charges exceptionnelles sur operations en capital</t>
  </si>
  <si>
    <t>HF</t>
  </si>
  <si>
    <t>Dotations exceptionnelles aux amorts. et prov</t>
  </si>
  <si>
    <t>HG</t>
  </si>
  <si>
    <t>Total des charges exceptionnelles  7</t>
  </si>
  <si>
    <t>(VIII)</t>
  </si>
  <si>
    <t>HH</t>
  </si>
  <si>
    <t>- resultat exceptionnel (VII-VIII)</t>
  </si>
  <si>
    <t>HI</t>
  </si>
  <si>
    <t>Particip des salaries aux resultats de l e</t>
  </si>
  <si>
    <t>(IX)</t>
  </si>
  <si>
    <t>HJ</t>
  </si>
  <si>
    <t>Impots sur les benefices</t>
  </si>
  <si>
    <t>(X)</t>
  </si>
  <si>
    <t>HK</t>
  </si>
  <si>
    <t>Total des produits (I+III+V+VII)</t>
  </si>
  <si>
    <t>HL</t>
  </si>
  <si>
    <t>Total des charges (II+IV+VI+VIII+IX+X)</t>
  </si>
  <si>
    <t>HM</t>
  </si>
  <si>
    <t>- benefice ou perte (produits - charges)</t>
  </si>
  <si>
    <t>HN</t>
  </si>
  <si>
    <t>- dont produits nets partiels sur op à lg terme</t>
  </si>
  <si>
    <t>HO</t>
  </si>
  <si>
    <t>- dont : prod de location immobiliere</t>
  </si>
  <si>
    <t>HY</t>
  </si>
  <si>
    <t xml:space="preserve">            prod d exploit afferents a des exos ant</t>
  </si>
  <si>
    <t>1G</t>
  </si>
  <si>
    <t>- dont : credit-bail mobilier</t>
  </si>
  <si>
    <t>HP</t>
  </si>
  <si>
    <t xml:space="preserve">          : credit-bail immobilier</t>
  </si>
  <si>
    <t>HQ</t>
  </si>
  <si>
    <t>- dont ch d exploit afferents a des exo ant</t>
  </si>
  <si>
    <t>1H</t>
  </si>
  <si>
    <t>- dont produits concernant les entreprises liees</t>
  </si>
  <si>
    <t>1J</t>
  </si>
  <si>
    <t>- dont interets concernant les entreprises liees</t>
  </si>
  <si>
    <t>1K</t>
  </si>
  <si>
    <t>6B</t>
  </si>
  <si>
    <t>- dont dons faits aux organismes d interet general</t>
  </si>
  <si>
    <t>HX</t>
  </si>
  <si>
    <t>- dont tranfert de charges</t>
  </si>
  <si>
    <t>A1</t>
  </si>
  <si>
    <t>- dont cotisations personnelles de l exploitant</t>
  </si>
  <si>
    <t>A2</t>
  </si>
  <si>
    <t>- dont redevances concessions de brevet(produits)</t>
  </si>
  <si>
    <t>A3</t>
  </si>
  <si>
    <t>- dont redevances concessions de brevet (charges)</t>
  </si>
  <si>
    <t>A4</t>
  </si>
  <si>
    <t>- dont primes/cotis</t>
  </si>
  <si>
    <r>
      <t xml:space="preserve">-  </t>
    </r>
    <r>
      <rPr>
        <sz val="10"/>
        <color indexed="8"/>
        <rFont val="Arial"/>
        <family val="2"/>
      </rPr>
      <t>sur immobilis.</t>
    </r>
  </si>
  <si>
    <r>
      <t>prod des autres val mob et créances de l</t>
    </r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actif imm</t>
    </r>
  </si>
  <si>
    <t>Staff</t>
  </si>
  <si>
    <t>Fonction</t>
  </si>
  <si>
    <t>Remun.</t>
  </si>
  <si>
    <t>Interess.</t>
  </si>
  <si>
    <t>Assistant</t>
  </si>
  <si>
    <t>Max</t>
  </si>
  <si>
    <t>sous-traitance</t>
  </si>
  <si>
    <t>loyer</t>
  </si>
  <si>
    <t>personnel extérieur à l'entreprise</t>
  </si>
  <si>
    <t>rémunération d'intermédiaires et honoraires</t>
  </si>
  <si>
    <t>honoraires comptables</t>
  </si>
  <si>
    <t>honoraires juridiques</t>
  </si>
  <si>
    <t>rétrocessions d'honoraires, comm. et court.</t>
  </si>
  <si>
    <t>autres comptes</t>
  </si>
  <si>
    <t>electricité</t>
  </si>
  <si>
    <t>eau</t>
  </si>
  <si>
    <t>petit équipement</t>
  </si>
  <si>
    <t>fournitures de bureau</t>
  </si>
  <si>
    <t>entretien matériel</t>
  </si>
  <si>
    <t>assurance</t>
  </si>
  <si>
    <t>services bancaires</t>
  </si>
  <si>
    <t>communication et publicité</t>
  </si>
  <si>
    <t>taxe professionnelle</t>
  </si>
  <si>
    <t>autres impôts, taxes et versements assimilés</t>
  </si>
  <si>
    <t>foncière</t>
  </si>
  <si>
    <t>autres taxes</t>
  </si>
  <si>
    <t>nombres d'employés</t>
  </si>
  <si>
    <t>salaires</t>
  </si>
  <si>
    <t>autres traitements</t>
  </si>
  <si>
    <t>GR</t>
  </si>
  <si>
    <t>téléphone</t>
  </si>
  <si>
    <t>photocopies</t>
  </si>
  <si>
    <t>FN</t>
  </si>
  <si>
    <t>FO</t>
  </si>
  <si>
    <t>GD</t>
  </si>
  <si>
    <t>bureaux</t>
  </si>
  <si>
    <t>charges</t>
  </si>
  <si>
    <t>cumul</t>
  </si>
  <si>
    <t>Investissements</t>
  </si>
  <si>
    <t>Description</t>
  </si>
  <si>
    <t>Durée (an)</t>
  </si>
  <si>
    <t>Dotation aux Amortissements</t>
  </si>
  <si>
    <t>Date 1ère utilisation</t>
  </si>
  <si>
    <t>Investissements - Cash flow</t>
  </si>
  <si>
    <t>Base amortissements</t>
  </si>
  <si>
    <t>Total invest</t>
  </si>
  <si>
    <t>check</t>
  </si>
  <si>
    <t>Timing investissement (cash flow)</t>
  </si>
  <si>
    <t>Equipements</t>
  </si>
  <si>
    <t>Total Aménagements</t>
  </si>
  <si>
    <t>Total Equipements</t>
  </si>
  <si>
    <t>Total Investissements - Cash Flow</t>
  </si>
  <si>
    <t>ACTIF</t>
  </si>
  <si>
    <t>Amortissements</t>
  </si>
  <si>
    <t>Investissement nets</t>
  </si>
  <si>
    <t>Créances</t>
  </si>
  <si>
    <t>Clients</t>
  </si>
  <si>
    <t>éch. (jrs)</t>
  </si>
  <si>
    <t>Autres</t>
  </si>
  <si>
    <t>Stocks</t>
  </si>
  <si>
    <t>Total Créances</t>
  </si>
  <si>
    <t>Disponibilités</t>
  </si>
  <si>
    <t>Total ACTIF</t>
  </si>
  <si>
    <t>PASSIF</t>
  </si>
  <si>
    <t>TVA</t>
  </si>
  <si>
    <t>collectée</t>
  </si>
  <si>
    <t>déductible</t>
  </si>
  <si>
    <t>ABS</t>
  </si>
  <si>
    <t>immo</t>
  </si>
  <si>
    <t>CA</t>
  </si>
  <si>
    <t>ABS déductible en m</t>
  </si>
  <si>
    <t>ABS déductible en m +1</t>
  </si>
  <si>
    <t>Capital</t>
  </si>
  <si>
    <t>Réserves, RAN,…</t>
  </si>
  <si>
    <t>Résultat cumulé</t>
  </si>
  <si>
    <t>Capitaux Propres</t>
  </si>
  <si>
    <t>Provisions Risques &amp; Charges</t>
  </si>
  <si>
    <t>Emprunts</t>
  </si>
  <si>
    <t>Financement Long Terme</t>
  </si>
  <si>
    <t>Total des Investissements</t>
  </si>
  <si>
    <t>Durée emprunt (mois)</t>
  </si>
  <si>
    <t>Capital restant dû</t>
  </si>
  <si>
    <t>Intérêt</t>
  </si>
  <si>
    <t>Assurance</t>
  </si>
  <si>
    <t>Emprunts cumulés (initial)</t>
  </si>
  <si>
    <t>Capital remboursé mensuellement</t>
  </si>
  <si>
    <t>Taux d'intérêt annuel</t>
  </si>
  <si>
    <t>Taux d'assurance annuel</t>
  </si>
  <si>
    <t>Mensualité</t>
  </si>
  <si>
    <t>Dettes Fournisseurs</t>
  </si>
  <si>
    <t>net à payer</t>
  </si>
  <si>
    <t>charges sociales salariales</t>
  </si>
  <si>
    <t>Date entrée</t>
  </si>
  <si>
    <t>charges patronales</t>
  </si>
  <si>
    <t>payé en m</t>
  </si>
  <si>
    <t>payé en m+1</t>
  </si>
  <si>
    <t>payé au trimestre (estimé)</t>
  </si>
  <si>
    <t>Total dette</t>
  </si>
  <si>
    <t>salaires nets</t>
  </si>
  <si>
    <t>charges au mois</t>
  </si>
  <si>
    <t>charges au trimestre</t>
  </si>
  <si>
    <t>Total des paiements du mois</t>
  </si>
  <si>
    <t>Dettes Fiscales</t>
  </si>
  <si>
    <t>Dettes Sociales</t>
  </si>
  <si>
    <t>Découverts bancaires</t>
  </si>
  <si>
    <t>Autres dettes</t>
  </si>
  <si>
    <t>Total PASSIF</t>
  </si>
  <si>
    <t>taux TVA</t>
  </si>
  <si>
    <t>délai paiement (jours)</t>
  </si>
  <si>
    <t>taxe foncière</t>
  </si>
  <si>
    <t>taxe sur les bureaux</t>
  </si>
  <si>
    <t>Factures TTC fournisseurs</t>
  </si>
  <si>
    <t>Frs=F Tax=T</t>
  </si>
  <si>
    <t>F</t>
  </si>
  <si>
    <t>T</t>
  </si>
  <si>
    <t>Cash Flow des factures fournisseurs</t>
  </si>
  <si>
    <t>Salaires et charges sociales</t>
  </si>
  <si>
    <t>Dettes fournisseurs</t>
  </si>
  <si>
    <t>Dettes fiscales</t>
  </si>
  <si>
    <t>Créances fiscales</t>
  </si>
  <si>
    <t>Créances fournisseurs</t>
  </si>
  <si>
    <t>Dettes sociales</t>
  </si>
  <si>
    <t>Créances sociales</t>
  </si>
  <si>
    <t>Cash Flow</t>
  </si>
  <si>
    <t>Mensuel</t>
  </si>
  <si>
    <t>Résultat</t>
  </si>
  <si>
    <t>dont Dotation aux amortissements</t>
  </si>
  <si>
    <t>dont Dotation aux provisions</t>
  </si>
  <si>
    <t>Capacité d'autofinancement</t>
  </si>
  <si>
    <t>Variation des postes..</t>
  </si>
  <si>
    <t>Dettes Fourn., fiscales, sociales et autres</t>
  </si>
  <si>
    <t>Besoin en Fonds de Roulement</t>
  </si>
  <si>
    <t>Financement</t>
  </si>
  <si>
    <t>Nouveaux emprunts</t>
  </si>
  <si>
    <t>Remboursement d'emprunt</t>
  </si>
  <si>
    <t>Variation de trésorerie</t>
  </si>
  <si>
    <t>Trésorerie en début de période</t>
  </si>
  <si>
    <t>Trésorerie en fin de période</t>
  </si>
  <si>
    <t>contrôle (doit être à 0)</t>
  </si>
  <si>
    <t>total</t>
  </si>
  <si>
    <t>unitaire</t>
  </si>
  <si>
    <t>Immobilisations</t>
  </si>
  <si>
    <t>Mois</t>
  </si>
  <si>
    <t>dont résultat période</t>
  </si>
  <si>
    <t>Délai de paiement des factures d'investissements (jours)</t>
  </si>
  <si>
    <t>taux hausse salaire:</t>
  </si>
  <si>
    <t>Financement Court Terme (découverts)</t>
  </si>
  <si>
    <t>Découverts mensuels</t>
  </si>
  <si>
    <t>"copier" / "coller valeur" de la ligne 29 en ligne 30:</t>
  </si>
  <si>
    <t>IS</t>
  </si>
  <si>
    <t>charge</t>
  </si>
  <si>
    <t>paiement</t>
  </si>
  <si>
    <t>Dettes fiscales (IS)</t>
  </si>
  <si>
    <t>Brut ETP/ an</t>
  </si>
  <si>
    <t>Exercice</t>
  </si>
  <si>
    <t>Base des investissements</t>
  </si>
  <si>
    <t>ABS ded m-1 déductible en m</t>
  </si>
  <si>
    <t>TVA nette m</t>
  </si>
  <si>
    <t>TVA à payer m payée en m+1</t>
  </si>
  <si>
    <t>TVA à payer (bilan)</t>
  </si>
  <si>
    <t>Crédit de TVA (bilan)</t>
  </si>
  <si>
    <t>Taux de rémunération des apports en comptes courants</t>
  </si>
  <si>
    <t>Apports en comptes courants</t>
  </si>
  <si>
    <t>Rémunération des apports en comptes courants</t>
  </si>
  <si>
    <t>"copier" / "coller valeur" de la ligne 22 en ligne 21:</t>
  </si>
  <si>
    <t>Taxe professionnelle</t>
  </si>
  <si>
    <t>Valeur ajoutée</t>
  </si>
  <si>
    <t>TP</t>
  </si>
  <si>
    <t>créance TVA</t>
  </si>
  <si>
    <t>autres fiscales</t>
  </si>
  <si>
    <t>Créances TVA</t>
  </si>
  <si>
    <t>Créances clients, autres fiscales et autres</t>
  </si>
  <si>
    <t>indice</t>
  </si>
  <si>
    <t>Divers équipement</t>
  </si>
  <si>
    <t>% / fact</t>
  </si>
  <si>
    <t>Chiffres d'affaires mensuels</t>
  </si>
  <si>
    <t>Total facturation</t>
  </si>
  <si>
    <t>Total coûts</t>
  </si>
  <si>
    <t>Fournisseur</t>
  </si>
  <si>
    <t>Total des Investissements financés</t>
  </si>
  <si>
    <t>déplacements</t>
  </si>
  <si>
    <t>exonération la 1ère année</t>
  </si>
  <si>
    <t>Business Plan</t>
  </si>
  <si>
    <t>%</t>
  </si>
  <si>
    <t>Nom actionnaire</t>
  </si>
  <si>
    <t>Type</t>
  </si>
  <si>
    <t>Nationalité</t>
  </si>
  <si>
    <t>Physique</t>
  </si>
  <si>
    <t xml:space="preserve">Total </t>
  </si>
  <si>
    <t>Parts</t>
  </si>
  <si>
    <t>de</t>
  </si>
  <si>
    <t>à</t>
  </si>
  <si>
    <t>TOTAL</t>
  </si>
  <si>
    <t>%CA</t>
  </si>
  <si>
    <t>Services annexes</t>
  </si>
  <si>
    <t>Sébastien Bloc &amp; Olivier Steu</t>
  </si>
  <si>
    <t>Sébastien Bloc</t>
  </si>
  <si>
    <t>b</t>
  </si>
  <si>
    <t>c</t>
  </si>
  <si>
    <t>d</t>
  </si>
  <si>
    <t>e</t>
  </si>
  <si>
    <t>a</t>
  </si>
  <si>
    <t>Total Invest 2</t>
  </si>
  <si>
    <t>Total Invest 3</t>
  </si>
  <si>
    <t>Total Invest 4</t>
  </si>
  <si>
    <t>Total Invest 5</t>
  </si>
  <si>
    <t>f</t>
  </si>
  <si>
    <t>g</t>
  </si>
  <si>
    <t>h</t>
  </si>
  <si>
    <t>Modddjo Writer</t>
  </si>
  <si>
    <t>augmentation %/2009</t>
  </si>
  <si>
    <t>Management &amp; Organisation</t>
  </si>
  <si>
    <t>Administrateur système</t>
  </si>
  <si>
    <t>Responsable Comptabilité</t>
  </si>
  <si>
    <t>Nombre d'employés</t>
  </si>
  <si>
    <t>Total Salaires Bruts</t>
  </si>
  <si>
    <t>Ventes et Marketing</t>
  </si>
  <si>
    <t>Commercial France &amp; Europe</t>
  </si>
  <si>
    <t>Commercial USA</t>
  </si>
  <si>
    <t>Commercial Asie</t>
  </si>
  <si>
    <t>Responsable Marketing</t>
  </si>
  <si>
    <t>Chef de projets</t>
  </si>
  <si>
    <t>Responsable Communication</t>
  </si>
  <si>
    <t>Recherche et Développement</t>
  </si>
  <si>
    <t>Infographiste 1</t>
  </si>
  <si>
    <t>Modddjo Plugin DreamWeaver</t>
  </si>
  <si>
    <t>Nombre</t>
  </si>
  <si>
    <t>Valeur</t>
  </si>
  <si>
    <t>V 2.0</t>
  </si>
  <si>
    <t>V 1.0</t>
  </si>
  <si>
    <t>Service</t>
  </si>
  <si>
    <t>Total Valeur</t>
  </si>
  <si>
    <t>Total nombre</t>
  </si>
  <si>
    <t>Bureaux</t>
  </si>
  <si>
    <t>Responsable Qualité</t>
  </si>
  <si>
    <t>Animateur Web</t>
  </si>
  <si>
    <t>Secretariat</t>
  </si>
  <si>
    <t>Support technique</t>
  </si>
  <si>
    <t>Assistante Commerciale</t>
  </si>
  <si>
    <t>Comptable 1</t>
  </si>
  <si>
    <t>Comptable 2</t>
  </si>
  <si>
    <t>€ / mois</t>
  </si>
  <si>
    <t>Missions</t>
  </si>
  <si>
    <t>Cout totaux</t>
  </si>
  <si>
    <t>Ergonome 1</t>
  </si>
  <si>
    <t>Ergonome 2</t>
  </si>
  <si>
    <t>Ingénieur R&amp;D Web 1</t>
  </si>
  <si>
    <t>Ingénieur Son</t>
  </si>
  <si>
    <t>Ingénieur Vidéo</t>
  </si>
  <si>
    <t>Portage Iphone / Mac / Unix</t>
  </si>
  <si>
    <t>Ingénieur R&amp;D Web 2</t>
  </si>
  <si>
    <t>Delivery</t>
  </si>
  <si>
    <t>Content Manager</t>
  </si>
  <si>
    <t>Ingénieur C++ 1</t>
  </si>
  <si>
    <t>Ingénieur Web</t>
  </si>
  <si>
    <t>Ingénieur C++ 2</t>
  </si>
  <si>
    <t>Créatif 3D</t>
  </si>
  <si>
    <t>Veille technologique</t>
  </si>
  <si>
    <t>Traduction</t>
  </si>
  <si>
    <t>Référencement</t>
  </si>
  <si>
    <t>Modddjo</t>
  </si>
  <si>
    <t>Start &amp; Develop</t>
  </si>
  <si>
    <t>Morale</t>
  </si>
  <si>
    <t>SC Denis Bloc</t>
  </si>
  <si>
    <t>Logiciel</t>
  </si>
  <si>
    <t>Incorporel</t>
  </si>
  <si>
    <t>Total Incorporel</t>
  </si>
  <si>
    <t>Apport logiciel</t>
  </si>
  <si>
    <t>Structure du capital initial</t>
  </si>
  <si>
    <t>2009-2010</t>
  </si>
  <si>
    <t>2009-10</t>
  </si>
  <si>
    <t>Chairman &amp; CTO</t>
  </si>
  <si>
    <t>CEO</t>
  </si>
  <si>
    <t>V 1.0 + Vx.0</t>
  </si>
  <si>
    <t>Postes de travail complets</t>
  </si>
  <si>
    <t>version 25/05/2010</t>
  </si>
  <si>
    <t>BUSINESS PLAN MODDDJO :</t>
  </si>
  <si>
    <t>Exploitation</t>
  </si>
  <si>
    <t>Ebit</t>
  </si>
  <si>
    <t>Xtiple</t>
  </si>
  <si>
    <t>ss total</t>
  </si>
  <si>
    <t>CA biens</t>
  </si>
  <si>
    <t>Valo</t>
  </si>
  <si>
    <t>CA services</t>
  </si>
  <si>
    <t>CA total</t>
  </si>
  <si>
    <t>Fondat.</t>
  </si>
  <si>
    <t>ss trtance+Pex</t>
  </si>
  <si>
    <t>Cash out</t>
  </si>
  <si>
    <t>Marge brute</t>
  </si>
  <si>
    <t>Cash in</t>
  </si>
  <si>
    <t>MB%CA</t>
  </si>
  <si>
    <t>Publicité</t>
  </si>
  <si>
    <t>TRI</t>
  </si>
  <si>
    <t>Loyers</t>
  </si>
  <si>
    <t>New Money</t>
  </si>
  <si>
    <t>Rem Ventes</t>
  </si>
  <si>
    <t>Rem R&amp;D</t>
  </si>
  <si>
    <t>Rem Mngmt</t>
  </si>
  <si>
    <t>IRR</t>
  </si>
  <si>
    <t>-----------------------&gt;</t>
  </si>
  <si>
    <t>Amortissemnts</t>
  </si>
  <si>
    <t>IT</t>
  </si>
  <si>
    <t>EBIT</t>
  </si>
  <si>
    <t>Résultat fi</t>
  </si>
  <si>
    <t>Résultat net</t>
  </si>
  <si>
    <t>MBA</t>
  </si>
  <si>
    <t>Capital+/-</t>
  </si>
  <si>
    <t>CCA +/-</t>
  </si>
  <si>
    <t>Defi +/-</t>
  </si>
  <si>
    <t>Socfisc +/-</t>
  </si>
  <si>
    <t>Autres A +/-</t>
  </si>
  <si>
    <t>BFR+/-</t>
  </si>
  <si>
    <t>Invstmts +/-</t>
  </si>
  <si>
    <t>Dispo DP</t>
  </si>
  <si>
    <t>Dispo FP</t>
  </si>
  <si>
    <t>Bilans</t>
  </si>
  <si>
    <t>Capitaux propres</t>
  </si>
  <si>
    <t>CCA</t>
  </si>
  <si>
    <t>Defi</t>
  </si>
  <si>
    <t>Fournisseurs</t>
  </si>
  <si>
    <t>Socfisc</t>
  </si>
  <si>
    <t>Immob incorp</t>
  </si>
  <si>
    <t>Immob corpo</t>
  </si>
  <si>
    <t>autres</t>
  </si>
  <si>
    <t>Dispo</t>
  </si>
  <si>
    <t>check 1</t>
  </si>
  <si>
    <t>BFR</t>
  </si>
  <si>
    <t>BFR%CA</t>
  </si>
  <si>
    <t>ns</t>
  </si>
  <si>
    <t>Delta BFR</t>
  </si>
  <si>
    <t xml:space="preserve">Jours </t>
  </si>
  <si>
    <t>MODELE DE PREVISIONS DES VENTES DE MODDDJO :</t>
  </si>
  <si>
    <t>Coût équipe ventes</t>
  </si>
  <si>
    <t>Mktg</t>
  </si>
  <si>
    <t>Total effort ccial</t>
  </si>
  <si>
    <t>Effort ccial %CA</t>
  </si>
  <si>
    <t>Ventes/buzzer</t>
  </si>
  <si>
    <t>Ventes/lead</t>
  </si>
  <si>
    <t>Prev. des ventes</t>
  </si>
  <si>
    <t>nbre de buzzers</t>
  </si>
  <si>
    <t>coût/buzzer K€</t>
  </si>
  <si>
    <t>Coût des buzzers</t>
  </si>
  <si>
    <t>frais "fixes" K€</t>
  </si>
  <si>
    <t>Budget mktg K€</t>
  </si>
  <si>
    <t>leads/buzzer</t>
  </si>
  <si>
    <t>nbre de leads</t>
  </si>
  <si>
    <t>taux transfo</t>
  </si>
  <si>
    <t>units vendues</t>
  </si>
  <si>
    <t>PRIX UNITAIRE</t>
  </si>
  <si>
    <t>Chiffre d'affaires K€</t>
  </si>
  <si>
    <t>Equipe vtes/CA</t>
  </si>
  <si>
    <t>autres AACE</t>
  </si>
  <si>
    <t>Juin 2010</t>
  </si>
  <si>
    <t>Fondateurs</t>
  </si>
  <si>
    <t>k€</t>
  </si>
  <si>
    <t>BUSINESS PLAN SANS INVESTISSEMENT :</t>
  </si>
  <si>
    <t>Cash flow normatif</t>
  </si>
  <si>
    <t>Chiffre d'affaires</t>
  </si>
  <si>
    <t>Charges excl amort</t>
  </si>
  <si>
    <t>amortissement</t>
  </si>
  <si>
    <t>Ebit % CA</t>
  </si>
  <si>
    <t>RN</t>
  </si>
  <si>
    <t>Cash flow norm</t>
  </si>
  <si>
    <t>FCF normatif</t>
  </si>
  <si>
    <t>MODELE SIMPLIFIE DE  VALORISATION D'UN ACTIF FINANCIER :</t>
  </si>
  <si>
    <t>taux de croissance g1</t>
  </si>
  <si>
    <t>Question = que vaut un actif qui rapporte annuellement à son propriétaire le FCF indiqué?</t>
  </si>
  <si>
    <t>taux de croissance g2</t>
  </si>
  <si>
    <t>taux d'actualisation r</t>
  </si>
  <si>
    <t>BFR 2010</t>
  </si>
  <si>
    <t>Dette nette 2010</t>
  </si>
  <si>
    <t>Valeur d'entreprise :</t>
  </si>
  <si>
    <t>Free cash flow K€</t>
  </si>
  <si>
    <t>Coefficient d'actualisation</t>
  </si>
  <si>
    <t>FCF actualisé</t>
  </si>
  <si>
    <t>Sommation des FCFA</t>
  </si>
  <si>
    <t>Sommation 5 ans</t>
  </si>
  <si>
    <t>Sommation 10 ans</t>
  </si>
  <si>
    <t>Sommation 20 ans</t>
  </si>
  <si>
    <t>Formule de Gordon Shapiro</t>
  </si>
  <si>
    <t>Sommation 30 ans</t>
  </si>
  <si>
    <t>V0 = FCFt*(1+g)/(r-g)</t>
  </si>
  <si>
    <t>------------&gt;</t>
  </si>
  <si>
    <t>Sommation 40 ans</t>
  </si>
  <si>
    <t>Sommation 100 ans</t>
  </si>
  <si>
    <t>SOCIETE</t>
  </si>
  <si>
    <t>Actif</t>
  </si>
  <si>
    <t>Passif</t>
  </si>
  <si>
    <t>Valeur des titres :</t>
  </si>
  <si>
    <t>Immob</t>
  </si>
  <si>
    <t>Cap.pr.</t>
  </si>
  <si>
    <t>-------------------------&gt;</t>
  </si>
  <si>
    <t>Titres = VE - Dette nette</t>
  </si>
  <si>
    <t>Dette</t>
  </si>
  <si>
    <t>Charges soc.</t>
  </si>
  <si>
    <t>Bases comptables</t>
  </si>
  <si>
    <t>Bases "valeur"</t>
  </si>
  <si>
    <t>Valeur de la Modddjo à terme de 5 ans</t>
  </si>
</sst>
</file>

<file path=xl/styles.xml><?xml version="1.0" encoding="utf-8"?>
<styleSheet xmlns="http://schemas.openxmlformats.org/spreadsheetml/2006/main">
  <numFmts count="11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0.0%"/>
    <numFmt numFmtId="166" formatCode="0.0"/>
    <numFmt numFmtId="167" formatCode="#,##0\ &quot;€&quot;"/>
    <numFmt numFmtId="168" formatCode="#,##0_ ;[Red]\-#,##0\ "/>
    <numFmt numFmtId="169" formatCode="[$-40C]d\ mmmm\ yyyy;@"/>
    <numFmt numFmtId="170" formatCode="_-* #,##0\ &quot;€&quot;_-;\-* #,##0\ &quot;€&quot;_-;_-* &quot;-&quot;??\ &quot;€&quot;_-;_-@_-"/>
    <numFmt numFmtId="171" formatCode="0.000"/>
  </numFmts>
  <fonts count="51">
    <font>
      <sz val="10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48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54"/>
      <name val="Arial"/>
      <family val="2"/>
    </font>
    <font>
      <sz val="10"/>
      <color indexed="55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48"/>
      <name val="Arial"/>
      <family val="2"/>
    </font>
    <font>
      <sz val="10"/>
      <color indexed="5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12"/>
      <name val="Arial"/>
      <family val="2"/>
    </font>
    <font>
      <sz val="10"/>
      <color indexed="57"/>
      <name val="Arial"/>
      <family val="2"/>
    </font>
    <font>
      <sz val="36"/>
      <name val="Arial"/>
      <family val="2"/>
    </font>
    <font>
      <sz val="48"/>
      <color indexed="18"/>
      <name val="Arial"/>
      <family val="2"/>
    </font>
    <font>
      <sz val="24"/>
      <name val="Arial"/>
      <family val="2"/>
    </font>
    <font>
      <sz val="22"/>
      <color indexed="18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0"/>
      <name val="Arial"/>
      <family val="2"/>
    </font>
    <font>
      <sz val="10"/>
      <color indexed="8"/>
      <name val="Trebuchet MS"/>
      <family val="2"/>
    </font>
    <font>
      <b/>
      <sz val="18"/>
      <color indexed="10"/>
      <name val="Arial"/>
      <family val="2"/>
    </font>
    <font>
      <b/>
      <sz val="11"/>
      <color indexed="10"/>
      <name val="Arial"/>
      <family val="2"/>
    </font>
    <font>
      <sz val="16"/>
      <name val="Arial"/>
      <family val="2"/>
    </font>
    <font>
      <b/>
      <sz val="11"/>
      <color indexed="10"/>
      <name val="Arial"/>
      <family val="2"/>
    </font>
    <font>
      <sz val="8"/>
      <color indexed="10"/>
      <name val="Arial"/>
      <family val="2"/>
    </font>
    <font>
      <b/>
      <sz val="36"/>
      <name val="Arial"/>
      <family val="2"/>
    </font>
    <font>
      <b/>
      <sz val="10"/>
      <color indexed="36"/>
      <name val="Arial"/>
      <family val="2"/>
    </font>
    <font>
      <sz val="10"/>
      <name val="Arial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1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9" fontId="0" fillId="0" borderId="0" xfId="0" applyNumberFormat="1"/>
    <xf numFmtId="0" fontId="1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7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37" fontId="0" fillId="0" borderId="0" xfId="0" applyNumberFormat="1" applyAlignment="1">
      <alignment horizontal="center" vertical="center"/>
    </xf>
    <xf numFmtId="3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quotePrefix="1" applyFont="1" applyAlignment="1">
      <alignment vertical="center"/>
    </xf>
    <xf numFmtId="0" fontId="0" fillId="0" borderId="0" xfId="0" quotePrefix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quotePrefix="1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1" fontId="4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2" borderId="0" xfId="0" quotePrefix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9" fillId="2" borderId="0" xfId="0" quotePrefix="1" applyFont="1" applyFill="1" applyAlignment="1">
      <alignment vertical="center"/>
    </xf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quotePrefix="1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9" fontId="12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9" fontId="13" fillId="0" borderId="0" xfId="0" applyNumberFormat="1" applyFont="1" applyAlignment="1">
      <alignment vertical="center"/>
    </xf>
    <xf numFmtId="0" fontId="13" fillId="0" borderId="0" xfId="0" applyFont="1"/>
    <xf numFmtId="9" fontId="13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7" fontId="1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37" fontId="0" fillId="0" borderId="0" xfId="0" applyNumberFormat="1" applyFill="1" applyBorder="1" applyAlignment="1">
      <alignment horizontal="center" vertical="center"/>
    </xf>
    <xf numFmtId="3" fontId="7" fillId="0" borderId="0" xfId="2" applyNumberFormat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6" fontId="13" fillId="0" borderId="0" xfId="0" applyNumberFormat="1" applyFont="1" applyAlignment="1">
      <alignment vertical="center"/>
    </xf>
    <xf numFmtId="8" fontId="13" fillId="0" borderId="0" xfId="0" applyNumberFormat="1" applyFont="1" applyAlignment="1">
      <alignment vertical="center"/>
    </xf>
    <xf numFmtId="9" fontId="0" fillId="0" borderId="0" xfId="0" applyNumberFormat="1" applyAlignment="1">
      <alignment horizontal="center"/>
    </xf>
    <xf numFmtId="3" fontId="3" fillId="0" borderId="0" xfId="0" applyNumberFormat="1" applyFont="1"/>
    <xf numFmtId="166" fontId="0" fillId="0" borderId="0" xfId="0" applyNumberFormat="1" applyAlignment="1">
      <alignment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" fontId="15" fillId="0" borderId="0" xfId="0" applyNumberFormat="1" applyFont="1" applyAlignment="1">
      <alignment horizontal="center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17" fontId="0" fillId="0" borderId="0" xfId="0" applyNumberFormat="1" applyAlignment="1">
      <alignment horizontal="center" textRotation="90"/>
    </xf>
    <xf numFmtId="0" fontId="4" fillId="0" borderId="0" xfId="0" applyFont="1" applyAlignment="1">
      <alignment horizontal="center" vertical="center" wrapText="1"/>
    </xf>
    <xf numFmtId="3" fontId="6" fillId="0" borderId="0" xfId="0" applyNumberFormat="1" applyFont="1"/>
    <xf numFmtId="0" fontId="0" fillId="0" borderId="2" xfId="0" applyBorder="1" applyAlignment="1">
      <alignment horizontal="center" vertical="center" wrapText="1"/>
    </xf>
    <xf numFmtId="1" fontId="0" fillId="0" borderId="3" xfId="0" applyNumberFormat="1" applyBorder="1"/>
    <xf numFmtId="17" fontId="15" fillId="0" borderId="0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4" fillId="0" borderId="4" xfId="0" applyFont="1" applyBorder="1"/>
    <xf numFmtId="17" fontId="6" fillId="0" borderId="5" xfId="0" applyNumberFormat="1" applyFont="1" applyBorder="1" applyAlignment="1">
      <alignment horizontal="center" vertical="center" wrapText="1"/>
    </xf>
    <xf numFmtId="3" fontId="6" fillId="0" borderId="6" xfId="0" applyNumberFormat="1" applyFont="1" applyBorder="1"/>
    <xf numFmtId="3" fontId="7" fillId="0" borderId="0" xfId="0" applyNumberFormat="1" applyFont="1" applyBorder="1" applyAlignment="1"/>
    <xf numFmtId="17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applyBorder="1"/>
    <xf numFmtId="0" fontId="0" fillId="0" borderId="7" xfId="0" applyBorder="1" applyAlignment="1">
      <alignment horizontal="left"/>
    </xf>
    <xf numFmtId="0" fontId="0" fillId="0" borderId="7" xfId="0" applyBorder="1"/>
    <xf numFmtId="3" fontId="7" fillId="0" borderId="7" xfId="0" applyNumberFormat="1" applyFont="1" applyBorder="1" applyAlignment="1"/>
    <xf numFmtId="3" fontId="6" fillId="0" borderId="5" xfId="0" applyNumberFormat="1" applyFont="1" applyBorder="1"/>
    <xf numFmtId="0" fontId="7" fillId="0" borderId="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7" xfId="0" applyFont="1" applyBorder="1"/>
    <xf numFmtId="3" fontId="7" fillId="0" borderId="7" xfId="0" applyNumberFormat="1" applyFont="1" applyBorder="1"/>
    <xf numFmtId="17" fontId="6" fillId="0" borderId="8" xfId="0" applyNumberFormat="1" applyFont="1" applyBorder="1" applyAlignment="1">
      <alignment horizontal="center" vertical="center" wrapText="1"/>
    </xf>
    <xf numFmtId="3" fontId="16" fillId="0" borderId="6" xfId="0" applyNumberFormat="1" applyFont="1" applyBorder="1"/>
    <xf numFmtId="3" fontId="16" fillId="0" borderId="9" xfId="0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 textRotation="90"/>
    </xf>
    <xf numFmtId="1" fontId="0" fillId="0" borderId="0" xfId="0" applyNumberFormat="1" applyBorder="1"/>
    <xf numFmtId="0" fontId="6" fillId="0" borderId="0" xfId="0" applyFont="1" applyBorder="1"/>
    <xf numFmtId="0" fontId="6" fillId="0" borderId="10" xfId="0" applyFont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" fontId="0" fillId="0" borderId="0" xfId="0" applyNumberFormat="1" applyBorder="1" applyAlignment="1">
      <alignment horizontal="center" textRotation="90"/>
    </xf>
    <xf numFmtId="17" fontId="6" fillId="0" borderId="0" xfId="0" applyNumberFormat="1" applyFont="1" applyBorder="1" applyAlignment="1">
      <alignment horizontal="center" vertical="center" wrapText="1"/>
    </xf>
    <xf numFmtId="17" fontId="6" fillId="0" borderId="10" xfId="0" applyNumberFormat="1" applyFont="1" applyBorder="1" applyAlignment="1">
      <alignment horizontal="center" vertical="center" wrapText="1"/>
    </xf>
    <xf numFmtId="17" fontId="15" fillId="3" borderId="0" xfId="0" applyNumberFormat="1" applyFont="1" applyFill="1" applyBorder="1" applyAlignment="1">
      <alignment horizontal="center"/>
    </xf>
    <xf numFmtId="0" fontId="4" fillId="4" borderId="0" xfId="0" applyFont="1" applyFill="1"/>
    <xf numFmtId="0" fontId="0" fillId="4" borderId="0" xfId="0" applyFill="1"/>
    <xf numFmtId="0" fontId="4" fillId="4" borderId="11" xfId="0" applyFont="1" applyFill="1" applyBorder="1"/>
    <xf numFmtId="0" fontId="0" fillId="4" borderId="3" xfId="0" applyFill="1" applyBorder="1"/>
    <xf numFmtId="0" fontId="7" fillId="4" borderId="3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0" xfId="0" applyFont="1" applyFill="1" applyAlignment="1">
      <alignment horizontal="left"/>
    </xf>
    <xf numFmtId="0" fontId="0" fillId="4" borderId="7" xfId="0" applyFill="1" applyBorder="1"/>
    <xf numFmtId="3" fontId="0" fillId="4" borderId="7" xfId="0" applyNumberFormat="1" applyFill="1" applyBorder="1"/>
    <xf numFmtId="3" fontId="6" fillId="4" borderId="5" xfId="0" applyNumberFormat="1" applyFont="1" applyFill="1" applyBorder="1"/>
    <xf numFmtId="0" fontId="7" fillId="4" borderId="0" xfId="0" applyFont="1" applyFill="1"/>
    <xf numFmtId="0" fontId="0" fillId="4" borderId="0" xfId="0" applyFill="1" applyBorder="1"/>
    <xf numFmtId="0" fontId="4" fillId="5" borderId="4" xfId="0" applyFont="1" applyFill="1" applyBorder="1"/>
    <xf numFmtId="0" fontId="0" fillId="5" borderId="7" xfId="0" applyFill="1" applyBorder="1" applyAlignment="1">
      <alignment horizontal="center" vertical="center" wrapText="1"/>
    </xf>
    <xf numFmtId="17" fontId="0" fillId="5" borderId="7" xfId="0" applyNumberFormat="1" applyFill="1" applyBorder="1" applyAlignment="1">
      <alignment horizontal="center"/>
    </xf>
    <xf numFmtId="3" fontId="17" fillId="0" borderId="0" xfId="0" applyNumberFormat="1" applyFont="1"/>
    <xf numFmtId="0" fontId="0" fillId="0" borderId="2" xfId="0" applyBorder="1"/>
    <xf numFmtId="3" fontId="6" fillId="0" borderId="2" xfId="0" applyNumberFormat="1" applyFont="1" applyBorder="1"/>
    <xf numFmtId="0" fontId="4" fillId="0" borderId="2" xfId="0" applyFont="1" applyBorder="1"/>
    <xf numFmtId="3" fontId="17" fillId="0" borderId="2" xfId="0" applyNumberFormat="1" applyFont="1" applyBorder="1"/>
    <xf numFmtId="3" fontId="17" fillId="0" borderId="5" xfId="0" applyNumberFormat="1" applyFont="1" applyBorder="1"/>
    <xf numFmtId="0" fontId="15" fillId="0" borderId="0" xfId="0" applyFont="1"/>
    <xf numFmtId="0" fontId="18" fillId="0" borderId="0" xfId="0" applyFont="1"/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17" fontId="0" fillId="0" borderId="0" xfId="0" applyNumberFormat="1" applyFill="1" applyAlignment="1">
      <alignment horizontal="center" textRotation="90"/>
    </xf>
    <xf numFmtId="17" fontId="6" fillId="0" borderId="8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/>
    <xf numFmtId="0" fontId="4" fillId="0" borderId="2" xfId="0" applyFont="1" applyFill="1" applyBorder="1" applyAlignment="1">
      <alignment horizontal="center" vertical="center"/>
    </xf>
    <xf numFmtId="17" fontId="0" fillId="0" borderId="2" xfId="0" applyNumberFormat="1" applyFill="1" applyBorder="1" applyAlignment="1">
      <alignment horizontal="center" textRotation="90"/>
    </xf>
    <xf numFmtId="3" fontId="6" fillId="0" borderId="5" xfId="0" applyNumberFormat="1" applyFont="1" applyFill="1" applyBorder="1"/>
    <xf numFmtId="0" fontId="4" fillId="0" borderId="4" xfId="0" applyFont="1" applyFill="1" applyBorder="1"/>
    <xf numFmtId="0" fontId="0" fillId="0" borderId="7" xfId="0" applyFill="1" applyBorder="1"/>
    <xf numFmtId="10" fontId="15" fillId="0" borderId="0" xfId="0" applyNumberFormat="1" applyFont="1" applyFill="1"/>
    <xf numFmtId="1" fontId="15" fillId="0" borderId="0" xfId="0" applyNumberFormat="1" applyFont="1" applyFill="1"/>
    <xf numFmtId="9" fontId="15" fillId="0" borderId="0" xfId="0" applyNumberFormat="1" applyFont="1"/>
    <xf numFmtId="10" fontId="0" fillId="0" borderId="0" xfId="0" applyNumberFormat="1"/>
    <xf numFmtId="165" fontId="15" fillId="0" borderId="0" xfId="3" applyNumberFormat="1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19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2" fillId="0" borderId="0" xfId="0" applyFont="1"/>
    <xf numFmtId="0" fontId="7" fillId="3" borderId="0" xfId="0" applyFont="1" applyFill="1"/>
    <xf numFmtId="0" fontId="15" fillId="3" borderId="0" xfId="0" applyFont="1" applyFill="1"/>
    <xf numFmtId="10" fontId="0" fillId="0" borderId="0" xfId="0" applyNumberFormat="1" applyAlignment="1">
      <alignment horizontal="center"/>
    </xf>
    <xf numFmtId="3" fontId="0" fillId="3" borderId="0" xfId="0" applyNumberFormat="1" applyFill="1"/>
    <xf numFmtId="0" fontId="20" fillId="0" borderId="0" xfId="0" applyFont="1"/>
    <xf numFmtId="3" fontId="21" fillId="0" borderId="0" xfId="0" applyNumberFormat="1" applyFont="1"/>
    <xf numFmtId="0" fontId="15" fillId="0" borderId="0" xfId="0" applyFont="1" applyFill="1"/>
    <xf numFmtId="0" fontId="22" fillId="0" borderId="0" xfId="0" applyFont="1" applyFill="1"/>
    <xf numFmtId="3" fontId="18" fillId="0" borderId="0" xfId="0" applyNumberFormat="1" applyFont="1"/>
    <xf numFmtId="0" fontId="2" fillId="0" borderId="0" xfId="0" applyFont="1" applyAlignment="1">
      <alignment horizontal="left"/>
    </xf>
    <xf numFmtId="1" fontId="13" fillId="0" borderId="0" xfId="0" applyNumberFormat="1" applyFont="1"/>
    <xf numFmtId="1" fontId="13" fillId="0" borderId="0" xfId="0" applyNumberFormat="1" applyFont="1" applyAlignment="1">
      <alignment horizontal="center"/>
    </xf>
    <xf numFmtId="165" fontId="13" fillId="0" borderId="0" xfId="3" applyNumberFormat="1" applyFont="1" applyAlignment="1">
      <alignment horizontal="center"/>
    </xf>
    <xf numFmtId="166" fontId="13" fillId="0" borderId="0" xfId="0" applyNumberFormat="1" applyFont="1"/>
    <xf numFmtId="165" fontId="13" fillId="0" borderId="0" xfId="0" applyNumberFormat="1" applyFont="1"/>
    <xf numFmtId="0" fontId="19" fillId="0" borderId="0" xfId="0" applyFont="1" applyAlignment="1">
      <alignment horizontal="left"/>
    </xf>
    <xf numFmtId="165" fontId="22" fillId="0" borderId="0" xfId="0" applyNumberFormat="1" applyFont="1"/>
    <xf numFmtId="1" fontId="0" fillId="0" borderId="0" xfId="0" quotePrefix="1" applyNumberForma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/>
    </xf>
    <xf numFmtId="10" fontId="15" fillId="0" borderId="0" xfId="0" applyNumberFormat="1" applyFont="1"/>
    <xf numFmtId="1" fontId="0" fillId="0" borderId="0" xfId="0" applyNumberFormat="1" applyFill="1"/>
    <xf numFmtId="3" fontId="16" fillId="0" borderId="5" xfId="0" applyNumberFormat="1" applyFont="1" applyFill="1" applyBorder="1"/>
    <xf numFmtId="0" fontId="7" fillId="0" borderId="4" xfId="0" applyFont="1" applyFill="1" applyBorder="1"/>
    <xf numFmtId="3" fontId="12" fillId="0" borderId="0" xfId="0" applyNumberFormat="1" applyFont="1" applyAlignment="1">
      <alignment vertical="center"/>
    </xf>
    <xf numFmtId="3" fontId="12" fillId="0" borderId="0" xfId="0" applyNumberFormat="1" applyFont="1"/>
    <xf numFmtId="0" fontId="25" fillId="0" borderId="0" xfId="0" applyFont="1" applyAlignment="1">
      <alignment horizontal="center"/>
    </xf>
    <xf numFmtId="1" fontId="25" fillId="0" borderId="0" xfId="0" applyNumberFormat="1" applyFont="1"/>
    <xf numFmtId="0" fontId="25" fillId="0" borderId="0" xfId="0" applyFont="1"/>
    <xf numFmtId="0" fontId="0" fillId="0" borderId="0" xfId="0" applyFill="1" applyBorder="1"/>
    <xf numFmtId="0" fontId="26" fillId="0" borderId="0" xfId="0" applyFont="1"/>
    <xf numFmtId="0" fontId="26" fillId="0" borderId="0" xfId="0" applyFont="1" applyAlignment="1">
      <alignment horizontal="center"/>
    </xf>
    <xf numFmtId="9" fontId="26" fillId="0" borderId="0" xfId="3" applyFont="1" applyAlignment="1">
      <alignment horizontal="center"/>
    </xf>
    <xf numFmtId="1" fontId="26" fillId="0" borderId="0" xfId="0" applyNumberFormat="1" applyFont="1"/>
    <xf numFmtId="1" fontId="26" fillId="0" borderId="0" xfId="0" applyNumberFormat="1" applyFont="1" applyAlignment="1">
      <alignment horizontal="center"/>
    </xf>
    <xf numFmtId="9" fontId="26" fillId="0" borderId="0" xfId="0" applyNumberFormat="1" applyFont="1" applyAlignment="1">
      <alignment horizontal="center"/>
    </xf>
    <xf numFmtId="3" fontId="27" fillId="0" borderId="0" xfId="0" applyNumberFormat="1" applyFont="1" applyFill="1" applyAlignment="1">
      <alignment vertical="center"/>
    </xf>
    <xf numFmtId="17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1" fontId="19" fillId="0" borderId="0" xfId="0" applyNumberFormat="1" applyFont="1"/>
    <xf numFmtId="1" fontId="2" fillId="0" borderId="0" xfId="0" applyNumberFormat="1" applyFont="1"/>
    <xf numFmtId="1" fontId="15" fillId="0" borderId="0" xfId="0" applyNumberFormat="1" applyFont="1"/>
    <xf numFmtId="0" fontId="0" fillId="0" borderId="0" xfId="0" applyAlignment="1">
      <alignment wrapText="1"/>
    </xf>
    <xf numFmtId="2" fontId="2" fillId="0" borderId="0" xfId="0" applyNumberFormat="1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168" fontId="13" fillId="0" borderId="0" xfId="0" applyNumberFormat="1" applyFont="1" applyAlignment="1">
      <alignment vertical="center"/>
    </xf>
    <xf numFmtId="3" fontId="30" fillId="0" borderId="0" xfId="0" applyNumberFormat="1" applyFont="1"/>
    <xf numFmtId="9" fontId="31" fillId="0" borderId="0" xfId="3" applyFont="1"/>
    <xf numFmtId="0" fontId="32" fillId="6" borderId="0" xfId="0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33" fillId="6" borderId="0" xfId="0" applyFont="1" applyFill="1" applyAlignment="1">
      <alignment horizontal="center"/>
    </xf>
    <xf numFmtId="0" fontId="33" fillId="6" borderId="0" xfId="0" applyFont="1" applyFill="1"/>
    <xf numFmtId="0" fontId="34" fillId="6" borderId="0" xfId="0" applyFont="1" applyFill="1" applyAlignment="1">
      <alignment horizontal="center"/>
    </xf>
    <xf numFmtId="0" fontId="34" fillId="6" borderId="0" xfId="0" applyFont="1" applyFill="1"/>
    <xf numFmtId="0" fontId="0" fillId="6" borderId="0" xfId="0" applyFill="1"/>
    <xf numFmtId="165" fontId="1" fillId="0" borderId="0" xfId="3" applyNumberFormat="1"/>
    <xf numFmtId="167" fontId="0" fillId="0" borderId="0" xfId="0" applyNumberFormat="1"/>
    <xf numFmtId="167" fontId="0" fillId="0" borderId="0" xfId="0" applyNumberFormat="1" applyAlignment="1">
      <alignment horizontal="center"/>
    </xf>
    <xf numFmtId="169" fontId="35" fillId="6" borderId="0" xfId="0" applyNumberFormat="1" applyFont="1" applyFill="1" applyAlignment="1">
      <alignment horizontal="center"/>
    </xf>
    <xf numFmtId="1" fontId="6" fillId="0" borderId="0" xfId="0" applyNumberFormat="1" applyFont="1"/>
    <xf numFmtId="165" fontId="13" fillId="0" borderId="0" xfId="0" applyNumberFormat="1" applyFont="1" applyAlignment="1">
      <alignment horizontal="center" vertical="center"/>
    </xf>
    <xf numFmtId="0" fontId="17" fillId="0" borderId="0" xfId="0" applyFont="1"/>
    <xf numFmtId="0" fontId="37" fillId="0" borderId="0" xfId="0" applyFont="1" applyAlignment="1">
      <alignment horizontal="left"/>
    </xf>
    <xf numFmtId="9" fontId="13" fillId="0" borderId="0" xfId="3" applyFont="1"/>
    <xf numFmtId="0" fontId="1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13" fillId="0" borderId="0" xfId="0" applyNumberFormat="1" applyFont="1" applyAlignment="1">
      <alignment horizontal="left"/>
    </xf>
    <xf numFmtId="0" fontId="38" fillId="0" borderId="0" xfId="0" applyFont="1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" fontId="40" fillId="0" borderId="0" xfId="0" applyNumberFormat="1" applyFont="1" applyAlignment="1">
      <alignment horizontal="left"/>
    </xf>
    <xf numFmtId="0" fontId="40" fillId="0" borderId="0" xfId="0" applyFont="1" applyAlignment="1">
      <alignment horizontal="left"/>
    </xf>
    <xf numFmtId="0" fontId="41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17" fontId="38" fillId="0" borderId="0" xfId="0" applyNumberFormat="1" applyFont="1" applyAlignment="1">
      <alignment horizontal="center"/>
    </xf>
    <xf numFmtId="0" fontId="39" fillId="0" borderId="0" xfId="0" applyFont="1"/>
    <xf numFmtId="0" fontId="39" fillId="0" borderId="0" xfId="0" applyFont="1" applyAlignment="1">
      <alignment horizontal="center"/>
    </xf>
    <xf numFmtId="17" fontId="39" fillId="0" borderId="0" xfId="0" applyNumberFormat="1" applyFont="1" applyAlignment="1">
      <alignment horizontal="center"/>
    </xf>
    <xf numFmtId="1" fontId="39" fillId="0" borderId="0" xfId="0" applyNumberFormat="1" applyFont="1" applyAlignment="1">
      <alignment horizontal="center"/>
    </xf>
    <xf numFmtId="170" fontId="0" fillId="0" borderId="0" xfId="1" applyNumberFormat="1" applyFont="1" applyAlignment="1">
      <alignment horizontal="center"/>
    </xf>
    <xf numFmtId="0" fontId="0" fillId="0" borderId="0" xfId="0" applyAlignment="1"/>
    <xf numFmtId="170" fontId="0" fillId="0" borderId="0" xfId="0" applyNumberFormat="1" applyAlignment="1">
      <alignment horizontal="center"/>
    </xf>
    <xf numFmtId="9" fontId="25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5" fillId="0" borderId="0" xfId="0" applyFont="1"/>
    <xf numFmtId="0" fontId="45" fillId="0" borderId="0" xfId="0" applyFont="1" applyAlignment="1">
      <alignment horizontal="center"/>
    </xf>
    <xf numFmtId="1" fontId="45" fillId="0" borderId="0" xfId="0" applyNumberFormat="1" applyFont="1"/>
    <xf numFmtId="1" fontId="1" fillId="0" borderId="0" xfId="0" applyNumberFormat="1" applyFont="1" applyAlignment="1">
      <alignment horizontal="left"/>
    </xf>
    <xf numFmtId="0" fontId="0" fillId="7" borderId="0" xfId="0" applyFill="1"/>
    <xf numFmtId="9" fontId="0" fillId="7" borderId="0" xfId="0" applyNumberFormat="1" applyFill="1" applyAlignment="1">
      <alignment horizontal="center"/>
    </xf>
    <xf numFmtId="9" fontId="4" fillId="7" borderId="0" xfId="0" applyNumberFormat="1" applyFont="1" applyFill="1" applyAlignment="1">
      <alignment vertical="center"/>
    </xf>
    <xf numFmtId="0" fontId="3" fillId="7" borderId="0" xfId="0" applyFont="1" applyFill="1"/>
    <xf numFmtId="9" fontId="7" fillId="7" borderId="0" xfId="0" applyNumberFormat="1" applyFont="1" applyFill="1" applyAlignment="1">
      <alignment vertical="center"/>
    </xf>
    <xf numFmtId="0" fontId="12" fillId="7" borderId="0" xfId="0" applyFont="1" applyFill="1"/>
    <xf numFmtId="0" fontId="13" fillId="7" borderId="0" xfId="0" applyFont="1" applyFill="1"/>
    <xf numFmtId="3" fontId="46" fillId="0" borderId="0" xfId="0" applyNumberFormat="1" applyFont="1"/>
    <xf numFmtId="0" fontId="44" fillId="0" borderId="0" xfId="0" applyFont="1" applyFill="1" applyAlignment="1">
      <alignment horizontal="center"/>
    </xf>
    <xf numFmtId="0" fontId="47" fillId="6" borderId="0" xfId="0" applyFont="1" applyFill="1" applyAlignment="1">
      <alignment horizontal="center"/>
    </xf>
    <xf numFmtId="0" fontId="0" fillId="0" borderId="13" xfId="0" applyBorder="1" applyAlignment="1">
      <alignment horizontal="centerContinuous"/>
    </xf>
    <xf numFmtId="10" fontId="13" fillId="0" borderId="0" xfId="0" applyNumberFormat="1" applyFont="1" applyAlignment="1">
      <alignment vertical="center"/>
    </xf>
    <xf numFmtId="1" fontId="13" fillId="0" borderId="0" xfId="3" applyNumberFormat="1" applyFont="1"/>
    <xf numFmtId="0" fontId="48" fillId="0" borderId="0" xfId="0" applyFont="1" applyAlignment="1">
      <alignment horizontal="center"/>
    </xf>
    <xf numFmtId="0" fontId="48" fillId="0" borderId="0" xfId="0" applyFont="1"/>
    <xf numFmtId="1" fontId="48" fillId="0" borderId="0" xfId="0" applyNumberFormat="1" applyFont="1"/>
    <xf numFmtId="0" fontId="7" fillId="0" borderId="0" xfId="0" applyFont="1" applyAlignment="1">
      <alignment wrapText="1"/>
    </xf>
    <xf numFmtId="0" fontId="32" fillId="6" borderId="0" xfId="0" applyFont="1" applyFill="1" applyAlignment="1">
      <alignment horizontal="center"/>
    </xf>
    <xf numFmtId="0" fontId="4" fillId="0" borderId="5" xfId="0" applyFont="1" applyBorder="1"/>
    <xf numFmtId="0" fontId="0" fillId="0" borderId="5" xfId="0" applyBorder="1"/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0" fillId="0" borderId="5" xfId="0" applyNumberFormat="1" applyBorder="1"/>
    <xf numFmtId="9" fontId="0" fillId="0" borderId="5" xfId="0" applyNumberFormat="1" applyBorder="1"/>
    <xf numFmtId="0" fontId="4" fillId="0" borderId="0" xfId="0" applyFont="1" applyBorder="1"/>
    <xf numFmtId="9" fontId="0" fillId="0" borderId="0" xfId="0" applyNumberFormat="1" applyBorder="1"/>
    <xf numFmtId="1" fontId="4" fillId="0" borderId="5" xfId="0" applyNumberFormat="1" applyFont="1" applyBorder="1"/>
    <xf numFmtId="9" fontId="4" fillId="0" borderId="5" xfId="3" applyFont="1" applyBorder="1"/>
    <xf numFmtId="0" fontId="0" fillId="0" borderId="8" xfId="0" applyBorder="1"/>
    <xf numFmtId="1" fontId="0" fillId="0" borderId="8" xfId="0" applyNumberFormat="1" applyBorder="1"/>
    <xf numFmtId="0" fontId="4" fillId="0" borderId="14" xfId="0" applyFont="1" applyBorder="1"/>
    <xf numFmtId="9" fontId="4" fillId="0" borderId="15" xfId="0" applyNumberFormat="1" applyFont="1" applyBorder="1"/>
    <xf numFmtId="0" fontId="0" fillId="0" borderId="12" xfId="0" applyBorder="1"/>
    <xf numFmtId="1" fontId="0" fillId="4" borderId="5" xfId="0" applyNumberFormat="1" applyFill="1" applyBorder="1"/>
    <xf numFmtId="1" fontId="0" fillId="3" borderId="5" xfId="0" applyNumberFormat="1" applyFill="1" applyBorder="1"/>
    <xf numFmtId="0" fontId="0" fillId="3" borderId="5" xfId="0" applyFill="1" applyBorder="1"/>
    <xf numFmtId="9" fontId="0" fillId="3" borderId="12" xfId="0" quotePrefix="1" applyNumberFormat="1" applyFill="1" applyBorder="1"/>
    <xf numFmtId="0" fontId="0" fillId="3" borderId="4" xfId="0" applyFill="1" applyBorder="1"/>
    <xf numFmtId="9" fontId="4" fillId="0" borderId="14" xfId="0" applyNumberFormat="1" applyFont="1" applyBorder="1"/>
    <xf numFmtId="1" fontId="0" fillId="0" borderId="5" xfId="0" applyNumberFormat="1" applyFill="1" applyBorder="1"/>
    <xf numFmtId="9" fontId="49" fillId="0" borderId="5" xfId="3" applyFont="1" applyBorder="1"/>
    <xf numFmtId="171" fontId="0" fillId="0" borderId="5" xfId="0" applyNumberFormat="1" applyBorder="1"/>
    <xf numFmtId="0" fontId="4" fillId="0" borderId="5" xfId="0" applyFont="1" applyBorder="1" applyAlignment="1">
      <alignment horizontal="right"/>
    </xf>
    <xf numFmtId="0" fontId="0" fillId="4" borderId="5" xfId="0" applyFill="1" applyBorder="1"/>
    <xf numFmtId="0" fontId="0" fillId="3" borderId="0" xfId="0" applyFill="1"/>
    <xf numFmtId="0" fontId="1" fillId="0" borderId="5" xfId="0" applyFont="1" applyBorder="1"/>
    <xf numFmtId="1" fontId="0" fillId="0" borderId="5" xfId="0" applyNumberFormat="1" applyBorder="1" applyAlignment="1">
      <alignment horizontal="right"/>
    </xf>
    <xf numFmtId="9" fontId="0" fillId="3" borderId="5" xfId="0" applyNumberFormat="1" applyFill="1" applyBorder="1"/>
    <xf numFmtId="0" fontId="4" fillId="3" borderId="5" xfId="0" applyFont="1" applyFill="1" applyBorder="1"/>
    <xf numFmtId="9" fontId="0" fillId="0" borderId="5" xfId="3" applyFont="1" applyBorder="1"/>
    <xf numFmtId="0" fontId="4" fillId="0" borderId="0" xfId="0" applyFont="1" applyFill="1" applyBorder="1"/>
    <xf numFmtId="1" fontId="0" fillId="0" borderId="0" xfId="0" applyNumberFormat="1" applyFill="1" applyBorder="1"/>
    <xf numFmtId="9" fontId="49" fillId="0" borderId="0" xfId="3" applyFont="1" applyFill="1" applyBorder="1"/>
    <xf numFmtId="1" fontId="4" fillId="0" borderId="0" xfId="0" applyNumberFormat="1" applyFont="1" applyFill="1" applyBorder="1"/>
    <xf numFmtId="1" fontId="49" fillId="0" borderId="5" xfId="3" applyNumberFormat="1" applyFont="1" applyBorder="1"/>
    <xf numFmtId="9" fontId="0" fillId="4" borderId="0" xfId="0" applyNumberFormat="1" applyFill="1" applyAlignment="1">
      <alignment horizontal="center"/>
    </xf>
    <xf numFmtId="0" fontId="4" fillId="0" borderId="16" xfId="0" applyFont="1" applyBorder="1"/>
    <xf numFmtId="0" fontId="0" fillId="0" borderId="17" xfId="0" applyBorder="1"/>
    <xf numFmtId="0" fontId="0" fillId="0" borderId="15" xfId="0" applyBorder="1"/>
    <xf numFmtId="165" fontId="0" fillId="0" borderId="0" xfId="0" applyNumberFormat="1" applyAlignment="1">
      <alignment horizontal="center"/>
    </xf>
    <xf numFmtId="1" fontId="49" fillId="0" borderId="0" xfId="3" applyNumberFormat="1" applyFont="1" applyAlignment="1">
      <alignment horizontal="center"/>
    </xf>
    <xf numFmtId="1" fontId="0" fillId="4" borderId="0" xfId="0" applyNumberFormat="1" applyFill="1"/>
    <xf numFmtId="1" fontId="0" fillId="3" borderId="0" xfId="0" applyNumberFormat="1" applyFill="1"/>
    <xf numFmtId="2" fontId="0" fillId="3" borderId="0" xfId="0" applyNumberFormat="1" applyFill="1"/>
    <xf numFmtId="1" fontId="0" fillId="0" borderId="14" xfId="0" applyNumberFormat="1" applyBorder="1"/>
    <xf numFmtId="0" fontId="0" fillId="0" borderId="0" xfId="0" quotePrefix="1"/>
    <xf numFmtId="1" fontId="4" fillId="0" borderId="14" xfId="0" applyNumberFormat="1" applyFont="1" applyBorder="1"/>
    <xf numFmtId="0" fontId="0" fillId="0" borderId="18" xfId="0" applyBorder="1"/>
    <xf numFmtId="1" fontId="0" fillId="0" borderId="19" xfId="0" applyNumberFormat="1" applyBorder="1"/>
    <xf numFmtId="0" fontId="0" fillId="0" borderId="20" xfId="0" applyBorder="1"/>
    <xf numFmtId="1" fontId="0" fillId="0" borderId="21" xfId="0" applyNumberFormat="1" applyBorder="1"/>
    <xf numFmtId="0" fontId="0" fillId="0" borderId="22" xfId="0" applyBorder="1"/>
    <xf numFmtId="0" fontId="0" fillId="0" borderId="23" xfId="0" applyBorder="1"/>
    <xf numFmtId="0" fontId="4" fillId="0" borderId="24" xfId="0" applyFont="1" applyBorder="1"/>
    <xf numFmtId="1" fontId="4" fillId="0" borderId="25" xfId="0" applyNumberFormat="1" applyFont="1" applyBorder="1"/>
    <xf numFmtId="165" fontId="49" fillId="0" borderId="0" xfId="3" applyNumberFormat="1" applyFont="1"/>
    <xf numFmtId="1" fontId="4" fillId="0" borderId="5" xfId="0" applyNumberFormat="1" applyFont="1" applyFill="1" applyBorder="1"/>
    <xf numFmtId="9" fontId="4" fillId="0" borderId="5" xfId="3" applyFont="1" applyBorder="1" applyAlignment="1">
      <alignment horizontal="right"/>
    </xf>
    <xf numFmtId="165" fontId="0" fillId="0" borderId="5" xfId="3" applyNumberFormat="1" applyFont="1" applyBorder="1"/>
    <xf numFmtId="15" fontId="0" fillId="0" borderId="0" xfId="0" quotePrefix="1" applyNumberFormat="1" applyAlignment="1">
      <alignment horizontal="center"/>
    </xf>
    <xf numFmtId="15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4">
    <cellStyle name="Euro" xfId="1"/>
    <cellStyle name="Milliers_Previsionnel" xfId="2"/>
    <cellStyle name="Normal" xfId="0" builtinId="0"/>
    <cellStyle name="Pourcentage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3" Type="http://schemas.openxmlformats.org/officeDocument/2006/relationships/chartsheet" Target="chartsheets/sheet1.xml"/><Relationship Id="rId21" Type="http://schemas.openxmlformats.org/officeDocument/2006/relationships/styles" Target="styles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23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Ventes Mensuelles</a:t>
            </a:r>
          </a:p>
        </c:rich>
      </c:tx>
      <c:layout>
        <c:manualLayout>
          <c:xMode val="edge"/>
          <c:yMode val="edge"/>
          <c:x val="0.80416666666666659"/>
          <c:y val="0"/>
        </c:manualLayout>
      </c:layout>
      <c:spPr>
        <a:noFill/>
        <a:ln w="25400">
          <a:noFill/>
        </a:ln>
      </c:spPr>
    </c:title>
    <c:view3D>
      <c:rotX val="18"/>
      <c:hPercent val="100"/>
      <c:rotY val="14"/>
      <c:depthPercent val="1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104166666666667"/>
          <c:y val="6.386554621848739E-2"/>
          <c:w val="0.63437500000000202"/>
          <c:h val="0.69243697478991373"/>
        </c:manualLayout>
      </c:layout>
      <c:bar3DChart>
        <c:barDir val="col"/>
        <c:grouping val="stacked"/>
        <c:ser>
          <c:idx val="2"/>
          <c:order val="0"/>
          <c:tx>
            <c:strRef>
              <c:f>'Sales &amp; Costs'!$A$40</c:f>
              <c:strCache>
                <c:ptCount val="1"/>
                <c:pt idx="0">
                  <c:v>Service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'Sales &amp; Costs'!$X$5:$CE$5</c:f>
              <c:numCache>
                <c:formatCode>mmm\-yy</c:formatCode>
                <c:ptCount val="6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</c:numCache>
            </c:numRef>
          </c:cat>
          <c:val>
            <c:numRef>
              <c:f>'Sales &amp; Costs'!$X$45:$CE$45</c:f>
              <c:numCache>
                <c:formatCode>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255.15000000000003</c:v>
                </c:pt>
                <c:pt idx="13">
                  <c:v>510.30000000000007</c:v>
                </c:pt>
                <c:pt idx="14">
                  <c:v>765.45</c:v>
                </c:pt>
                <c:pt idx="15">
                  <c:v>1020.6000000000001</c:v>
                </c:pt>
                <c:pt idx="16">
                  <c:v>1275.7500000000002</c:v>
                </c:pt>
                <c:pt idx="17">
                  <c:v>1530.9</c:v>
                </c:pt>
                <c:pt idx="18">
                  <c:v>2041.2000000000003</c:v>
                </c:pt>
                <c:pt idx="19">
                  <c:v>2551.5000000000005</c:v>
                </c:pt>
                <c:pt idx="20">
                  <c:v>3061.8</c:v>
                </c:pt>
                <c:pt idx="21">
                  <c:v>3827.2500000000005</c:v>
                </c:pt>
                <c:pt idx="22">
                  <c:v>4592.7000000000007</c:v>
                </c:pt>
                <c:pt idx="23">
                  <c:v>5358.1500000000005</c:v>
                </c:pt>
                <c:pt idx="24">
                  <c:v>6123.6</c:v>
                </c:pt>
                <c:pt idx="25">
                  <c:v>7399.7000000000007</c:v>
                </c:pt>
                <c:pt idx="26">
                  <c:v>8675.8000000000011</c:v>
                </c:pt>
                <c:pt idx="27">
                  <c:v>9951.9000000000015</c:v>
                </c:pt>
                <c:pt idx="28">
                  <c:v>11483.500000000002</c:v>
                </c:pt>
                <c:pt idx="29">
                  <c:v>13270.6</c:v>
                </c:pt>
                <c:pt idx="30">
                  <c:v>14547.400000000001</c:v>
                </c:pt>
                <c:pt idx="31">
                  <c:v>16335.2</c:v>
                </c:pt>
                <c:pt idx="32">
                  <c:v>17867.5</c:v>
                </c:pt>
                <c:pt idx="33">
                  <c:v>20675.900000000001</c:v>
                </c:pt>
                <c:pt idx="34">
                  <c:v>22207.500000000004</c:v>
                </c:pt>
                <c:pt idx="35">
                  <c:v>23739.100000000002</c:v>
                </c:pt>
                <c:pt idx="36">
                  <c:v>25270.7</c:v>
                </c:pt>
                <c:pt idx="37">
                  <c:v>26419.4</c:v>
                </c:pt>
                <c:pt idx="38">
                  <c:v>27568.100000000002</c:v>
                </c:pt>
                <c:pt idx="39">
                  <c:v>28716.800000000003</c:v>
                </c:pt>
                <c:pt idx="40">
                  <c:v>29865.500000000004</c:v>
                </c:pt>
                <c:pt idx="41">
                  <c:v>30631.300000000003</c:v>
                </c:pt>
                <c:pt idx="42">
                  <c:v>31397.100000000002</c:v>
                </c:pt>
                <c:pt idx="43">
                  <c:v>32162.9</c:v>
                </c:pt>
                <c:pt idx="44">
                  <c:v>32928.700000000004</c:v>
                </c:pt>
                <c:pt idx="45">
                  <c:v>33694.5</c:v>
                </c:pt>
                <c:pt idx="46">
                  <c:v>34460.300000000003</c:v>
                </c:pt>
                <c:pt idx="47">
                  <c:v>35226.100000000006</c:v>
                </c:pt>
                <c:pt idx="48">
                  <c:v>35762.160000000003</c:v>
                </c:pt>
                <c:pt idx="49">
                  <c:v>36374.800000000003</c:v>
                </c:pt>
                <c:pt idx="50">
                  <c:v>36757.700000000004</c:v>
                </c:pt>
                <c:pt idx="51">
                  <c:v>37140.600000000006</c:v>
                </c:pt>
                <c:pt idx="52">
                  <c:v>37523.5</c:v>
                </c:pt>
                <c:pt idx="53">
                  <c:v>37906.400000000001</c:v>
                </c:pt>
                <c:pt idx="54">
                  <c:v>38289.300000000003</c:v>
                </c:pt>
                <c:pt idx="55">
                  <c:v>38672.200000000004</c:v>
                </c:pt>
                <c:pt idx="56">
                  <c:v>39055.100000000006</c:v>
                </c:pt>
                <c:pt idx="57">
                  <c:v>39284.840000000004</c:v>
                </c:pt>
                <c:pt idx="58">
                  <c:v>39514.58</c:v>
                </c:pt>
                <c:pt idx="59">
                  <c:v>39820.9</c:v>
                </c:pt>
              </c:numCache>
            </c:numRef>
          </c:val>
        </c:ser>
        <c:ser>
          <c:idx val="0"/>
          <c:order val="1"/>
          <c:tx>
            <c:strRef>
              <c:f>'Sales &amp; Costs'!$A$10</c:f>
              <c:strCache>
                <c:ptCount val="1"/>
                <c:pt idx="0">
                  <c:v>Modddjo Writer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'Sales &amp; Costs'!$X$5:$CE$5</c:f>
              <c:numCache>
                <c:formatCode>mmm\-yy</c:formatCode>
                <c:ptCount val="6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</c:numCache>
            </c:numRef>
          </c:cat>
          <c:val>
            <c:numRef>
              <c:f>'Sales &amp; Costs'!$X$23:$CE$23</c:f>
              <c:numCache>
                <c:formatCode>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3645</c:v>
                </c:pt>
                <c:pt idx="13">
                  <c:v>7290</c:v>
                </c:pt>
                <c:pt idx="14">
                  <c:v>10935</c:v>
                </c:pt>
                <c:pt idx="15">
                  <c:v>14580</c:v>
                </c:pt>
                <c:pt idx="16">
                  <c:v>18225</c:v>
                </c:pt>
                <c:pt idx="17">
                  <c:v>21870</c:v>
                </c:pt>
                <c:pt idx="18">
                  <c:v>29160</c:v>
                </c:pt>
                <c:pt idx="19">
                  <c:v>36450</c:v>
                </c:pt>
                <c:pt idx="20">
                  <c:v>43740</c:v>
                </c:pt>
                <c:pt idx="21">
                  <c:v>54675</c:v>
                </c:pt>
                <c:pt idx="22">
                  <c:v>65610</c:v>
                </c:pt>
                <c:pt idx="23">
                  <c:v>76545</c:v>
                </c:pt>
                <c:pt idx="24">
                  <c:v>87480</c:v>
                </c:pt>
                <c:pt idx="25">
                  <c:v>94770</c:v>
                </c:pt>
                <c:pt idx="26">
                  <c:v>102060</c:v>
                </c:pt>
                <c:pt idx="27">
                  <c:v>109350</c:v>
                </c:pt>
                <c:pt idx="28">
                  <c:v>109350</c:v>
                </c:pt>
                <c:pt idx="29">
                  <c:v>102060</c:v>
                </c:pt>
                <c:pt idx="30">
                  <c:v>87480</c:v>
                </c:pt>
                <c:pt idx="31">
                  <c:v>58320</c:v>
                </c:pt>
                <c:pt idx="32">
                  <c:v>36450</c:v>
                </c:pt>
                <c:pt idx="33">
                  <c:v>21870</c:v>
                </c:pt>
                <c:pt idx="34">
                  <c:v>21870</c:v>
                </c:pt>
                <c:pt idx="35">
                  <c:v>21870</c:v>
                </c:pt>
                <c:pt idx="36">
                  <c:v>21870</c:v>
                </c:pt>
                <c:pt idx="37">
                  <c:v>21870</c:v>
                </c:pt>
                <c:pt idx="38">
                  <c:v>21870</c:v>
                </c:pt>
                <c:pt idx="39">
                  <c:v>21870</c:v>
                </c:pt>
                <c:pt idx="40">
                  <c:v>21870</c:v>
                </c:pt>
                <c:pt idx="41">
                  <c:v>21870</c:v>
                </c:pt>
                <c:pt idx="42">
                  <c:v>21870</c:v>
                </c:pt>
                <c:pt idx="43">
                  <c:v>21870</c:v>
                </c:pt>
                <c:pt idx="44">
                  <c:v>21870</c:v>
                </c:pt>
                <c:pt idx="45">
                  <c:v>21870</c:v>
                </c:pt>
                <c:pt idx="46">
                  <c:v>21870</c:v>
                </c:pt>
                <c:pt idx="47">
                  <c:v>21870</c:v>
                </c:pt>
                <c:pt idx="48">
                  <c:v>21870</c:v>
                </c:pt>
                <c:pt idx="49">
                  <c:v>21870</c:v>
                </c:pt>
                <c:pt idx="50">
                  <c:v>21870</c:v>
                </c:pt>
                <c:pt idx="51">
                  <c:v>21870</c:v>
                </c:pt>
                <c:pt idx="52">
                  <c:v>21870</c:v>
                </c:pt>
                <c:pt idx="53">
                  <c:v>21870</c:v>
                </c:pt>
                <c:pt idx="54">
                  <c:v>21870</c:v>
                </c:pt>
                <c:pt idx="55">
                  <c:v>21870</c:v>
                </c:pt>
                <c:pt idx="56">
                  <c:v>21870</c:v>
                </c:pt>
                <c:pt idx="57">
                  <c:v>21870</c:v>
                </c:pt>
                <c:pt idx="58">
                  <c:v>21870</c:v>
                </c:pt>
                <c:pt idx="59">
                  <c:v>21870</c:v>
                </c:pt>
              </c:numCache>
            </c:numRef>
          </c:val>
        </c:ser>
        <c:ser>
          <c:idx val="1"/>
          <c:order val="2"/>
          <c:tx>
            <c:strRef>
              <c:f>'Sales &amp; Costs'!$A$27</c:f>
              <c:strCache>
                <c:ptCount val="1"/>
                <c:pt idx="0">
                  <c:v>Modddjo Plugin DreamWeaver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'Sales &amp; Costs'!$X$5:$CE$5</c:f>
              <c:numCache>
                <c:formatCode>mmm\-yy</c:formatCode>
                <c:ptCount val="6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</c:numCache>
            </c:numRef>
          </c:cat>
          <c:val>
            <c:numRef>
              <c:f>'Sales &amp; Costs'!$X$36:$CE$36</c:f>
              <c:numCache>
                <c:formatCode>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10940</c:v>
                </c:pt>
                <c:pt idx="26">
                  <c:v>21880</c:v>
                </c:pt>
                <c:pt idx="27">
                  <c:v>32820</c:v>
                </c:pt>
                <c:pt idx="28">
                  <c:v>54700</c:v>
                </c:pt>
                <c:pt idx="29">
                  <c:v>87520</c:v>
                </c:pt>
                <c:pt idx="30">
                  <c:v>120340</c:v>
                </c:pt>
                <c:pt idx="31">
                  <c:v>175040</c:v>
                </c:pt>
                <c:pt idx="32">
                  <c:v>218800</c:v>
                </c:pt>
                <c:pt idx="33">
                  <c:v>273500</c:v>
                </c:pt>
                <c:pt idx="34">
                  <c:v>295380</c:v>
                </c:pt>
                <c:pt idx="35">
                  <c:v>317260</c:v>
                </c:pt>
                <c:pt idx="36">
                  <c:v>339140</c:v>
                </c:pt>
                <c:pt idx="37">
                  <c:v>355550</c:v>
                </c:pt>
                <c:pt idx="38">
                  <c:v>371960</c:v>
                </c:pt>
                <c:pt idx="39">
                  <c:v>388370</c:v>
                </c:pt>
                <c:pt idx="40">
                  <c:v>404780</c:v>
                </c:pt>
                <c:pt idx="41">
                  <c:v>415720</c:v>
                </c:pt>
                <c:pt idx="42">
                  <c:v>426660</c:v>
                </c:pt>
                <c:pt idx="43">
                  <c:v>437600</c:v>
                </c:pt>
                <c:pt idx="44">
                  <c:v>448540</c:v>
                </c:pt>
                <c:pt idx="45">
                  <c:v>459480</c:v>
                </c:pt>
                <c:pt idx="46">
                  <c:v>470420</c:v>
                </c:pt>
                <c:pt idx="47">
                  <c:v>481360</c:v>
                </c:pt>
                <c:pt idx="48">
                  <c:v>489018</c:v>
                </c:pt>
                <c:pt idx="49">
                  <c:v>497770</c:v>
                </c:pt>
                <c:pt idx="50">
                  <c:v>503240</c:v>
                </c:pt>
                <c:pt idx="51">
                  <c:v>508710</c:v>
                </c:pt>
                <c:pt idx="52">
                  <c:v>514180</c:v>
                </c:pt>
                <c:pt idx="53">
                  <c:v>519650</c:v>
                </c:pt>
                <c:pt idx="54">
                  <c:v>525120</c:v>
                </c:pt>
                <c:pt idx="55">
                  <c:v>530590</c:v>
                </c:pt>
                <c:pt idx="56">
                  <c:v>536060</c:v>
                </c:pt>
                <c:pt idx="57">
                  <c:v>539342</c:v>
                </c:pt>
                <c:pt idx="58">
                  <c:v>542624</c:v>
                </c:pt>
                <c:pt idx="59">
                  <c:v>547000</c:v>
                </c:pt>
              </c:numCache>
            </c:numRef>
          </c:val>
        </c:ser>
        <c:shape val="box"/>
        <c:axId val="103749120"/>
        <c:axId val="103750656"/>
        <c:axId val="0"/>
      </c:bar3DChart>
      <c:dateAx>
        <c:axId val="103749120"/>
        <c:scaling>
          <c:orientation val="minMax"/>
        </c:scaling>
        <c:axPos val="b"/>
        <c:numFmt formatCode="mmm\-yy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375065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  <c:noMultiLvlLbl val="1"/>
      </c:dateAx>
      <c:valAx>
        <c:axId val="103750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Ventes en (k€)</a:t>
                </a:r>
              </a:p>
            </c:rich>
          </c:tx>
          <c:layout>
            <c:manualLayout>
              <c:xMode val="edge"/>
              <c:yMode val="edge"/>
              <c:x val="6.9791666666666682E-2"/>
              <c:y val="0.2487395388707724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3749120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312500000000007"/>
          <c:y val="0.36974787242503776"/>
          <c:w val="0.90312499999999996"/>
          <c:h val="0.492436879733467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view3D>
      <c:perspective val="0"/>
    </c:view3D>
    <c:plotArea>
      <c:layout>
        <c:manualLayout>
          <c:layoutTarget val="inner"/>
          <c:xMode val="edge"/>
          <c:yMode val="edge"/>
          <c:x val="0.18888914508618904"/>
          <c:y val="0.30351485048118393"/>
          <c:w val="0.42777835798931041"/>
          <c:h val="0.39297185904406112"/>
        </c:manualLayout>
      </c:layout>
      <c:pie3DChart>
        <c:varyColors val="1"/>
        <c:ser>
          <c:idx val="0"/>
          <c:order val="0"/>
          <c:tx>
            <c:strRef>
              <c:f>Capital!$B$4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1342191456822789E-2"/>
                  <c:y val="5.6004899956418934E-2"/>
                </c:manualLayout>
              </c:layout>
              <c:dLblPos val="bestFit"/>
              <c:showVal val="1"/>
              <c:showPercent val="1"/>
              <c:separator>
</c:separator>
            </c:dLbl>
            <c:dLbl>
              <c:idx val="1"/>
              <c:layout>
                <c:manualLayout>
                  <c:x val="9.1608031593265367E-3"/>
                  <c:y val="9.9484205487937627E-2"/>
                </c:manualLayout>
              </c:layout>
              <c:dLblPos val="bestFit"/>
              <c:showVal val="1"/>
              <c:showPercent val="1"/>
              <c:separator>
</c:separator>
            </c:dLbl>
            <c:dLbl>
              <c:idx val="2"/>
              <c:layout>
                <c:manualLayout>
                  <c:x val="8.1188603929497026E-3"/>
                  <c:y val="-9.282128102020111E-2"/>
                </c:manualLayout>
              </c:layout>
              <c:dLblPos val="bestFit"/>
              <c:showVal val="1"/>
              <c:showPercent val="1"/>
              <c:separator>
</c:separator>
            </c:dLbl>
            <c:dLbl>
              <c:idx val="3"/>
              <c:layout>
                <c:manualLayout>
                  <c:xMode val="edge"/>
                  <c:yMode val="edge"/>
                  <c:x val="0.43333392108008051"/>
                  <c:y val="0.13099061968135309"/>
                </c:manualLayout>
              </c:layout>
              <c:dLblPos val="bestFit"/>
              <c:showVal val="1"/>
              <c:showPercent val="1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  <c:showPercent val="1"/>
            <c:separator>
</c:separator>
            <c:showLeaderLines val="1"/>
          </c:dLbls>
          <c:cat>
            <c:strRef>
              <c:f>Capital!$D$5:$D$7</c:f>
              <c:strCache>
                <c:ptCount val="3"/>
                <c:pt idx="0">
                  <c:v>Sébastien Bloc</c:v>
                </c:pt>
                <c:pt idx="1">
                  <c:v>SC Denis Bloc</c:v>
                </c:pt>
                <c:pt idx="2">
                  <c:v>Start &amp; Develop</c:v>
                </c:pt>
              </c:strCache>
            </c:strRef>
          </c:cat>
          <c:val>
            <c:numRef>
              <c:f>Capital!$B$5:$B$7</c:f>
              <c:numCache>
                <c:formatCode>#,##0\ "€"</c:formatCode>
                <c:ptCount val="3"/>
                <c:pt idx="0">
                  <c:v>250000</c:v>
                </c:pt>
                <c:pt idx="1">
                  <c:v>100000</c:v>
                </c:pt>
                <c:pt idx="2">
                  <c:v>50000</c:v>
                </c:pt>
              </c:numCache>
            </c:numRef>
          </c:val>
        </c:ser>
        <c:dLbls>
          <c:showVal val="1"/>
          <c:showPercent val="1"/>
          <c:separator>
</c:separator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0000102070574508"/>
          <c:y val="0.38338725231231086"/>
          <c:w val="0.98889020122484683"/>
          <c:h val="0.61661442479434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99999996" right="0.78740157499999996" top="0.984251969" bottom="0.984251969" header="0.4921259845" footer="0.4921259845"/>
  <pageSetup paperSize="9" orientation="landscape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2352675</xdr:colOff>
      <xdr:row>6</xdr:row>
      <xdr:rowOff>180975</xdr:rowOff>
    </xdr:from>
    <xdr:to>
      <xdr:col>0</xdr:col>
      <xdr:colOff>4686300</xdr:colOff>
      <xdr:row>10</xdr:row>
      <xdr:rowOff>104775</xdr:rowOff>
    </xdr:to>
    <xdr:pic>
      <xdr:nvPicPr>
        <xdr:cNvPr id="3073" name="Image 4" descr="logo 3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" y="1752600"/>
          <a:ext cx="2333625" cy="365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37</xdr:row>
      <xdr:rowOff>142875</xdr:rowOff>
    </xdr:from>
    <xdr:to>
      <xdr:col>4</xdr:col>
      <xdr:colOff>142875</xdr:colOff>
      <xdr:row>44</xdr:row>
      <xdr:rowOff>57150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2085975" y="6229350"/>
          <a:ext cx="121920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47625</xdr:colOff>
      <xdr:row>36</xdr:row>
      <xdr:rowOff>19050</xdr:rowOff>
    </xdr:from>
    <xdr:to>
      <xdr:col>7</xdr:col>
      <xdr:colOff>542925</xdr:colOff>
      <xdr:row>37</xdr:row>
      <xdr:rowOff>76200</xdr:rowOff>
    </xdr:to>
    <xdr:sp macro="" textlink="">
      <xdr:nvSpPr>
        <xdr:cNvPr id="5122" name="Line 2"/>
        <xdr:cNvSpPr>
          <a:spLocks noChangeShapeType="1"/>
        </xdr:cNvSpPr>
      </xdr:nvSpPr>
      <xdr:spPr bwMode="auto">
        <a:xfrm flipH="1">
          <a:off x="2162175" y="5934075"/>
          <a:ext cx="325755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4</xdr:row>
      <xdr:rowOff>76200</xdr:rowOff>
    </xdr:from>
    <xdr:to>
      <xdr:col>16</xdr:col>
      <xdr:colOff>66675</xdr:colOff>
      <xdr:row>26</xdr:row>
      <xdr:rowOff>66675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4486275" y="723900"/>
          <a:ext cx="3838575" cy="3552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1, l'action commerciale consistera à convaincre les opérateurs de sites d'utiliser Modddjo.</a:t>
          </a: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2, Il s'agit donc :</a:t>
          </a:r>
        </a:p>
        <a:p>
          <a:pPr algn="l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- d'obtenir des contacts dits "qualifiés" (ou leads)</a:t>
          </a:r>
        </a:p>
        <a:p>
          <a:pPr algn="l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- et de transformer ces contacts en ventes réelles.</a:t>
          </a: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3, classiquement, sur 100 contacts qualifiés, on obtient 15 ventes.</a:t>
          </a: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4, les travaux commerciaux sont de 2 ordres :</a:t>
          </a:r>
        </a:p>
        <a:p>
          <a:pPr algn="l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- organisation d'un "buzz" procurant des "leads". Le budget marketing finance des community managers externes.</a:t>
          </a:r>
        </a:p>
        <a:p>
          <a:pPr algn="l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- transformation des "leads" en ventes réelles par les vendeurs.</a:t>
          </a: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5, relation entre budget marketingventes réelles quantifiée comme suit :</a:t>
          </a:r>
        </a:p>
        <a:p>
          <a:pPr algn="l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- un "buzzer" coûte 30K à 60K par an et génère 3000 à 4000 leads/an.</a:t>
          </a:r>
        </a:p>
        <a:p>
          <a:pPr algn="l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- 100 leads se transforment en 15 ventes. Le coût "équipe de vente" en % du CA descend à 10% du CA.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11</xdr:row>
      <xdr:rowOff>28575</xdr:rowOff>
    </xdr:from>
    <xdr:to>
      <xdr:col>10</xdr:col>
      <xdr:colOff>238125</xdr:colOff>
      <xdr:row>29</xdr:row>
      <xdr:rowOff>95250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dddjoBPjsc25-02-201%20prez%20final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&amp;L Year"/>
      <sheetName val="Bilan"/>
      <sheetName val="BP1Bis"/>
      <sheetName val="BP1Bis (2) simu"/>
      <sheetName val="BP1Bis (3) simu"/>
      <sheetName val="modèle prev"/>
      <sheetName val="modèle prev (2)"/>
      <sheetName val="BP1"/>
      <sheetName val="BP1 (2)"/>
      <sheetName val="BP2"/>
      <sheetName val="Feuil2"/>
      <sheetName val="Feuil3"/>
    </sheetNames>
    <sheetDataSet>
      <sheetData sheetId="0"/>
      <sheetData sheetId="1"/>
      <sheetData sheetId="2"/>
      <sheetData sheetId="3">
        <row r="4">
          <cell r="E4">
            <v>2011</v>
          </cell>
          <cell r="F4">
            <v>2012</v>
          </cell>
        </row>
      </sheetData>
      <sheetData sheetId="4">
        <row r="5">
          <cell r="F5">
            <v>2829.52</v>
          </cell>
          <cell r="G5">
            <v>3958.3100000000004</v>
          </cell>
          <cell r="H5">
            <v>5087.1000000000004</v>
          </cell>
          <cell r="I5">
            <v>5907.6</v>
          </cell>
        </row>
        <row r="11">
          <cell r="D11">
            <v>300</v>
          </cell>
          <cell r="E11">
            <v>450</v>
          </cell>
          <cell r="F11">
            <v>600</v>
          </cell>
          <cell r="G11">
            <v>600</v>
          </cell>
          <cell r="H11">
            <v>600</v>
          </cell>
          <cell r="I11">
            <v>600</v>
          </cell>
        </row>
        <row r="14">
          <cell r="D14">
            <v>175.45599999999999</v>
          </cell>
          <cell r="E14">
            <v>391.85324858749999</v>
          </cell>
          <cell r="F14">
            <v>608.25049717499996</v>
          </cell>
          <cell r="G14">
            <v>645.90332642749991</v>
          </cell>
          <cell r="H14">
            <v>683.55615567999996</v>
          </cell>
          <cell r="I14">
            <v>720.72359716860001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A17"/>
  <sheetViews>
    <sheetView view="pageBreakPreview" topLeftCell="A75" zoomScaleNormal="100" workbookViewId="0">
      <selection activeCell="A75" sqref="A75"/>
    </sheetView>
  </sheetViews>
  <sheetFormatPr baseColWidth="10" defaultRowHeight="12.75"/>
  <cols>
    <col min="1" max="1" width="104.7109375" style="252" customWidth="1"/>
    <col min="2" max="16384" width="11.42578125" style="252"/>
  </cols>
  <sheetData>
    <row r="6" spans="1:1" s="245" customFormat="1" ht="60" customHeight="1">
      <c r="A6" s="308" t="s">
        <v>335</v>
      </c>
    </row>
    <row r="7" spans="1:1" s="247" customFormat="1" ht="60" customHeight="1">
      <c r="A7" s="300"/>
    </row>
    <row r="8" spans="1:1" s="249" customFormat="1" ht="60" customHeight="1">
      <c r="A8" s="248"/>
    </row>
    <row r="9" spans="1:1" s="247" customFormat="1" ht="60" customHeight="1">
      <c r="A9" s="299"/>
    </row>
    <row r="10" spans="1:1" s="247" customFormat="1" ht="114" customHeight="1">
      <c r="A10" s="246"/>
    </row>
    <row r="11" spans="1:1" s="247" customFormat="1" ht="60" customHeight="1">
      <c r="A11" s="300" t="s">
        <v>413</v>
      </c>
    </row>
    <row r="12" spans="1:1" s="251" customFormat="1" ht="60" customHeight="1">
      <c r="A12" s="250" t="s">
        <v>348</v>
      </c>
    </row>
    <row r="13" spans="1:1" ht="48.75" customHeight="1"/>
    <row r="14" spans="1:1" ht="33" customHeight="1">
      <c r="A14" s="256" t="s">
        <v>428</v>
      </c>
    </row>
    <row r="15" spans="1:1" ht="33" customHeight="1">
      <c r="A15" s="256"/>
    </row>
    <row r="16" spans="1:1" ht="33" customHeight="1">
      <c r="A16" s="256"/>
    </row>
    <row r="17" spans="1:1" ht="33" customHeight="1">
      <c r="A17" s="256"/>
    </row>
  </sheetData>
  <phoneticPr fontId="36" type="noConversion"/>
  <pageMargins left="0.78740157499999996" right="0.78740157499999996" top="0.984251969" bottom="0.984251969" header="0.4921259845" footer="0.4921259845"/>
  <pageSetup paperSize="9" scale="83" orientation="portrait" horizontalDpi="4294967293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I48"/>
  <sheetViews>
    <sheetView topLeftCell="A19" workbookViewId="0">
      <selection activeCell="G22" sqref="G22"/>
    </sheetView>
  </sheetViews>
  <sheetFormatPr baseColWidth="10" defaultRowHeight="12.75"/>
  <cols>
    <col min="1" max="1" width="12.140625" customWidth="1"/>
    <col min="2" max="2" width="3.42578125" customWidth="1"/>
    <col min="3" max="3" width="30" customWidth="1"/>
    <col min="4" max="4" width="8" customWidth="1"/>
    <col min="5" max="5" width="9.7109375" customWidth="1"/>
    <col min="6" max="6" width="7.7109375" customWidth="1"/>
    <col min="7" max="7" width="10.7109375" customWidth="1"/>
    <col min="8" max="8" width="4.7109375" customWidth="1"/>
    <col min="9" max="9" width="18.5703125" customWidth="1"/>
  </cols>
  <sheetData>
    <row r="2" spans="1:9" ht="15.75">
      <c r="A2" s="211" t="s">
        <v>308</v>
      </c>
    </row>
    <row r="4" spans="1:9">
      <c r="A4" s="12"/>
    </row>
    <row r="5" spans="1:9">
      <c r="D5" s="1"/>
      <c r="E5" s="1" t="s">
        <v>293</v>
      </c>
      <c r="F5" s="1" t="s">
        <v>4</v>
      </c>
      <c r="G5" s="1" t="s">
        <v>292</v>
      </c>
      <c r="I5" s="1" t="s">
        <v>331</v>
      </c>
    </row>
    <row r="6" spans="1:9">
      <c r="G6" s="3"/>
    </row>
    <row r="7" spans="1:9" s="12" customFormat="1">
      <c r="B7" s="192" t="s">
        <v>419</v>
      </c>
      <c r="C7" s="192"/>
      <c r="D7" s="192"/>
      <c r="E7" s="192"/>
      <c r="F7" s="192"/>
      <c r="G7" s="239">
        <f>SUM(G8:G16)</f>
        <v>250000</v>
      </c>
    </row>
    <row r="8" spans="1:9">
      <c r="C8" s="238" t="s">
        <v>420</v>
      </c>
      <c r="G8" s="3">
        <v>250000</v>
      </c>
    </row>
    <row r="9" spans="1:9">
      <c r="C9" s="238" t="s">
        <v>350</v>
      </c>
      <c r="G9" s="3"/>
    </row>
    <row r="10" spans="1:9">
      <c r="C10" s="238" t="s">
        <v>351</v>
      </c>
      <c r="G10" s="3"/>
    </row>
    <row r="11" spans="1:9">
      <c r="C11" s="238" t="s">
        <v>352</v>
      </c>
      <c r="G11" s="3"/>
    </row>
    <row r="12" spans="1:9">
      <c r="C12" s="238" t="s">
        <v>353</v>
      </c>
      <c r="G12" s="3"/>
    </row>
    <row r="13" spans="1:9">
      <c r="C13" s="238" t="s">
        <v>359</v>
      </c>
      <c r="G13" s="3"/>
    </row>
    <row r="14" spans="1:9">
      <c r="C14" s="238" t="s">
        <v>360</v>
      </c>
      <c r="G14" s="3"/>
    </row>
    <row r="15" spans="1:9">
      <c r="C15" s="238" t="s">
        <v>361</v>
      </c>
      <c r="G15" s="3"/>
    </row>
    <row r="16" spans="1:9">
      <c r="C16" s="238"/>
      <c r="G16" s="3"/>
    </row>
    <row r="17" spans="2:7">
      <c r="C17" s="238"/>
      <c r="G17" s="3"/>
    </row>
    <row r="18" spans="2:7" s="12" customFormat="1">
      <c r="B18" s="192" t="s">
        <v>355</v>
      </c>
      <c r="C18" s="192"/>
      <c r="D18" s="192"/>
      <c r="E18" s="192"/>
      <c r="F18" s="192"/>
      <c r="G18" s="239">
        <f>SUM(G19:G24)</f>
        <v>0</v>
      </c>
    </row>
    <row r="19" spans="2:7">
      <c r="C19" s="307" t="s">
        <v>354</v>
      </c>
      <c r="G19" s="3">
        <f>E19*F19</f>
        <v>0</v>
      </c>
    </row>
    <row r="20" spans="2:7">
      <c r="C20" s="307" t="s">
        <v>350</v>
      </c>
      <c r="G20" s="3">
        <f>E20*F20</f>
        <v>0</v>
      </c>
    </row>
    <row r="21" spans="2:7">
      <c r="C21" s="307" t="s">
        <v>351</v>
      </c>
      <c r="G21" s="3">
        <f>E21*F21</f>
        <v>0</v>
      </c>
    </row>
    <row r="22" spans="2:7">
      <c r="C22" s="238" t="s">
        <v>352</v>
      </c>
      <c r="G22" s="3">
        <f>E22*F22</f>
        <v>0</v>
      </c>
    </row>
    <row r="23" spans="2:7">
      <c r="C23" s="238" t="s">
        <v>353</v>
      </c>
      <c r="G23" s="3">
        <f>E23*F23</f>
        <v>0</v>
      </c>
    </row>
    <row r="24" spans="2:7">
      <c r="C24" s="238"/>
      <c r="G24" s="3"/>
    </row>
    <row r="25" spans="2:7">
      <c r="C25" s="238"/>
      <c r="G25" s="3"/>
    </row>
    <row r="26" spans="2:7" s="12" customFormat="1">
      <c r="B26" s="192" t="s">
        <v>356</v>
      </c>
      <c r="C26" s="240"/>
      <c r="D26" s="192"/>
      <c r="E26" s="192"/>
      <c r="F26" s="192"/>
      <c r="G26" s="239">
        <f>SUM(G27:G29)</f>
        <v>0</v>
      </c>
    </row>
    <row r="27" spans="2:7">
      <c r="C27" s="238" t="s">
        <v>354</v>
      </c>
      <c r="G27" s="3"/>
    </row>
    <row r="28" spans="2:7">
      <c r="C28" s="238" t="s">
        <v>350</v>
      </c>
      <c r="E28" s="3"/>
      <c r="G28" s="3"/>
    </row>
    <row r="29" spans="2:7">
      <c r="C29" s="238"/>
      <c r="E29" s="3"/>
      <c r="G29" s="3"/>
    </row>
    <row r="30" spans="2:7">
      <c r="C30" s="238"/>
      <c r="E30" s="3"/>
      <c r="G30" s="3"/>
    </row>
    <row r="31" spans="2:7" s="12" customFormat="1">
      <c r="B31" s="192" t="s">
        <v>357</v>
      </c>
      <c r="C31" s="241"/>
      <c r="D31" s="192"/>
      <c r="E31" s="239"/>
      <c r="F31" s="192"/>
      <c r="G31" s="239">
        <f>SUM(G32:G36)</f>
        <v>50000</v>
      </c>
    </row>
    <row r="32" spans="2:7">
      <c r="C32" s="307" t="s">
        <v>427</v>
      </c>
      <c r="D32">
        <v>2010</v>
      </c>
      <c r="E32">
        <v>2000</v>
      </c>
      <c r="F32">
        <v>4</v>
      </c>
      <c r="G32" s="3">
        <f>E32*F32</f>
        <v>8000</v>
      </c>
    </row>
    <row r="33" spans="2:7">
      <c r="C33" s="307" t="s">
        <v>427</v>
      </c>
      <c r="D33">
        <v>2011</v>
      </c>
      <c r="E33">
        <v>2000</v>
      </c>
      <c r="F33">
        <v>12</v>
      </c>
      <c r="G33" s="3">
        <f>E33*F33</f>
        <v>24000</v>
      </c>
    </row>
    <row r="34" spans="2:7">
      <c r="C34" s="307" t="s">
        <v>427</v>
      </c>
      <c r="D34">
        <v>2012</v>
      </c>
      <c r="E34">
        <v>2000</v>
      </c>
      <c r="F34">
        <v>9</v>
      </c>
      <c r="G34" s="3">
        <f>E34*F34</f>
        <v>18000</v>
      </c>
    </row>
    <row r="35" spans="2:7">
      <c r="C35" s="238" t="s">
        <v>352</v>
      </c>
      <c r="E35" s="3"/>
      <c r="G35" s="3">
        <f>ROUND(E35,2)*F35</f>
        <v>0</v>
      </c>
    </row>
    <row r="36" spans="2:7">
      <c r="C36" s="238"/>
      <c r="G36" s="3"/>
    </row>
    <row r="37" spans="2:7">
      <c r="C37" s="238"/>
    </row>
    <row r="38" spans="2:7" s="12" customFormat="1">
      <c r="B38" s="192" t="s">
        <v>358</v>
      </c>
      <c r="C38" s="241"/>
      <c r="D38" s="192"/>
      <c r="E38" s="239"/>
      <c r="F38" s="192"/>
      <c r="G38" s="239">
        <f>SUM(G39:G41)</f>
        <v>0</v>
      </c>
    </row>
    <row r="39" spans="2:7">
      <c r="C39" s="238" t="s">
        <v>354</v>
      </c>
      <c r="D39" s="89"/>
      <c r="G39" s="3">
        <f>ROUND(E39,2)*F39</f>
        <v>0</v>
      </c>
    </row>
    <row r="40" spans="2:7">
      <c r="C40" s="238" t="s">
        <v>350</v>
      </c>
      <c r="E40" s="3"/>
      <c r="G40" s="3">
        <f>ROUND(E40,2)*F40</f>
        <v>0</v>
      </c>
    </row>
    <row r="41" spans="2:7">
      <c r="C41" s="238"/>
      <c r="G41" s="3"/>
    </row>
    <row r="42" spans="2:7">
      <c r="C42" s="238"/>
    </row>
    <row r="43" spans="2:7" s="12" customFormat="1">
      <c r="B43" s="192" t="s">
        <v>326</v>
      </c>
      <c r="C43" s="241"/>
      <c r="G43" s="239">
        <f>SUM(G44:G46)</f>
        <v>0</v>
      </c>
    </row>
    <row r="44" spans="2:7">
      <c r="C44" s="238" t="s">
        <v>354</v>
      </c>
      <c r="E44" s="3"/>
      <c r="G44" s="3"/>
    </row>
    <row r="45" spans="2:7">
      <c r="C45" s="238" t="s">
        <v>350</v>
      </c>
      <c r="E45" s="3"/>
      <c r="G45" s="3"/>
    </row>
    <row r="46" spans="2:7">
      <c r="C46" s="238"/>
    </row>
    <row r="47" spans="2:7">
      <c r="C47" s="238"/>
    </row>
    <row r="48" spans="2:7">
      <c r="B48" s="192" t="s">
        <v>345</v>
      </c>
      <c r="G48" s="239">
        <f>G43+G38+G31+G26+G18+G7</f>
        <v>300000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M65"/>
  <sheetViews>
    <sheetView view="pageBreakPreview" zoomScale="75" zoomScaleNormal="100" workbookViewId="0">
      <pane xSplit="6" ySplit="3" topLeftCell="AD37" activePane="bottomRight" state="frozen"/>
      <selection activeCell="E19" sqref="E19"/>
      <selection pane="topRight" activeCell="E19" sqref="E19"/>
      <selection pane="bottomLeft" activeCell="E19" sqref="E19"/>
      <selection pane="bottomRight" activeCell="AQ61" sqref="AQ61"/>
    </sheetView>
  </sheetViews>
  <sheetFormatPr baseColWidth="10" defaultRowHeight="12.75"/>
  <cols>
    <col min="1" max="1" width="3" customWidth="1"/>
    <col min="2" max="2" width="32.85546875" bestFit="1" customWidth="1"/>
    <col min="3" max="3" width="9.140625" customWidth="1"/>
    <col min="4" max="4" width="5.85546875" bestFit="1" customWidth="1"/>
    <col min="5" max="5" width="8.140625" customWidth="1"/>
    <col min="6" max="6" width="4.5703125" customWidth="1"/>
    <col min="7" max="84" width="7.5703125" customWidth="1"/>
    <col min="85" max="85" width="3" customWidth="1"/>
  </cols>
  <sheetData>
    <row r="1" spans="1:91">
      <c r="E1" s="1"/>
    </row>
    <row r="2" spans="1:91">
      <c r="A2" s="144" t="s">
        <v>196</v>
      </c>
      <c r="B2" s="145"/>
      <c r="C2" s="145"/>
      <c r="D2" s="145"/>
      <c r="E2" s="145"/>
      <c r="F2" s="145"/>
      <c r="G2" s="151" t="s">
        <v>200</v>
      </c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</row>
    <row r="3" spans="1:91" ht="31.5">
      <c r="A3" s="145"/>
      <c r="B3" s="82" t="s">
        <v>192</v>
      </c>
      <c r="C3" s="98" t="s">
        <v>195</v>
      </c>
      <c r="D3" s="98" t="s">
        <v>193</v>
      </c>
      <c r="E3" s="101" t="s">
        <v>198</v>
      </c>
      <c r="F3" s="100" t="s">
        <v>199</v>
      </c>
      <c r="G3" s="128"/>
      <c r="H3" s="128"/>
      <c r="I3" s="128"/>
      <c r="J3" s="128"/>
      <c r="K3" s="128"/>
      <c r="L3" s="128"/>
      <c r="M3" s="128">
        <v>39814</v>
      </c>
      <c r="N3" s="128">
        <v>39845</v>
      </c>
      <c r="O3" s="128">
        <v>39873</v>
      </c>
      <c r="P3" s="128">
        <v>39904</v>
      </c>
      <c r="Q3" s="128">
        <v>39934</v>
      </c>
      <c r="R3" s="128">
        <v>39965</v>
      </c>
      <c r="S3" s="128">
        <v>39995</v>
      </c>
      <c r="T3" s="128">
        <v>40026</v>
      </c>
      <c r="U3" s="128">
        <v>40057</v>
      </c>
      <c r="V3" s="128">
        <v>40087</v>
      </c>
      <c r="W3" s="128">
        <v>40118</v>
      </c>
      <c r="X3" s="128">
        <v>40148</v>
      </c>
      <c r="Y3" s="128">
        <v>40179</v>
      </c>
      <c r="Z3" s="128">
        <v>40210</v>
      </c>
      <c r="AA3" s="128">
        <v>40238</v>
      </c>
      <c r="AB3" s="128">
        <v>40269</v>
      </c>
      <c r="AC3" s="128">
        <v>40299</v>
      </c>
      <c r="AD3" s="128">
        <v>40330</v>
      </c>
      <c r="AE3" s="128">
        <v>40360</v>
      </c>
      <c r="AF3" s="128">
        <v>40391</v>
      </c>
      <c r="AG3" s="128">
        <v>40422</v>
      </c>
      <c r="AH3" s="128">
        <v>40452</v>
      </c>
      <c r="AI3" s="128">
        <v>40483</v>
      </c>
      <c r="AJ3" s="128">
        <v>40513</v>
      </c>
      <c r="AK3" s="128">
        <v>40544</v>
      </c>
      <c r="AL3" s="128">
        <v>40575</v>
      </c>
      <c r="AM3" s="128">
        <v>40603</v>
      </c>
      <c r="AN3" s="128">
        <v>40634</v>
      </c>
      <c r="AO3" s="128">
        <v>40664</v>
      </c>
      <c r="AP3" s="128">
        <v>40695</v>
      </c>
      <c r="AQ3" s="128">
        <v>40725</v>
      </c>
      <c r="AR3" s="128">
        <v>40756</v>
      </c>
      <c r="AS3" s="128">
        <v>40787</v>
      </c>
      <c r="AT3" s="128">
        <v>40817</v>
      </c>
      <c r="AU3" s="128">
        <v>40848</v>
      </c>
      <c r="AV3" s="128">
        <v>40878</v>
      </c>
      <c r="AW3" s="128">
        <v>40909</v>
      </c>
      <c r="AX3" s="128">
        <v>40940</v>
      </c>
      <c r="AY3" s="128">
        <v>40969</v>
      </c>
      <c r="AZ3" s="128">
        <v>41000</v>
      </c>
      <c r="BA3" s="128">
        <v>41030</v>
      </c>
      <c r="BB3" s="128">
        <v>41061</v>
      </c>
      <c r="BC3" s="128">
        <v>41091</v>
      </c>
      <c r="BD3" s="128">
        <v>41122</v>
      </c>
      <c r="BE3" s="128">
        <v>41153</v>
      </c>
      <c r="BF3" s="128">
        <v>41183</v>
      </c>
      <c r="BG3" s="128">
        <v>41214</v>
      </c>
      <c r="BH3" s="128">
        <v>41244</v>
      </c>
      <c r="BI3" s="128">
        <v>41275</v>
      </c>
      <c r="BJ3" s="128">
        <v>41306</v>
      </c>
      <c r="BK3" s="128">
        <v>41334</v>
      </c>
      <c r="BL3" s="128">
        <v>41365</v>
      </c>
      <c r="BM3" s="128">
        <v>41395</v>
      </c>
      <c r="BN3" s="128">
        <v>41426</v>
      </c>
      <c r="BO3" s="128">
        <v>41456</v>
      </c>
      <c r="BP3" s="128">
        <v>41487</v>
      </c>
      <c r="BQ3" s="128">
        <v>41518</v>
      </c>
      <c r="BR3" s="128">
        <v>41548</v>
      </c>
      <c r="BS3" s="128">
        <v>41579</v>
      </c>
      <c r="BT3" s="128">
        <v>41609</v>
      </c>
      <c r="BU3" s="128">
        <v>41640</v>
      </c>
      <c r="BV3" s="128">
        <v>41671</v>
      </c>
      <c r="BW3" s="128">
        <v>41699</v>
      </c>
      <c r="BX3" s="128">
        <v>41730</v>
      </c>
      <c r="BY3" s="128">
        <v>41760</v>
      </c>
      <c r="BZ3" s="128">
        <v>41791</v>
      </c>
      <c r="CA3" s="128">
        <v>41821</v>
      </c>
      <c r="CB3" s="128">
        <v>41852</v>
      </c>
      <c r="CC3" s="128">
        <v>41883</v>
      </c>
      <c r="CD3" s="128">
        <v>41913</v>
      </c>
      <c r="CE3" s="128">
        <v>41944</v>
      </c>
      <c r="CF3" s="128">
        <v>41974</v>
      </c>
      <c r="CG3" s="145"/>
    </row>
    <row r="4" spans="1:91">
      <c r="A4" s="146" t="s">
        <v>418</v>
      </c>
      <c r="B4" s="131"/>
      <c r="C4" s="103"/>
      <c r="D4" s="103"/>
      <c r="E4" s="132"/>
      <c r="F4" s="133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45"/>
    </row>
    <row r="5" spans="1:91">
      <c r="A5" s="147"/>
      <c r="B5" s="134" t="str">
        <f>'invest base'!B7</f>
        <v>Total Incorporel</v>
      </c>
      <c r="C5" s="105">
        <v>40148</v>
      </c>
      <c r="D5" s="106">
        <v>5</v>
      </c>
      <c r="E5" s="106">
        <f>'invest base'!G7</f>
        <v>250000</v>
      </c>
      <c r="F5" s="107">
        <f t="shared" ref="F5:F12" si="0">SUM(G5:BN5)-$E5</f>
        <v>0</v>
      </c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>
        <v>250000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45"/>
    </row>
    <row r="6" spans="1:91">
      <c r="A6" s="147"/>
      <c r="B6" s="108" t="str">
        <f>'invest base'!B18</f>
        <v>Total Invest 2</v>
      </c>
      <c r="C6" s="105"/>
      <c r="D6" s="106"/>
      <c r="E6" s="106">
        <f>'invest base'!G18</f>
        <v>0</v>
      </c>
      <c r="F6" s="107">
        <f t="shared" si="0"/>
        <v>0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45"/>
    </row>
    <row r="7" spans="1:91">
      <c r="A7" s="147"/>
      <c r="B7" s="134" t="str">
        <f>'invest base'!B26</f>
        <v>Total Invest 3</v>
      </c>
      <c r="C7" s="105"/>
      <c r="D7" s="106"/>
      <c r="E7" s="106">
        <f>'invest base'!G26</f>
        <v>0</v>
      </c>
      <c r="F7" s="107">
        <f t="shared" si="0"/>
        <v>0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45"/>
    </row>
    <row r="8" spans="1:91">
      <c r="A8" s="147"/>
      <c r="B8" s="108"/>
      <c r="C8" s="105"/>
      <c r="D8" s="106"/>
      <c r="E8" s="106"/>
      <c r="F8" s="107">
        <f t="shared" si="0"/>
        <v>0</v>
      </c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45"/>
    </row>
    <row r="9" spans="1:91">
      <c r="A9" s="147"/>
      <c r="B9" s="134"/>
      <c r="C9" s="105"/>
      <c r="D9" s="106"/>
      <c r="E9" s="106"/>
      <c r="F9" s="107">
        <f t="shared" si="0"/>
        <v>0</v>
      </c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45"/>
    </row>
    <row r="10" spans="1:91">
      <c r="A10" s="147"/>
      <c r="B10" s="108"/>
      <c r="C10" s="105"/>
      <c r="D10" s="106"/>
      <c r="E10" s="106"/>
      <c r="F10" s="107">
        <f t="shared" si="0"/>
        <v>0</v>
      </c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45"/>
    </row>
    <row r="11" spans="1:91">
      <c r="A11" s="147"/>
      <c r="B11" s="134"/>
      <c r="C11" s="105"/>
      <c r="D11" s="106"/>
      <c r="E11" s="106"/>
      <c r="F11" s="107">
        <f t="shared" si="0"/>
        <v>0</v>
      </c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45"/>
    </row>
    <row r="12" spans="1:91">
      <c r="A12" s="147"/>
      <c r="B12" s="108"/>
      <c r="C12" s="105"/>
      <c r="D12" s="106"/>
      <c r="E12" s="106"/>
      <c r="F12" s="107">
        <f t="shared" si="0"/>
        <v>0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45"/>
    </row>
    <row r="13" spans="1:91" s="57" customFormat="1">
      <c r="A13" s="148"/>
      <c r="B13" s="125" t="s">
        <v>202</v>
      </c>
      <c r="C13" s="126"/>
      <c r="D13" s="126"/>
      <c r="E13" s="127">
        <f>SUM(E5:E12)</f>
        <v>250000</v>
      </c>
      <c r="F13" s="126"/>
      <c r="G13" s="122">
        <f t="shared" ref="G13:BB13" si="1">SUM(G5:G12)</f>
        <v>0</v>
      </c>
      <c r="H13" s="122">
        <f t="shared" si="1"/>
        <v>0</v>
      </c>
      <c r="I13" s="122">
        <f t="shared" si="1"/>
        <v>0</v>
      </c>
      <c r="J13" s="122">
        <f t="shared" si="1"/>
        <v>0</v>
      </c>
      <c r="K13" s="122">
        <f t="shared" si="1"/>
        <v>0</v>
      </c>
      <c r="L13" s="122">
        <f t="shared" si="1"/>
        <v>0</v>
      </c>
      <c r="M13" s="122">
        <f t="shared" si="1"/>
        <v>0</v>
      </c>
      <c r="N13" s="122">
        <f t="shared" si="1"/>
        <v>0</v>
      </c>
      <c r="O13" s="122">
        <f t="shared" si="1"/>
        <v>0</v>
      </c>
      <c r="P13" s="122">
        <f t="shared" si="1"/>
        <v>0</v>
      </c>
      <c r="Q13" s="122">
        <f t="shared" si="1"/>
        <v>0</v>
      </c>
      <c r="R13" s="122">
        <f>SUM(R5:R12)</f>
        <v>0</v>
      </c>
      <c r="S13" s="122">
        <f t="shared" si="1"/>
        <v>0</v>
      </c>
      <c r="T13" s="122">
        <f t="shared" si="1"/>
        <v>0</v>
      </c>
      <c r="U13" s="122">
        <f t="shared" si="1"/>
        <v>0</v>
      </c>
      <c r="V13" s="122">
        <f t="shared" si="1"/>
        <v>0</v>
      </c>
      <c r="W13" s="122">
        <f t="shared" si="1"/>
        <v>0</v>
      </c>
      <c r="X13" s="122">
        <f t="shared" si="1"/>
        <v>250000</v>
      </c>
      <c r="Y13" s="122">
        <f t="shared" si="1"/>
        <v>0</v>
      </c>
      <c r="Z13" s="122">
        <f t="shared" si="1"/>
        <v>0</v>
      </c>
      <c r="AA13" s="122">
        <f t="shared" si="1"/>
        <v>0</v>
      </c>
      <c r="AB13" s="122">
        <f t="shared" si="1"/>
        <v>0</v>
      </c>
      <c r="AC13" s="122">
        <f t="shared" si="1"/>
        <v>0</v>
      </c>
      <c r="AD13" s="122">
        <f t="shared" si="1"/>
        <v>0</v>
      </c>
      <c r="AE13" s="122">
        <f t="shared" si="1"/>
        <v>0</v>
      </c>
      <c r="AF13" s="122">
        <f t="shared" si="1"/>
        <v>0</v>
      </c>
      <c r="AG13" s="122">
        <f t="shared" si="1"/>
        <v>0</v>
      </c>
      <c r="AH13" s="122">
        <f t="shared" si="1"/>
        <v>0</v>
      </c>
      <c r="AI13" s="122">
        <f t="shared" si="1"/>
        <v>0</v>
      </c>
      <c r="AJ13" s="122">
        <f t="shared" si="1"/>
        <v>0</v>
      </c>
      <c r="AK13" s="122">
        <f t="shared" si="1"/>
        <v>0</v>
      </c>
      <c r="AL13" s="122">
        <f t="shared" si="1"/>
        <v>0</v>
      </c>
      <c r="AM13" s="122">
        <f t="shared" si="1"/>
        <v>0</v>
      </c>
      <c r="AN13" s="122">
        <f t="shared" si="1"/>
        <v>0</v>
      </c>
      <c r="AO13" s="122">
        <f t="shared" si="1"/>
        <v>0</v>
      </c>
      <c r="AP13" s="122">
        <f t="shared" si="1"/>
        <v>0</v>
      </c>
      <c r="AQ13" s="122">
        <f t="shared" si="1"/>
        <v>0</v>
      </c>
      <c r="AR13" s="122">
        <f t="shared" si="1"/>
        <v>0</v>
      </c>
      <c r="AS13" s="122">
        <f t="shared" si="1"/>
        <v>0</v>
      </c>
      <c r="AT13" s="122">
        <f t="shared" si="1"/>
        <v>0</v>
      </c>
      <c r="AU13" s="122">
        <f t="shared" si="1"/>
        <v>0</v>
      </c>
      <c r="AV13" s="122">
        <f t="shared" si="1"/>
        <v>0</v>
      </c>
      <c r="AW13" s="122">
        <f t="shared" si="1"/>
        <v>0</v>
      </c>
      <c r="AX13" s="122">
        <f t="shared" si="1"/>
        <v>0</v>
      </c>
      <c r="AY13" s="122">
        <f t="shared" si="1"/>
        <v>0</v>
      </c>
      <c r="AZ13" s="122">
        <f t="shared" si="1"/>
        <v>0</v>
      </c>
      <c r="BA13" s="122">
        <f t="shared" si="1"/>
        <v>0</v>
      </c>
      <c r="BB13" s="122">
        <f t="shared" si="1"/>
        <v>0</v>
      </c>
      <c r="BC13" s="122">
        <f t="shared" ref="BC13:BN13" si="2">SUM(BC5:BC12)</f>
        <v>0</v>
      </c>
      <c r="BD13" s="122">
        <f t="shared" si="2"/>
        <v>0</v>
      </c>
      <c r="BE13" s="122">
        <f t="shared" si="2"/>
        <v>0</v>
      </c>
      <c r="BF13" s="122">
        <f t="shared" si="2"/>
        <v>0</v>
      </c>
      <c r="BG13" s="122">
        <f t="shared" si="2"/>
        <v>0</v>
      </c>
      <c r="BH13" s="122">
        <f t="shared" si="2"/>
        <v>0</v>
      </c>
      <c r="BI13" s="122">
        <f t="shared" si="2"/>
        <v>0</v>
      </c>
      <c r="BJ13" s="122">
        <f t="shared" si="2"/>
        <v>0</v>
      </c>
      <c r="BK13" s="122">
        <f t="shared" si="2"/>
        <v>0</v>
      </c>
      <c r="BL13" s="122">
        <f t="shared" si="2"/>
        <v>0</v>
      </c>
      <c r="BM13" s="122">
        <f t="shared" si="2"/>
        <v>0</v>
      </c>
      <c r="BN13" s="122">
        <f t="shared" si="2"/>
        <v>0</v>
      </c>
      <c r="BO13" s="122">
        <f t="shared" ref="BO13:BT13" si="3">SUM(BO5:BO12)</f>
        <v>0</v>
      </c>
      <c r="BP13" s="122">
        <f t="shared" si="3"/>
        <v>0</v>
      </c>
      <c r="BQ13" s="122">
        <f t="shared" si="3"/>
        <v>0</v>
      </c>
      <c r="BR13" s="122">
        <f t="shared" si="3"/>
        <v>0</v>
      </c>
      <c r="BS13" s="122">
        <f t="shared" si="3"/>
        <v>0</v>
      </c>
      <c r="BT13" s="122">
        <f t="shared" si="3"/>
        <v>0</v>
      </c>
      <c r="BU13" s="122">
        <f t="shared" ref="BU13:CF13" si="4">SUM(BU5:BU12)</f>
        <v>0</v>
      </c>
      <c r="BV13" s="122">
        <f t="shared" si="4"/>
        <v>0</v>
      </c>
      <c r="BW13" s="122">
        <f t="shared" si="4"/>
        <v>0</v>
      </c>
      <c r="BX13" s="122">
        <f t="shared" si="4"/>
        <v>0</v>
      </c>
      <c r="BY13" s="122">
        <f t="shared" si="4"/>
        <v>0</v>
      </c>
      <c r="BZ13" s="122">
        <f t="shared" si="4"/>
        <v>0</v>
      </c>
      <c r="CA13" s="122">
        <f t="shared" si="4"/>
        <v>0</v>
      </c>
      <c r="CB13" s="122">
        <f t="shared" si="4"/>
        <v>0</v>
      </c>
      <c r="CC13" s="122">
        <f t="shared" si="4"/>
        <v>0</v>
      </c>
      <c r="CD13" s="122">
        <f t="shared" si="4"/>
        <v>0</v>
      </c>
      <c r="CE13" s="122">
        <f t="shared" si="4"/>
        <v>0</v>
      </c>
      <c r="CF13" s="122">
        <f t="shared" si="4"/>
        <v>0</v>
      </c>
      <c r="CG13" s="155"/>
    </row>
    <row r="14" spans="1:91">
      <c r="A14" s="147"/>
      <c r="B14" s="108"/>
      <c r="C14" s="108"/>
      <c r="D14" s="108"/>
      <c r="E14" s="108"/>
      <c r="F14" s="108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6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6"/>
      <c r="BO14" s="135"/>
      <c r="BP14" s="136"/>
      <c r="BQ14" s="135"/>
      <c r="BR14" s="136"/>
      <c r="BS14" s="135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45"/>
    </row>
    <row r="15" spans="1:91">
      <c r="A15" s="149" t="s">
        <v>201</v>
      </c>
      <c r="B15" s="137"/>
      <c r="C15" s="138"/>
      <c r="D15" s="138"/>
      <c r="E15" s="139"/>
      <c r="F15" s="140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2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2"/>
      <c r="BO15" s="141"/>
      <c r="BP15" s="142"/>
      <c r="BQ15" s="141"/>
      <c r="BR15" s="142"/>
      <c r="BS15" s="141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56"/>
      <c r="CH15" s="108"/>
      <c r="CI15" s="108"/>
      <c r="CJ15" s="108"/>
      <c r="CK15" s="108"/>
      <c r="CL15" s="108"/>
      <c r="CM15" s="108"/>
    </row>
    <row r="16" spans="1:91">
      <c r="A16" s="147"/>
      <c r="B16" s="108" t="str">
        <f>'invest base'!B31</f>
        <v>Total Invest 4</v>
      </c>
      <c r="C16" s="105">
        <v>40422</v>
      </c>
      <c r="D16" s="106">
        <v>2</v>
      </c>
      <c r="E16" s="106">
        <f>'invest base'!G32</f>
        <v>8000</v>
      </c>
      <c r="F16" s="107">
        <f t="shared" ref="F16:F23" si="5">SUM(G16:BN16)-$E16</f>
        <v>0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>
        <f>'invest base'!G32</f>
        <v>8000</v>
      </c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56"/>
      <c r="CH16" s="108"/>
      <c r="CI16" s="108"/>
      <c r="CJ16" s="108"/>
      <c r="CK16" s="108"/>
      <c r="CL16" s="108"/>
      <c r="CM16" s="108"/>
    </row>
    <row r="17" spans="1:85">
      <c r="A17" s="147"/>
      <c r="B17" s="108" t="str">
        <f>'invest base'!B38</f>
        <v>Total Invest 5</v>
      </c>
      <c r="C17" s="105">
        <v>40725</v>
      </c>
      <c r="D17" s="106">
        <v>2</v>
      </c>
      <c r="E17" s="106">
        <f>'invest base'!G33</f>
        <v>24000</v>
      </c>
      <c r="F17" s="107">
        <f t="shared" si="5"/>
        <v>0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>
        <v>24000</v>
      </c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45"/>
    </row>
    <row r="18" spans="1:85">
      <c r="A18" s="147"/>
      <c r="B18" s="108" t="str">
        <f>'invest base'!B43</f>
        <v>Divers équipement</v>
      </c>
      <c r="C18" s="105">
        <v>40787</v>
      </c>
      <c r="D18" s="106">
        <v>2</v>
      </c>
      <c r="E18" s="106">
        <f>'invest base'!G34</f>
        <v>18000</v>
      </c>
      <c r="F18" s="107">
        <f t="shared" si="5"/>
        <v>0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>
        <v>18000</v>
      </c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45"/>
    </row>
    <row r="19" spans="1:85">
      <c r="A19" s="147"/>
      <c r="B19" s="108"/>
      <c r="C19" s="143"/>
      <c r="D19" s="106"/>
      <c r="E19" s="106"/>
      <c r="F19" s="107">
        <f t="shared" si="5"/>
        <v>0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45"/>
    </row>
    <row r="20" spans="1:85">
      <c r="A20" s="147"/>
      <c r="B20" s="222"/>
      <c r="C20" s="143"/>
      <c r="D20" s="106"/>
      <c r="E20" s="106"/>
      <c r="F20" s="107">
        <f t="shared" si="5"/>
        <v>0</v>
      </c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45"/>
    </row>
    <row r="21" spans="1:85">
      <c r="A21" s="147"/>
      <c r="B21" s="108"/>
      <c r="C21" s="143"/>
      <c r="D21" s="106"/>
      <c r="E21" s="106"/>
      <c r="F21" s="107">
        <f t="shared" si="5"/>
        <v>0</v>
      </c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45"/>
    </row>
    <row r="22" spans="1:85">
      <c r="A22" s="147"/>
      <c r="B22" s="108"/>
      <c r="C22" s="143"/>
      <c r="D22" s="109"/>
      <c r="E22" s="110"/>
      <c r="F22" s="107">
        <f t="shared" si="5"/>
        <v>0</v>
      </c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45"/>
    </row>
    <row r="23" spans="1:85">
      <c r="A23" s="147"/>
      <c r="B23" s="108"/>
      <c r="C23" s="143"/>
      <c r="D23" s="109"/>
      <c r="E23" s="110"/>
      <c r="F23" s="107">
        <f t="shared" si="5"/>
        <v>0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45"/>
    </row>
    <row r="24" spans="1:85" s="57" customFormat="1">
      <c r="A24" s="148"/>
      <c r="B24" s="125" t="s">
        <v>203</v>
      </c>
      <c r="C24" s="126"/>
      <c r="D24" s="126"/>
      <c r="E24" s="127">
        <f>SUM(E16:E23)</f>
        <v>50000</v>
      </c>
      <c r="F24" s="126"/>
      <c r="G24" s="122">
        <f t="shared" ref="G24:BB24" si="6">SUM(G16:G23)</f>
        <v>0</v>
      </c>
      <c r="H24" s="122">
        <f t="shared" si="6"/>
        <v>0</v>
      </c>
      <c r="I24" s="122">
        <f t="shared" si="6"/>
        <v>0</v>
      </c>
      <c r="J24" s="122">
        <f t="shared" si="6"/>
        <v>0</v>
      </c>
      <c r="K24" s="122">
        <f t="shared" si="6"/>
        <v>0</v>
      </c>
      <c r="L24" s="122">
        <f>SUM(L16:L23)</f>
        <v>0</v>
      </c>
      <c r="M24" s="122">
        <f t="shared" si="6"/>
        <v>0</v>
      </c>
      <c r="N24" s="122">
        <f t="shared" si="6"/>
        <v>0</v>
      </c>
      <c r="O24" s="122">
        <f t="shared" si="6"/>
        <v>0</v>
      </c>
      <c r="P24" s="122">
        <f t="shared" si="6"/>
        <v>0</v>
      </c>
      <c r="Q24" s="122">
        <f t="shared" si="6"/>
        <v>0</v>
      </c>
      <c r="R24" s="122">
        <f t="shared" si="6"/>
        <v>0</v>
      </c>
      <c r="S24" s="122">
        <f t="shared" si="6"/>
        <v>0</v>
      </c>
      <c r="T24" s="122">
        <f t="shared" si="6"/>
        <v>0</v>
      </c>
      <c r="U24" s="122">
        <f t="shared" si="6"/>
        <v>0</v>
      </c>
      <c r="V24" s="122">
        <f t="shared" si="6"/>
        <v>0</v>
      </c>
      <c r="W24" s="122">
        <f t="shared" si="6"/>
        <v>0</v>
      </c>
      <c r="X24" s="122">
        <f t="shared" si="6"/>
        <v>0</v>
      </c>
      <c r="Y24" s="122">
        <f t="shared" si="6"/>
        <v>0</v>
      </c>
      <c r="Z24" s="122">
        <f t="shared" si="6"/>
        <v>0</v>
      </c>
      <c r="AA24" s="122">
        <f t="shared" si="6"/>
        <v>0</v>
      </c>
      <c r="AB24" s="122">
        <f t="shared" si="6"/>
        <v>0</v>
      </c>
      <c r="AC24" s="122">
        <f t="shared" si="6"/>
        <v>0</v>
      </c>
      <c r="AD24" s="122">
        <f t="shared" si="6"/>
        <v>0</v>
      </c>
      <c r="AE24" s="122">
        <f t="shared" si="6"/>
        <v>0</v>
      </c>
      <c r="AF24" s="122">
        <f t="shared" si="6"/>
        <v>0</v>
      </c>
      <c r="AG24" s="122">
        <f t="shared" si="6"/>
        <v>8000</v>
      </c>
      <c r="AH24" s="122">
        <f t="shared" si="6"/>
        <v>0</v>
      </c>
      <c r="AI24" s="122">
        <f t="shared" si="6"/>
        <v>0</v>
      </c>
      <c r="AJ24" s="122">
        <f t="shared" si="6"/>
        <v>0</v>
      </c>
      <c r="AK24" s="122">
        <f t="shared" si="6"/>
        <v>0</v>
      </c>
      <c r="AL24" s="122">
        <f t="shared" si="6"/>
        <v>0</v>
      </c>
      <c r="AM24" s="122">
        <f t="shared" si="6"/>
        <v>0</v>
      </c>
      <c r="AN24" s="122">
        <f t="shared" si="6"/>
        <v>0</v>
      </c>
      <c r="AO24" s="122">
        <f t="shared" si="6"/>
        <v>0</v>
      </c>
      <c r="AP24" s="122">
        <f t="shared" si="6"/>
        <v>0</v>
      </c>
      <c r="AQ24" s="122">
        <f t="shared" si="6"/>
        <v>24000</v>
      </c>
      <c r="AR24" s="122">
        <f t="shared" si="6"/>
        <v>0</v>
      </c>
      <c r="AS24" s="122">
        <f t="shared" si="6"/>
        <v>0</v>
      </c>
      <c r="AT24" s="122">
        <f t="shared" si="6"/>
        <v>0</v>
      </c>
      <c r="AU24" s="122">
        <f t="shared" si="6"/>
        <v>0</v>
      </c>
      <c r="AV24" s="122">
        <f t="shared" si="6"/>
        <v>0</v>
      </c>
      <c r="AW24" s="122">
        <f t="shared" si="6"/>
        <v>0</v>
      </c>
      <c r="AX24" s="122">
        <f t="shared" si="6"/>
        <v>0</v>
      </c>
      <c r="AY24" s="122">
        <f t="shared" si="6"/>
        <v>0</v>
      </c>
      <c r="AZ24" s="122">
        <f t="shared" si="6"/>
        <v>0</v>
      </c>
      <c r="BA24" s="122">
        <f t="shared" si="6"/>
        <v>0</v>
      </c>
      <c r="BB24" s="122">
        <f t="shared" si="6"/>
        <v>0</v>
      </c>
      <c r="BC24" s="122">
        <f t="shared" ref="BC24:BN24" si="7">SUM(BC16:BC23)</f>
        <v>18000</v>
      </c>
      <c r="BD24" s="122">
        <f t="shared" si="7"/>
        <v>0</v>
      </c>
      <c r="BE24" s="122">
        <f t="shared" si="7"/>
        <v>0</v>
      </c>
      <c r="BF24" s="122">
        <f t="shared" si="7"/>
        <v>0</v>
      </c>
      <c r="BG24" s="122">
        <f t="shared" si="7"/>
        <v>0</v>
      </c>
      <c r="BH24" s="122">
        <f t="shared" si="7"/>
        <v>0</v>
      </c>
      <c r="BI24" s="122">
        <f t="shared" si="7"/>
        <v>0</v>
      </c>
      <c r="BJ24" s="122">
        <f t="shared" si="7"/>
        <v>0</v>
      </c>
      <c r="BK24" s="122">
        <f t="shared" si="7"/>
        <v>0</v>
      </c>
      <c r="BL24" s="122">
        <f t="shared" si="7"/>
        <v>0</v>
      </c>
      <c r="BM24" s="122">
        <f t="shared" si="7"/>
        <v>0</v>
      </c>
      <c r="BN24" s="122">
        <f t="shared" si="7"/>
        <v>0</v>
      </c>
      <c r="BO24" s="122">
        <f t="shared" ref="BO24:BT24" si="8">SUM(BO16:BO23)</f>
        <v>0</v>
      </c>
      <c r="BP24" s="122">
        <f t="shared" si="8"/>
        <v>0</v>
      </c>
      <c r="BQ24" s="122">
        <f t="shared" si="8"/>
        <v>0</v>
      </c>
      <c r="BR24" s="122">
        <f t="shared" si="8"/>
        <v>0</v>
      </c>
      <c r="BS24" s="122">
        <f t="shared" si="8"/>
        <v>0</v>
      </c>
      <c r="BT24" s="122">
        <f t="shared" si="8"/>
        <v>0</v>
      </c>
      <c r="BU24" s="122">
        <f t="shared" ref="BU24:CF24" si="9">SUM(BU16:BU23)</f>
        <v>0</v>
      </c>
      <c r="BV24" s="122">
        <f t="shared" si="9"/>
        <v>0</v>
      </c>
      <c r="BW24" s="122">
        <f t="shared" si="9"/>
        <v>0</v>
      </c>
      <c r="BX24" s="122">
        <f t="shared" si="9"/>
        <v>0</v>
      </c>
      <c r="BY24" s="122">
        <f t="shared" si="9"/>
        <v>0</v>
      </c>
      <c r="BZ24" s="122">
        <f t="shared" si="9"/>
        <v>0</v>
      </c>
      <c r="CA24" s="122">
        <f t="shared" si="9"/>
        <v>0</v>
      </c>
      <c r="CB24" s="122">
        <f t="shared" si="9"/>
        <v>0</v>
      </c>
      <c r="CC24" s="122">
        <f t="shared" si="9"/>
        <v>0</v>
      </c>
      <c r="CD24" s="122">
        <f t="shared" si="9"/>
        <v>0</v>
      </c>
      <c r="CE24" s="122">
        <f t="shared" si="9"/>
        <v>0</v>
      </c>
      <c r="CF24" s="122">
        <f t="shared" si="9"/>
        <v>0</v>
      </c>
      <c r="CG24" s="155"/>
    </row>
    <row r="25" spans="1:85">
      <c r="A25" s="150" t="s">
        <v>204</v>
      </c>
      <c r="B25" s="152"/>
      <c r="C25" s="152"/>
      <c r="D25" s="152"/>
      <c r="E25" s="153">
        <f>E24+E13</f>
        <v>300000</v>
      </c>
      <c r="F25" s="152"/>
      <c r="G25" s="154">
        <f t="shared" ref="G25:BB25" si="10">G24+G13</f>
        <v>0</v>
      </c>
      <c r="H25" s="154">
        <f t="shared" si="10"/>
        <v>0</v>
      </c>
      <c r="I25" s="154">
        <f t="shared" si="10"/>
        <v>0</v>
      </c>
      <c r="J25" s="154">
        <f t="shared" si="10"/>
        <v>0</v>
      </c>
      <c r="K25" s="154">
        <f t="shared" si="10"/>
        <v>0</v>
      </c>
      <c r="L25" s="154">
        <f t="shared" si="10"/>
        <v>0</v>
      </c>
      <c r="M25" s="154">
        <f t="shared" si="10"/>
        <v>0</v>
      </c>
      <c r="N25" s="154">
        <f t="shared" si="10"/>
        <v>0</v>
      </c>
      <c r="O25" s="154">
        <f t="shared" si="10"/>
        <v>0</v>
      </c>
      <c r="P25" s="154">
        <f t="shared" si="10"/>
        <v>0</v>
      </c>
      <c r="Q25" s="154">
        <f t="shared" si="10"/>
        <v>0</v>
      </c>
      <c r="R25" s="154">
        <f t="shared" si="10"/>
        <v>0</v>
      </c>
      <c r="S25" s="154">
        <f t="shared" si="10"/>
        <v>0</v>
      </c>
      <c r="T25" s="154">
        <f t="shared" si="10"/>
        <v>0</v>
      </c>
      <c r="U25" s="154">
        <f t="shared" si="10"/>
        <v>0</v>
      </c>
      <c r="V25" s="154">
        <f t="shared" si="10"/>
        <v>0</v>
      </c>
      <c r="W25" s="154">
        <f t="shared" si="10"/>
        <v>0</v>
      </c>
      <c r="X25" s="154">
        <f t="shared" si="10"/>
        <v>250000</v>
      </c>
      <c r="Y25" s="154">
        <f t="shared" si="10"/>
        <v>0</v>
      </c>
      <c r="Z25" s="154">
        <f t="shared" si="10"/>
        <v>0</v>
      </c>
      <c r="AA25" s="154">
        <f t="shared" si="10"/>
        <v>0</v>
      </c>
      <c r="AB25" s="154">
        <f t="shared" si="10"/>
        <v>0</v>
      </c>
      <c r="AC25" s="154">
        <f t="shared" si="10"/>
        <v>0</v>
      </c>
      <c r="AD25" s="154">
        <f t="shared" si="10"/>
        <v>0</v>
      </c>
      <c r="AE25" s="154">
        <f t="shared" si="10"/>
        <v>0</v>
      </c>
      <c r="AF25" s="154">
        <f t="shared" si="10"/>
        <v>0</v>
      </c>
      <c r="AG25" s="154">
        <f t="shared" si="10"/>
        <v>8000</v>
      </c>
      <c r="AH25" s="154">
        <f t="shared" si="10"/>
        <v>0</v>
      </c>
      <c r="AI25" s="154">
        <f t="shared" si="10"/>
        <v>0</v>
      </c>
      <c r="AJ25" s="154">
        <f t="shared" si="10"/>
        <v>0</v>
      </c>
      <c r="AK25" s="154">
        <f t="shared" si="10"/>
        <v>0</v>
      </c>
      <c r="AL25" s="154">
        <f t="shared" si="10"/>
        <v>0</v>
      </c>
      <c r="AM25" s="154">
        <f t="shared" si="10"/>
        <v>0</v>
      </c>
      <c r="AN25" s="154">
        <f t="shared" si="10"/>
        <v>0</v>
      </c>
      <c r="AO25" s="154">
        <f t="shared" si="10"/>
        <v>0</v>
      </c>
      <c r="AP25" s="154">
        <f t="shared" si="10"/>
        <v>0</v>
      </c>
      <c r="AQ25" s="154">
        <f t="shared" si="10"/>
        <v>24000</v>
      </c>
      <c r="AR25" s="154">
        <f t="shared" si="10"/>
        <v>0</v>
      </c>
      <c r="AS25" s="154">
        <f t="shared" si="10"/>
        <v>0</v>
      </c>
      <c r="AT25" s="154">
        <f t="shared" si="10"/>
        <v>0</v>
      </c>
      <c r="AU25" s="154">
        <f t="shared" si="10"/>
        <v>0</v>
      </c>
      <c r="AV25" s="154">
        <f t="shared" si="10"/>
        <v>0</v>
      </c>
      <c r="AW25" s="154">
        <f t="shared" si="10"/>
        <v>0</v>
      </c>
      <c r="AX25" s="154">
        <f t="shared" si="10"/>
        <v>0</v>
      </c>
      <c r="AY25" s="154">
        <f t="shared" si="10"/>
        <v>0</v>
      </c>
      <c r="AZ25" s="154">
        <f t="shared" si="10"/>
        <v>0</v>
      </c>
      <c r="BA25" s="154">
        <f t="shared" si="10"/>
        <v>0</v>
      </c>
      <c r="BB25" s="154">
        <f t="shared" si="10"/>
        <v>0</v>
      </c>
      <c r="BC25" s="154">
        <f t="shared" ref="BC25:BN25" si="11">BC24+BC13</f>
        <v>18000</v>
      </c>
      <c r="BD25" s="154">
        <f t="shared" si="11"/>
        <v>0</v>
      </c>
      <c r="BE25" s="154">
        <f t="shared" si="11"/>
        <v>0</v>
      </c>
      <c r="BF25" s="154">
        <f t="shared" si="11"/>
        <v>0</v>
      </c>
      <c r="BG25" s="154">
        <f t="shared" si="11"/>
        <v>0</v>
      </c>
      <c r="BH25" s="154">
        <f t="shared" si="11"/>
        <v>0</v>
      </c>
      <c r="BI25" s="154">
        <f t="shared" si="11"/>
        <v>0</v>
      </c>
      <c r="BJ25" s="154">
        <f t="shared" si="11"/>
        <v>0</v>
      </c>
      <c r="BK25" s="154">
        <f t="shared" si="11"/>
        <v>0</v>
      </c>
      <c r="BL25" s="154">
        <f t="shared" si="11"/>
        <v>0</v>
      </c>
      <c r="BM25" s="154">
        <f t="shared" si="11"/>
        <v>0</v>
      </c>
      <c r="BN25" s="154">
        <f t="shared" si="11"/>
        <v>0</v>
      </c>
      <c r="BO25" s="154">
        <f t="shared" ref="BO25:BT25" si="12">BO24+BO13</f>
        <v>0</v>
      </c>
      <c r="BP25" s="154">
        <f t="shared" si="12"/>
        <v>0</v>
      </c>
      <c r="BQ25" s="154">
        <f t="shared" si="12"/>
        <v>0</v>
      </c>
      <c r="BR25" s="154">
        <f t="shared" si="12"/>
        <v>0</v>
      </c>
      <c r="BS25" s="154">
        <f t="shared" si="12"/>
        <v>0</v>
      </c>
      <c r="BT25" s="154">
        <f t="shared" si="12"/>
        <v>0</v>
      </c>
      <c r="BU25" s="154">
        <f t="shared" ref="BU25:CF25" si="13">BU24+BU13</f>
        <v>0</v>
      </c>
      <c r="BV25" s="154">
        <f t="shared" si="13"/>
        <v>0</v>
      </c>
      <c r="BW25" s="154">
        <f t="shared" si="13"/>
        <v>0</v>
      </c>
      <c r="BX25" s="154">
        <f t="shared" si="13"/>
        <v>0</v>
      </c>
      <c r="BY25" s="154">
        <f t="shared" si="13"/>
        <v>0</v>
      </c>
      <c r="BZ25" s="154">
        <f t="shared" si="13"/>
        <v>0</v>
      </c>
      <c r="CA25" s="154">
        <f t="shared" si="13"/>
        <v>0</v>
      </c>
      <c r="CB25" s="154">
        <f t="shared" si="13"/>
        <v>0</v>
      </c>
      <c r="CC25" s="154">
        <f t="shared" si="13"/>
        <v>0</v>
      </c>
      <c r="CD25" s="154">
        <f t="shared" si="13"/>
        <v>0</v>
      </c>
      <c r="CE25" s="154">
        <f t="shared" si="13"/>
        <v>0</v>
      </c>
      <c r="CF25" s="154">
        <f t="shared" si="13"/>
        <v>0</v>
      </c>
      <c r="CG25" s="145"/>
    </row>
    <row r="26" spans="1:85"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</row>
    <row r="27" spans="1:85"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</row>
    <row r="28" spans="1:85">
      <c r="A28" s="157" t="s">
        <v>197</v>
      </c>
      <c r="B28" s="158"/>
      <c r="C28" s="158"/>
      <c r="D28" s="158"/>
      <c r="E28" s="158"/>
      <c r="F28" s="159"/>
      <c r="G28" s="112"/>
      <c r="H28" s="112"/>
      <c r="I28" s="112"/>
      <c r="J28" s="112"/>
      <c r="K28" s="112"/>
      <c r="L28" s="112"/>
      <c r="M28" s="112">
        <v>39814</v>
      </c>
      <c r="N28" s="112">
        <v>39845</v>
      </c>
      <c r="O28" s="112">
        <v>39873</v>
      </c>
      <c r="P28" s="112">
        <v>39904</v>
      </c>
      <c r="Q28" s="112">
        <v>39934</v>
      </c>
      <c r="R28" s="112">
        <v>39965</v>
      </c>
      <c r="S28" s="112">
        <v>39995</v>
      </c>
      <c r="T28" s="112">
        <v>40026</v>
      </c>
      <c r="U28" s="112">
        <v>40057</v>
      </c>
      <c r="V28" s="112">
        <v>40087</v>
      </c>
      <c r="W28" s="112">
        <v>40118</v>
      </c>
      <c r="X28" s="112">
        <v>40148</v>
      </c>
      <c r="Y28" s="112">
        <v>40179</v>
      </c>
      <c r="Z28" s="112">
        <v>40210</v>
      </c>
      <c r="AA28" s="112">
        <v>40238</v>
      </c>
      <c r="AB28" s="112">
        <v>40269</v>
      </c>
      <c r="AC28" s="112">
        <v>40299</v>
      </c>
      <c r="AD28" s="112">
        <v>40330</v>
      </c>
      <c r="AE28" s="112">
        <v>40360</v>
      </c>
      <c r="AF28" s="112">
        <v>40391</v>
      </c>
      <c r="AG28" s="112">
        <v>40422</v>
      </c>
      <c r="AH28" s="112">
        <v>40452</v>
      </c>
      <c r="AI28" s="112">
        <v>40483</v>
      </c>
      <c r="AJ28" s="112">
        <v>40513</v>
      </c>
      <c r="AK28" s="112">
        <v>40544</v>
      </c>
      <c r="AL28" s="112">
        <v>40575</v>
      </c>
      <c r="AM28" s="112">
        <v>40603</v>
      </c>
      <c r="AN28" s="112">
        <v>40634</v>
      </c>
      <c r="AO28" s="112">
        <v>40664</v>
      </c>
      <c r="AP28" s="112">
        <v>40695</v>
      </c>
      <c r="AQ28" s="112">
        <v>40725</v>
      </c>
      <c r="AR28" s="112">
        <v>40756</v>
      </c>
      <c r="AS28" s="112">
        <v>40787</v>
      </c>
      <c r="AT28" s="112">
        <v>40817</v>
      </c>
      <c r="AU28" s="112">
        <v>40848</v>
      </c>
      <c r="AV28" s="112">
        <v>40878</v>
      </c>
      <c r="AW28" s="112">
        <v>40909</v>
      </c>
      <c r="AX28" s="112">
        <v>40940</v>
      </c>
      <c r="AY28" s="112">
        <v>40969</v>
      </c>
      <c r="AZ28" s="112">
        <v>41000</v>
      </c>
      <c r="BA28" s="112">
        <v>41030</v>
      </c>
      <c r="BB28" s="112">
        <v>41061</v>
      </c>
      <c r="BC28" s="112">
        <v>41091</v>
      </c>
      <c r="BD28" s="112">
        <v>41122</v>
      </c>
      <c r="BE28" s="112">
        <v>41153</v>
      </c>
      <c r="BF28" s="112">
        <v>41183</v>
      </c>
      <c r="BG28" s="112">
        <v>41214</v>
      </c>
      <c r="BH28" s="112">
        <v>41244</v>
      </c>
      <c r="BI28" s="112">
        <v>41275</v>
      </c>
      <c r="BJ28" s="112">
        <v>41306</v>
      </c>
      <c r="BK28" s="112">
        <v>41334</v>
      </c>
      <c r="BL28" s="112">
        <v>41365</v>
      </c>
      <c r="BM28" s="112">
        <v>41395</v>
      </c>
      <c r="BN28" s="112">
        <v>41426</v>
      </c>
      <c r="BO28" s="112">
        <v>41456</v>
      </c>
      <c r="BP28" s="112">
        <v>41487</v>
      </c>
      <c r="BQ28" s="112">
        <v>41518</v>
      </c>
      <c r="BR28" s="112">
        <v>41548</v>
      </c>
      <c r="BS28" s="112">
        <v>41579</v>
      </c>
      <c r="BT28" s="112">
        <v>41609</v>
      </c>
      <c r="BU28" s="112">
        <v>41640</v>
      </c>
      <c r="BV28" s="112">
        <v>41671</v>
      </c>
      <c r="BW28" s="112">
        <v>41699</v>
      </c>
      <c r="BX28" s="112">
        <v>41730</v>
      </c>
      <c r="BY28" s="112">
        <v>41760</v>
      </c>
      <c r="BZ28" s="112">
        <v>41791</v>
      </c>
      <c r="CA28" s="112">
        <v>41821</v>
      </c>
      <c r="CB28" s="112">
        <v>41852</v>
      </c>
      <c r="CC28" s="112">
        <v>41883</v>
      </c>
      <c r="CD28" s="112">
        <v>41913</v>
      </c>
      <c r="CE28" s="112">
        <v>41944</v>
      </c>
      <c r="CF28" s="112">
        <v>41974</v>
      </c>
    </row>
    <row r="29" spans="1:85">
      <c r="A29" s="104"/>
      <c r="B29" s="117" t="str">
        <f>IF(B5="","",B5)</f>
        <v>Total Incorporel</v>
      </c>
      <c r="C29" s="105"/>
      <c r="D29" s="114">
        <f>D5</f>
        <v>5</v>
      </c>
      <c r="E29" s="114">
        <f>E5</f>
        <v>250000</v>
      </c>
      <c r="F29" s="107"/>
      <c r="G29" s="113">
        <f t="shared" ref="G29:H34" si="14">IF($C5=G$28,$E5,0)</f>
        <v>0</v>
      </c>
      <c r="H29" s="113">
        <f t="shared" si="14"/>
        <v>0</v>
      </c>
      <c r="I29" s="113">
        <f t="shared" ref="I29:BB29" si="15">IF($C5=I$28,$E5,0)</f>
        <v>0</v>
      </c>
      <c r="J29" s="113">
        <f t="shared" si="15"/>
        <v>0</v>
      </c>
      <c r="K29" s="113">
        <f t="shared" si="15"/>
        <v>0</v>
      </c>
      <c r="L29" s="113">
        <f t="shared" si="15"/>
        <v>0</v>
      </c>
      <c r="M29" s="113">
        <f>IF($C5=M$28,$E5,0)</f>
        <v>0</v>
      </c>
      <c r="N29" s="113">
        <f>IF($C5=N$28,$E5,0)</f>
        <v>0</v>
      </c>
      <c r="O29" s="113">
        <f t="shared" si="15"/>
        <v>0</v>
      </c>
      <c r="P29" s="113">
        <f t="shared" si="15"/>
        <v>0</v>
      </c>
      <c r="Q29" s="113">
        <f t="shared" si="15"/>
        <v>0</v>
      </c>
      <c r="R29" s="113">
        <f t="shared" si="15"/>
        <v>0</v>
      </c>
      <c r="S29" s="113">
        <f t="shared" si="15"/>
        <v>0</v>
      </c>
      <c r="T29" s="113">
        <f t="shared" si="15"/>
        <v>0</v>
      </c>
      <c r="U29" s="113">
        <f t="shared" si="15"/>
        <v>0</v>
      </c>
      <c r="V29" s="113">
        <f t="shared" si="15"/>
        <v>0</v>
      </c>
      <c r="W29" s="113">
        <f t="shared" si="15"/>
        <v>0</v>
      </c>
      <c r="X29" s="113">
        <f t="shared" si="15"/>
        <v>250000</v>
      </c>
      <c r="Y29" s="113">
        <f t="shared" si="15"/>
        <v>0</v>
      </c>
      <c r="Z29" s="113">
        <f t="shared" si="15"/>
        <v>0</v>
      </c>
      <c r="AA29" s="113">
        <f t="shared" si="15"/>
        <v>0</v>
      </c>
      <c r="AB29" s="113">
        <f t="shared" si="15"/>
        <v>0</v>
      </c>
      <c r="AC29" s="113">
        <f t="shared" si="15"/>
        <v>0</v>
      </c>
      <c r="AD29" s="113">
        <f t="shared" si="15"/>
        <v>0</v>
      </c>
      <c r="AE29" s="113">
        <f t="shared" si="15"/>
        <v>0</v>
      </c>
      <c r="AF29" s="113">
        <f t="shared" si="15"/>
        <v>0</v>
      </c>
      <c r="AG29" s="113">
        <f t="shared" si="15"/>
        <v>0</v>
      </c>
      <c r="AH29" s="113">
        <f t="shared" si="15"/>
        <v>0</v>
      </c>
      <c r="AI29" s="113">
        <f t="shared" si="15"/>
        <v>0</v>
      </c>
      <c r="AJ29" s="113">
        <f t="shared" si="15"/>
        <v>0</v>
      </c>
      <c r="AK29" s="113">
        <f t="shared" si="15"/>
        <v>0</v>
      </c>
      <c r="AL29" s="113">
        <f t="shared" si="15"/>
        <v>0</v>
      </c>
      <c r="AM29" s="113">
        <f t="shared" si="15"/>
        <v>0</v>
      </c>
      <c r="AN29" s="113">
        <f t="shared" si="15"/>
        <v>0</v>
      </c>
      <c r="AO29" s="113">
        <f t="shared" si="15"/>
        <v>0</v>
      </c>
      <c r="AP29" s="113">
        <f t="shared" si="15"/>
        <v>0</v>
      </c>
      <c r="AQ29" s="113">
        <f t="shared" si="15"/>
        <v>0</v>
      </c>
      <c r="AR29" s="113">
        <f t="shared" si="15"/>
        <v>0</v>
      </c>
      <c r="AS29" s="113">
        <f t="shared" si="15"/>
        <v>0</v>
      </c>
      <c r="AT29" s="113">
        <f t="shared" si="15"/>
        <v>0</v>
      </c>
      <c r="AU29" s="113">
        <f t="shared" si="15"/>
        <v>0</v>
      </c>
      <c r="AV29" s="113">
        <f t="shared" si="15"/>
        <v>0</v>
      </c>
      <c r="AW29" s="113">
        <f t="shared" si="15"/>
        <v>0</v>
      </c>
      <c r="AX29" s="113">
        <f t="shared" si="15"/>
        <v>0</v>
      </c>
      <c r="AY29" s="113">
        <f t="shared" si="15"/>
        <v>0</v>
      </c>
      <c r="AZ29" s="113">
        <f t="shared" si="15"/>
        <v>0</v>
      </c>
      <c r="BA29" s="113">
        <f t="shared" si="15"/>
        <v>0</v>
      </c>
      <c r="BB29" s="113">
        <f t="shared" si="15"/>
        <v>0</v>
      </c>
      <c r="BC29" s="113">
        <f t="shared" ref="BC29:BN29" si="16">IF($C5=BC$28,$E5,0)</f>
        <v>0</v>
      </c>
      <c r="BD29" s="113">
        <f t="shared" si="16"/>
        <v>0</v>
      </c>
      <c r="BE29" s="113">
        <f t="shared" si="16"/>
        <v>0</v>
      </c>
      <c r="BF29" s="113">
        <f t="shared" si="16"/>
        <v>0</v>
      </c>
      <c r="BG29" s="113">
        <f t="shared" si="16"/>
        <v>0</v>
      </c>
      <c r="BH29" s="113">
        <f t="shared" si="16"/>
        <v>0</v>
      </c>
      <c r="BI29" s="113">
        <f t="shared" si="16"/>
        <v>0</v>
      </c>
      <c r="BJ29" s="113">
        <f t="shared" si="16"/>
        <v>0</v>
      </c>
      <c r="BK29" s="113">
        <f t="shared" si="16"/>
        <v>0</v>
      </c>
      <c r="BL29" s="113">
        <f t="shared" si="16"/>
        <v>0</v>
      </c>
      <c r="BM29" s="113">
        <f t="shared" si="16"/>
        <v>0</v>
      </c>
      <c r="BN29" s="113">
        <f t="shared" si="16"/>
        <v>0</v>
      </c>
      <c r="BO29" s="113">
        <f t="shared" ref="BO29:BT29" si="17">IF($C5=BO$28,$E5,0)</f>
        <v>0</v>
      </c>
      <c r="BP29" s="113">
        <f t="shared" si="17"/>
        <v>0</v>
      </c>
      <c r="BQ29" s="113">
        <f t="shared" si="17"/>
        <v>0</v>
      </c>
      <c r="BR29" s="113">
        <f t="shared" si="17"/>
        <v>0</v>
      </c>
      <c r="BS29" s="113">
        <f t="shared" si="17"/>
        <v>0</v>
      </c>
      <c r="BT29" s="113">
        <f t="shared" si="17"/>
        <v>0</v>
      </c>
      <c r="BU29" s="113">
        <f t="shared" ref="BU29:CF29" si="18">IF($C5=BU$28,$E5,0)</f>
        <v>0</v>
      </c>
      <c r="BV29" s="113">
        <f t="shared" si="18"/>
        <v>0</v>
      </c>
      <c r="BW29" s="113">
        <f t="shared" si="18"/>
        <v>0</v>
      </c>
      <c r="BX29" s="113">
        <f t="shared" si="18"/>
        <v>0</v>
      </c>
      <c r="BY29" s="113">
        <f t="shared" si="18"/>
        <v>0</v>
      </c>
      <c r="BZ29" s="113">
        <f t="shared" si="18"/>
        <v>0</v>
      </c>
      <c r="CA29" s="113">
        <f t="shared" si="18"/>
        <v>0</v>
      </c>
      <c r="CB29" s="113">
        <f t="shared" si="18"/>
        <v>0</v>
      </c>
      <c r="CC29" s="113">
        <f t="shared" si="18"/>
        <v>0</v>
      </c>
      <c r="CD29" s="113">
        <f t="shared" si="18"/>
        <v>0</v>
      </c>
      <c r="CE29" s="113">
        <f t="shared" si="18"/>
        <v>0</v>
      </c>
      <c r="CF29" s="113">
        <f t="shared" si="18"/>
        <v>0</v>
      </c>
    </row>
    <row r="30" spans="1:85">
      <c r="A30" s="104"/>
      <c r="B30" s="117" t="str">
        <f t="shared" ref="B30:B36" si="19">IF(B6="","",B6)</f>
        <v>Total Invest 2</v>
      </c>
      <c r="C30" s="105"/>
      <c r="D30" s="114">
        <f t="shared" ref="D30:D36" si="20">D6</f>
        <v>0</v>
      </c>
      <c r="E30" s="114">
        <f t="shared" ref="E30:E36" si="21">E6</f>
        <v>0</v>
      </c>
      <c r="F30" s="108"/>
      <c r="G30" s="113">
        <f t="shared" si="14"/>
        <v>0</v>
      </c>
      <c r="H30" s="113">
        <f t="shared" si="14"/>
        <v>0</v>
      </c>
      <c r="I30" s="113">
        <f t="shared" ref="I30:V30" si="22">IF($C6=I$28,$E6,0)</f>
        <v>0</v>
      </c>
      <c r="J30" s="113">
        <f t="shared" si="22"/>
        <v>0</v>
      </c>
      <c r="K30" s="113">
        <f t="shared" si="22"/>
        <v>0</v>
      </c>
      <c r="L30" s="113">
        <f t="shared" si="22"/>
        <v>0</v>
      </c>
      <c r="M30" s="113">
        <f t="shared" si="22"/>
        <v>0</v>
      </c>
      <c r="N30" s="113">
        <f t="shared" si="22"/>
        <v>0</v>
      </c>
      <c r="O30" s="113">
        <f t="shared" si="22"/>
        <v>0</v>
      </c>
      <c r="P30" s="113">
        <f t="shared" si="22"/>
        <v>0</v>
      </c>
      <c r="Q30" s="113">
        <f t="shared" si="22"/>
        <v>0</v>
      </c>
      <c r="R30" s="113">
        <f t="shared" si="22"/>
        <v>0</v>
      </c>
      <c r="S30" s="113">
        <f t="shared" si="22"/>
        <v>0</v>
      </c>
      <c r="T30" s="113">
        <f t="shared" si="22"/>
        <v>0</v>
      </c>
      <c r="U30" s="113">
        <f t="shared" si="22"/>
        <v>0</v>
      </c>
      <c r="V30" s="113">
        <f t="shared" si="22"/>
        <v>0</v>
      </c>
      <c r="W30" s="113">
        <f t="shared" ref="W30:BB30" si="23">IF($C6=W$28,$E6,0)</f>
        <v>0</v>
      </c>
      <c r="X30" s="113">
        <f t="shared" si="23"/>
        <v>0</v>
      </c>
      <c r="Y30" s="113">
        <f t="shared" si="23"/>
        <v>0</v>
      </c>
      <c r="Z30" s="113">
        <f t="shared" si="23"/>
        <v>0</v>
      </c>
      <c r="AA30" s="113">
        <f t="shared" si="23"/>
        <v>0</v>
      </c>
      <c r="AB30" s="113">
        <f t="shared" si="23"/>
        <v>0</v>
      </c>
      <c r="AC30" s="113">
        <f t="shared" si="23"/>
        <v>0</v>
      </c>
      <c r="AD30" s="113">
        <f t="shared" si="23"/>
        <v>0</v>
      </c>
      <c r="AE30" s="113">
        <f t="shared" si="23"/>
        <v>0</v>
      </c>
      <c r="AF30" s="113">
        <f t="shared" si="23"/>
        <v>0</v>
      </c>
      <c r="AG30" s="113">
        <f t="shared" si="23"/>
        <v>0</v>
      </c>
      <c r="AH30" s="113">
        <f t="shared" si="23"/>
        <v>0</v>
      </c>
      <c r="AI30" s="113">
        <f t="shared" si="23"/>
        <v>0</v>
      </c>
      <c r="AJ30" s="113">
        <f t="shared" si="23"/>
        <v>0</v>
      </c>
      <c r="AK30" s="113">
        <f t="shared" si="23"/>
        <v>0</v>
      </c>
      <c r="AL30" s="113">
        <f t="shared" si="23"/>
        <v>0</v>
      </c>
      <c r="AM30" s="113">
        <f t="shared" si="23"/>
        <v>0</v>
      </c>
      <c r="AN30" s="113">
        <f t="shared" si="23"/>
        <v>0</v>
      </c>
      <c r="AO30" s="113">
        <f t="shared" si="23"/>
        <v>0</v>
      </c>
      <c r="AP30" s="113">
        <f t="shared" si="23"/>
        <v>0</v>
      </c>
      <c r="AQ30" s="113">
        <f t="shared" si="23"/>
        <v>0</v>
      </c>
      <c r="AR30" s="113">
        <f t="shared" si="23"/>
        <v>0</v>
      </c>
      <c r="AS30" s="113">
        <f t="shared" si="23"/>
        <v>0</v>
      </c>
      <c r="AT30" s="113">
        <f t="shared" si="23"/>
        <v>0</v>
      </c>
      <c r="AU30" s="113">
        <f t="shared" si="23"/>
        <v>0</v>
      </c>
      <c r="AV30" s="113">
        <f t="shared" si="23"/>
        <v>0</v>
      </c>
      <c r="AW30" s="113">
        <f t="shared" si="23"/>
        <v>0</v>
      </c>
      <c r="AX30" s="113">
        <f t="shared" si="23"/>
        <v>0</v>
      </c>
      <c r="AY30" s="113">
        <f t="shared" si="23"/>
        <v>0</v>
      </c>
      <c r="AZ30" s="113">
        <f t="shared" si="23"/>
        <v>0</v>
      </c>
      <c r="BA30" s="113">
        <f t="shared" si="23"/>
        <v>0</v>
      </c>
      <c r="BB30" s="113">
        <f t="shared" si="23"/>
        <v>0</v>
      </c>
      <c r="BC30" s="113">
        <f t="shared" ref="BC30:BN30" si="24">IF($C6=BC$28,$E6,0)</f>
        <v>0</v>
      </c>
      <c r="BD30" s="113">
        <f t="shared" si="24"/>
        <v>0</v>
      </c>
      <c r="BE30" s="113">
        <f t="shared" si="24"/>
        <v>0</v>
      </c>
      <c r="BF30" s="113">
        <f t="shared" si="24"/>
        <v>0</v>
      </c>
      <c r="BG30" s="113">
        <f t="shared" si="24"/>
        <v>0</v>
      </c>
      <c r="BH30" s="113">
        <f t="shared" si="24"/>
        <v>0</v>
      </c>
      <c r="BI30" s="113">
        <f t="shared" si="24"/>
        <v>0</v>
      </c>
      <c r="BJ30" s="113">
        <f t="shared" si="24"/>
        <v>0</v>
      </c>
      <c r="BK30" s="113">
        <f t="shared" si="24"/>
        <v>0</v>
      </c>
      <c r="BL30" s="113">
        <f t="shared" si="24"/>
        <v>0</v>
      </c>
      <c r="BM30" s="113">
        <f t="shared" si="24"/>
        <v>0</v>
      </c>
      <c r="BN30" s="113">
        <f t="shared" si="24"/>
        <v>0</v>
      </c>
      <c r="BO30" s="113">
        <f t="shared" ref="BO30:BT30" si="25">IF($C6=BO$28,$E6,0)</f>
        <v>0</v>
      </c>
      <c r="BP30" s="113">
        <f t="shared" si="25"/>
        <v>0</v>
      </c>
      <c r="BQ30" s="113">
        <f t="shared" si="25"/>
        <v>0</v>
      </c>
      <c r="BR30" s="113">
        <f t="shared" si="25"/>
        <v>0</v>
      </c>
      <c r="BS30" s="113">
        <f t="shared" si="25"/>
        <v>0</v>
      </c>
      <c r="BT30" s="113">
        <f t="shared" si="25"/>
        <v>0</v>
      </c>
      <c r="BU30" s="113">
        <f t="shared" ref="BU30:CF30" si="26">IF($C6=BU$28,$E6,0)</f>
        <v>0</v>
      </c>
      <c r="BV30" s="113">
        <f t="shared" si="26"/>
        <v>0</v>
      </c>
      <c r="BW30" s="113">
        <f t="shared" si="26"/>
        <v>0</v>
      </c>
      <c r="BX30" s="113">
        <f t="shared" si="26"/>
        <v>0</v>
      </c>
      <c r="BY30" s="113">
        <f t="shared" si="26"/>
        <v>0</v>
      </c>
      <c r="BZ30" s="113">
        <f t="shared" si="26"/>
        <v>0</v>
      </c>
      <c r="CA30" s="113">
        <f t="shared" si="26"/>
        <v>0</v>
      </c>
      <c r="CB30" s="113">
        <f t="shared" si="26"/>
        <v>0</v>
      </c>
      <c r="CC30" s="113">
        <f t="shared" si="26"/>
        <v>0</v>
      </c>
      <c r="CD30" s="113">
        <f t="shared" si="26"/>
        <v>0</v>
      </c>
      <c r="CE30" s="113">
        <f t="shared" si="26"/>
        <v>0</v>
      </c>
      <c r="CF30" s="113">
        <f t="shared" si="26"/>
        <v>0</v>
      </c>
    </row>
    <row r="31" spans="1:85">
      <c r="A31" s="104"/>
      <c r="B31" s="117" t="str">
        <f t="shared" si="19"/>
        <v>Total Invest 3</v>
      </c>
      <c r="C31" s="105"/>
      <c r="D31" s="114">
        <f t="shared" si="20"/>
        <v>0</v>
      </c>
      <c r="E31" s="114">
        <f t="shared" si="21"/>
        <v>0</v>
      </c>
      <c r="F31" s="108"/>
      <c r="G31" s="113">
        <f t="shared" si="14"/>
        <v>0</v>
      </c>
      <c r="H31" s="113">
        <f t="shared" si="14"/>
        <v>0</v>
      </c>
      <c r="I31" s="113">
        <f t="shared" ref="I31:V31" si="27">IF($C7=I$28,$E7,0)</f>
        <v>0</v>
      </c>
      <c r="J31" s="113">
        <f t="shared" si="27"/>
        <v>0</v>
      </c>
      <c r="K31" s="113">
        <f t="shared" si="27"/>
        <v>0</v>
      </c>
      <c r="L31" s="113">
        <f t="shared" si="27"/>
        <v>0</v>
      </c>
      <c r="M31" s="113">
        <f t="shared" si="27"/>
        <v>0</v>
      </c>
      <c r="N31" s="113">
        <f t="shared" si="27"/>
        <v>0</v>
      </c>
      <c r="O31" s="113">
        <f t="shared" si="27"/>
        <v>0</v>
      </c>
      <c r="P31" s="113">
        <f t="shared" si="27"/>
        <v>0</v>
      </c>
      <c r="Q31" s="113">
        <f t="shared" si="27"/>
        <v>0</v>
      </c>
      <c r="R31" s="113">
        <f t="shared" si="27"/>
        <v>0</v>
      </c>
      <c r="S31" s="113">
        <f t="shared" si="27"/>
        <v>0</v>
      </c>
      <c r="T31" s="113">
        <f t="shared" si="27"/>
        <v>0</v>
      </c>
      <c r="U31" s="113">
        <f t="shared" si="27"/>
        <v>0</v>
      </c>
      <c r="V31" s="113">
        <f t="shared" si="27"/>
        <v>0</v>
      </c>
      <c r="W31" s="113">
        <f t="shared" ref="W31:BB31" si="28">IF($C7=W$28,$E7,0)</f>
        <v>0</v>
      </c>
      <c r="X31" s="113">
        <f t="shared" si="28"/>
        <v>0</v>
      </c>
      <c r="Y31" s="113">
        <f t="shared" si="28"/>
        <v>0</v>
      </c>
      <c r="Z31" s="113">
        <f t="shared" si="28"/>
        <v>0</v>
      </c>
      <c r="AA31" s="113">
        <f t="shared" si="28"/>
        <v>0</v>
      </c>
      <c r="AB31" s="113">
        <f t="shared" si="28"/>
        <v>0</v>
      </c>
      <c r="AC31" s="113">
        <f t="shared" si="28"/>
        <v>0</v>
      </c>
      <c r="AD31" s="113">
        <f t="shared" si="28"/>
        <v>0</v>
      </c>
      <c r="AE31" s="113">
        <f t="shared" si="28"/>
        <v>0</v>
      </c>
      <c r="AF31" s="113">
        <f t="shared" si="28"/>
        <v>0</v>
      </c>
      <c r="AG31" s="113">
        <f t="shared" si="28"/>
        <v>0</v>
      </c>
      <c r="AH31" s="113">
        <f t="shared" si="28"/>
        <v>0</v>
      </c>
      <c r="AI31" s="113">
        <f t="shared" si="28"/>
        <v>0</v>
      </c>
      <c r="AJ31" s="113">
        <f t="shared" si="28"/>
        <v>0</v>
      </c>
      <c r="AK31" s="113">
        <f t="shared" si="28"/>
        <v>0</v>
      </c>
      <c r="AL31" s="113">
        <f t="shared" si="28"/>
        <v>0</v>
      </c>
      <c r="AM31" s="113">
        <f t="shared" si="28"/>
        <v>0</v>
      </c>
      <c r="AN31" s="113">
        <f t="shared" si="28"/>
        <v>0</v>
      </c>
      <c r="AO31" s="113">
        <f t="shared" si="28"/>
        <v>0</v>
      </c>
      <c r="AP31" s="113">
        <f t="shared" si="28"/>
        <v>0</v>
      </c>
      <c r="AQ31" s="113">
        <f t="shared" si="28"/>
        <v>0</v>
      </c>
      <c r="AR31" s="113">
        <f t="shared" si="28"/>
        <v>0</v>
      </c>
      <c r="AS31" s="113">
        <f t="shared" si="28"/>
        <v>0</v>
      </c>
      <c r="AT31" s="113">
        <f t="shared" si="28"/>
        <v>0</v>
      </c>
      <c r="AU31" s="113">
        <f t="shared" si="28"/>
        <v>0</v>
      </c>
      <c r="AV31" s="113">
        <f t="shared" si="28"/>
        <v>0</v>
      </c>
      <c r="AW31" s="113">
        <f t="shared" si="28"/>
        <v>0</v>
      </c>
      <c r="AX31" s="113">
        <f t="shared" si="28"/>
        <v>0</v>
      </c>
      <c r="AY31" s="113">
        <f t="shared" si="28"/>
        <v>0</v>
      </c>
      <c r="AZ31" s="113">
        <f t="shared" si="28"/>
        <v>0</v>
      </c>
      <c r="BA31" s="113">
        <f t="shared" si="28"/>
        <v>0</v>
      </c>
      <c r="BB31" s="113">
        <f t="shared" si="28"/>
        <v>0</v>
      </c>
      <c r="BC31" s="113">
        <f t="shared" ref="BC31:BN31" si="29">IF($C7=BC$28,$E7,0)</f>
        <v>0</v>
      </c>
      <c r="BD31" s="113">
        <f t="shared" si="29"/>
        <v>0</v>
      </c>
      <c r="BE31" s="113">
        <f t="shared" si="29"/>
        <v>0</v>
      </c>
      <c r="BF31" s="113">
        <f t="shared" si="29"/>
        <v>0</v>
      </c>
      <c r="BG31" s="113">
        <f t="shared" si="29"/>
        <v>0</v>
      </c>
      <c r="BH31" s="113">
        <f t="shared" si="29"/>
        <v>0</v>
      </c>
      <c r="BI31" s="113">
        <f t="shared" si="29"/>
        <v>0</v>
      </c>
      <c r="BJ31" s="113">
        <f t="shared" si="29"/>
        <v>0</v>
      </c>
      <c r="BK31" s="113">
        <f t="shared" si="29"/>
        <v>0</v>
      </c>
      <c r="BL31" s="113">
        <f t="shared" si="29"/>
        <v>0</v>
      </c>
      <c r="BM31" s="113">
        <f t="shared" si="29"/>
        <v>0</v>
      </c>
      <c r="BN31" s="113">
        <f t="shared" si="29"/>
        <v>0</v>
      </c>
      <c r="BO31" s="113">
        <f t="shared" ref="BO31:BT31" si="30">IF($C7=BO$28,$E7,0)</f>
        <v>0</v>
      </c>
      <c r="BP31" s="113">
        <f t="shared" si="30"/>
        <v>0</v>
      </c>
      <c r="BQ31" s="113">
        <f t="shared" si="30"/>
        <v>0</v>
      </c>
      <c r="BR31" s="113">
        <f t="shared" si="30"/>
        <v>0</v>
      </c>
      <c r="BS31" s="113">
        <f t="shared" si="30"/>
        <v>0</v>
      </c>
      <c r="BT31" s="113">
        <f t="shared" si="30"/>
        <v>0</v>
      </c>
      <c r="BU31" s="113">
        <f t="shared" ref="BU31:CF31" si="31">IF($C7=BU$28,$E7,0)</f>
        <v>0</v>
      </c>
      <c r="BV31" s="113">
        <f t="shared" si="31"/>
        <v>0</v>
      </c>
      <c r="BW31" s="113">
        <f t="shared" si="31"/>
        <v>0</v>
      </c>
      <c r="BX31" s="113">
        <f t="shared" si="31"/>
        <v>0</v>
      </c>
      <c r="BY31" s="113">
        <f t="shared" si="31"/>
        <v>0</v>
      </c>
      <c r="BZ31" s="113">
        <f t="shared" si="31"/>
        <v>0</v>
      </c>
      <c r="CA31" s="113">
        <f t="shared" si="31"/>
        <v>0</v>
      </c>
      <c r="CB31" s="113">
        <f t="shared" si="31"/>
        <v>0</v>
      </c>
      <c r="CC31" s="113">
        <f t="shared" si="31"/>
        <v>0</v>
      </c>
      <c r="CD31" s="113">
        <f t="shared" si="31"/>
        <v>0</v>
      </c>
      <c r="CE31" s="113">
        <f t="shared" si="31"/>
        <v>0</v>
      </c>
      <c r="CF31" s="113">
        <f t="shared" si="31"/>
        <v>0</v>
      </c>
    </row>
    <row r="32" spans="1:85">
      <c r="A32" s="104"/>
      <c r="B32" s="117" t="str">
        <f t="shared" si="19"/>
        <v/>
      </c>
      <c r="C32" s="105"/>
      <c r="D32" s="114">
        <f t="shared" si="20"/>
        <v>0</v>
      </c>
      <c r="E32" s="114">
        <f t="shared" si="21"/>
        <v>0</v>
      </c>
      <c r="F32" s="108"/>
      <c r="G32" s="113">
        <f t="shared" si="14"/>
        <v>0</v>
      </c>
      <c r="H32" s="113">
        <f t="shared" si="14"/>
        <v>0</v>
      </c>
      <c r="I32" s="113">
        <f t="shared" ref="I32:V32" si="32">IF($C8=I$28,$E8,0)</f>
        <v>0</v>
      </c>
      <c r="J32" s="113">
        <f t="shared" si="32"/>
        <v>0</v>
      </c>
      <c r="K32" s="113">
        <f t="shared" si="32"/>
        <v>0</v>
      </c>
      <c r="L32" s="113">
        <f t="shared" si="32"/>
        <v>0</v>
      </c>
      <c r="M32" s="113">
        <f t="shared" si="32"/>
        <v>0</v>
      </c>
      <c r="N32" s="113">
        <f t="shared" si="32"/>
        <v>0</v>
      </c>
      <c r="O32" s="113">
        <f t="shared" si="32"/>
        <v>0</v>
      </c>
      <c r="P32" s="113">
        <f t="shared" si="32"/>
        <v>0</v>
      </c>
      <c r="Q32" s="113">
        <f t="shared" si="32"/>
        <v>0</v>
      </c>
      <c r="R32" s="113">
        <f t="shared" si="32"/>
        <v>0</v>
      </c>
      <c r="S32" s="113">
        <f t="shared" si="32"/>
        <v>0</v>
      </c>
      <c r="T32" s="113">
        <f t="shared" si="32"/>
        <v>0</v>
      </c>
      <c r="U32" s="113">
        <f t="shared" si="32"/>
        <v>0</v>
      </c>
      <c r="V32" s="113">
        <f t="shared" si="32"/>
        <v>0</v>
      </c>
      <c r="W32" s="113">
        <f t="shared" ref="W32:BB32" si="33">IF($C8=W$28,$E8,0)</f>
        <v>0</v>
      </c>
      <c r="X32" s="113">
        <f t="shared" si="33"/>
        <v>0</v>
      </c>
      <c r="Y32" s="113">
        <f t="shared" si="33"/>
        <v>0</v>
      </c>
      <c r="Z32" s="113">
        <f t="shared" si="33"/>
        <v>0</v>
      </c>
      <c r="AA32" s="113">
        <f t="shared" si="33"/>
        <v>0</v>
      </c>
      <c r="AB32" s="113">
        <f t="shared" si="33"/>
        <v>0</v>
      </c>
      <c r="AC32" s="113">
        <f t="shared" si="33"/>
        <v>0</v>
      </c>
      <c r="AD32" s="113">
        <f t="shared" si="33"/>
        <v>0</v>
      </c>
      <c r="AE32" s="113">
        <f t="shared" si="33"/>
        <v>0</v>
      </c>
      <c r="AF32" s="113">
        <f t="shared" si="33"/>
        <v>0</v>
      </c>
      <c r="AG32" s="113">
        <f t="shared" si="33"/>
        <v>0</v>
      </c>
      <c r="AH32" s="113">
        <f t="shared" si="33"/>
        <v>0</v>
      </c>
      <c r="AI32" s="113">
        <f t="shared" si="33"/>
        <v>0</v>
      </c>
      <c r="AJ32" s="113">
        <f t="shared" si="33"/>
        <v>0</v>
      </c>
      <c r="AK32" s="113">
        <f t="shared" si="33"/>
        <v>0</v>
      </c>
      <c r="AL32" s="113">
        <f t="shared" si="33"/>
        <v>0</v>
      </c>
      <c r="AM32" s="113">
        <f t="shared" si="33"/>
        <v>0</v>
      </c>
      <c r="AN32" s="113">
        <f t="shared" si="33"/>
        <v>0</v>
      </c>
      <c r="AO32" s="113">
        <f t="shared" si="33"/>
        <v>0</v>
      </c>
      <c r="AP32" s="113">
        <f t="shared" si="33"/>
        <v>0</v>
      </c>
      <c r="AQ32" s="113">
        <f t="shared" si="33"/>
        <v>0</v>
      </c>
      <c r="AR32" s="113">
        <f t="shared" si="33"/>
        <v>0</v>
      </c>
      <c r="AS32" s="113">
        <f t="shared" si="33"/>
        <v>0</v>
      </c>
      <c r="AT32" s="113">
        <f t="shared" si="33"/>
        <v>0</v>
      </c>
      <c r="AU32" s="113">
        <f t="shared" si="33"/>
        <v>0</v>
      </c>
      <c r="AV32" s="113">
        <f t="shared" si="33"/>
        <v>0</v>
      </c>
      <c r="AW32" s="113">
        <f t="shared" si="33"/>
        <v>0</v>
      </c>
      <c r="AX32" s="113">
        <f t="shared" si="33"/>
        <v>0</v>
      </c>
      <c r="AY32" s="113">
        <f t="shared" si="33"/>
        <v>0</v>
      </c>
      <c r="AZ32" s="113">
        <f t="shared" si="33"/>
        <v>0</v>
      </c>
      <c r="BA32" s="113">
        <f t="shared" si="33"/>
        <v>0</v>
      </c>
      <c r="BB32" s="113">
        <f t="shared" si="33"/>
        <v>0</v>
      </c>
      <c r="BC32" s="113">
        <f t="shared" ref="BC32:BN32" si="34">IF($C8=BC$28,$E8,0)</f>
        <v>0</v>
      </c>
      <c r="BD32" s="113">
        <f t="shared" si="34"/>
        <v>0</v>
      </c>
      <c r="BE32" s="113">
        <f t="shared" si="34"/>
        <v>0</v>
      </c>
      <c r="BF32" s="113">
        <f t="shared" si="34"/>
        <v>0</v>
      </c>
      <c r="BG32" s="113">
        <f t="shared" si="34"/>
        <v>0</v>
      </c>
      <c r="BH32" s="113">
        <f t="shared" si="34"/>
        <v>0</v>
      </c>
      <c r="BI32" s="113">
        <f t="shared" si="34"/>
        <v>0</v>
      </c>
      <c r="BJ32" s="113">
        <f t="shared" si="34"/>
        <v>0</v>
      </c>
      <c r="BK32" s="113">
        <f t="shared" si="34"/>
        <v>0</v>
      </c>
      <c r="BL32" s="113">
        <f t="shared" si="34"/>
        <v>0</v>
      </c>
      <c r="BM32" s="113">
        <f t="shared" si="34"/>
        <v>0</v>
      </c>
      <c r="BN32" s="113">
        <f t="shared" si="34"/>
        <v>0</v>
      </c>
      <c r="BO32" s="113">
        <f t="shared" ref="BO32:BT32" si="35">IF($C8=BO$28,$E8,0)</f>
        <v>0</v>
      </c>
      <c r="BP32" s="113">
        <f t="shared" si="35"/>
        <v>0</v>
      </c>
      <c r="BQ32" s="113">
        <f t="shared" si="35"/>
        <v>0</v>
      </c>
      <c r="BR32" s="113">
        <f t="shared" si="35"/>
        <v>0</v>
      </c>
      <c r="BS32" s="113">
        <f t="shared" si="35"/>
        <v>0</v>
      </c>
      <c r="BT32" s="113">
        <f t="shared" si="35"/>
        <v>0</v>
      </c>
      <c r="BU32" s="113">
        <f t="shared" ref="BU32:CF32" si="36">IF($C8=BU$28,$E8,0)</f>
        <v>0</v>
      </c>
      <c r="BV32" s="113">
        <f t="shared" si="36"/>
        <v>0</v>
      </c>
      <c r="BW32" s="113">
        <f t="shared" si="36"/>
        <v>0</v>
      </c>
      <c r="BX32" s="113">
        <f t="shared" si="36"/>
        <v>0</v>
      </c>
      <c r="BY32" s="113">
        <f t="shared" si="36"/>
        <v>0</v>
      </c>
      <c r="BZ32" s="113">
        <f t="shared" si="36"/>
        <v>0</v>
      </c>
      <c r="CA32" s="113">
        <f t="shared" si="36"/>
        <v>0</v>
      </c>
      <c r="CB32" s="113">
        <f t="shared" si="36"/>
        <v>0</v>
      </c>
      <c r="CC32" s="113">
        <f t="shared" si="36"/>
        <v>0</v>
      </c>
      <c r="CD32" s="113">
        <f t="shared" si="36"/>
        <v>0</v>
      </c>
      <c r="CE32" s="113">
        <f t="shared" si="36"/>
        <v>0</v>
      </c>
      <c r="CF32" s="113">
        <f t="shared" si="36"/>
        <v>0</v>
      </c>
    </row>
    <row r="33" spans="1:84">
      <c r="A33" s="104"/>
      <c r="B33" s="117" t="str">
        <f t="shared" si="19"/>
        <v/>
      </c>
      <c r="C33" s="105"/>
      <c r="D33" s="114">
        <f t="shared" si="20"/>
        <v>0</v>
      </c>
      <c r="E33" s="114">
        <f t="shared" si="21"/>
        <v>0</v>
      </c>
      <c r="F33" s="108"/>
      <c r="G33" s="113">
        <f t="shared" si="14"/>
        <v>0</v>
      </c>
      <c r="H33" s="113">
        <f t="shared" si="14"/>
        <v>0</v>
      </c>
      <c r="I33" s="113">
        <f t="shared" ref="I33:V33" si="37">IF($C9=I$28,$E9,0)</f>
        <v>0</v>
      </c>
      <c r="J33" s="113">
        <f t="shared" si="37"/>
        <v>0</v>
      </c>
      <c r="K33" s="113">
        <f t="shared" si="37"/>
        <v>0</v>
      </c>
      <c r="L33" s="113">
        <f t="shared" si="37"/>
        <v>0</v>
      </c>
      <c r="M33" s="113">
        <f t="shared" si="37"/>
        <v>0</v>
      </c>
      <c r="N33" s="113">
        <f t="shared" si="37"/>
        <v>0</v>
      </c>
      <c r="O33" s="113">
        <f t="shared" si="37"/>
        <v>0</v>
      </c>
      <c r="P33" s="113">
        <f t="shared" si="37"/>
        <v>0</v>
      </c>
      <c r="Q33" s="113">
        <f t="shared" si="37"/>
        <v>0</v>
      </c>
      <c r="R33" s="113">
        <f t="shared" si="37"/>
        <v>0</v>
      </c>
      <c r="S33" s="113">
        <f t="shared" si="37"/>
        <v>0</v>
      </c>
      <c r="T33" s="113">
        <f t="shared" si="37"/>
        <v>0</v>
      </c>
      <c r="U33" s="113">
        <f t="shared" si="37"/>
        <v>0</v>
      </c>
      <c r="V33" s="113">
        <f t="shared" si="37"/>
        <v>0</v>
      </c>
      <c r="W33" s="113">
        <f t="shared" ref="W33:BB33" si="38">IF($C9=W$28,$E9,0)</f>
        <v>0</v>
      </c>
      <c r="X33" s="113">
        <f t="shared" si="38"/>
        <v>0</v>
      </c>
      <c r="Y33" s="113">
        <f t="shared" si="38"/>
        <v>0</v>
      </c>
      <c r="Z33" s="113">
        <f t="shared" si="38"/>
        <v>0</v>
      </c>
      <c r="AA33" s="113">
        <f t="shared" si="38"/>
        <v>0</v>
      </c>
      <c r="AB33" s="113">
        <f t="shared" si="38"/>
        <v>0</v>
      </c>
      <c r="AC33" s="113">
        <f t="shared" si="38"/>
        <v>0</v>
      </c>
      <c r="AD33" s="113">
        <f t="shared" si="38"/>
        <v>0</v>
      </c>
      <c r="AE33" s="113">
        <f t="shared" si="38"/>
        <v>0</v>
      </c>
      <c r="AF33" s="113">
        <f t="shared" si="38"/>
        <v>0</v>
      </c>
      <c r="AG33" s="113">
        <f t="shared" si="38"/>
        <v>0</v>
      </c>
      <c r="AH33" s="113">
        <f t="shared" si="38"/>
        <v>0</v>
      </c>
      <c r="AI33" s="113">
        <f t="shared" si="38"/>
        <v>0</v>
      </c>
      <c r="AJ33" s="113">
        <f t="shared" si="38"/>
        <v>0</v>
      </c>
      <c r="AK33" s="113">
        <f t="shared" si="38"/>
        <v>0</v>
      </c>
      <c r="AL33" s="113">
        <f t="shared" si="38"/>
        <v>0</v>
      </c>
      <c r="AM33" s="113">
        <f t="shared" si="38"/>
        <v>0</v>
      </c>
      <c r="AN33" s="113">
        <f t="shared" si="38"/>
        <v>0</v>
      </c>
      <c r="AO33" s="113">
        <f t="shared" si="38"/>
        <v>0</v>
      </c>
      <c r="AP33" s="113">
        <f t="shared" si="38"/>
        <v>0</v>
      </c>
      <c r="AQ33" s="113">
        <f t="shared" si="38"/>
        <v>0</v>
      </c>
      <c r="AR33" s="113">
        <f t="shared" si="38"/>
        <v>0</v>
      </c>
      <c r="AS33" s="113">
        <f t="shared" si="38"/>
        <v>0</v>
      </c>
      <c r="AT33" s="113">
        <f t="shared" si="38"/>
        <v>0</v>
      </c>
      <c r="AU33" s="113">
        <f t="shared" si="38"/>
        <v>0</v>
      </c>
      <c r="AV33" s="113">
        <f t="shared" si="38"/>
        <v>0</v>
      </c>
      <c r="AW33" s="113">
        <f t="shared" si="38"/>
        <v>0</v>
      </c>
      <c r="AX33" s="113">
        <f t="shared" si="38"/>
        <v>0</v>
      </c>
      <c r="AY33" s="113">
        <f t="shared" si="38"/>
        <v>0</v>
      </c>
      <c r="AZ33" s="113">
        <f t="shared" si="38"/>
        <v>0</v>
      </c>
      <c r="BA33" s="113">
        <f t="shared" si="38"/>
        <v>0</v>
      </c>
      <c r="BB33" s="113">
        <f t="shared" si="38"/>
        <v>0</v>
      </c>
      <c r="BC33" s="113">
        <f t="shared" ref="BC33:BN33" si="39">IF($C9=BC$28,$E9,0)</f>
        <v>0</v>
      </c>
      <c r="BD33" s="113">
        <f t="shared" si="39"/>
        <v>0</v>
      </c>
      <c r="BE33" s="113">
        <f t="shared" si="39"/>
        <v>0</v>
      </c>
      <c r="BF33" s="113">
        <f t="shared" si="39"/>
        <v>0</v>
      </c>
      <c r="BG33" s="113">
        <f t="shared" si="39"/>
        <v>0</v>
      </c>
      <c r="BH33" s="113">
        <f t="shared" si="39"/>
        <v>0</v>
      </c>
      <c r="BI33" s="113">
        <f t="shared" si="39"/>
        <v>0</v>
      </c>
      <c r="BJ33" s="113">
        <f t="shared" si="39"/>
        <v>0</v>
      </c>
      <c r="BK33" s="113">
        <f t="shared" si="39"/>
        <v>0</v>
      </c>
      <c r="BL33" s="113">
        <f t="shared" si="39"/>
        <v>0</v>
      </c>
      <c r="BM33" s="113">
        <f t="shared" si="39"/>
        <v>0</v>
      </c>
      <c r="BN33" s="113">
        <f t="shared" si="39"/>
        <v>0</v>
      </c>
      <c r="BO33" s="113">
        <f t="shared" ref="BO33:BT33" si="40">IF($C9=BO$28,$E9,0)</f>
        <v>0</v>
      </c>
      <c r="BP33" s="113">
        <f t="shared" si="40"/>
        <v>0</v>
      </c>
      <c r="BQ33" s="113">
        <f t="shared" si="40"/>
        <v>0</v>
      </c>
      <c r="BR33" s="113">
        <f t="shared" si="40"/>
        <v>0</v>
      </c>
      <c r="BS33" s="113">
        <f t="shared" si="40"/>
        <v>0</v>
      </c>
      <c r="BT33" s="113">
        <f t="shared" si="40"/>
        <v>0</v>
      </c>
      <c r="BU33" s="113">
        <f t="shared" ref="BU33:CF33" si="41">IF($C9=BU$28,$E9,0)</f>
        <v>0</v>
      </c>
      <c r="BV33" s="113">
        <f t="shared" si="41"/>
        <v>0</v>
      </c>
      <c r="BW33" s="113">
        <f t="shared" si="41"/>
        <v>0</v>
      </c>
      <c r="BX33" s="113">
        <f t="shared" si="41"/>
        <v>0</v>
      </c>
      <c r="BY33" s="113">
        <f t="shared" si="41"/>
        <v>0</v>
      </c>
      <c r="BZ33" s="113">
        <f t="shared" si="41"/>
        <v>0</v>
      </c>
      <c r="CA33" s="113">
        <f t="shared" si="41"/>
        <v>0</v>
      </c>
      <c r="CB33" s="113">
        <f t="shared" si="41"/>
        <v>0</v>
      </c>
      <c r="CC33" s="113">
        <f t="shared" si="41"/>
        <v>0</v>
      </c>
      <c r="CD33" s="113">
        <f t="shared" si="41"/>
        <v>0</v>
      </c>
      <c r="CE33" s="113">
        <f t="shared" si="41"/>
        <v>0</v>
      </c>
      <c r="CF33" s="113">
        <f t="shared" si="41"/>
        <v>0</v>
      </c>
    </row>
    <row r="34" spans="1:84">
      <c r="A34" s="104"/>
      <c r="B34" s="117" t="str">
        <f t="shared" si="19"/>
        <v/>
      </c>
      <c r="C34" s="108"/>
      <c r="D34" s="114">
        <f t="shared" si="20"/>
        <v>0</v>
      </c>
      <c r="E34" s="114">
        <f t="shared" si="21"/>
        <v>0</v>
      </c>
      <c r="F34" s="108"/>
      <c r="G34" s="113">
        <f t="shared" si="14"/>
        <v>0</v>
      </c>
      <c r="H34" s="113">
        <f t="shared" si="14"/>
        <v>0</v>
      </c>
      <c r="I34" s="113">
        <f t="shared" ref="I34:V34" si="42">IF($C10=I$28,$E10,0)</f>
        <v>0</v>
      </c>
      <c r="J34" s="113">
        <f t="shared" si="42"/>
        <v>0</v>
      </c>
      <c r="K34" s="113">
        <f t="shared" si="42"/>
        <v>0</v>
      </c>
      <c r="L34" s="113">
        <f t="shared" si="42"/>
        <v>0</v>
      </c>
      <c r="M34" s="113">
        <f t="shared" si="42"/>
        <v>0</v>
      </c>
      <c r="N34" s="113">
        <f t="shared" si="42"/>
        <v>0</v>
      </c>
      <c r="O34" s="113">
        <f t="shared" si="42"/>
        <v>0</v>
      </c>
      <c r="P34" s="113">
        <f t="shared" si="42"/>
        <v>0</v>
      </c>
      <c r="Q34" s="113">
        <f t="shared" si="42"/>
        <v>0</v>
      </c>
      <c r="R34" s="113">
        <f t="shared" si="42"/>
        <v>0</v>
      </c>
      <c r="S34" s="113">
        <f t="shared" si="42"/>
        <v>0</v>
      </c>
      <c r="T34" s="113">
        <f t="shared" si="42"/>
        <v>0</v>
      </c>
      <c r="U34" s="113">
        <f t="shared" si="42"/>
        <v>0</v>
      </c>
      <c r="V34" s="113">
        <f t="shared" si="42"/>
        <v>0</v>
      </c>
      <c r="W34" s="113">
        <f t="shared" ref="W34:BB34" si="43">IF($C10=W$28,$E10,0)</f>
        <v>0</v>
      </c>
      <c r="X34" s="113">
        <f t="shared" si="43"/>
        <v>0</v>
      </c>
      <c r="Y34" s="113">
        <f t="shared" si="43"/>
        <v>0</v>
      </c>
      <c r="Z34" s="113">
        <f t="shared" si="43"/>
        <v>0</v>
      </c>
      <c r="AA34" s="113">
        <f t="shared" si="43"/>
        <v>0</v>
      </c>
      <c r="AB34" s="113">
        <f t="shared" si="43"/>
        <v>0</v>
      </c>
      <c r="AC34" s="113">
        <f t="shared" si="43"/>
        <v>0</v>
      </c>
      <c r="AD34" s="113">
        <f t="shared" si="43"/>
        <v>0</v>
      </c>
      <c r="AE34" s="113">
        <f t="shared" si="43"/>
        <v>0</v>
      </c>
      <c r="AF34" s="113">
        <f t="shared" si="43"/>
        <v>0</v>
      </c>
      <c r="AG34" s="113">
        <f t="shared" si="43"/>
        <v>0</v>
      </c>
      <c r="AH34" s="113">
        <f t="shared" si="43"/>
        <v>0</v>
      </c>
      <c r="AI34" s="113">
        <f t="shared" si="43"/>
        <v>0</v>
      </c>
      <c r="AJ34" s="113">
        <f t="shared" si="43"/>
        <v>0</v>
      </c>
      <c r="AK34" s="113">
        <f t="shared" si="43"/>
        <v>0</v>
      </c>
      <c r="AL34" s="113">
        <f t="shared" si="43"/>
        <v>0</v>
      </c>
      <c r="AM34" s="113">
        <f t="shared" si="43"/>
        <v>0</v>
      </c>
      <c r="AN34" s="113">
        <f t="shared" si="43"/>
        <v>0</v>
      </c>
      <c r="AO34" s="113">
        <f t="shared" si="43"/>
        <v>0</v>
      </c>
      <c r="AP34" s="113">
        <f t="shared" si="43"/>
        <v>0</v>
      </c>
      <c r="AQ34" s="113">
        <f t="shared" si="43"/>
        <v>0</v>
      </c>
      <c r="AR34" s="113">
        <f t="shared" si="43"/>
        <v>0</v>
      </c>
      <c r="AS34" s="113">
        <f t="shared" si="43"/>
        <v>0</v>
      </c>
      <c r="AT34" s="113">
        <f t="shared" si="43"/>
        <v>0</v>
      </c>
      <c r="AU34" s="113">
        <f t="shared" si="43"/>
        <v>0</v>
      </c>
      <c r="AV34" s="113">
        <f t="shared" si="43"/>
        <v>0</v>
      </c>
      <c r="AW34" s="113">
        <f t="shared" si="43"/>
        <v>0</v>
      </c>
      <c r="AX34" s="113">
        <f t="shared" si="43"/>
        <v>0</v>
      </c>
      <c r="AY34" s="113">
        <f t="shared" si="43"/>
        <v>0</v>
      </c>
      <c r="AZ34" s="113">
        <f t="shared" si="43"/>
        <v>0</v>
      </c>
      <c r="BA34" s="113">
        <f t="shared" si="43"/>
        <v>0</v>
      </c>
      <c r="BB34" s="113">
        <f t="shared" si="43"/>
        <v>0</v>
      </c>
      <c r="BC34" s="113">
        <f t="shared" ref="BC34:BN34" si="44">IF($C10=BC$28,$E10,0)</f>
        <v>0</v>
      </c>
      <c r="BD34" s="113">
        <f t="shared" si="44"/>
        <v>0</v>
      </c>
      <c r="BE34" s="113">
        <f t="shared" si="44"/>
        <v>0</v>
      </c>
      <c r="BF34" s="113">
        <f t="shared" si="44"/>
        <v>0</v>
      </c>
      <c r="BG34" s="113">
        <f t="shared" si="44"/>
        <v>0</v>
      </c>
      <c r="BH34" s="113">
        <f t="shared" si="44"/>
        <v>0</v>
      </c>
      <c r="BI34" s="113">
        <f t="shared" si="44"/>
        <v>0</v>
      </c>
      <c r="BJ34" s="113">
        <f t="shared" si="44"/>
        <v>0</v>
      </c>
      <c r="BK34" s="113">
        <f t="shared" si="44"/>
        <v>0</v>
      </c>
      <c r="BL34" s="113">
        <f t="shared" si="44"/>
        <v>0</v>
      </c>
      <c r="BM34" s="113">
        <f t="shared" si="44"/>
        <v>0</v>
      </c>
      <c r="BN34" s="113">
        <f t="shared" si="44"/>
        <v>0</v>
      </c>
      <c r="BO34" s="113">
        <f t="shared" ref="BO34:BT34" si="45">IF($C10=BO$28,$E10,0)</f>
        <v>0</v>
      </c>
      <c r="BP34" s="113">
        <f t="shared" si="45"/>
        <v>0</v>
      </c>
      <c r="BQ34" s="113">
        <f t="shared" si="45"/>
        <v>0</v>
      </c>
      <c r="BR34" s="113">
        <f t="shared" si="45"/>
        <v>0</v>
      </c>
      <c r="BS34" s="113">
        <f t="shared" si="45"/>
        <v>0</v>
      </c>
      <c r="BT34" s="113">
        <f t="shared" si="45"/>
        <v>0</v>
      </c>
      <c r="BU34" s="113">
        <f t="shared" ref="BU34:CF34" si="46">IF($C10=BU$28,$E10,0)</f>
        <v>0</v>
      </c>
      <c r="BV34" s="113">
        <f t="shared" si="46"/>
        <v>0</v>
      </c>
      <c r="BW34" s="113">
        <f t="shared" si="46"/>
        <v>0</v>
      </c>
      <c r="BX34" s="113">
        <f t="shared" si="46"/>
        <v>0</v>
      </c>
      <c r="BY34" s="113">
        <f t="shared" si="46"/>
        <v>0</v>
      </c>
      <c r="BZ34" s="113">
        <f t="shared" si="46"/>
        <v>0</v>
      </c>
      <c r="CA34" s="113">
        <f t="shared" si="46"/>
        <v>0</v>
      </c>
      <c r="CB34" s="113">
        <f t="shared" si="46"/>
        <v>0</v>
      </c>
      <c r="CC34" s="113">
        <f t="shared" si="46"/>
        <v>0</v>
      </c>
      <c r="CD34" s="113">
        <f t="shared" si="46"/>
        <v>0</v>
      </c>
      <c r="CE34" s="113">
        <f t="shared" si="46"/>
        <v>0</v>
      </c>
      <c r="CF34" s="113">
        <f t="shared" si="46"/>
        <v>0</v>
      </c>
    </row>
    <row r="35" spans="1:84">
      <c r="A35" s="104"/>
      <c r="B35" s="117" t="str">
        <f t="shared" si="19"/>
        <v/>
      </c>
      <c r="C35" s="108"/>
      <c r="D35" s="114">
        <f t="shared" si="20"/>
        <v>0</v>
      </c>
      <c r="E35" s="114">
        <f t="shared" si="21"/>
        <v>0</v>
      </c>
      <c r="F35" s="108"/>
      <c r="G35" s="113">
        <f t="shared" ref="G35:V35" si="47">IF($C11=G$28,$E11,0)</f>
        <v>0</v>
      </c>
      <c r="H35" s="113">
        <f t="shared" si="47"/>
        <v>0</v>
      </c>
      <c r="I35" s="113">
        <f t="shared" si="47"/>
        <v>0</v>
      </c>
      <c r="J35" s="113">
        <f t="shared" si="47"/>
        <v>0</v>
      </c>
      <c r="K35" s="113">
        <f t="shared" si="47"/>
        <v>0</v>
      </c>
      <c r="L35" s="113">
        <f t="shared" si="47"/>
        <v>0</v>
      </c>
      <c r="M35" s="113">
        <f t="shared" si="47"/>
        <v>0</v>
      </c>
      <c r="N35" s="113">
        <f t="shared" si="47"/>
        <v>0</v>
      </c>
      <c r="O35" s="113">
        <f t="shared" si="47"/>
        <v>0</v>
      </c>
      <c r="P35" s="113">
        <f t="shared" si="47"/>
        <v>0</v>
      </c>
      <c r="Q35" s="113">
        <f t="shared" si="47"/>
        <v>0</v>
      </c>
      <c r="R35" s="113">
        <f t="shared" si="47"/>
        <v>0</v>
      </c>
      <c r="S35" s="113">
        <f t="shared" si="47"/>
        <v>0</v>
      </c>
      <c r="T35" s="113">
        <f t="shared" si="47"/>
        <v>0</v>
      </c>
      <c r="U35" s="113">
        <f t="shared" si="47"/>
        <v>0</v>
      </c>
      <c r="V35" s="113">
        <f t="shared" si="47"/>
        <v>0</v>
      </c>
      <c r="W35" s="113">
        <f t="shared" ref="W35:BB35" si="48">IF($C11=W$28,$E11,0)</f>
        <v>0</v>
      </c>
      <c r="X35" s="113">
        <f t="shared" si="48"/>
        <v>0</v>
      </c>
      <c r="Y35" s="113">
        <f t="shared" si="48"/>
        <v>0</v>
      </c>
      <c r="Z35" s="113">
        <f t="shared" si="48"/>
        <v>0</v>
      </c>
      <c r="AA35" s="113">
        <f t="shared" si="48"/>
        <v>0</v>
      </c>
      <c r="AB35" s="113">
        <f t="shared" si="48"/>
        <v>0</v>
      </c>
      <c r="AC35" s="113">
        <f t="shared" si="48"/>
        <v>0</v>
      </c>
      <c r="AD35" s="113">
        <f t="shared" si="48"/>
        <v>0</v>
      </c>
      <c r="AE35" s="113">
        <f t="shared" si="48"/>
        <v>0</v>
      </c>
      <c r="AF35" s="113">
        <f t="shared" si="48"/>
        <v>0</v>
      </c>
      <c r="AG35" s="113">
        <f t="shared" si="48"/>
        <v>0</v>
      </c>
      <c r="AH35" s="113">
        <f t="shared" si="48"/>
        <v>0</v>
      </c>
      <c r="AI35" s="113">
        <f t="shared" si="48"/>
        <v>0</v>
      </c>
      <c r="AJ35" s="113">
        <f t="shared" si="48"/>
        <v>0</v>
      </c>
      <c r="AK35" s="113">
        <f t="shared" si="48"/>
        <v>0</v>
      </c>
      <c r="AL35" s="113">
        <f t="shared" si="48"/>
        <v>0</v>
      </c>
      <c r="AM35" s="113">
        <f t="shared" si="48"/>
        <v>0</v>
      </c>
      <c r="AN35" s="113">
        <f t="shared" si="48"/>
        <v>0</v>
      </c>
      <c r="AO35" s="113">
        <f t="shared" si="48"/>
        <v>0</v>
      </c>
      <c r="AP35" s="113">
        <f t="shared" si="48"/>
        <v>0</v>
      </c>
      <c r="AQ35" s="113">
        <f t="shared" si="48"/>
        <v>0</v>
      </c>
      <c r="AR35" s="113">
        <f t="shared" si="48"/>
        <v>0</v>
      </c>
      <c r="AS35" s="113">
        <f t="shared" si="48"/>
        <v>0</v>
      </c>
      <c r="AT35" s="113">
        <f t="shared" si="48"/>
        <v>0</v>
      </c>
      <c r="AU35" s="113">
        <f t="shared" si="48"/>
        <v>0</v>
      </c>
      <c r="AV35" s="113">
        <f t="shared" si="48"/>
        <v>0</v>
      </c>
      <c r="AW35" s="113">
        <f t="shared" si="48"/>
        <v>0</v>
      </c>
      <c r="AX35" s="113">
        <f t="shared" si="48"/>
        <v>0</v>
      </c>
      <c r="AY35" s="113">
        <f t="shared" si="48"/>
        <v>0</v>
      </c>
      <c r="AZ35" s="113">
        <f t="shared" si="48"/>
        <v>0</v>
      </c>
      <c r="BA35" s="113">
        <f t="shared" si="48"/>
        <v>0</v>
      </c>
      <c r="BB35" s="113">
        <f t="shared" si="48"/>
        <v>0</v>
      </c>
      <c r="BC35" s="113">
        <f t="shared" ref="BC35:BN35" si="49">IF($C11=BC$28,$E11,0)</f>
        <v>0</v>
      </c>
      <c r="BD35" s="113">
        <f t="shared" si="49"/>
        <v>0</v>
      </c>
      <c r="BE35" s="113">
        <f t="shared" si="49"/>
        <v>0</v>
      </c>
      <c r="BF35" s="113">
        <f t="shared" si="49"/>
        <v>0</v>
      </c>
      <c r="BG35" s="113">
        <f t="shared" si="49"/>
        <v>0</v>
      </c>
      <c r="BH35" s="113">
        <f t="shared" si="49"/>
        <v>0</v>
      </c>
      <c r="BI35" s="113">
        <f t="shared" si="49"/>
        <v>0</v>
      </c>
      <c r="BJ35" s="113">
        <f t="shared" si="49"/>
        <v>0</v>
      </c>
      <c r="BK35" s="113">
        <f t="shared" si="49"/>
        <v>0</v>
      </c>
      <c r="BL35" s="113">
        <f t="shared" si="49"/>
        <v>0</v>
      </c>
      <c r="BM35" s="113">
        <f t="shared" si="49"/>
        <v>0</v>
      </c>
      <c r="BN35" s="113">
        <f t="shared" si="49"/>
        <v>0</v>
      </c>
      <c r="BO35" s="113">
        <f t="shared" ref="BO35:BT35" si="50">IF($C11=BO$28,$E11,0)</f>
        <v>0</v>
      </c>
      <c r="BP35" s="113">
        <f t="shared" si="50"/>
        <v>0</v>
      </c>
      <c r="BQ35" s="113">
        <f t="shared" si="50"/>
        <v>0</v>
      </c>
      <c r="BR35" s="113">
        <f t="shared" si="50"/>
        <v>0</v>
      </c>
      <c r="BS35" s="113">
        <f t="shared" si="50"/>
        <v>0</v>
      </c>
      <c r="BT35" s="113">
        <f t="shared" si="50"/>
        <v>0</v>
      </c>
      <c r="BU35" s="113">
        <f t="shared" ref="BU35:CF35" si="51">IF($C11=BU$28,$E11,0)</f>
        <v>0</v>
      </c>
      <c r="BV35" s="113">
        <f t="shared" si="51"/>
        <v>0</v>
      </c>
      <c r="BW35" s="113">
        <f t="shared" si="51"/>
        <v>0</v>
      </c>
      <c r="BX35" s="113">
        <f t="shared" si="51"/>
        <v>0</v>
      </c>
      <c r="BY35" s="113">
        <f t="shared" si="51"/>
        <v>0</v>
      </c>
      <c r="BZ35" s="113">
        <f t="shared" si="51"/>
        <v>0</v>
      </c>
      <c r="CA35" s="113">
        <f t="shared" si="51"/>
        <v>0</v>
      </c>
      <c r="CB35" s="113">
        <f t="shared" si="51"/>
        <v>0</v>
      </c>
      <c r="CC35" s="113">
        <f t="shared" si="51"/>
        <v>0</v>
      </c>
      <c r="CD35" s="113">
        <f t="shared" si="51"/>
        <v>0</v>
      </c>
      <c r="CE35" s="113">
        <f t="shared" si="51"/>
        <v>0</v>
      </c>
      <c r="CF35" s="113">
        <f t="shared" si="51"/>
        <v>0</v>
      </c>
    </row>
    <row r="36" spans="1:84">
      <c r="A36" s="104"/>
      <c r="B36" s="117" t="str">
        <f t="shared" si="19"/>
        <v/>
      </c>
      <c r="C36" s="108"/>
      <c r="D36" s="114">
        <f t="shared" si="20"/>
        <v>0</v>
      </c>
      <c r="E36" s="114">
        <f t="shared" si="21"/>
        <v>0</v>
      </c>
      <c r="F36" s="108"/>
      <c r="G36" s="113">
        <f t="shared" ref="G36:BB36" si="52">IF($C12=G$28,$E12,0)</f>
        <v>0</v>
      </c>
      <c r="H36" s="113">
        <f t="shared" si="52"/>
        <v>0</v>
      </c>
      <c r="I36" s="113">
        <f t="shared" si="52"/>
        <v>0</v>
      </c>
      <c r="J36" s="113">
        <f t="shared" si="52"/>
        <v>0</v>
      </c>
      <c r="K36" s="113">
        <f t="shared" si="52"/>
        <v>0</v>
      </c>
      <c r="L36" s="113">
        <f t="shared" si="52"/>
        <v>0</v>
      </c>
      <c r="M36" s="113">
        <f t="shared" si="52"/>
        <v>0</v>
      </c>
      <c r="N36" s="113">
        <f t="shared" si="52"/>
        <v>0</v>
      </c>
      <c r="O36" s="113">
        <f t="shared" si="52"/>
        <v>0</v>
      </c>
      <c r="P36" s="113">
        <f t="shared" si="52"/>
        <v>0</v>
      </c>
      <c r="Q36" s="113">
        <f t="shared" si="52"/>
        <v>0</v>
      </c>
      <c r="R36" s="113">
        <f t="shared" si="52"/>
        <v>0</v>
      </c>
      <c r="S36" s="113">
        <f t="shared" si="52"/>
        <v>0</v>
      </c>
      <c r="T36" s="113">
        <f t="shared" si="52"/>
        <v>0</v>
      </c>
      <c r="U36" s="113">
        <f t="shared" si="52"/>
        <v>0</v>
      </c>
      <c r="V36" s="113">
        <f t="shared" si="52"/>
        <v>0</v>
      </c>
      <c r="W36" s="113">
        <f t="shared" si="52"/>
        <v>0</v>
      </c>
      <c r="X36" s="113">
        <f t="shared" si="52"/>
        <v>0</v>
      </c>
      <c r="Y36" s="113">
        <f t="shared" si="52"/>
        <v>0</v>
      </c>
      <c r="Z36" s="113">
        <f t="shared" si="52"/>
        <v>0</v>
      </c>
      <c r="AA36" s="113">
        <f t="shared" si="52"/>
        <v>0</v>
      </c>
      <c r="AB36" s="113">
        <f t="shared" si="52"/>
        <v>0</v>
      </c>
      <c r="AC36" s="113">
        <f t="shared" si="52"/>
        <v>0</v>
      </c>
      <c r="AD36" s="113">
        <f t="shared" si="52"/>
        <v>0</v>
      </c>
      <c r="AE36" s="113">
        <f t="shared" si="52"/>
        <v>0</v>
      </c>
      <c r="AF36" s="113">
        <f t="shared" si="52"/>
        <v>0</v>
      </c>
      <c r="AG36" s="113">
        <f t="shared" si="52"/>
        <v>0</v>
      </c>
      <c r="AH36" s="113">
        <f t="shared" si="52"/>
        <v>0</v>
      </c>
      <c r="AI36" s="113">
        <f t="shared" si="52"/>
        <v>0</v>
      </c>
      <c r="AJ36" s="113">
        <f t="shared" si="52"/>
        <v>0</v>
      </c>
      <c r="AK36" s="113">
        <f t="shared" si="52"/>
        <v>0</v>
      </c>
      <c r="AL36" s="113">
        <f t="shared" si="52"/>
        <v>0</v>
      </c>
      <c r="AM36" s="113">
        <f t="shared" si="52"/>
        <v>0</v>
      </c>
      <c r="AN36" s="113">
        <f t="shared" si="52"/>
        <v>0</v>
      </c>
      <c r="AO36" s="113">
        <f t="shared" si="52"/>
        <v>0</v>
      </c>
      <c r="AP36" s="113">
        <f t="shared" si="52"/>
        <v>0</v>
      </c>
      <c r="AQ36" s="113">
        <f t="shared" si="52"/>
        <v>0</v>
      </c>
      <c r="AR36" s="113">
        <f t="shared" si="52"/>
        <v>0</v>
      </c>
      <c r="AS36" s="113">
        <f t="shared" si="52"/>
        <v>0</v>
      </c>
      <c r="AT36" s="113">
        <f t="shared" si="52"/>
        <v>0</v>
      </c>
      <c r="AU36" s="113">
        <f t="shared" si="52"/>
        <v>0</v>
      </c>
      <c r="AV36" s="113">
        <f t="shared" si="52"/>
        <v>0</v>
      </c>
      <c r="AW36" s="113">
        <f t="shared" si="52"/>
        <v>0</v>
      </c>
      <c r="AX36" s="113">
        <f t="shared" si="52"/>
        <v>0</v>
      </c>
      <c r="AY36" s="113">
        <f t="shared" si="52"/>
        <v>0</v>
      </c>
      <c r="AZ36" s="113">
        <f t="shared" si="52"/>
        <v>0</v>
      </c>
      <c r="BA36" s="113">
        <f t="shared" si="52"/>
        <v>0</v>
      </c>
      <c r="BB36" s="113">
        <f t="shared" si="52"/>
        <v>0</v>
      </c>
      <c r="BC36" s="113">
        <f t="shared" ref="BC36:BN36" si="53">IF($C12=BC$28,$E12,0)</f>
        <v>0</v>
      </c>
      <c r="BD36" s="113">
        <f t="shared" si="53"/>
        <v>0</v>
      </c>
      <c r="BE36" s="113">
        <f t="shared" si="53"/>
        <v>0</v>
      </c>
      <c r="BF36" s="113">
        <f t="shared" si="53"/>
        <v>0</v>
      </c>
      <c r="BG36" s="113">
        <f t="shared" si="53"/>
        <v>0</v>
      </c>
      <c r="BH36" s="113">
        <f t="shared" si="53"/>
        <v>0</v>
      </c>
      <c r="BI36" s="113">
        <f t="shared" si="53"/>
        <v>0</v>
      </c>
      <c r="BJ36" s="113">
        <f t="shared" si="53"/>
        <v>0</v>
      </c>
      <c r="BK36" s="113">
        <f t="shared" si="53"/>
        <v>0</v>
      </c>
      <c r="BL36" s="113">
        <f t="shared" si="53"/>
        <v>0</v>
      </c>
      <c r="BM36" s="113">
        <f t="shared" si="53"/>
        <v>0</v>
      </c>
      <c r="BN36" s="113">
        <f t="shared" si="53"/>
        <v>0</v>
      </c>
      <c r="BO36" s="113">
        <f t="shared" ref="BO36:BT36" si="54">IF($C12=BO$28,$E12,0)</f>
        <v>0</v>
      </c>
      <c r="BP36" s="113">
        <f t="shared" si="54"/>
        <v>0</v>
      </c>
      <c r="BQ36" s="113">
        <f t="shared" si="54"/>
        <v>0</v>
      </c>
      <c r="BR36" s="113">
        <f t="shared" si="54"/>
        <v>0</v>
      </c>
      <c r="BS36" s="113">
        <f t="shared" si="54"/>
        <v>0</v>
      </c>
      <c r="BT36" s="113">
        <f t="shared" si="54"/>
        <v>0</v>
      </c>
      <c r="BU36" s="113">
        <f t="shared" ref="BU36:CF36" si="55">IF($C12=BU$28,$E12,0)</f>
        <v>0</v>
      </c>
      <c r="BV36" s="113">
        <f t="shared" si="55"/>
        <v>0</v>
      </c>
      <c r="BW36" s="113">
        <f t="shared" si="55"/>
        <v>0</v>
      </c>
      <c r="BX36" s="113">
        <f t="shared" si="55"/>
        <v>0</v>
      </c>
      <c r="BY36" s="113">
        <f t="shared" si="55"/>
        <v>0</v>
      </c>
      <c r="BZ36" s="113">
        <f t="shared" si="55"/>
        <v>0</v>
      </c>
      <c r="CA36" s="113">
        <f t="shared" si="55"/>
        <v>0</v>
      </c>
      <c r="CB36" s="113">
        <f t="shared" si="55"/>
        <v>0</v>
      </c>
      <c r="CC36" s="113">
        <f t="shared" si="55"/>
        <v>0</v>
      </c>
      <c r="CD36" s="113">
        <f t="shared" si="55"/>
        <v>0</v>
      </c>
      <c r="CE36" s="113">
        <f t="shared" si="55"/>
        <v>0</v>
      </c>
      <c r="CF36" s="113">
        <f t="shared" si="55"/>
        <v>0</v>
      </c>
    </row>
    <row r="37" spans="1:84">
      <c r="A37" s="104"/>
      <c r="B37" s="117" t="str">
        <f t="shared" ref="B37:B44" si="56">IF(B16="","",B16)</f>
        <v>Total Invest 4</v>
      </c>
      <c r="C37" s="108"/>
      <c r="D37" s="114">
        <f>D16</f>
        <v>2</v>
      </c>
      <c r="E37" s="114">
        <f>E16</f>
        <v>8000</v>
      </c>
      <c r="F37" s="108"/>
      <c r="G37" s="113">
        <f t="shared" ref="G37:G42" si="57">G16</f>
        <v>0</v>
      </c>
      <c r="H37" s="113">
        <f t="shared" ref="H37:BB37" si="58">H16</f>
        <v>0</v>
      </c>
      <c r="I37" s="113">
        <f t="shared" si="58"/>
        <v>0</v>
      </c>
      <c r="J37" s="113">
        <f t="shared" si="58"/>
        <v>0</v>
      </c>
      <c r="K37" s="113">
        <f>K16</f>
        <v>0</v>
      </c>
      <c r="L37" s="113">
        <f>L16</f>
        <v>0</v>
      </c>
      <c r="M37" s="113">
        <f t="shared" si="58"/>
        <v>0</v>
      </c>
      <c r="N37" s="113">
        <f t="shared" si="58"/>
        <v>0</v>
      </c>
      <c r="O37" s="113">
        <f t="shared" si="58"/>
        <v>0</v>
      </c>
      <c r="P37" s="113">
        <f t="shared" si="58"/>
        <v>0</v>
      </c>
      <c r="Q37" s="113">
        <f t="shared" si="58"/>
        <v>0</v>
      </c>
      <c r="R37" s="113">
        <f t="shared" si="58"/>
        <v>0</v>
      </c>
      <c r="S37" s="113">
        <f t="shared" si="58"/>
        <v>0</v>
      </c>
      <c r="T37" s="113">
        <f t="shared" si="58"/>
        <v>0</v>
      </c>
      <c r="U37" s="113">
        <f t="shared" si="58"/>
        <v>0</v>
      </c>
      <c r="V37" s="113">
        <f t="shared" si="58"/>
        <v>0</v>
      </c>
      <c r="W37" s="113">
        <f t="shared" si="58"/>
        <v>0</v>
      </c>
      <c r="X37" s="113">
        <f t="shared" si="58"/>
        <v>0</v>
      </c>
      <c r="Y37" s="113">
        <f t="shared" si="58"/>
        <v>0</v>
      </c>
      <c r="Z37" s="113">
        <f t="shared" si="58"/>
        <v>0</v>
      </c>
      <c r="AA37" s="113">
        <f t="shared" si="58"/>
        <v>0</v>
      </c>
      <c r="AB37" s="113">
        <f t="shared" si="58"/>
        <v>0</v>
      </c>
      <c r="AC37" s="113">
        <f t="shared" si="58"/>
        <v>0</v>
      </c>
      <c r="AD37" s="113">
        <f t="shared" si="58"/>
        <v>0</v>
      </c>
      <c r="AE37" s="113">
        <f t="shared" si="58"/>
        <v>0</v>
      </c>
      <c r="AF37" s="113">
        <f t="shared" si="58"/>
        <v>0</v>
      </c>
      <c r="AG37" s="113">
        <f t="shared" si="58"/>
        <v>8000</v>
      </c>
      <c r="AH37" s="113">
        <f t="shared" si="58"/>
        <v>0</v>
      </c>
      <c r="AI37" s="113">
        <f t="shared" si="58"/>
        <v>0</v>
      </c>
      <c r="AJ37" s="113">
        <f t="shared" si="58"/>
        <v>0</v>
      </c>
      <c r="AK37" s="113">
        <f t="shared" si="58"/>
        <v>0</v>
      </c>
      <c r="AL37" s="113">
        <f t="shared" si="58"/>
        <v>0</v>
      </c>
      <c r="AM37" s="113">
        <f t="shared" si="58"/>
        <v>0</v>
      </c>
      <c r="AN37" s="113">
        <f t="shared" si="58"/>
        <v>0</v>
      </c>
      <c r="AO37" s="113">
        <f t="shared" si="58"/>
        <v>0</v>
      </c>
      <c r="AP37" s="113">
        <f t="shared" si="58"/>
        <v>0</v>
      </c>
      <c r="AQ37" s="113">
        <f t="shared" si="58"/>
        <v>0</v>
      </c>
      <c r="AR37" s="113">
        <f t="shared" si="58"/>
        <v>0</v>
      </c>
      <c r="AS37" s="113">
        <f t="shared" si="58"/>
        <v>0</v>
      </c>
      <c r="AT37" s="113">
        <f t="shared" si="58"/>
        <v>0</v>
      </c>
      <c r="AU37" s="113">
        <f t="shared" si="58"/>
        <v>0</v>
      </c>
      <c r="AV37" s="113">
        <f t="shared" si="58"/>
        <v>0</v>
      </c>
      <c r="AW37" s="113">
        <f t="shared" si="58"/>
        <v>0</v>
      </c>
      <c r="AX37" s="113">
        <f t="shared" si="58"/>
        <v>0</v>
      </c>
      <c r="AY37" s="113">
        <f t="shared" si="58"/>
        <v>0</v>
      </c>
      <c r="AZ37" s="113">
        <f t="shared" si="58"/>
        <v>0</v>
      </c>
      <c r="BA37" s="113">
        <f t="shared" si="58"/>
        <v>0</v>
      </c>
      <c r="BB37" s="113">
        <f t="shared" si="58"/>
        <v>0</v>
      </c>
      <c r="BC37" s="113">
        <f t="shared" ref="BC37:BN37" si="59">BC16</f>
        <v>0</v>
      </c>
      <c r="BD37" s="113">
        <f t="shared" si="59"/>
        <v>0</v>
      </c>
      <c r="BE37" s="113">
        <f t="shared" si="59"/>
        <v>0</v>
      </c>
      <c r="BF37" s="113">
        <f t="shared" si="59"/>
        <v>0</v>
      </c>
      <c r="BG37" s="113">
        <f t="shared" si="59"/>
        <v>0</v>
      </c>
      <c r="BH37" s="113">
        <f t="shared" si="59"/>
        <v>0</v>
      </c>
      <c r="BI37" s="113">
        <f t="shared" si="59"/>
        <v>0</v>
      </c>
      <c r="BJ37" s="113">
        <f t="shared" si="59"/>
        <v>0</v>
      </c>
      <c r="BK37" s="113">
        <f t="shared" si="59"/>
        <v>0</v>
      </c>
      <c r="BL37" s="113">
        <f t="shared" si="59"/>
        <v>0</v>
      </c>
      <c r="BM37" s="113">
        <f t="shared" si="59"/>
        <v>0</v>
      </c>
      <c r="BN37" s="113">
        <f t="shared" si="59"/>
        <v>0</v>
      </c>
      <c r="BO37" s="113">
        <f t="shared" ref="BO37:BT37" si="60">BO16</f>
        <v>0</v>
      </c>
      <c r="BP37" s="113">
        <f t="shared" si="60"/>
        <v>0</v>
      </c>
      <c r="BQ37" s="113">
        <f t="shared" si="60"/>
        <v>0</v>
      </c>
      <c r="BR37" s="113">
        <f t="shared" si="60"/>
        <v>0</v>
      </c>
      <c r="BS37" s="113">
        <f t="shared" si="60"/>
        <v>0</v>
      </c>
      <c r="BT37" s="113">
        <f t="shared" si="60"/>
        <v>0</v>
      </c>
      <c r="BU37" s="113">
        <f t="shared" ref="BU37:CF37" si="61">BU16</f>
        <v>0</v>
      </c>
      <c r="BV37" s="113">
        <f t="shared" si="61"/>
        <v>0</v>
      </c>
      <c r="BW37" s="113">
        <f t="shared" si="61"/>
        <v>0</v>
      </c>
      <c r="BX37" s="113">
        <f t="shared" si="61"/>
        <v>0</v>
      </c>
      <c r="BY37" s="113">
        <f t="shared" si="61"/>
        <v>0</v>
      </c>
      <c r="BZ37" s="113">
        <f t="shared" si="61"/>
        <v>0</v>
      </c>
      <c r="CA37" s="113">
        <f t="shared" si="61"/>
        <v>0</v>
      </c>
      <c r="CB37" s="113">
        <f t="shared" si="61"/>
        <v>0</v>
      </c>
      <c r="CC37" s="113">
        <f t="shared" si="61"/>
        <v>0</v>
      </c>
      <c r="CD37" s="113">
        <f t="shared" si="61"/>
        <v>0</v>
      </c>
      <c r="CE37" s="113">
        <f t="shared" si="61"/>
        <v>0</v>
      </c>
      <c r="CF37" s="113">
        <f t="shared" si="61"/>
        <v>0</v>
      </c>
    </row>
    <row r="38" spans="1:84">
      <c r="A38" s="104"/>
      <c r="B38" s="117" t="str">
        <f t="shared" si="56"/>
        <v>Total Invest 5</v>
      </c>
      <c r="C38" s="108"/>
      <c r="D38" s="114">
        <f t="shared" ref="D38:D44" si="62">D17</f>
        <v>2</v>
      </c>
      <c r="E38" s="114">
        <f t="shared" ref="E38:E44" si="63">E17</f>
        <v>24000</v>
      </c>
      <c r="F38" s="108"/>
      <c r="G38" s="113">
        <f t="shared" si="57"/>
        <v>0</v>
      </c>
      <c r="H38" s="113">
        <f t="shared" ref="H38:V38" si="64">H17</f>
        <v>0</v>
      </c>
      <c r="I38" s="113">
        <f t="shared" si="64"/>
        <v>0</v>
      </c>
      <c r="J38" s="113">
        <f t="shared" si="64"/>
        <v>0</v>
      </c>
      <c r="K38" s="113">
        <f t="shared" si="64"/>
        <v>0</v>
      </c>
      <c r="L38" s="113">
        <f t="shared" si="64"/>
        <v>0</v>
      </c>
      <c r="M38" s="113">
        <f t="shared" si="64"/>
        <v>0</v>
      </c>
      <c r="N38" s="113">
        <f t="shared" si="64"/>
        <v>0</v>
      </c>
      <c r="O38" s="113">
        <f t="shared" si="64"/>
        <v>0</v>
      </c>
      <c r="P38" s="113">
        <f t="shared" si="64"/>
        <v>0</v>
      </c>
      <c r="Q38" s="113">
        <f t="shared" si="64"/>
        <v>0</v>
      </c>
      <c r="R38" s="113">
        <f t="shared" si="64"/>
        <v>0</v>
      </c>
      <c r="S38" s="113">
        <f t="shared" si="64"/>
        <v>0</v>
      </c>
      <c r="T38" s="113">
        <f t="shared" si="64"/>
        <v>0</v>
      </c>
      <c r="U38" s="113">
        <f t="shared" si="64"/>
        <v>0</v>
      </c>
      <c r="V38" s="113">
        <f t="shared" si="64"/>
        <v>0</v>
      </c>
      <c r="W38" s="113">
        <f t="shared" ref="W38:BB38" si="65">W17</f>
        <v>0</v>
      </c>
      <c r="X38" s="113">
        <f t="shared" si="65"/>
        <v>0</v>
      </c>
      <c r="Y38" s="113">
        <f t="shared" si="65"/>
        <v>0</v>
      </c>
      <c r="Z38" s="113">
        <f t="shared" si="65"/>
        <v>0</v>
      </c>
      <c r="AA38" s="113">
        <f t="shared" si="65"/>
        <v>0</v>
      </c>
      <c r="AB38" s="113">
        <f t="shared" si="65"/>
        <v>0</v>
      </c>
      <c r="AC38" s="113">
        <f t="shared" si="65"/>
        <v>0</v>
      </c>
      <c r="AD38" s="113">
        <f t="shared" si="65"/>
        <v>0</v>
      </c>
      <c r="AE38" s="113">
        <f t="shared" si="65"/>
        <v>0</v>
      </c>
      <c r="AF38" s="113">
        <f t="shared" si="65"/>
        <v>0</v>
      </c>
      <c r="AG38" s="113">
        <f t="shared" si="65"/>
        <v>0</v>
      </c>
      <c r="AH38" s="113">
        <f t="shared" si="65"/>
        <v>0</v>
      </c>
      <c r="AI38" s="113">
        <f t="shared" si="65"/>
        <v>0</v>
      </c>
      <c r="AJ38" s="113">
        <f t="shared" si="65"/>
        <v>0</v>
      </c>
      <c r="AK38" s="113">
        <f t="shared" si="65"/>
        <v>0</v>
      </c>
      <c r="AL38" s="113">
        <f t="shared" si="65"/>
        <v>0</v>
      </c>
      <c r="AM38" s="113">
        <f t="shared" si="65"/>
        <v>0</v>
      </c>
      <c r="AN38" s="113">
        <f t="shared" si="65"/>
        <v>0</v>
      </c>
      <c r="AO38" s="113">
        <f t="shared" si="65"/>
        <v>0</v>
      </c>
      <c r="AP38" s="113">
        <f t="shared" si="65"/>
        <v>0</v>
      </c>
      <c r="AQ38" s="113">
        <f t="shared" si="65"/>
        <v>24000</v>
      </c>
      <c r="AR38" s="113">
        <f t="shared" si="65"/>
        <v>0</v>
      </c>
      <c r="AS38" s="113">
        <f t="shared" si="65"/>
        <v>0</v>
      </c>
      <c r="AT38" s="113">
        <f t="shared" si="65"/>
        <v>0</v>
      </c>
      <c r="AU38" s="113">
        <f t="shared" si="65"/>
        <v>0</v>
      </c>
      <c r="AV38" s="113">
        <f t="shared" si="65"/>
        <v>0</v>
      </c>
      <c r="AW38" s="113">
        <f t="shared" si="65"/>
        <v>0</v>
      </c>
      <c r="AX38" s="113">
        <f t="shared" si="65"/>
        <v>0</v>
      </c>
      <c r="AY38" s="113">
        <f t="shared" si="65"/>
        <v>0</v>
      </c>
      <c r="AZ38" s="113">
        <f t="shared" si="65"/>
        <v>0</v>
      </c>
      <c r="BA38" s="113">
        <f t="shared" si="65"/>
        <v>0</v>
      </c>
      <c r="BB38" s="113">
        <f t="shared" si="65"/>
        <v>0</v>
      </c>
      <c r="BC38" s="113">
        <f t="shared" ref="BC38:BN38" si="66">BC17</f>
        <v>0</v>
      </c>
      <c r="BD38" s="113">
        <f t="shared" si="66"/>
        <v>0</v>
      </c>
      <c r="BE38" s="113">
        <f t="shared" si="66"/>
        <v>0</v>
      </c>
      <c r="BF38" s="113">
        <f t="shared" si="66"/>
        <v>0</v>
      </c>
      <c r="BG38" s="113">
        <f t="shared" si="66"/>
        <v>0</v>
      </c>
      <c r="BH38" s="113">
        <f t="shared" si="66"/>
        <v>0</v>
      </c>
      <c r="BI38" s="113">
        <f t="shared" si="66"/>
        <v>0</v>
      </c>
      <c r="BJ38" s="113">
        <f t="shared" si="66"/>
        <v>0</v>
      </c>
      <c r="BK38" s="113">
        <f t="shared" si="66"/>
        <v>0</v>
      </c>
      <c r="BL38" s="113">
        <f t="shared" si="66"/>
        <v>0</v>
      </c>
      <c r="BM38" s="113">
        <f t="shared" si="66"/>
        <v>0</v>
      </c>
      <c r="BN38" s="113">
        <f t="shared" si="66"/>
        <v>0</v>
      </c>
      <c r="BO38" s="113">
        <f t="shared" ref="BO38:BT38" si="67">BO17</f>
        <v>0</v>
      </c>
      <c r="BP38" s="113">
        <f t="shared" si="67"/>
        <v>0</v>
      </c>
      <c r="BQ38" s="113">
        <f t="shared" si="67"/>
        <v>0</v>
      </c>
      <c r="BR38" s="113">
        <f t="shared" si="67"/>
        <v>0</v>
      </c>
      <c r="BS38" s="113">
        <f t="shared" si="67"/>
        <v>0</v>
      </c>
      <c r="BT38" s="113">
        <f t="shared" si="67"/>
        <v>0</v>
      </c>
      <c r="BU38" s="113">
        <f t="shared" ref="BU38:CF38" si="68">BU17</f>
        <v>0</v>
      </c>
      <c r="BV38" s="113">
        <f t="shared" si="68"/>
        <v>0</v>
      </c>
      <c r="BW38" s="113">
        <f t="shared" si="68"/>
        <v>0</v>
      </c>
      <c r="BX38" s="113">
        <f t="shared" si="68"/>
        <v>0</v>
      </c>
      <c r="BY38" s="113">
        <f t="shared" si="68"/>
        <v>0</v>
      </c>
      <c r="BZ38" s="113">
        <f t="shared" si="68"/>
        <v>0</v>
      </c>
      <c r="CA38" s="113">
        <f t="shared" si="68"/>
        <v>0</v>
      </c>
      <c r="CB38" s="113">
        <f t="shared" si="68"/>
        <v>0</v>
      </c>
      <c r="CC38" s="113">
        <f t="shared" si="68"/>
        <v>0</v>
      </c>
      <c r="CD38" s="113">
        <f t="shared" si="68"/>
        <v>0</v>
      </c>
      <c r="CE38" s="113">
        <f t="shared" si="68"/>
        <v>0</v>
      </c>
      <c r="CF38" s="113">
        <f t="shared" si="68"/>
        <v>0</v>
      </c>
    </row>
    <row r="39" spans="1:84">
      <c r="A39" s="104"/>
      <c r="B39" s="117" t="str">
        <f t="shared" si="56"/>
        <v>Divers équipement</v>
      </c>
      <c r="C39" s="108"/>
      <c r="D39" s="114">
        <f t="shared" si="62"/>
        <v>2</v>
      </c>
      <c r="E39" s="114">
        <f t="shared" si="63"/>
        <v>18000</v>
      </c>
      <c r="F39" s="108"/>
      <c r="G39" s="113">
        <f t="shared" si="57"/>
        <v>0</v>
      </c>
      <c r="H39" s="113">
        <f t="shared" ref="H39:V39" si="69">H18</f>
        <v>0</v>
      </c>
      <c r="I39" s="113">
        <f t="shared" si="69"/>
        <v>0</v>
      </c>
      <c r="J39" s="113">
        <f t="shared" si="69"/>
        <v>0</v>
      </c>
      <c r="K39" s="113">
        <f t="shared" si="69"/>
        <v>0</v>
      </c>
      <c r="L39" s="113">
        <f t="shared" si="69"/>
        <v>0</v>
      </c>
      <c r="M39" s="113">
        <f t="shared" si="69"/>
        <v>0</v>
      </c>
      <c r="N39" s="113">
        <f t="shared" si="69"/>
        <v>0</v>
      </c>
      <c r="O39" s="113">
        <f t="shared" si="69"/>
        <v>0</v>
      </c>
      <c r="P39" s="113">
        <f t="shared" si="69"/>
        <v>0</v>
      </c>
      <c r="Q39" s="113">
        <f t="shared" si="69"/>
        <v>0</v>
      </c>
      <c r="R39" s="113">
        <f t="shared" si="69"/>
        <v>0</v>
      </c>
      <c r="S39" s="113">
        <f t="shared" si="69"/>
        <v>0</v>
      </c>
      <c r="T39" s="113">
        <f t="shared" si="69"/>
        <v>0</v>
      </c>
      <c r="U39" s="113">
        <f t="shared" si="69"/>
        <v>0</v>
      </c>
      <c r="V39" s="113">
        <f t="shared" si="69"/>
        <v>0</v>
      </c>
      <c r="W39" s="113">
        <f t="shared" ref="W39:BB39" si="70">W18</f>
        <v>0</v>
      </c>
      <c r="X39" s="113">
        <f t="shared" si="70"/>
        <v>0</v>
      </c>
      <c r="Y39" s="113">
        <f t="shared" si="70"/>
        <v>0</v>
      </c>
      <c r="Z39" s="113">
        <f t="shared" si="70"/>
        <v>0</v>
      </c>
      <c r="AA39" s="113">
        <f t="shared" si="70"/>
        <v>0</v>
      </c>
      <c r="AB39" s="113">
        <f t="shared" si="70"/>
        <v>0</v>
      </c>
      <c r="AC39" s="113">
        <f t="shared" si="70"/>
        <v>0</v>
      </c>
      <c r="AD39" s="113">
        <f t="shared" si="70"/>
        <v>0</v>
      </c>
      <c r="AE39" s="113">
        <f t="shared" si="70"/>
        <v>0</v>
      </c>
      <c r="AF39" s="113">
        <f t="shared" si="70"/>
        <v>0</v>
      </c>
      <c r="AG39" s="113">
        <f t="shared" si="70"/>
        <v>0</v>
      </c>
      <c r="AH39" s="113">
        <f t="shared" si="70"/>
        <v>0</v>
      </c>
      <c r="AI39" s="113">
        <f t="shared" si="70"/>
        <v>0</v>
      </c>
      <c r="AJ39" s="113">
        <f t="shared" si="70"/>
        <v>0</v>
      </c>
      <c r="AK39" s="113">
        <f t="shared" si="70"/>
        <v>0</v>
      </c>
      <c r="AL39" s="113">
        <f t="shared" si="70"/>
        <v>0</v>
      </c>
      <c r="AM39" s="113">
        <f t="shared" si="70"/>
        <v>0</v>
      </c>
      <c r="AN39" s="113">
        <f t="shared" si="70"/>
        <v>0</v>
      </c>
      <c r="AO39" s="113">
        <f t="shared" si="70"/>
        <v>0</v>
      </c>
      <c r="AP39" s="113">
        <f t="shared" si="70"/>
        <v>0</v>
      </c>
      <c r="AQ39" s="113">
        <f t="shared" si="70"/>
        <v>0</v>
      </c>
      <c r="AR39" s="113">
        <f t="shared" si="70"/>
        <v>0</v>
      </c>
      <c r="AS39" s="113">
        <f t="shared" si="70"/>
        <v>0</v>
      </c>
      <c r="AT39" s="113">
        <f t="shared" si="70"/>
        <v>0</v>
      </c>
      <c r="AU39" s="113">
        <f t="shared" si="70"/>
        <v>0</v>
      </c>
      <c r="AV39" s="113">
        <f t="shared" si="70"/>
        <v>0</v>
      </c>
      <c r="AW39" s="113">
        <f t="shared" si="70"/>
        <v>0</v>
      </c>
      <c r="AX39" s="113">
        <f t="shared" si="70"/>
        <v>0</v>
      </c>
      <c r="AY39" s="113">
        <f t="shared" si="70"/>
        <v>0</v>
      </c>
      <c r="AZ39" s="113">
        <f t="shared" si="70"/>
        <v>0</v>
      </c>
      <c r="BA39" s="113">
        <f t="shared" si="70"/>
        <v>0</v>
      </c>
      <c r="BB39" s="113">
        <f t="shared" si="70"/>
        <v>0</v>
      </c>
      <c r="BC39" s="113">
        <f t="shared" ref="BC39:BN39" si="71">BC18</f>
        <v>18000</v>
      </c>
      <c r="BD39" s="113">
        <f t="shared" si="71"/>
        <v>0</v>
      </c>
      <c r="BE39" s="113">
        <f t="shared" si="71"/>
        <v>0</v>
      </c>
      <c r="BF39" s="113">
        <f t="shared" si="71"/>
        <v>0</v>
      </c>
      <c r="BG39" s="113">
        <f t="shared" si="71"/>
        <v>0</v>
      </c>
      <c r="BH39" s="113">
        <f t="shared" si="71"/>
        <v>0</v>
      </c>
      <c r="BI39" s="113">
        <f t="shared" si="71"/>
        <v>0</v>
      </c>
      <c r="BJ39" s="113">
        <f t="shared" si="71"/>
        <v>0</v>
      </c>
      <c r="BK39" s="113">
        <f t="shared" si="71"/>
        <v>0</v>
      </c>
      <c r="BL39" s="113">
        <f t="shared" si="71"/>
        <v>0</v>
      </c>
      <c r="BM39" s="113">
        <f t="shared" si="71"/>
        <v>0</v>
      </c>
      <c r="BN39" s="113">
        <f t="shared" si="71"/>
        <v>0</v>
      </c>
      <c r="BO39" s="113">
        <f t="shared" ref="BO39:BT39" si="72">BO18</f>
        <v>0</v>
      </c>
      <c r="BP39" s="113">
        <f t="shared" si="72"/>
        <v>0</v>
      </c>
      <c r="BQ39" s="113">
        <f t="shared" si="72"/>
        <v>0</v>
      </c>
      <c r="BR39" s="113">
        <f t="shared" si="72"/>
        <v>0</v>
      </c>
      <c r="BS39" s="113">
        <f t="shared" si="72"/>
        <v>0</v>
      </c>
      <c r="BT39" s="113">
        <f t="shared" si="72"/>
        <v>0</v>
      </c>
      <c r="BU39" s="113">
        <f t="shared" ref="BU39:CF39" si="73">BU18</f>
        <v>0</v>
      </c>
      <c r="BV39" s="113">
        <f t="shared" si="73"/>
        <v>0</v>
      </c>
      <c r="BW39" s="113">
        <f t="shared" si="73"/>
        <v>0</v>
      </c>
      <c r="BX39" s="113">
        <f t="shared" si="73"/>
        <v>0</v>
      </c>
      <c r="BY39" s="113">
        <f t="shared" si="73"/>
        <v>0</v>
      </c>
      <c r="BZ39" s="113">
        <f t="shared" si="73"/>
        <v>0</v>
      </c>
      <c r="CA39" s="113">
        <f t="shared" si="73"/>
        <v>0</v>
      </c>
      <c r="CB39" s="113">
        <f t="shared" si="73"/>
        <v>0</v>
      </c>
      <c r="CC39" s="113">
        <f t="shared" si="73"/>
        <v>0</v>
      </c>
      <c r="CD39" s="113">
        <f t="shared" si="73"/>
        <v>0</v>
      </c>
      <c r="CE39" s="113">
        <f t="shared" si="73"/>
        <v>0</v>
      </c>
      <c r="CF39" s="113">
        <f t="shared" si="73"/>
        <v>0</v>
      </c>
    </row>
    <row r="40" spans="1:84">
      <c r="A40" s="104"/>
      <c r="B40" s="117" t="str">
        <f t="shared" si="56"/>
        <v/>
      </c>
      <c r="C40" s="108"/>
      <c r="D40" s="114">
        <f t="shared" si="62"/>
        <v>0</v>
      </c>
      <c r="E40" s="114">
        <f t="shared" si="63"/>
        <v>0</v>
      </c>
      <c r="F40" s="108"/>
      <c r="G40" s="113">
        <f t="shared" si="57"/>
        <v>0</v>
      </c>
      <c r="H40" s="113">
        <f t="shared" ref="H40:V40" si="74">H19</f>
        <v>0</v>
      </c>
      <c r="I40" s="113">
        <f t="shared" si="74"/>
        <v>0</v>
      </c>
      <c r="J40" s="113">
        <f t="shared" si="74"/>
        <v>0</v>
      </c>
      <c r="K40" s="113">
        <f t="shared" si="74"/>
        <v>0</v>
      </c>
      <c r="L40" s="113">
        <f t="shared" si="74"/>
        <v>0</v>
      </c>
      <c r="M40" s="113">
        <f t="shared" si="74"/>
        <v>0</v>
      </c>
      <c r="N40" s="113">
        <f t="shared" si="74"/>
        <v>0</v>
      </c>
      <c r="O40" s="113">
        <f t="shared" si="74"/>
        <v>0</v>
      </c>
      <c r="P40" s="113">
        <f t="shared" si="74"/>
        <v>0</v>
      </c>
      <c r="Q40" s="113">
        <f t="shared" si="74"/>
        <v>0</v>
      </c>
      <c r="R40" s="113">
        <f t="shared" si="74"/>
        <v>0</v>
      </c>
      <c r="S40" s="113">
        <f t="shared" si="74"/>
        <v>0</v>
      </c>
      <c r="T40" s="113">
        <f t="shared" si="74"/>
        <v>0</v>
      </c>
      <c r="U40" s="113">
        <f t="shared" si="74"/>
        <v>0</v>
      </c>
      <c r="V40" s="113">
        <f t="shared" si="74"/>
        <v>0</v>
      </c>
      <c r="W40" s="113">
        <f t="shared" ref="W40:BB40" si="75">W19</f>
        <v>0</v>
      </c>
      <c r="X40" s="113">
        <f t="shared" si="75"/>
        <v>0</v>
      </c>
      <c r="Y40" s="113">
        <f t="shared" si="75"/>
        <v>0</v>
      </c>
      <c r="Z40" s="113">
        <f t="shared" si="75"/>
        <v>0</v>
      </c>
      <c r="AA40" s="113">
        <f t="shared" si="75"/>
        <v>0</v>
      </c>
      <c r="AB40" s="113">
        <f t="shared" si="75"/>
        <v>0</v>
      </c>
      <c r="AC40" s="113">
        <f t="shared" si="75"/>
        <v>0</v>
      </c>
      <c r="AD40" s="113">
        <f t="shared" si="75"/>
        <v>0</v>
      </c>
      <c r="AE40" s="113">
        <f t="shared" si="75"/>
        <v>0</v>
      </c>
      <c r="AF40" s="113">
        <f t="shared" si="75"/>
        <v>0</v>
      </c>
      <c r="AG40" s="113">
        <f t="shared" si="75"/>
        <v>0</v>
      </c>
      <c r="AH40" s="113">
        <f t="shared" si="75"/>
        <v>0</v>
      </c>
      <c r="AI40" s="113">
        <f t="shared" si="75"/>
        <v>0</v>
      </c>
      <c r="AJ40" s="113">
        <f t="shared" si="75"/>
        <v>0</v>
      </c>
      <c r="AK40" s="113">
        <f t="shared" si="75"/>
        <v>0</v>
      </c>
      <c r="AL40" s="113">
        <f t="shared" si="75"/>
        <v>0</v>
      </c>
      <c r="AM40" s="113">
        <f t="shared" si="75"/>
        <v>0</v>
      </c>
      <c r="AN40" s="113">
        <f t="shared" si="75"/>
        <v>0</v>
      </c>
      <c r="AO40" s="113">
        <f t="shared" si="75"/>
        <v>0</v>
      </c>
      <c r="AP40" s="113">
        <f t="shared" si="75"/>
        <v>0</v>
      </c>
      <c r="AQ40" s="113">
        <f t="shared" si="75"/>
        <v>0</v>
      </c>
      <c r="AR40" s="113">
        <f t="shared" si="75"/>
        <v>0</v>
      </c>
      <c r="AS40" s="113">
        <f t="shared" si="75"/>
        <v>0</v>
      </c>
      <c r="AT40" s="113">
        <f t="shared" si="75"/>
        <v>0</v>
      </c>
      <c r="AU40" s="113">
        <f t="shared" si="75"/>
        <v>0</v>
      </c>
      <c r="AV40" s="113">
        <f t="shared" si="75"/>
        <v>0</v>
      </c>
      <c r="AW40" s="113">
        <f t="shared" si="75"/>
        <v>0</v>
      </c>
      <c r="AX40" s="113">
        <f t="shared" si="75"/>
        <v>0</v>
      </c>
      <c r="AY40" s="113">
        <f t="shared" si="75"/>
        <v>0</v>
      </c>
      <c r="AZ40" s="113">
        <f t="shared" si="75"/>
        <v>0</v>
      </c>
      <c r="BA40" s="113">
        <f t="shared" si="75"/>
        <v>0</v>
      </c>
      <c r="BB40" s="113">
        <f t="shared" si="75"/>
        <v>0</v>
      </c>
      <c r="BC40" s="113">
        <f t="shared" ref="BC40:BN40" si="76">BC19</f>
        <v>0</v>
      </c>
      <c r="BD40" s="113">
        <f t="shared" si="76"/>
        <v>0</v>
      </c>
      <c r="BE40" s="113">
        <f t="shared" si="76"/>
        <v>0</v>
      </c>
      <c r="BF40" s="113">
        <f t="shared" si="76"/>
        <v>0</v>
      </c>
      <c r="BG40" s="113">
        <f t="shared" si="76"/>
        <v>0</v>
      </c>
      <c r="BH40" s="113">
        <f t="shared" si="76"/>
        <v>0</v>
      </c>
      <c r="BI40" s="113">
        <f t="shared" si="76"/>
        <v>0</v>
      </c>
      <c r="BJ40" s="113">
        <f t="shared" si="76"/>
        <v>0</v>
      </c>
      <c r="BK40" s="113">
        <f t="shared" si="76"/>
        <v>0</v>
      </c>
      <c r="BL40" s="113">
        <f t="shared" si="76"/>
        <v>0</v>
      </c>
      <c r="BM40" s="113">
        <f t="shared" si="76"/>
        <v>0</v>
      </c>
      <c r="BN40" s="113">
        <f t="shared" si="76"/>
        <v>0</v>
      </c>
      <c r="BO40" s="113">
        <f t="shared" ref="BO40:BT40" si="77">BO19</f>
        <v>0</v>
      </c>
      <c r="BP40" s="113">
        <f t="shared" si="77"/>
        <v>0</v>
      </c>
      <c r="BQ40" s="113">
        <f t="shared" si="77"/>
        <v>0</v>
      </c>
      <c r="BR40" s="113">
        <f t="shared" si="77"/>
        <v>0</v>
      </c>
      <c r="BS40" s="113">
        <f t="shared" si="77"/>
        <v>0</v>
      </c>
      <c r="BT40" s="113">
        <f t="shared" si="77"/>
        <v>0</v>
      </c>
      <c r="BU40" s="113">
        <f t="shared" ref="BU40:CF40" si="78">BU19</f>
        <v>0</v>
      </c>
      <c r="BV40" s="113">
        <f t="shared" si="78"/>
        <v>0</v>
      </c>
      <c r="BW40" s="113">
        <f t="shared" si="78"/>
        <v>0</v>
      </c>
      <c r="BX40" s="113">
        <f t="shared" si="78"/>
        <v>0</v>
      </c>
      <c r="BY40" s="113">
        <f t="shared" si="78"/>
        <v>0</v>
      </c>
      <c r="BZ40" s="113">
        <f t="shared" si="78"/>
        <v>0</v>
      </c>
      <c r="CA40" s="113">
        <f t="shared" si="78"/>
        <v>0</v>
      </c>
      <c r="CB40" s="113">
        <f t="shared" si="78"/>
        <v>0</v>
      </c>
      <c r="CC40" s="113">
        <f t="shared" si="78"/>
        <v>0</v>
      </c>
      <c r="CD40" s="113">
        <f t="shared" si="78"/>
        <v>0</v>
      </c>
      <c r="CE40" s="113">
        <f t="shared" si="78"/>
        <v>0</v>
      </c>
      <c r="CF40" s="113">
        <f t="shared" si="78"/>
        <v>0</v>
      </c>
    </row>
    <row r="41" spans="1:84">
      <c r="A41" s="104"/>
      <c r="B41" s="117" t="str">
        <f t="shared" si="56"/>
        <v/>
      </c>
      <c r="C41" s="108"/>
      <c r="D41" s="114">
        <f t="shared" si="62"/>
        <v>0</v>
      </c>
      <c r="E41" s="114">
        <f t="shared" si="63"/>
        <v>0</v>
      </c>
      <c r="F41" s="108"/>
      <c r="G41" s="113">
        <f t="shared" si="57"/>
        <v>0</v>
      </c>
      <c r="H41" s="113">
        <f t="shared" ref="H41:V41" si="79">H20</f>
        <v>0</v>
      </c>
      <c r="I41" s="113">
        <f t="shared" si="79"/>
        <v>0</v>
      </c>
      <c r="J41" s="113">
        <f t="shared" si="79"/>
        <v>0</v>
      </c>
      <c r="K41" s="113">
        <f t="shared" si="79"/>
        <v>0</v>
      </c>
      <c r="L41" s="113">
        <f t="shared" si="79"/>
        <v>0</v>
      </c>
      <c r="M41" s="113">
        <f t="shared" si="79"/>
        <v>0</v>
      </c>
      <c r="N41" s="113">
        <f t="shared" si="79"/>
        <v>0</v>
      </c>
      <c r="O41" s="113">
        <f t="shared" si="79"/>
        <v>0</v>
      </c>
      <c r="P41" s="113">
        <f t="shared" si="79"/>
        <v>0</v>
      </c>
      <c r="Q41" s="113">
        <f t="shared" si="79"/>
        <v>0</v>
      </c>
      <c r="R41" s="113">
        <f t="shared" si="79"/>
        <v>0</v>
      </c>
      <c r="S41" s="113">
        <f t="shared" si="79"/>
        <v>0</v>
      </c>
      <c r="T41" s="113">
        <f t="shared" si="79"/>
        <v>0</v>
      </c>
      <c r="U41" s="113">
        <f t="shared" si="79"/>
        <v>0</v>
      </c>
      <c r="V41" s="113">
        <f t="shared" si="79"/>
        <v>0</v>
      </c>
      <c r="W41" s="113">
        <f t="shared" ref="W41:BB41" si="80">W20</f>
        <v>0</v>
      </c>
      <c r="X41" s="113">
        <f t="shared" si="80"/>
        <v>0</v>
      </c>
      <c r="Y41" s="113">
        <f t="shared" si="80"/>
        <v>0</v>
      </c>
      <c r="Z41" s="113">
        <f t="shared" si="80"/>
        <v>0</v>
      </c>
      <c r="AA41" s="113">
        <f t="shared" si="80"/>
        <v>0</v>
      </c>
      <c r="AB41" s="113">
        <f t="shared" si="80"/>
        <v>0</v>
      </c>
      <c r="AC41" s="113">
        <f t="shared" si="80"/>
        <v>0</v>
      </c>
      <c r="AD41" s="113">
        <f t="shared" si="80"/>
        <v>0</v>
      </c>
      <c r="AE41" s="113">
        <f t="shared" si="80"/>
        <v>0</v>
      </c>
      <c r="AF41" s="113">
        <f t="shared" si="80"/>
        <v>0</v>
      </c>
      <c r="AG41" s="113">
        <f t="shared" si="80"/>
        <v>0</v>
      </c>
      <c r="AH41" s="113">
        <f t="shared" si="80"/>
        <v>0</v>
      </c>
      <c r="AI41" s="113">
        <f t="shared" si="80"/>
        <v>0</v>
      </c>
      <c r="AJ41" s="113">
        <f t="shared" si="80"/>
        <v>0</v>
      </c>
      <c r="AK41" s="113">
        <f t="shared" si="80"/>
        <v>0</v>
      </c>
      <c r="AL41" s="113">
        <f t="shared" si="80"/>
        <v>0</v>
      </c>
      <c r="AM41" s="113">
        <f t="shared" si="80"/>
        <v>0</v>
      </c>
      <c r="AN41" s="113">
        <f t="shared" si="80"/>
        <v>0</v>
      </c>
      <c r="AO41" s="113">
        <f t="shared" si="80"/>
        <v>0</v>
      </c>
      <c r="AP41" s="113">
        <f t="shared" si="80"/>
        <v>0</v>
      </c>
      <c r="AQ41" s="113">
        <f t="shared" si="80"/>
        <v>0</v>
      </c>
      <c r="AR41" s="113">
        <f t="shared" si="80"/>
        <v>0</v>
      </c>
      <c r="AS41" s="113">
        <f t="shared" si="80"/>
        <v>0</v>
      </c>
      <c r="AT41" s="113">
        <f t="shared" si="80"/>
        <v>0</v>
      </c>
      <c r="AU41" s="113">
        <f t="shared" si="80"/>
        <v>0</v>
      </c>
      <c r="AV41" s="113">
        <f t="shared" si="80"/>
        <v>0</v>
      </c>
      <c r="AW41" s="113">
        <f t="shared" si="80"/>
        <v>0</v>
      </c>
      <c r="AX41" s="113">
        <f t="shared" si="80"/>
        <v>0</v>
      </c>
      <c r="AY41" s="113">
        <f t="shared" si="80"/>
        <v>0</v>
      </c>
      <c r="AZ41" s="113">
        <f t="shared" si="80"/>
        <v>0</v>
      </c>
      <c r="BA41" s="113">
        <f t="shared" si="80"/>
        <v>0</v>
      </c>
      <c r="BB41" s="113">
        <f t="shared" si="80"/>
        <v>0</v>
      </c>
      <c r="BC41" s="113">
        <f t="shared" ref="BC41:BN41" si="81">BC20</f>
        <v>0</v>
      </c>
      <c r="BD41" s="113">
        <f t="shared" si="81"/>
        <v>0</v>
      </c>
      <c r="BE41" s="113">
        <f t="shared" si="81"/>
        <v>0</v>
      </c>
      <c r="BF41" s="113">
        <f t="shared" si="81"/>
        <v>0</v>
      </c>
      <c r="BG41" s="113">
        <f t="shared" si="81"/>
        <v>0</v>
      </c>
      <c r="BH41" s="113">
        <f t="shared" si="81"/>
        <v>0</v>
      </c>
      <c r="BI41" s="113">
        <f t="shared" si="81"/>
        <v>0</v>
      </c>
      <c r="BJ41" s="113">
        <f t="shared" si="81"/>
        <v>0</v>
      </c>
      <c r="BK41" s="113">
        <f t="shared" si="81"/>
        <v>0</v>
      </c>
      <c r="BL41" s="113">
        <f t="shared" si="81"/>
        <v>0</v>
      </c>
      <c r="BM41" s="113">
        <f t="shared" si="81"/>
        <v>0</v>
      </c>
      <c r="BN41" s="113">
        <f t="shared" si="81"/>
        <v>0</v>
      </c>
      <c r="BO41" s="113">
        <f t="shared" ref="BO41:BT41" si="82">BO20</f>
        <v>0</v>
      </c>
      <c r="BP41" s="113">
        <f t="shared" si="82"/>
        <v>0</v>
      </c>
      <c r="BQ41" s="113">
        <f t="shared" si="82"/>
        <v>0</v>
      </c>
      <c r="BR41" s="113">
        <f t="shared" si="82"/>
        <v>0</v>
      </c>
      <c r="BS41" s="113">
        <f t="shared" si="82"/>
        <v>0</v>
      </c>
      <c r="BT41" s="113">
        <f t="shared" si="82"/>
        <v>0</v>
      </c>
      <c r="BU41" s="113">
        <f t="shared" ref="BU41:CF41" si="83">BU20</f>
        <v>0</v>
      </c>
      <c r="BV41" s="113">
        <f t="shared" si="83"/>
        <v>0</v>
      </c>
      <c r="BW41" s="113">
        <f t="shared" si="83"/>
        <v>0</v>
      </c>
      <c r="BX41" s="113">
        <f t="shared" si="83"/>
        <v>0</v>
      </c>
      <c r="BY41" s="113">
        <f t="shared" si="83"/>
        <v>0</v>
      </c>
      <c r="BZ41" s="113">
        <f t="shared" si="83"/>
        <v>0</v>
      </c>
      <c r="CA41" s="113">
        <f t="shared" si="83"/>
        <v>0</v>
      </c>
      <c r="CB41" s="113">
        <f t="shared" si="83"/>
        <v>0</v>
      </c>
      <c r="CC41" s="113">
        <f t="shared" si="83"/>
        <v>0</v>
      </c>
      <c r="CD41" s="113">
        <f t="shared" si="83"/>
        <v>0</v>
      </c>
      <c r="CE41" s="113">
        <f t="shared" si="83"/>
        <v>0</v>
      </c>
      <c r="CF41" s="113">
        <f t="shared" si="83"/>
        <v>0</v>
      </c>
    </row>
    <row r="42" spans="1:84">
      <c r="A42" s="104"/>
      <c r="B42" s="117" t="str">
        <f t="shared" si="56"/>
        <v/>
      </c>
      <c r="C42" s="108"/>
      <c r="D42" s="114">
        <f t="shared" si="62"/>
        <v>0</v>
      </c>
      <c r="E42" s="114">
        <f t="shared" si="63"/>
        <v>0</v>
      </c>
      <c r="F42" s="108"/>
      <c r="G42" s="113">
        <f t="shared" si="57"/>
        <v>0</v>
      </c>
      <c r="H42" s="113">
        <f t="shared" ref="H42:V42" si="84">H21</f>
        <v>0</v>
      </c>
      <c r="I42" s="113">
        <f t="shared" si="84"/>
        <v>0</v>
      </c>
      <c r="J42" s="113">
        <f t="shared" si="84"/>
        <v>0</v>
      </c>
      <c r="K42" s="113">
        <f t="shared" si="84"/>
        <v>0</v>
      </c>
      <c r="L42" s="113">
        <f t="shared" si="84"/>
        <v>0</v>
      </c>
      <c r="M42" s="113">
        <f t="shared" si="84"/>
        <v>0</v>
      </c>
      <c r="N42" s="113">
        <f t="shared" si="84"/>
        <v>0</v>
      </c>
      <c r="O42" s="113">
        <f t="shared" si="84"/>
        <v>0</v>
      </c>
      <c r="P42" s="113">
        <f t="shared" si="84"/>
        <v>0</v>
      </c>
      <c r="Q42" s="113">
        <f t="shared" si="84"/>
        <v>0</v>
      </c>
      <c r="R42" s="113">
        <f t="shared" si="84"/>
        <v>0</v>
      </c>
      <c r="S42" s="113">
        <f t="shared" si="84"/>
        <v>0</v>
      </c>
      <c r="T42" s="113">
        <f t="shared" si="84"/>
        <v>0</v>
      </c>
      <c r="U42" s="113">
        <f t="shared" si="84"/>
        <v>0</v>
      </c>
      <c r="V42" s="113">
        <f t="shared" si="84"/>
        <v>0</v>
      </c>
      <c r="W42" s="113">
        <f t="shared" ref="W42:BB42" si="85">W21</f>
        <v>0</v>
      </c>
      <c r="X42" s="113">
        <f t="shared" si="85"/>
        <v>0</v>
      </c>
      <c r="Y42" s="113">
        <f t="shared" si="85"/>
        <v>0</v>
      </c>
      <c r="Z42" s="113">
        <f t="shared" si="85"/>
        <v>0</v>
      </c>
      <c r="AA42" s="113">
        <f t="shared" si="85"/>
        <v>0</v>
      </c>
      <c r="AB42" s="113">
        <f t="shared" si="85"/>
        <v>0</v>
      </c>
      <c r="AC42" s="113">
        <f t="shared" si="85"/>
        <v>0</v>
      </c>
      <c r="AD42" s="113">
        <f t="shared" si="85"/>
        <v>0</v>
      </c>
      <c r="AE42" s="113">
        <f t="shared" si="85"/>
        <v>0</v>
      </c>
      <c r="AF42" s="113">
        <f t="shared" si="85"/>
        <v>0</v>
      </c>
      <c r="AG42" s="113">
        <f t="shared" si="85"/>
        <v>0</v>
      </c>
      <c r="AH42" s="113">
        <f t="shared" si="85"/>
        <v>0</v>
      </c>
      <c r="AI42" s="113">
        <f t="shared" si="85"/>
        <v>0</v>
      </c>
      <c r="AJ42" s="113">
        <f t="shared" si="85"/>
        <v>0</v>
      </c>
      <c r="AK42" s="113">
        <f t="shared" si="85"/>
        <v>0</v>
      </c>
      <c r="AL42" s="113">
        <f t="shared" si="85"/>
        <v>0</v>
      </c>
      <c r="AM42" s="113">
        <f t="shared" si="85"/>
        <v>0</v>
      </c>
      <c r="AN42" s="113">
        <f t="shared" si="85"/>
        <v>0</v>
      </c>
      <c r="AO42" s="113">
        <f t="shared" si="85"/>
        <v>0</v>
      </c>
      <c r="AP42" s="113">
        <f t="shared" si="85"/>
        <v>0</v>
      </c>
      <c r="AQ42" s="113">
        <f t="shared" si="85"/>
        <v>0</v>
      </c>
      <c r="AR42" s="113">
        <f t="shared" si="85"/>
        <v>0</v>
      </c>
      <c r="AS42" s="113">
        <f t="shared" si="85"/>
        <v>0</v>
      </c>
      <c r="AT42" s="113">
        <f t="shared" si="85"/>
        <v>0</v>
      </c>
      <c r="AU42" s="113">
        <f t="shared" si="85"/>
        <v>0</v>
      </c>
      <c r="AV42" s="113">
        <f t="shared" si="85"/>
        <v>0</v>
      </c>
      <c r="AW42" s="113">
        <f t="shared" si="85"/>
        <v>0</v>
      </c>
      <c r="AX42" s="113">
        <f t="shared" si="85"/>
        <v>0</v>
      </c>
      <c r="AY42" s="113">
        <f t="shared" si="85"/>
        <v>0</v>
      </c>
      <c r="AZ42" s="113">
        <f t="shared" si="85"/>
        <v>0</v>
      </c>
      <c r="BA42" s="113">
        <f t="shared" si="85"/>
        <v>0</v>
      </c>
      <c r="BB42" s="113">
        <f t="shared" si="85"/>
        <v>0</v>
      </c>
      <c r="BC42" s="113">
        <f t="shared" ref="BC42:BN42" si="86">BC21</f>
        <v>0</v>
      </c>
      <c r="BD42" s="113">
        <f t="shared" si="86"/>
        <v>0</v>
      </c>
      <c r="BE42" s="113">
        <f t="shared" si="86"/>
        <v>0</v>
      </c>
      <c r="BF42" s="113">
        <f t="shared" si="86"/>
        <v>0</v>
      </c>
      <c r="BG42" s="113">
        <f t="shared" si="86"/>
        <v>0</v>
      </c>
      <c r="BH42" s="113">
        <f t="shared" si="86"/>
        <v>0</v>
      </c>
      <c r="BI42" s="113">
        <f t="shared" si="86"/>
        <v>0</v>
      </c>
      <c r="BJ42" s="113">
        <f t="shared" si="86"/>
        <v>0</v>
      </c>
      <c r="BK42" s="113">
        <f t="shared" si="86"/>
        <v>0</v>
      </c>
      <c r="BL42" s="113">
        <f t="shared" si="86"/>
        <v>0</v>
      </c>
      <c r="BM42" s="113">
        <f t="shared" si="86"/>
        <v>0</v>
      </c>
      <c r="BN42" s="113">
        <f t="shared" si="86"/>
        <v>0</v>
      </c>
      <c r="BO42" s="113">
        <f t="shared" ref="BO42:BT42" si="87">BO21</f>
        <v>0</v>
      </c>
      <c r="BP42" s="113">
        <f t="shared" si="87"/>
        <v>0</v>
      </c>
      <c r="BQ42" s="113">
        <f t="shared" si="87"/>
        <v>0</v>
      </c>
      <c r="BR42" s="113">
        <f t="shared" si="87"/>
        <v>0</v>
      </c>
      <c r="BS42" s="113">
        <f t="shared" si="87"/>
        <v>0</v>
      </c>
      <c r="BT42" s="113">
        <f t="shared" si="87"/>
        <v>0</v>
      </c>
      <c r="BU42" s="113">
        <f t="shared" ref="BU42:CF42" si="88">BU21</f>
        <v>0</v>
      </c>
      <c r="BV42" s="113">
        <f t="shared" si="88"/>
        <v>0</v>
      </c>
      <c r="BW42" s="113">
        <f t="shared" si="88"/>
        <v>0</v>
      </c>
      <c r="BX42" s="113">
        <f t="shared" si="88"/>
        <v>0</v>
      </c>
      <c r="BY42" s="113">
        <f t="shared" si="88"/>
        <v>0</v>
      </c>
      <c r="BZ42" s="113">
        <f t="shared" si="88"/>
        <v>0</v>
      </c>
      <c r="CA42" s="113">
        <f t="shared" si="88"/>
        <v>0</v>
      </c>
      <c r="CB42" s="113">
        <f t="shared" si="88"/>
        <v>0</v>
      </c>
      <c r="CC42" s="113">
        <f t="shared" si="88"/>
        <v>0</v>
      </c>
      <c r="CD42" s="113">
        <f t="shared" si="88"/>
        <v>0</v>
      </c>
      <c r="CE42" s="113">
        <f t="shared" si="88"/>
        <v>0</v>
      </c>
      <c r="CF42" s="113">
        <f t="shared" si="88"/>
        <v>0</v>
      </c>
    </row>
    <row r="43" spans="1:84">
      <c r="A43" s="104"/>
      <c r="B43" s="117" t="str">
        <f t="shared" si="56"/>
        <v/>
      </c>
      <c r="C43" s="108"/>
      <c r="D43" s="114">
        <f t="shared" si="62"/>
        <v>0</v>
      </c>
      <c r="E43" s="114">
        <f t="shared" si="63"/>
        <v>0</v>
      </c>
      <c r="F43" s="108"/>
      <c r="G43" s="113">
        <f t="shared" ref="G43:V43" si="89">G22</f>
        <v>0</v>
      </c>
      <c r="H43" s="113">
        <f t="shared" si="89"/>
        <v>0</v>
      </c>
      <c r="I43" s="113">
        <f t="shared" si="89"/>
        <v>0</v>
      </c>
      <c r="J43" s="113">
        <f t="shared" si="89"/>
        <v>0</v>
      </c>
      <c r="K43" s="113">
        <f t="shared" si="89"/>
        <v>0</v>
      </c>
      <c r="L43" s="113">
        <f t="shared" si="89"/>
        <v>0</v>
      </c>
      <c r="M43" s="113">
        <f t="shared" si="89"/>
        <v>0</v>
      </c>
      <c r="N43" s="113">
        <f t="shared" si="89"/>
        <v>0</v>
      </c>
      <c r="O43" s="113">
        <f t="shared" si="89"/>
        <v>0</v>
      </c>
      <c r="P43" s="113">
        <f t="shared" si="89"/>
        <v>0</v>
      </c>
      <c r="Q43" s="113">
        <f t="shared" si="89"/>
        <v>0</v>
      </c>
      <c r="R43" s="113">
        <f t="shared" si="89"/>
        <v>0</v>
      </c>
      <c r="S43" s="113">
        <f t="shared" si="89"/>
        <v>0</v>
      </c>
      <c r="T43" s="113">
        <f t="shared" si="89"/>
        <v>0</v>
      </c>
      <c r="U43" s="113">
        <f t="shared" si="89"/>
        <v>0</v>
      </c>
      <c r="V43" s="113">
        <f t="shared" si="89"/>
        <v>0</v>
      </c>
      <c r="W43" s="113">
        <f t="shared" ref="W43:BB43" si="90">W22</f>
        <v>0</v>
      </c>
      <c r="X43" s="113">
        <f t="shared" si="90"/>
        <v>0</v>
      </c>
      <c r="Y43" s="113">
        <f t="shared" si="90"/>
        <v>0</v>
      </c>
      <c r="Z43" s="113">
        <f t="shared" si="90"/>
        <v>0</v>
      </c>
      <c r="AA43" s="113">
        <f t="shared" si="90"/>
        <v>0</v>
      </c>
      <c r="AB43" s="113">
        <f t="shared" si="90"/>
        <v>0</v>
      </c>
      <c r="AC43" s="113">
        <f t="shared" si="90"/>
        <v>0</v>
      </c>
      <c r="AD43" s="113">
        <f t="shared" si="90"/>
        <v>0</v>
      </c>
      <c r="AE43" s="113">
        <f t="shared" si="90"/>
        <v>0</v>
      </c>
      <c r="AF43" s="113">
        <f t="shared" si="90"/>
        <v>0</v>
      </c>
      <c r="AG43" s="113">
        <f t="shared" si="90"/>
        <v>0</v>
      </c>
      <c r="AH43" s="113">
        <f t="shared" si="90"/>
        <v>0</v>
      </c>
      <c r="AI43" s="113">
        <f t="shared" si="90"/>
        <v>0</v>
      </c>
      <c r="AJ43" s="113">
        <f t="shared" si="90"/>
        <v>0</v>
      </c>
      <c r="AK43" s="113">
        <f t="shared" si="90"/>
        <v>0</v>
      </c>
      <c r="AL43" s="113">
        <f t="shared" si="90"/>
        <v>0</v>
      </c>
      <c r="AM43" s="113">
        <f t="shared" si="90"/>
        <v>0</v>
      </c>
      <c r="AN43" s="113">
        <f t="shared" si="90"/>
        <v>0</v>
      </c>
      <c r="AO43" s="113">
        <f t="shared" si="90"/>
        <v>0</v>
      </c>
      <c r="AP43" s="113">
        <f t="shared" si="90"/>
        <v>0</v>
      </c>
      <c r="AQ43" s="113">
        <f t="shared" si="90"/>
        <v>0</v>
      </c>
      <c r="AR43" s="113">
        <f t="shared" si="90"/>
        <v>0</v>
      </c>
      <c r="AS43" s="113">
        <f t="shared" si="90"/>
        <v>0</v>
      </c>
      <c r="AT43" s="113">
        <f t="shared" si="90"/>
        <v>0</v>
      </c>
      <c r="AU43" s="113">
        <f t="shared" si="90"/>
        <v>0</v>
      </c>
      <c r="AV43" s="113">
        <f t="shared" si="90"/>
        <v>0</v>
      </c>
      <c r="AW43" s="113">
        <f t="shared" si="90"/>
        <v>0</v>
      </c>
      <c r="AX43" s="113">
        <f t="shared" si="90"/>
        <v>0</v>
      </c>
      <c r="AY43" s="113">
        <f t="shared" si="90"/>
        <v>0</v>
      </c>
      <c r="AZ43" s="113">
        <f t="shared" si="90"/>
        <v>0</v>
      </c>
      <c r="BA43" s="113">
        <f t="shared" si="90"/>
        <v>0</v>
      </c>
      <c r="BB43" s="113">
        <f t="shared" si="90"/>
        <v>0</v>
      </c>
      <c r="BC43" s="113">
        <f t="shared" ref="BC43:BN43" si="91">BC22</f>
        <v>0</v>
      </c>
      <c r="BD43" s="113">
        <f t="shared" si="91"/>
        <v>0</v>
      </c>
      <c r="BE43" s="113">
        <f t="shared" si="91"/>
        <v>0</v>
      </c>
      <c r="BF43" s="113">
        <f t="shared" si="91"/>
        <v>0</v>
      </c>
      <c r="BG43" s="113">
        <f t="shared" si="91"/>
        <v>0</v>
      </c>
      <c r="BH43" s="113">
        <f t="shared" si="91"/>
        <v>0</v>
      </c>
      <c r="BI43" s="113">
        <f t="shared" si="91"/>
        <v>0</v>
      </c>
      <c r="BJ43" s="113">
        <f t="shared" si="91"/>
        <v>0</v>
      </c>
      <c r="BK43" s="113">
        <f t="shared" si="91"/>
        <v>0</v>
      </c>
      <c r="BL43" s="113">
        <f t="shared" si="91"/>
        <v>0</v>
      </c>
      <c r="BM43" s="113">
        <f t="shared" si="91"/>
        <v>0</v>
      </c>
      <c r="BN43" s="113">
        <f t="shared" si="91"/>
        <v>0</v>
      </c>
      <c r="BO43" s="113">
        <f t="shared" ref="BO43:BT43" si="92">BO22</f>
        <v>0</v>
      </c>
      <c r="BP43" s="113">
        <f t="shared" si="92"/>
        <v>0</v>
      </c>
      <c r="BQ43" s="113">
        <f t="shared" si="92"/>
        <v>0</v>
      </c>
      <c r="BR43" s="113">
        <f t="shared" si="92"/>
        <v>0</v>
      </c>
      <c r="BS43" s="113">
        <f t="shared" si="92"/>
        <v>0</v>
      </c>
      <c r="BT43" s="113">
        <f t="shared" si="92"/>
        <v>0</v>
      </c>
      <c r="BU43" s="113">
        <f t="shared" ref="BU43:CF43" si="93">BU22</f>
        <v>0</v>
      </c>
      <c r="BV43" s="113">
        <f t="shared" si="93"/>
        <v>0</v>
      </c>
      <c r="BW43" s="113">
        <f t="shared" si="93"/>
        <v>0</v>
      </c>
      <c r="BX43" s="113">
        <f t="shared" si="93"/>
        <v>0</v>
      </c>
      <c r="BY43" s="113">
        <f t="shared" si="93"/>
        <v>0</v>
      </c>
      <c r="BZ43" s="113">
        <f t="shared" si="93"/>
        <v>0</v>
      </c>
      <c r="CA43" s="113">
        <f t="shared" si="93"/>
        <v>0</v>
      </c>
      <c r="CB43" s="113">
        <f t="shared" si="93"/>
        <v>0</v>
      </c>
      <c r="CC43" s="113">
        <f t="shared" si="93"/>
        <v>0</v>
      </c>
      <c r="CD43" s="113">
        <f t="shared" si="93"/>
        <v>0</v>
      </c>
      <c r="CE43" s="113">
        <f t="shared" si="93"/>
        <v>0</v>
      </c>
      <c r="CF43" s="113">
        <f t="shared" si="93"/>
        <v>0</v>
      </c>
    </row>
    <row r="44" spans="1:84">
      <c r="A44" s="104"/>
      <c r="B44" s="117" t="str">
        <f t="shared" si="56"/>
        <v/>
      </c>
      <c r="C44" s="108"/>
      <c r="D44" s="114">
        <f t="shared" si="62"/>
        <v>0</v>
      </c>
      <c r="E44" s="114">
        <f t="shared" si="63"/>
        <v>0</v>
      </c>
      <c r="F44" s="108"/>
      <c r="G44" s="113">
        <f t="shared" ref="G44:BB44" si="94">G23</f>
        <v>0</v>
      </c>
      <c r="H44" s="113">
        <f t="shared" si="94"/>
        <v>0</v>
      </c>
      <c r="I44" s="113">
        <f t="shared" si="94"/>
        <v>0</v>
      </c>
      <c r="J44" s="113">
        <f t="shared" si="94"/>
        <v>0</v>
      </c>
      <c r="K44" s="113">
        <f t="shared" si="94"/>
        <v>0</v>
      </c>
      <c r="L44" s="113">
        <f t="shared" si="94"/>
        <v>0</v>
      </c>
      <c r="M44" s="113">
        <f t="shared" si="94"/>
        <v>0</v>
      </c>
      <c r="N44" s="113">
        <f t="shared" si="94"/>
        <v>0</v>
      </c>
      <c r="O44" s="113">
        <f t="shared" si="94"/>
        <v>0</v>
      </c>
      <c r="P44" s="113">
        <f t="shared" si="94"/>
        <v>0</v>
      </c>
      <c r="Q44" s="113">
        <f t="shared" si="94"/>
        <v>0</v>
      </c>
      <c r="R44" s="113">
        <f t="shared" si="94"/>
        <v>0</v>
      </c>
      <c r="S44" s="113">
        <f t="shared" si="94"/>
        <v>0</v>
      </c>
      <c r="T44" s="113">
        <f t="shared" si="94"/>
        <v>0</v>
      </c>
      <c r="U44" s="113">
        <f t="shared" si="94"/>
        <v>0</v>
      </c>
      <c r="V44" s="113">
        <f t="shared" si="94"/>
        <v>0</v>
      </c>
      <c r="W44" s="113">
        <f t="shared" si="94"/>
        <v>0</v>
      </c>
      <c r="X44" s="113">
        <f t="shared" si="94"/>
        <v>0</v>
      </c>
      <c r="Y44" s="113">
        <f t="shared" si="94"/>
        <v>0</v>
      </c>
      <c r="Z44" s="113">
        <f t="shared" si="94"/>
        <v>0</v>
      </c>
      <c r="AA44" s="113">
        <f t="shared" si="94"/>
        <v>0</v>
      </c>
      <c r="AB44" s="113">
        <f t="shared" si="94"/>
        <v>0</v>
      </c>
      <c r="AC44" s="113">
        <f t="shared" si="94"/>
        <v>0</v>
      </c>
      <c r="AD44" s="113">
        <f t="shared" si="94"/>
        <v>0</v>
      </c>
      <c r="AE44" s="113">
        <f t="shared" si="94"/>
        <v>0</v>
      </c>
      <c r="AF44" s="113">
        <f t="shared" si="94"/>
        <v>0</v>
      </c>
      <c r="AG44" s="113">
        <f t="shared" si="94"/>
        <v>0</v>
      </c>
      <c r="AH44" s="113">
        <f t="shared" si="94"/>
        <v>0</v>
      </c>
      <c r="AI44" s="113">
        <f t="shared" si="94"/>
        <v>0</v>
      </c>
      <c r="AJ44" s="113">
        <f t="shared" si="94"/>
        <v>0</v>
      </c>
      <c r="AK44" s="113">
        <f t="shared" si="94"/>
        <v>0</v>
      </c>
      <c r="AL44" s="113">
        <f t="shared" si="94"/>
        <v>0</v>
      </c>
      <c r="AM44" s="113">
        <f t="shared" si="94"/>
        <v>0</v>
      </c>
      <c r="AN44" s="113">
        <f t="shared" si="94"/>
        <v>0</v>
      </c>
      <c r="AO44" s="113">
        <f t="shared" si="94"/>
        <v>0</v>
      </c>
      <c r="AP44" s="113">
        <f t="shared" si="94"/>
        <v>0</v>
      </c>
      <c r="AQ44" s="113">
        <f t="shared" si="94"/>
        <v>0</v>
      </c>
      <c r="AR44" s="113">
        <f t="shared" si="94"/>
        <v>0</v>
      </c>
      <c r="AS44" s="113">
        <f t="shared" si="94"/>
        <v>0</v>
      </c>
      <c r="AT44" s="113">
        <f t="shared" si="94"/>
        <v>0</v>
      </c>
      <c r="AU44" s="113">
        <f t="shared" si="94"/>
        <v>0</v>
      </c>
      <c r="AV44" s="113">
        <f t="shared" si="94"/>
        <v>0</v>
      </c>
      <c r="AW44" s="113">
        <f t="shared" si="94"/>
        <v>0</v>
      </c>
      <c r="AX44" s="113">
        <f t="shared" si="94"/>
        <v>0</v>
      </c>
      <c r="AY44" s="113">
        <f t="shared" si="94"/>
        <v>0</v>
      </c>
      <c r="AZ44" s="113">
        <f t="shared" si="94"/>
        <v>0</v>
      </c>
      <c r="BA44" s="113">
        <f t="shared" si="94"/>
        <v>0</v>
      </c>
      <c r="BB44" s="113">
        <f t="shared" si="94"/>
        <v>0</v>
      </c>
      <c r="BC44" s="113">
        <f t="shared" ref="BC44:BN44" si="95">BC23</f>
        <v>0</v>
      </c>
      <c r="BD44" s="113">
        <f t="shared" si="95"/>
        <v>0</v>
      </c>
      <c r="BE44" s="113">
        <f t="shared" si="95"/>
        <v>0</v>
      </c>
      <c r="BF44" s="113">
        <f t="shared" si="95"/>
        <v>0</v>
      </c>
      <c r="BG44" s="113">
        <f t="shared" si="95"/>
        <v>0</v>
      </c>
      <c r="BH44" s="113">
        <f t="shared" si="95"/>
        <v>0</v>
      </c>
      <c r="BI44" s="113">
        <f t="shared" si="95"/>
        <v>0</v>
      </c>
      <c r="BJ44" s="113">
        <f t="shared" si="95"/>
        <v>0</v>
      </c>
      <c r="BK44" s="113">
        <f t="shared" si="95"/>
        <v>0</v>
      </c>
      <c r="BL44" s="113">
        <f t="shared" si="95"/>
        <v>0</v>
      </c>
      <c r="BM44" s="113">
        <f t="shared" si="95"/>
        <v>0</v>
      </c>
      <c r="BN44" s="113">
        <f t="shared" si="95"/>
        <v>0</v>
      </c>
      <c r="BO44" s="113">
        <f t="shared" ref="BO44:BT44" si="96">BO23</f>
        <v>0</v>
      </c>
      <c r="BP44" s="113">
        <f t="shared" si="96"/>
        <v>0</v>
      </c>
      <c r="BQ44" s="113">
        <f t="shared" si="96"/>
        <v>0</v>
      </c>
      <c r="BR44" s="113">
        <f t="shared" si="96"/>
        <v>0</v>
      </c>
      <c r="BS44" s="113">
        <f t="shared" si="96"/>
        <v>0</v>
      </c>
      <c r="BT44" s="113">
        <f t="shared" si="96"/>
        <v>0</v>
      </c>
      <c r="BU44" s="113">
        <f t="shared" ref="BU44:CF44" si="97">BU23</f>
        <v>0</v>
      </c>
      <c r="BV44" s="113">
        <f t="shared" si="97"/>
        <v>0</v>
      </c>
      <c r="BW44" s="113">
        <f t="shared" si="97"/>
        <v>0</v>
      </c>
      <c r="BX44" s="113">
        <f t="shared" si="97"/>
        <v>0</v>
      </c>
      <c r="BY44" s="113">
        <f t="shared" si="97"/>
        <v>0</v>
      </c>
      <c r="BZ44" s="113">
        <f t="shared" si="97"/>
        <v>0</v>
      </c>
      <c r="CA44" s="113">
        <f t="shared" si="97"/>
        <v>0</v>
      </c>
      <c r="CB44" s="113">
        <f t="shared" si="97"/>
        <v>0</v>
      </c>
      <c r="CC44" s="113">
        <f t="shared" si="97"/>
        <v>0</v>
      </c>
      <c r="CD44" s="113">
        <f t="shared" si="97"/>
        <v>0</v>
      </c>
      <c r="CE44" s="113">
        <f t="shared" si="97"/>
        <v>0</v>
      </c>
      <c r="CF44" s="113">
        <f t="shared" si="97"/>
        <v>0</v>
      </c>
    </row>
    <row r="45" spans="1:84" s="57" customFormat="1">
      <c r="A45" s="118"/>
      <c r="B45" s="119" t="s">
        <v>1</v>
      </c>
      <c r="C45" s="120"/>
      <c r="D45" s="121"/>
      <c r="E45" s="121">
        <f>SUM(G45:BB45)</f>
        <v>282000</v>
      </c>
      <c r="F45" s="120"/>
      <c r="G45" s="122">
        <f t="shared" ref="G45:BB45" si="98">SUM(G29:G44)</f>
        <v>0</v>
      </c>
      <c r="H45" s="122">
        <f t="shared" si="98"/>
        <v>0</v>
      </c>
      <c r="I45" s="122">
        <f t="shared" si="98"/>
        <v>0</v>
      </c>
      <c r="J45" s="122">
        <f t="shared" si="98"/>
        <v>0</v>
      </c>
      <c r="K45" s="122">
        <f t="shared" si="98"/>
        <v>0</v>
      </c>
      <c r="L45" s="122">
        <f t="shared" si="98"/>
        <v>0</v>
      </c>
      <c r="M45" s="122">
        <f t="shared" si="98"/>
        <v>0</v>
      </c>
      <c r="N45" s="122">
        <f t="shared" si="98"/>
        <v>0</v>
      </c>
      <c r="O45" s="122">
        <f t="shared" si="98"/>
        <v>0</v>
      </c>
      <c r="P45" s="122">
        <f t="shared" si="98"/>
        <v>0</v>
      </c>
      <c r="Q45" s="122">
        <f t="shared" si="98"/>
        <v>0</v>
      </c>
      <c r="R45" s="122">
        <f t="shared" si="98"/>
        <v>0</v>
      </c>
      <c r="S45" s="122">
        <f t="shared" si="98"/>
        <v>0</v>
      </c>
      <c r="T45" s="122">
        <f t="shared" si="98"/>
        <v>0</v>
      </c>
      <c r="U45" s="122">
        <f t="shared" si="98"/>
        <v>0</v>
      </c>
      <c r="V45" s="122">
        <f t="shared" si="98"/>
        <v>0</v>
      </c>
      <c r="W45" s="122">
        <f t="shared" si="98"/>
        <v>0</v>
      </c>
      <c r="X45" s="122">
        <f t="shared" si="98"/>
        <v>250000</v>
      </c>
      <c r="Y45" s="122">
        <f t="shared" si="98"/>
        <v>0</v>
      </c>
      <c r="Z45" s="122">
        <f t="shared" si="98"/>
        <v>0</v>
      </c>
      <c r="AA45" s="122">
        <f t="shared" si="98"/>
        <v>0</v>
      </c>
      <c r="AB45" s="122">
        <f t="shared" si="98"/>
        <v>0</v>
      </c>
      <c r="AC45" s="122">
        <f t="shared" si="98"/>
        <v>0</v>
      </c>
      <c r="AD45" s="122">
        <f t="shared" si="98"/>
        <v>0</v>
      </c>
      <c r="AE45" s="122">
        <f t="shared" si="98"/>
        <v>0</v>
      </c>
      <c r="AF45" s="122">
        <f t="shared" si="98"/>
        <v>0</v>
      </c>
      <c r="AG45" s="122">
        <f t="shared" si="98"/>
        <v>8000</v>
      </c>
      <c r="AH45" s="122">
        <f t="shared" si="98"/>
        <v>0</v>
      </c>
      <c r="AI45" s="122">
        <f t="shared" si="98"/>
        <v>0</v>
      </c>
      <c r="AJ45" s="122">
        <f t="shared" si="98"/>
        <v>0</v>
      </c>
      <c r="AK45" s="122">
        <f t="shared" si="98"/>
        <v>0</v>
      </c>
      <c r="AL45" s="122">
        <f t="shared" si="98"/>
        <v>0</v>
      </c>
      <c r="AM45" s="122">
        <f t="shared" si="98"/>
        <v>0</v>
      </c>
      <c r="AN45" s="122">
        <f t="shared" si="98"/>
        <v>0</v>
      </c>
      <c r="AO45" s="122">
        <f t="shared" si="98"/>
        <v>0</v>
      </c>
      <c r="AP45" s="122">
        <f t="shared" si="98"/>
        <v>0</v>
      </c>
      <c r="AQ45" s="122">
        <f t="shared" si="98"/>
        <v>24000</v>
      </c>
      <c r="AR45" s="122">
        <f t="shared" si="98"/>
        <v>0</v>
      </c>
      <c r="AS45" s="122">
        <f t="shared" si="98"/>
        <v>0</v>
      </c>
      <c r="AT45" s="122">
        <f t="shared" si="98"/>
        <v>0</v>
      </c>
      <c r="AU45" s="122">
        <f t="shared" si="98"/>
        <v>0</v>
      </c>
      <c r="AV45" s="122">
        <f t="shared" si="98"/>
        <v>0</v>
      </c>
      <c r="AW45" s="122">
        <f t="shared" si="98"/>
        <v>0</v>
      </c>
      <c r="AX45" s="122">
        <f t="shared" si="98"/>
        <v>0</v>
      </c>
      <c r="AY45" s="122">
        <f t="shared" si="98"/>
        <v>0</v>
      </c>
      <c r="AZ45" s="122">
        <f t="shared" si="98"/>
        <v>0</v>
      </c>
      <c r="BA45" s="122">
        <f t="shared" si="98"/>
        <v>0</v>
      </c>
      <c r="BB45" s="122">
        <f t="shared" si="98"/>
        <v>0</v>
      </c>
      <c r="BC45" s="122">
        <f t="shared" ref="BC45:BN45" si="99">SUM(BC29:BC44)</f>
        <v>18000</v>
      </c>
      <c r="BD45" s="122">
        <f t="shared" si="99"/>
        <v>0</v>
      </c>
      <c r="BE45" s="122">
        <f t="shared" si="99"/>
        <v>0</v>
      </c>
      <c r="BF45" s="122">
        <f t="shared" si="99"/>
        <v>0</v>
      </c>
      <c r="BG45" s="122">
        <f t="shared" si="99"/>
        <v>0</v>
      </c>
      <c r="BH45" s="122">
        <f t="shared" si="99"/>
        <v>0</v>
      </c>
      <c r="BI45" s="122">
        <f t="shared" si="99"/>
        <v>0</v>
      </c>
      <c r="BJ45" s="122">
        <f t="shared" si="99"/>
        <v>0</v>
      </c>
      <c r="BK45" s="122">
        <f t="shared" si="99"/>
        <v>0</v>
      </c>
      <c r="BL45" s="122">
        <f t="shared" si="99"/>
        <v>0</v>
      </c>
      <c r="BM45" s="122">
        <f t="shared" si="99"/>
        <v>0</v>
      </c>
      <c r="BN45" s="122">
        <f t="shared" si="99"/>
        <v>0</v>
      </c>
      <c r="BO45" s="122">
        <f t="shared" ref="BO45:BT45" si="100">SUM(BO29:BO44)</f>
        <v>0</v>
      </c>
      <c r="BP45" s="122">
        <f t="shared" si="100"/>
        <v>0</v>
      </c>
      <c r="BQ45" s="122">
        <f t="shared" si="100"/>
        <v>0</v>
      </c>
      <c r="BR45" s="122">
        <f t="shared" si="100"/>
        <v>0</v>
      </c>
      <c r="BS45" s="122">
        <f t="shared" si="100"/>
        <v>0</v>
      </c>
      <c r="BT45" s="122">
        <f t="shared" si="100"/>
        <v>0</v>
      </c>
      <c r="BU45" s="122">
        <f t="shared" ref="BU45:CF45" si="101">SUM(BU29:BU44)</f>
        <v>0</v>
      </c>
      <c r="BV45" s="122">
        <f t="shared" si="101"/>
        <v>0</v>
      </c>
      <c r="BW45" s="122">
        <f t="shared" si="101"/>
        <v>0</v>
      </c>
      <c r="BX45" s="122">
        <f t="shared" si="101"/>
        <v>0</v>
      </c>
      <c r="BY45" s="122">
        <f t="shared" si="101"/>
        <v>0</v>
      </c>
      <c r="BZ45" s="122">
        <f t="shared" si="101"/>
        <v>0</v>
      </c>
      <c r="CA45" s="122">
        <f t="shared" si="101"/>
        <v>0</v>
      </c>
      <c r="CB45" s="122">
        <f t="shared" si="101"/>
        <v>0</v>
      </c>
      <c r="CC45" s="122">
        <f t="shared" si="101"/>
        <v>0</v>
      </c>
      <c r="CD45" s="122">
        <f t="shared" si="101"/>
        <v>0</v>
      </c>
      <c r="CE45" s="122">
        <f t="shared" si="101"/>
        <v>0</v>
      </c>
      <c r="CF45" s="122">
        <f t="shared" si="101"/>
        <v>0</v>
      </c>
    </row>
    <row r="46" spans="1:84"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</row>
    <row r="47" spans="1:84"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</row>
    <row r="48" spans="1:84">
      <c r="A48" s="157" t="s">
        <v>194</v>
      </c>
      <c r="B48" s="158"/>
      <c r="C48" s="158"/>
      <c r="D48" s="158"/>
      <c r="E48" s="158"/>
      <c r="F48" s="159"/>
      <c r="G48" s="112"/>
      <c r="H48" s="112"/>
      <c r="I48" s="112"/>
      <c r="J48" s="112"/>
      <c r="K48" s="112"/>
      <c r="L48" s="112"/>
      <c r="M48" s="112">
        <v>39814</v>
      </c>
      <c r="N48" s="112">
        <v>39845</v>
      </c>
      <c r="O48" s="112">
        <v>39873</v>
      </c>
      <c r="P48" s="112">
        <v>39904</v>
      </c>
      <c r="Q48" s="112">
        <v>39934</v>
      </c>
      <c r="R48" s="112">
        <v>39965</v>
      </c>
      <c r="S48" s="112">
        <v>39995</v>
      </c>
      <c r="T48" s="112">
        <v>40026</v>
      </c>
      <c r="U48" s="112">
        <v>40057</v>
      </c>
      <c r="V48" s="112">
        <v>40087</v>
      </c>
      <c r="W48" s="112">
        <v>40118</v>
      </c>
      <c r="X48" s="112">
        <v>40148</v>
      </c>
      <c r="Y48" s="112">
        <v>40179</v>
      </c>
      <c r="Z48" s="112">
        <v>40210</v>
      </c>
      <c r="AA48" s="112">
        <v>40238</v>
      </c>
      <c r="AB48" s="112">
        <v>40269</v>
      </c>
      <c r="AC48" s="112">
        <v>40299</v>
      </c>
      <c r="AD48" s="112">
        <v>40330</v>
      </c>
      <c r="AE48" s="112">
        <v>40360</v>
      </c>
      <c r="AF48" s="112">
        <v>40391</v>
      </c>
      <c r="AG48" s="112">
        <v>40422</v>
      </c>
      <c r="AH48" s="112">
        <v>40452</v>
      </c>
      <c r="AI48" s="112">
        <v>40483</v>
      </c>
      <c r="AJ48" s="112">
        <v>40513</v>
      </c>
      <c r="AK48" s="112">
        <v>40544</v>
      </c>
      <c r="AL48" s="112">
        <v>40575</v>
      </c>
      <c r="AM48" s="112">
        <v>40603</v>
      </c>
      <c r="AN48" s="112">
        <v>40634</v>
      </c>
      <c r="AO48" s="112">
        <v>40664</v>
      </c>
      <c r="AP48" s="112">
        <v>40695</v>
      </c>
      <c r="AQ48" s="112">
        <v>40725</v>
      </c>
      <c r="AR48" s="112">
        <v>40756</v>
      </c>
      <c r="AS48" s="112">
        <v>40787</v>
      </c>
      <c r="AT48" s="112">
        <v>40817</v>
      </c>
      <c r="AU48" s="112">
        <v>40848</v>
      </c>
      <c r="AV48" s="112">
        <v>40878</v>
      </c>
      <c r="AW48" s="112">
        <v>40909</v>
      </c>
      <c r="AX48" s="112">
        <v>40940</v>
      </c>
      <c r="AY48" s="112">
        <v>40969</v>
      </c>
      <c r="AZ48" s="112">
        <v>41000</v>
      </c>
      <c r="BA48" s="112">
        <v>41030</v>
      </c>
      <c r="BB48" s="112">
        <v>41061</v>
      </c>
      <c r="BC48" s="112">
        <v>41091</v>
      </c>
      <c r="BD48" s="112">
        <v>41122</v>
      </c>
      <c r="BE48" s="112">
        <v>41153</v>
      </c>
      <c r="BF48" s="112">
        <v>41183</v>
      </c>
      <c r="BG48" s="112">
        <v>41214</v>
      </c>
      <c r="BH48" s="112">
        <v>41244</v>
      </c>
      <c r="BI48" s="112">
        <v>41275</v>
      </c>
      <c r="BJ48" s="112">
        <v>41306</v>
      </c>
      <c r="BK48" s="112">
        <v>41334</v>
      </c>
      <c r="BL48" s="112">
        <v>41365</v>
      </c>
      <c r="BM48" s="112">
        <v>41395</v>
      </c>
      <c r="BN48" s="112">
        <v>41426</v>
      </c>
      <c r="BO48" s="112">
        <v>41456</v>
      </c>
      <c r="BP48" s="112">
        <v>41487</v>
      </c>
      <c r="BQ48" s="112">
        <v>41518</v>
      </c>
      <c r="BR48" s="112">
        <v>41548</v>
      </c>
      <c r="BS48" s="112">
        <v>41579</v>
      </c>
      <c r="BT48" s="112">
        <v>41609</v>
      </c>
      <c r="BU48" s="112">
        <v>41640</v>
      </c>
      <c r="BV48" s="112">
        <v>41671</v>
      </c>
      <c r="BW48" s="112">
        <v>41699</v>
      </c>
      <c r="BX48" s="112">
        <v>41730</v>
      </c>
      <c r="BY48" s="112">
        <v>41760</v>
      </c>
      <c r="BZ48" s="112">
        <v>41791</v>
      </c>
      <c r="CA48" s="112">
        <v>41821</v>
      </c>
      <c r="CB48" s="112">
        <v>41852</v>
      </c>
      <c r="CC48" s="112">
        <v>41883</v>
      </c>
      <c r="CD48" s="112">
        <v>41913</v>
      </c>
      <c r="CE48" s="112">
        <v>41944</v>
      </c>
      <c r="CF48" s="112">
        <v>41974</v>
      </c>
    </row>
    <row r="49" spans="1:84">
      <c r="A49" s="104"/>
      <c r="B49" s="116" t="str">
        <f t="shared" ref="B49:B64" si="102">B29</f>
        <v>Total Incorporel</v>
      </c>
      <c r="C49" s="115"/>
      <c r="D49" s="106"/>
      <c r="E49" s="106"/>
      <c r="F49" s="107"/>
      <c r="G49" s="113">
        <f>G29/IF($D29=0,1,$D29)/12+F49</f>
        <v>0</v>
      </c>
      <c r="H49" s="113">
        <f t="shared" ref="H49:BB49" si="103">H29/IF($D29=0,1,$D29)/12+G49</f>
        <v>0</v>
      </c>
      <c r="I49" s="113">
        <f t="shared" si="103"/>
        <v>0</v>
      </c>
      <c r="J49" s="113">
        <f t="shared" si="103"/>
        <v>0</v>
      </c>
      <c r="K49" s="113">
        <f t="shared" si="103"/>
        <v>0</v>
      </c>
      <c r="L49" s="113">
        <f t="shared" ref="L49:M64" si="104">L29/IF($D29=0,1,$D29)/12+K49</f>
        <v>0</v>
      </c>
      <c r="M49" s="113">
        <f t="shared" si="104"/>
        <v>0</v>
      </c>
      <c r="N49" s="113">
        <f t="shared" si="103"/>
        <v>0</v>
      </c>
      <c r="O49" s="113">
        <f t="shared" si="103"/>
        <v>0</v>
      </c>
      <c r="P49" s="113">
        <f t="shared" si="103"/>
        <v>0</v>
      </c>
      <c r="Q49" s="113">
        <f t="shared" si="103"/>
        <v>0</v>
      </c>
      <c r="R49" s="113">
        <f t="shared" si="103"/>
        <v>0</v>
      </c>
      <c r="S49" s="113">
        <f>S29/IF($D29=0,1,$D29)/12+R49</f>
        <v>0</v>
      </c>
      <c r="T49" s="113">
        <f>T29/IF($D29=0,1,$D29)/12+S49</f>
        <v>0</v>
      </c>
      <c r="U49" s="113">
        <f>U29/IF($D29=0,1,$D29)/12+T49</f>
        <v>0</v>
      </c>
      <c r="V49" s="113">
        <f t="shared" si="103"/>
        <v>0</v>
      </c>
      <c r="W49" s="113">
        <f t="shared" si="103"/>
        <v>0</v>
      </c>
      <c r="X49" s="113">
        <f t="shared" si="103"/>
        <v>4166.666666666667</v>
      </c>
      <c r="Y49" s="113">
        <f t="shared" si="103"/>
        <v>4166.666666666667</v>
      </c>
      <c r="Z49" s="113">
        <f t="shared" si="103"/>
        <v>4166.666666666667</v>
      </c>
      <c r="AA49" s="113">
        <f t="shared" si="103"/>
        <v>4166.666666666667</v>
      </c>
      <c r="AB49" s="113">
        <f t="shared" si="103"/>
        <v>4166.666666666667</v>
      </c>
      <c r="AC49" s="113">
        <f t="shared" si="103"/>
        <v>4166.666666666667</v>
      </c>
      <c r="AD49" s="113">
        <f t="shared" si="103"/>
        <v>4166.666666666667</v>
      </c>
      <c r="AE49" s="113">
        <f t="shared" si="103"/>
        <v>4166.666666666667</v>
      </c>
      <c r="AF49" s="113">
        <f t="shared" si="103"/>
        <v>4166.666666666667</v>
      </c>
      <c r="AG49" s="113">
        <f t="shared" si="103"/>
        <v>4166.666666666667</v>
      </c>
      <c r="AH49" s="113">
        <f t="shared" si="103"/>
        <v>4166.666666666667</v>
      </c>
      <c r="AI49" s="113">
        <f t="shared" si="103"/>
        <v>4166.666666666667</v>
      </c>
      <c r="AJ49" s="113">
        <f t="shared" si="103"/>
        <v>4166.666666666667</v>
      </c>
      <c r="AK49" s="113">
        <f t="shared" si="103"/>
        <v>4166.666666666667</v>
      </c>
      <c r="AL49" s="113">
        <f t="shared" si="103"/>
        <v>4166.666666666667</v>
      </c>
      <c r="AM49" s="113">
        <f t="shared" si="103"/>
        <v>4166.666666666667</v>
      </c>
      <c r="AN49" s="113">
        <f t="shared" si="103"/>
        <v>4166.666666666667</v>
      </c>
      <c r="AO49" s="113">
        <f t="shared" si="103"/>
        <v>4166.666666666667</v>
      </c>
      <c r="AP49" s="113">
        <f t="shared" si="103"/>
        <v>4166.666666666667</v>
      </c>
      <c r="AQ49" s="113">
        <f t="shared" si="103"/>
        <v>4166.666666666667</v>
      </c>
      <c r="AR49" s="113">
        <f t="shared" si="103"/>
        <v>4166.666666666667</v>
      </c>
      <c r="AS49" s="113">
        <f t="shared" si="103"/>
        <v>4166.666666666667</v>
      </c>
      <c r="AT49" s="113">
        <f t="shared" si="103"/>
        <v>4166.666666666667</v>
      </c>
      <c r="AU49" s="113">
        <f t="shared" si="103"/>
        <v>4166.666666666667</v>
      </c>
      <c r="AV49" s="113">
        <f t="shared" si="103"/>
        <v>4166.666666666667</v>
      </c>
      <c r="AW49" s="113">
        <f t="shared" si="103"/>
        <v>4166.666666666667</v>
      </c>
      <c r="AX49" s="113">
        <f t="shared" si="103"/>
        <v>4166.666666666667</v>
      </c>
      <c r="AY49" s="113">
        <f t="shared" si="103"/>
        <v>4166.666666666667</v>
      </c>
      <c r="AZ49" s="113">
        <f t="shared" si="103"/>
        <v>4166.666666666667</v>
      </c>
      <c r="BA49" s="113">
        <f t="shared" si="103"/>
        <v>4166.666666666667</v>
      </c>
      <c r="BB49" s="113">
        <f t="shared" si="103"/>
        <v>4166.666666666667</v>
      </c>
      <c r="BC49" s="113">
        <f t="shared" ref="BC49:BN49" si="105">BC29/IF($D29=0,1,$D29)/12+BB49</f>
        <v>4166.666666666667</v>
      </c>
      <c r="BD49" s="113">
        <f t="shared" si="105"/>
        <v>4166.666666666667</v>
      </c>
      <c r="BE49" s="113">
        <f t="shared" si="105"/>
        <v>4166.666666666667</v>
      </c>
      <c r="BF49" s="113">
        <f t="shared" si="105"/>
        <v>4166.666666666667</v>
      </c>
      <c r="BG49" s="113">
        <f t="shared" si="105"/>
        <v>4166.666666666667</v>
      </c>
      <c r="BH49" s="113">
        <f t="shared" si="105"/>
        <v>4166.666666666667</v>
      </c>
      <c r="BI49" s="113">
        <f t="shared" si="105"/>
        <v>4166.666666666667</v>
      </c>
      <c r="BJ49" s="113">
        <f t="shared" si="105"/>
        <v>4166.666666666667</v>
      </c>
      <c r="BK49" s="113">
        <f t="shared" si="105"/>
        <v>4166.666666666667</v>
      </c>
      <c r="BL49" s="113">
        <f t="shared" si="105"/>
        <v>4166.666666666667</v>
      </c>
      <c r="BM49" s="113">
        <f t="shared" si="105"/>
        <v>4166.666666666667</v>
      </c>
      <c r="BN49" s="113">
        <f t="shared" si="105"/>
        <v>4166.666666666667</v>
      </c>
      <c r="BO49" s="113">
        <f t="shared" ref="BO49:BT49" si="106">BO29/IF($D29=0,1,$D29)/12+BN49</f>
        <v>4166.666666666667</v>
      </c>
      <c r="BP49" s="113">
        <f t="shared" si="106"/>
        <v>4166.666666666667</v>
      </c>
      <c r="BQ49" s="113">
        <f t="shared" si="106"/>
        <v>4166.666666666667</v>
      </c>
      <c r="BR49" s="113">
        <f t="shared" si="106"/>
        <v>4166.666666666667</v>
      </c>
      <c r="BS49" s="113">
        <f t="shared" si="106"/>
        <v>4166.666666666667</v>
      </c>
      <c r="BT49" s="113">
        <f t="shared" si="106"/>
        <v>4166.666666666667</v>
      </c>
      <c r="BU49" s="113">
        <f t="shared" ref="BU49:BU56" si="107">BU29/IF($D29=0,1,$D29)/12+BT49</f>
        <v>4166.666666666667</v>
      </c>
      <c r="BV49" s="113">
        <f t="shared" ref="BV49:BV56" si="108">BV29/IF($D29=0,1,$D29)/12+BU49</f>
        <v>4166.666666666667</v>
      </c>
      <c r="BW49" s="113">
        <f t="shared" ref="BW49:BW56" si="109">BW29/IF($D29=0,1,$D29)/12+BV49</f>
        <v>4166.666666666667</v>
      </c>
      <c r="BX49" s="113">
        <f t="shared" ref="BX49:BX56" si="110">BX29/IF($D29=0,1,$D29)/12+BW49</f>
        <v>4166.666666666667</v>
      </c>
      <c r="BY49" s="113">
        <f t="shared" ref="BY49:BY56" si="111">BY29/IF($D29=0,1,$D29)/12+BX49</f>
        <v>4166.666666666667</v>
      </c>
      <c r="BZ49" s="113">
        <f t="shared" ref="BZ49:BZ56" si="112">BZ29/IF($D29=0,1,$D29)/12+BY49</f>
        <v>4166.666666666667</v>
      </c>
      <c r="CA49" s="113">
        <f t="shared" ref="CA49:CA56" si="113">CA29/IF($D29=0,1,$D29)/12+BZ49</f>
        <v>4166.666666666667</v>
      </c>
      <c r="CB49" s="113">
        <f t="shared" ref="CB49:CB56" si="114">CB29/IF($D29=0,1,$D29)/12+CA49</f>
        <v>4166.666666666667</v>
      </c>
      <c r="CC49" s="113">
        <f t="shared" ref="CC49:CC56" si="115">CC29/IF($D29=0,1,$D29)/12+CB49</f>
        <v>4166.666666666667</v>
      </c>
      <c r="CD49" s="113">
        <f t="shared" ref="CD49:CD56" si="116">CD29/IF($D29=0,1,$D29)/12+CC49</f>
        <v>4166.666666666667</v>
      </c>
      <c r="CE49" s="113">
        <f t="shared" ref="CE49:CE56" si="117">CE29/IF($D29=0,1,$D29)/12+CD49</f>
        <v>4166.666666666667</v>
      </c>
      <c r="CF49" s="113">
        <f t="shared" ref="CF49:CF56" si="118">CF29/IF($D29=0,1,$D29)/12+CE49</f>
        <v>4166.666666666667</v>
      </c>
    </row>
    <row r="50" spans="1:84">
      <c r="A50" s="104"/>
      <c r="B50" s="116" t="str">
        <f t="shared" si="102"/>
        <v>Total Invest 2</v>
      </c>
      <c r="C50" s="115"/>
      <c r="D50" s="106"/>
      <c r="E50" s="106"/>
      <c r="F50" s="108"/>
      <c r="G50" s="113">
        <f t="shared" ref="G50:V50" si="119">G30/IF($D30=0,1,$D30)/12+F50</f>
        <v>0</v>
      </c>
      <c r="H50" s="113">
        <f t="shared" si="119"/>
        <v>0</v>
      </c>
      <c r="I50" s="113">
        <f t="shared" si="119"/>
        <v>0</v>
      </c>
      <c r="J50" s="113">
        <f t="shared" si="119"/>
        <v>0</v>
      </c>
      <c r="K50" s="113">
        <f t="shared" si="119"/>
        <v>0</v>
      </c>
      <c r="L50" s="113">
        <f t="shared" si="104"/>
        <v>0</v>
      </c>
      <c r="M50" s="113">
        <f t="shared" si="104"/>
        <v>0</v>
      </c>
      <c r="N50" s="113">
        <f t="shared" si="119"/>
        <v>0</v>
      </c>
      <c r="O50" s="113">
        <f t="shared" si="119"/>
        <v>0</v>
      </c>
      <c r="P50" s="113">
        <f t="shared" si="119"/>
        <v>0</v>
      </c>
      <c r="Q50" s="113">
        <f t="shared" si="119"/>
        <v>0</v>
      </c>
      <c r="R50" s="113">
        <f t="shared" si="119"/>
        <v>0</v>
      </c>
      <c r="S50" s="113">
        <f t="shared" si="119"/>
        <v>0</v>
      </c>
      <c r="T50" s="113">
        <f t="shared" si="119"/>
        <v>0</v>
      </c>
      <c r="U50" s="113">
        <f t="shared" si="119"/>
        <v>0</v>
      </c>
      <c r="V50" s="113">
        <f t="shared" si="119"/>
        <v>0</v>
      </c>
      <c r="W50" s="113">
        <f t="shared" ref="W50:BB50" si="120">W30/IF($D30=0,1,$D30)/12+V50</f>
        <v>0</v>
      </c>
      <c r="X50" s="113">
        <f t="shared" si="120"/>
        <v>0</v>
      </c>
      <c r="Y50" s="113">
        <f t="shared" si="120"/>
        <v>0</v>
      </c>
      <c r="Z50" s="113">
        <f t="shared" si="120"/>
        <v>0</v>
      </c>
      <c r="AA50" s="113">
        <f t="shared" si="120"/>
        <v>0</v>
      </c>
      <c r="AB50" s="113">
        <f t="shared" si="120"/>
        <v>0</v>
      </c>
      <c r="AC50" s="113">
        <f t="shared" si="120"/>
        <v>0</v>
      </c>
      <c r="AD50" s="113">
        <f t="shared" si="120"/>
        <v>0</v>
      </c>
      <c r="AE50" s="113">
        <f t="shared" si="120"/>
        <v>0</v>
      </c>
      <c r="AF50" s="113">
        <f t="shared" si="120"/>
        <v>0</v>
      </c>
      <c r="AG50" s="113">
        <f t="shared" si="120"/>
        <v>0</v>
      </c>
      <c r="AH50" s="113">
        <f t="shared" si="120"/>
        <v>0</v>
      </c>
      <c r="AI50" s="113">
        <f t="shared" si="120"/>
        <v>0</v>
      </c>
      <c r="AJ50" s="113">
        <f t="shared" si="120"/>
        <v>0</v>
      </c>
      <c r="AK50" s="113">
        <f t="shared" si="120"/>
        <v>0</v>
      </c>
      <c r="AL50" s="113">
        <f t="shared" si="120"/>
        <v>0</v>
      </c>
      <c r="AM50" s="113">
        <f t="shared" si="120"/>
        <v>0</v>
      </c>
      <c r="AN50" s="113">
        <f t="shared" si="120"/>
        <v>0</v>
      </c>
      <c r="AO50" s="113">
        <f t="shared" si="120"/>
        <v>0</v>
      </c>
      <c r="AP50" s="113">
        <f t="shared" si="120"/>
        <v>0</v>
      </c>
      <c r="AQ50" s="113">
        <f t="shared" si="120"/>
        <v>0</v>
      </c>
      <c r="AR50" s="113">
        <f t="shared" si="120"/>
        <v>0</v>
      </c>
      <c r="AS50" s="113">
        <f t="shared" si="120"/>
        <v>0</v>
      </c>
      <c r="AT50" s="113">
        <f t="shared" si="120"/>
        <v>0</v>
      </c>
      <c r="AU50" s="113">
        <f t="shared" si="120"/>
        <v>0</v>
      </c>
      <c r="AV50" s="113">
        <f t="shared" si="120"/>
        <v>0</v>
      </c>
      <c r="AW50" s="113">
        <f t="shared" si="120"/>
        <v>0</v>
      </c>
      <c r="AX50" s="113">
        <f t="shared" si="120"/>
        <v>0</v>
      </c>
      <c r="AY50" s="113">
        <f t="shared" si="120"/>
        <v>0</v>
      </c>
      <c r="AZ50" s="113">
        <f t="shared" si="120"/>
        <v>0</v>
      </c>
      <c r="BA50" s="113">
        <f t="shared" si="120"/>
        <v>0</v>
      </c>
      <c r="BB50" s="113">
        <f t="shared" si="120"/>
        <v>0</v>
      </c>
      <c r="BC50" s="113">
        <f t="shared" ref="BC50:BN50" si="121">BC30/IF($D30=0,1,$D30)/12+BB50</f>
        <v>0</v>
      </c>
      <c r="BD50" s="113">
        <f t="shared" si="121"/>
        <v>0</v>
      </c>
      <c r="BE50" s="113">
        <f t="shared" si="121"/>
        <v>0</v>
      </c>
      <c r="BF50" s="113">
        <f t="shared" si="121"/>
        <v>0</v>
      </c>
      <c r="BG50" s="113">
        <f t="shared" si="121"/>
        <v>0</v>
      </c>
      <c r="BH50" s="113">
        <f t="shared" si="121"/>
        <v>0</v>
      </c>
      <c r="BI50" s="113">
        <f t="shared" si="121"/>
        <v>0</v>
      </c>
      <c r="BJ50" s="113">
        <f t="shared" si="121"/>
        <v>0</v>
      </c>
      <c r="BK50" s="113">
        <f t="shared" si="121"/>
        <v>0</v>
      </c>
      <c r="BL50" s="113">
        <f t="shared" si="121"/>
        <v>0</v>
      </c>
      <c r="BM50" s="113">
        <f t="shared" si="121"/>
        <v>0</v>
      </c>
      <c r="BN50" s="113">
        <f t="shared" si="121"/>
        <v>0</v>
      </c>
      <c r="BO50" s="113">
        <f t="shared" ref="BO50:BT50" si="122">BO30/IF($D30=0,1,$D30)/12+BN50</f>
        <v>0</v>
      </c>
      <c r="BP50" s="113">
        <f t="shared" si="122"/>
        <v>0</v>
      </c>
      <c r="BQ50" s="113">
        <f t="shared" si="122"/>
        <v>0</v>
      </c>
      <c r="BR50" s="113">
        <f t="shared" si="122"/>
        <v>0</v>
      </c>
      <c r="BS50" s="113">
        <f t="shared" si="122"/>
        <v>0</v>
      </c>
      <c r="BT50" s="113">
        <f t="shared" si="122"/>
        <v>0</v>
      </c>
      <c r="BU50" s="113">
        <f t="shared" si="107"/>
        <v>0</v>
      </c>
      <c r="BV50" s="113">
        <f t="shared" si="108"/>
        <v>0</v>
      </c>
      <c r="BW50" s="113">
        <f t="shared" si="109"/>
        <v>0</v>
      </c>
      <c r="BX50" s="113">
        <f t="shared" si="110"/>
        <v>0</v>
      </c>
      <c r="BY50" s="113">
        <f t="shared" si="111"/>
        <v>0</v>
      </c>
      <c r="BZ50" s="113">
        <f t="shared" si="112"/>
        <v>0</v>
      </c>
      <c r="CA50" s="113">
        <f t="shared" si="113"/>
        <v>0</v>
      </c>
      <c r="CB50" s="113">
        <f t="shared" si="114"/>
        <v>0</v>
      </c>
      <c r="CC50" s="113">
        <f t="shared" si="115"/>
        <v>0</v>
      </c>
      <c r="CD50" s="113">
        <f t="shared" si="116"/>
        <v>0</v>
      </c>
      <c r="CE50" s="113">
        <f t="shared" si="117"/>
        <v>0</v>
      </c>
      <c r="CF50" s="113">
        <f t="shared" si="118"/>
        <v>0</v>
      </c>
    </row>
    <row r="51" spans="1:84">
      <c r="A51" s="104"/>
      <c r="B51" s="116" t="str">
        <f t="shared" si="102"/>
        <v>Total Invest 3</v>
      </c>
      <c r="C51" s="115"/>
      <c r="D51" s="106"/>
      <c r="E51" s="106"/>
      <c r="F51" s="108"/>
      <c r="G51" s="113">
        <f t="shared" ref="G51:V51" si="123">G31/IF($D31=0,1,$D31)/12+F51</f>
        <v>0</v>
      </c>
      <c r="H51" s="113">
        <f t="shared" si="123"/>
        <v>0</v>
      </c>
      <c r="I51" s="113">
        <f t="shared" si="123"/>
        <v>0</v>
      </c>
      <c r="J51" s="113">
        <f t="shared" si="123"/>
        <v>0</v>
      </c>
      <c r="K51" s="113">
        <f t="shared" si="123"/>
        <v>0</v>
      </c>
      <c r="L51" s="113">
        <f t="shared" si="104"/>
        <v>0</v>
      </c>
      <c r="M51" s="113">
        <f t="shared" si="104"/>
        <v>0</v>
      </c>
      <c r="N51" s="113">
        <f t="shared" si="123"/>
        <v>0</v>
      </c>
      <c r="O51" s="113">
        <f t="shared" si="123"/>
        <v>0</v>
      </c>
      <c r="P51" s="113">
        <f t="shared" si="123"/>
        <v>0</v>
      </c>
      <c r="Q51" s="113">
        <f t="shared" si="123"/>
        <v>0</v>
      </c>
      <c r="R51" s="113">
        <f t="shared" si="123"/>
        <v>0</v>
      </c>
      <c r="S51" s="113">
        <f t="shared" si="123"/>
        <v>0</v>
      </c>
      <c r="T51" s="113">
        <f t="shared" si="123"/>
        <v>0</v>
      </c>
      <c r="U51" s="113">
        <f t="shared" si="123"/>
        <v>0</v>
      </c>
      <c r="V51" s="113">
        <f t="shared" si="123"/>
        <v>0</v>
      </c>
      <c r="W51" s="113">
        <f t="shared" ref="W51:BB51" si="124">W31/IF($D31=0,1,$D31)/12+V51</f>
        <v>0</v>
      </c>
      <c r="X51" s="113">
        <f t="shared" si="124"/>
        <v>0</v>
      </c>
      <c r="Y51" s="113">
        <f t="shared" si="124"/>
        <v>0</v>
      </c>
      <c r="Z51" s="113">
        <f t="shared" si="124"/>
        <v>0</v>
      </c>
      <c r="AA51" s="113">
        <f t="shared" si="124"/>
        <v>0</v>
      </c>
      <c r="AB51" s="113">
        <f t="shared" si="124"/>
        <v>0</v>
      </c>
      <c r="AC51" s="113">
        <f t="shared" si="124"/>
        <v>0</v>
      </c>
      <c r="AD51" s="113">
        <f t="shared" si="124"/>
        <v>0</v>
      </c>
      <c r="AE51" s="113">
        <f t="shared" si="124"/>
        <v>0</v>
      </c>
      <c r="AF51" s="113">
        <f t="shared" si="124"/>
        <v>0</v>
      </c>
      <c r="AG51" s="113">
        <f t="shared" si="124"/>
        <v>0</v>
      </c>
      <c r="AH51" s="113">
        <f t="shared" si="124"/>
        <v>0</v>
      </c>
      <c r="AI51" s="113">
        <f t="shared" si="124"/>
        <v>0</v>
      </c>
      <c r="AJ51" s="113">
        <f t="shared" si="124"/>
        <v>0</v>
      </c>
      <c r="AK51" s="113">
        <f t="shared" si="124"/>
        <v>0</v>
      </c>
      <c r="AL51" s="113">
        <f t="shared" si="124"/>
        <v>0</v>
      </c>
      <c r="AM51" s="113">
        <f t="shared" si="124"/>
        <v>0</v>
      </c>
      <c r="AN51" s="113">
        <f t="shared" si="124"/>
        <v>0</v>
      </c>
      <c r="AO51" s="113">
        <f t="shared" si="124"/>
        <v>0</v>
      </c>
      <c r="AP51" s="113">
        <f t="shared" si="124"/>
        <v>0</v>
      </c>
      <c r="AQ51" s="113">
        <f t="shared" si="124"/>
        <v>0</v>
      </c>
      <c r="AR51" s="113">
        <f t="shared" si="124"/>
        <v>0</v>
      </c>
      <c r="AS51" s="113">
        <f t="shared" si="124"/>
        <v>0</v>
      </c>
      <c r="AT51" s="113">
        <f t="shared" si="124"/>
        <v>0</v>
      </c>
      <c r="AU51" s="113">
        <f t="shared" si="124"/>
        <v>0</v>
      </c>
      <c r="AV51" s="113">
        <f t="shared" si="124"/>
        <v>0</v>
      </c>
      <c r="AW51" s="113">
        <f t="shared" si="124"/>
        <v>0</v>
      </c>
      <c r="AX51" s="113">
        <f t="shared" si="124"/>
        <v>0</v>
      </c>
      <c r="AY51" s="113">
        <f t="shared" si="124"/>
        <v>0</v>
      </c>
      <c r="AZ51" s="113">
        <f t="shared" si="124"/>
        <v>0</v>
      </c>
      <c r="BA51" s="113">
        <f t="shared" si="124"/>
        <v>0</v>
      </c>
      <c r="BB51" s="113">
        <f t="shared" si="124"/>
        <v>0</v>
      </c>
      <c r="BC51" s="113">
        <f t="shared" ref="BC51:BN51" si="125">BC31/IF($D31=0,1,$D31)/12+BB51</f>
        <v>0</v>
      </c>
      <c r="BD51" s="113">
        <f t="shared" si="125"/>
        <v>0</v>
      </c>
      <c r="BE51" s="113">
        <f t="shared" si="125"/>
        <v>0</v>
      </c>
      <c r="BF51" s="113">
        <f t="shared" si="125"/>
        <v>0</v>
      </c>
      <c r="BG51" s="113">
        <f t="shared" si="125"/>
        <v>0</v>
      </c>
      <c r="BH51" s="113">
        <f t="shared" si="125"/>
        <v>0</v>
      </c>
      <c r="BI51" s="113">
        <f t="shared" si="125"/>
        <v>0</v>
      </c>
      <c r="BJ51" s="113">
        <f t="shared" si="125"/>
        <v>0</v>
      </c>
      <c r="BK51" s="113">
        <f t="shared" si="125"/>
        <v>0</v>
      </c>
      <c r="BL51" s="113">
        <f t="shared" si="125"/>
        <v>0</v>
      </c>
      <c r="BM51" s="113">
        <f t="shared" si="125"/>
        <v>0</v>
      </c>
      <c r="BN51" s="113">
        <f t="shared" si="125"/>
        <v>0</v>
      </c>
      <c r="BO51" s="113">
        <f t="shared" ref="BO51:BT51" si="126">BO31/IF($D31=0,1,$D31)/12+BN51</f>
        <v>0</v>
      </c>
      <c r="BP51" s="113">
        <f t="shared" si="126"/>
        <v>0</v>
      </c>
      <c r="BQ51" s="113">
        <f t="shared" si="126"/>
        <v>0</v>
      </c>
      <c r="BR51" s="113">
        <f t="shared" si="126"/>
        <v>0</v>
      </c>
      <c r="BS51" s="113">
        <f t="shared" si="126"/>
        <v>0</v>
      </c>
      <c r="BT51" s="113">
        <f t="shared" si="126"/>
        <v>0</v>
      </c>
      <c r="BU51" s="113">
        <f t="shared" si="107"/>
        <v>0</v>
      </c>
      <c r="BV51" s="113">
        <f t="shared" si="108"/>
        <v>0</v>
      </c>
      <c r="BW51" s="113">
        <f t="shared" si="109"/>
        <v>0</v>
      </c>
      <c r="BX51" s="113">
        <f t="shared" si="110"/>
        <v>0</v>
      </c>
      <c r="BY51" s="113">
        <f t="shared" si="111"/>
        <v>0</v>
      </c>
      <c r="BZ51" s="113">
        <f t="shared" si="112"/>
        <v>0</v>
      </c>
      <c r="CA51" s="113">
        <f t="shared" si="113"/>
        <v>0</v>
      </c>
      <c r="CB51" s="113">
        <f t="shared" si="114"/>
        <v>0</v>
      </c>
      <c r="CC51" s="113">
        <f t="shared" si="115"/>
        <v>0</v>
      </c>
      <c r="CD51" s="113">
        <f t="shared" si="116"/>
        <v>0</v>
      </c>
      <c r="CE51" s="113">
        <f t="shared" si="117"/>
        <v>0</v>
      </c>
      <c r="CF51" s="113">
        <f t="shared" si="118"/>
        <v>0</v>
      </c>
    </row>
    <row r="52" spans="1:84">
      <c r="A52" s="104"/>
      <c r="B52" s="116" t="str">
        <f t="shared" si="102"/>
        <v/>
      </c>
      <c r="C52" s="115"/>
      <c r="D52" s="106"/>
      <c r="E52" s="106"/>
      <c r="F52" s="108"/>
      <c r="G52" s="113">
        <f t="shared" ref="G52:V52" si="127">G32/IF($D32=0,1,$D32)/12+F52</f>
        <v>0</v>
      </c>
      <c r="H52" s="113">
        <f t="shared" si="127"/>
        <v>0</v>
      </c>
      <c r="I52" s="113">
        <f t="shared" si="127"/>
        <v>0</v>
      </c>
      <c r="J52" s="113">
        <f t="shared" si="127"/>
        <v>0</v>
      </c>
      <c r="K52" s="113">
        <f t="shared" si="127"/>
        <v>0</v>
      </c>
      <c r="L52" s="113">
        <f t="shared" si="104"/>
        <v>0</v>
      </c>
      <c r="M52" s="113">
        <f t="shared" si="104"/>
        <v>0</v>
      </c>
      <c r="N52" s="113">
        <f t="shared" si="127"/>
        <v>0</v>
      </c>
      <c r="O52" s="113">
        <f t="shared" si="127"/>
        <v>0</v>
      </c>
      <c r="P52" s="113">
        <f t="shared" si="127"/>
        <v>0</v>
      </c>
      <c r="Q52" s="113">
        <f t="shared" si="127"/>
        <v>0</v>
      </c>
      <c r="R52" s="113">
        <f t="shared" si="127"/>
        <v>0</v>
      </c>
      <c r="S52" s="113">
        <f t="shared" si="127"/>
        <v>0</v>
      </c>
      <c r="T52" s="113">
        <f t="shared" si="127"/>
        <v>0</v>
      </c>
      <c r="U52" s="113">
        <f t="shared" si="127"/>
        <v>0</v>
      </c>
      <c r="V52" s="113">
        <f t="shared" si="127"/>
        <v>0</v>
      </c>
      <c r="W52" s="113">
        <f t="shared" ref="W52:BB52" si="128">W32/IF($D32=0,1,$D32)/12+V52</f>
        <v>0</v>
      </c>
      <c r="X52" s="113">
        <f t="shared" si="128"/>
        <v>0</v>
      </c>
      <c r="Y52" s="113">
        <f t="shared" si="128"/>
        <v>0</v>
      </c>
      <c r="Z52" s="113">
        <f t="shared" si="128"/>
        <v>0</v>
      </c>
      <c r="AA52" s="113">
        <f t="shared" si="128"/>
        <v>0</v>
      </c>
      <c r="AB52" s="113">
        <f t="shared" si="128"/>
        <v>0</v>
      </c>
      <c r="AC52" s="113">
        <f t="shared" si="128"/>
        <v>0</v>
      </c>
      <c r="AD52" s="113">
        <f t="shared" si="128"/>
        <v>0</v>
      </c>
      <c r="AE52" s="113">
        <f t="shared" si="128"/>
        <v>0</v>
      </c>
      <c r="AF52" s="113">
        <f t="shared" si="128"/>
        <v>0</v>
      </c>
      <c r="AG52" s="113">
        <f t="shared" si="128"/>
        <v>0</v>
      </c>
      <c r="AH52" s="113">
        <f t="shared" si="128"/>
        <v>0</v>
      </c>
      <c r="AI52" s="113">
        <f t="shared" si="128"/>
        <v>0</v>
      </c>
      <c r="AJ52" s="113">
        <f t="shared" si="128"/>
        <v>0</v>
      </c>
      <c r="AK52" s="113">
        <f t="shared" si="128"/>
        <v>0</v>
      </c>
      <c r="AL52" s="113">
        <f t="shared" si="128"/>
        <v>0</v>
      </c>
      <c r="AM52" s="113">
        <f t="shared" si="128"/>
        <v>0</v>
      </c>
      <c r="AN52" s="113">
        <f t="shared" si="128"/>
        <v>0</v>
      </c>
      <c r="AO52" s="113">
        <f t="shared" si="128"/>
        <v>0</v>
      </c>
      <c r="AP52" s="113">
        <f t="shared" si="128"/>
        <v>0</v>
      </c>
      <c r="AQ52" s="113">
        <f t="shared" si="128"/>
        <v>0</v>
      </c>
      <c r="AR52" s="113">
        <f t="shared" si="128"/>
        <v>0</v>
      </c>
      <c r="AS52" s="113">
        <f t="shared" si="128"/>
        <v>0</v>
      </c>
      <c r="AT52" s="113">
        <f t="shared" si="128"/>
        <v>0</v>
      </c>
      <c r="AU52" s="113">
        <f t="shared" si="128"/>
        <v>0</v>
      </c>
      <c r="AV52" s="113">
        <f t="shared" si="128"/>
        <v>0</v>
      </c>
      <c r="AW52" s="113">
        <f t="shared" si="128"/>
        <v>0</v>
      </c>
      <c r="AX52" s="113">
        <f t="shared" si="128"/>
        <v>0</v>
      </c>
      <c r="AY52" s="113">
        <f t="shared" si="128"/>
        <v>0</v>
      </c>
      <c r="AZ52" s="113">
        <f t="shared" si="128"/>
        <v>0</v>
      </c>
      <c r="BA52" s="113">
        <f t="shared" si="128"/>
        <v>0</v>
      </c>
      <c r="BB52" s="113">
        <f t="shared" si="128"/>
        <v>0</v>
      </c>
      <c r="BC52" s="113">
        <f t="shared" ref="BC52:BN52" si="129">BC32/IF($D32=0,1,$D32)/12+BB52</f>
        <v>0</v>
      </c>
      <c r="BD52" s="113">
        <f t="shared" si="129"/>
        <v>0</v>
      </c>
      <c r="BE52" s="113">
        <f t="shared" si="129"/>
        <v>0</v>
      </c>
      <c r="BF52" s="113">
        <f t="shared" si="129"/>
        <v>0</v>
      </c>
      <c r="BG52" s="113">
        <f t="shared" si="129"/>
        <v>0</v>
      </c>
      <c r="BH52" s="113">
        <f t="shared" si="129"/>
        <v>0</v>
      </c>
      <c r="BI52" s="113">
        <f t="shared" si="129"/>
        <v>0</v>
      </c>
      <c r="BJ52" s="113">
        <f t="shared" si="129"/>
        <v>0</v>
      </c>
      <c r="BK52" s="113">
        <f t="shared" si="129"/>
        <v>0</v>
      </c>
      <c r="BL52" s="113">
        <f t="shared" si="129"/>
        <v>0</v>
      </c>
      <c r="BM52" s="113">
        <f t="shared" si="129"/>
        <v>0</v>
      </c>
      <c r="BN52" s="113">
        <f t="shared" si="129"/>
        <v>0</v>
      </c>
      <c r="BO52" s="113">
        <f t="shared" ref="BO52:BT52" si="130">BO32/IF($D32=0,1,$D32)/12+BN52</f>
        <v>0</v>
      </c>
      <c r="BP52" s="113">
        <f t="shared" si="130"/>
        <v>0</v>
      </c>
      <c r="BQ52" s="113">
        <f t="shared" si="130"/>
        <v>0</v>
      </c>
      <c r="BR52" s="113">
        <f t="shared" si="130"/>
        <v>0</v>
      </c>
      <c r="BS52" s="113">
        <f t="shared" si="130"/>
        <v>0</v>
      </c>
      <c r="BT52" s="113">
        <f t="shared" si="130"/>
        <v>0</v>
      </c>
      <c r="BU52" s="113">
        <f t="shared" si="107"/>
        <v>0</v>
      </c>
      <c r="BV52" s="113">
        <f t="shared" si="108"/>
        <v>0</v>
      </c>
      <c r="BW52" s="113">
        <f t="shared" si="109"/>
        <v>0</v>
      </c>
      <c r="BX52" s="113">
        <f t="shared" si="110"/>
        <v>0</v>
      </c>
      <c r="BY52" s="113">
        <f t="shared" si="111"/>
        <v>0</v>
      </c>
      <c r="BZ52" s="113">
        <f t="shared" si="112"/>
        <v>0</v>
      </c>
      <c r="CA52" s="113">
        <f t="shared" si="113"/>
        <v>0</v>
      </c>
      <c r="CB52" s="113">
        <f t="shared" si="114"/>
        <v>0</v>
      </c>
      <c r="CC52" s="113">
        <f t="shared" si="115"/>
        <v>0</v>
      </c>
      <c r="CD52" s="113">
        <f t="shared" si="116"/>
        <v>0</v>
      </c>
      <c r="CE52" s="113">
        <f t="shared" si="117"/>
        <v>0</v>
      </c>
      <c r="CF52" s="113">
        <f t="shared" si="118"/>
        <v>0</v>
      </c>
    </row>
    <row r="53" spans="1:84">
      <c r="A53" s="104"/>
      <c r="B53" s="116" t="str">
        <f t="shared" si="102"/>
        <v/>
      </c>
      <c r="C53" s="115"/>
      <c r="D53" s="106"/>
      <c r="E53" s="106"/>
      <c r="F53" s="108"/>
      <c r="G53" s="113">
        <f t="shared" ref="G53:V53" si="131">G33/IF($D33=0,1,$D33)/12+F53</f>
        <v>0</v>
      </c>
      <c r="H53" s="113">
        <f t="shared" si="131"/>
        <v>0</v>
      </c>
      <c r="I53" s="113">
        <f t="shared" si="131"/>
        <v>0</v>
      </c>
      <c r="J53" s="113">
        <f t="shared" si="131"/>
        <v>0</v>
      </c>
      <c r="K53" s="113">
        <f t="shared" si="131"/>
        <v>0</v>
      </c>
      <c r="L53" s="113">
        <f t="shared" si="104"/>
        <v>0</v>
      </c>
      <c r="M53" s="113">
        <f t="shared" si="104"/>
        <v>0</v>
      </c>
      <c r="N53" s="113">
        <f t="shared" si="131"/>
        <v>0</v>
      </c>
      <c r="O53" s="113">
        <f t="shared" si="131"/>
        <v>0</v>
      </c>
      <c r="P53" s="113">
        <f t="shared" si="131"/>
        <v>0</v>
      </c>
      <c r="Q53" s="113">
        <f t="shared" si="131"/>
        <v>0</v>
      </c>
      <c r="R53" s="113">
        <f t="shared" si="131"/>
        <v>0</v>
      </c>
      <c r="S53" s="113">
        <f t="shared" si="131"/>
        <v>0</v>
      </c>
      <c r="T53" s="113">
        <f t="shared" si="131"/>
        <v>0</v>
      </c>
      <c r="U53" s="113">
        <f t="shared" si="131"/>
        <v>0</v>
      </c>
      <c r="V53" s="113">
        <f t="shared" si="131"/>
        <v>0</v>
      </c>
      <c r="W53" s="113">
        <f t="shared" ref="W53:BB53" si="132">W33/IF($D33=0,1,$D33)/12+V53</f>
        <v>0</v>
      </c>
      <c r="X53" s="113">
        <f t="shared" si="132"/>
        <v>0</v>
      </c>
      <c r="Y53" s="113">
        <f t="shared" si="132"/>
        <v>0</v>
      </c>
      <c r="Z53" s="113">
        <f t="shared" si="132"/>
        <v>0</v>
      </c>
      <c r="AA53" s="113">
        <f t="shared" si="132"/>
        <v>0</v>
      </c>
      <c r="AB53" s="113">
        <f t="shared" si="132"/>
        <v>0</v>
      </c>
      <c r="AC53" s="113">
        <f t="shared" si="132"/>
        <v>0</v>
      </c>
      <c r="AD53" s="113">
        <f t="shared" si="132"/>
        <v>0</v>
      </c>
      <c r="AE53" s="113">
        <f t="shared" si="132"/>
        <v>0</v>
      </c>
      <c r="AF53" s="113">
        <f t="shared" si="132"/>
        <v>0</v>
      </c>
      <c r="AG53" s="113">
        <f t="shared" si="132"/>
        <v>0</v>
      </c>
      <c r="AH53" s="113">
        <f t="shared" si="132"/>
        <v>0</v>
      </c>
      <c r="AI53" s="113">
        <f t="shared" si="132"/>
        <v>0</v>
      </c>
      <c r="AJ53" s="113">
        <f t="shared" si="132"/>
        <v>0</v>
      </c>
      <c r="AK53" s="113">
        <f t="shared" si="132"/>
        <v>0</v>
      </c>
      <c r="AL53" s="113">
        <f t="shared" si="132"/>
        <v>0</v>
      </c>
      <c r="AM53" s="113">
        <f t="shared" si="132"/>
        <v>0</v>
      </c>
      <c r="AN53" s="113">
        <f t="shared" si="132"/>
        <v>0</v>
      </c>
      <c r="AO53" s="113">
        <f t="shared" si="132"/>
        <v>0</v>
      </c>
      <c r="AP53" s="113">
        <f t="shared" si="132"/>
        <v>0</v>
      </c>
      <c r="AQ53" s="113">
        <f t="shared" si="132"/>
        <v>0</v>
      </c>
      <c r="AR53" s="113">
        <f t="shared" si="132"/>
        <v>0</v>
      </c>
      <c r="AS53" s="113">
        <f t="shared" si="132"/>
        <v>0</v>
      </c>
      <c r="AT53" s="113">
        <f t="shared" si="132"/>
        <v>0</v>
      </c>
      <c r="AU53" s="113">
        <f t="shared" si="132"/>
        <v>0</v>
      </c>
      <c r="AV53" s="113">
        <f t="shared" si="132"/>
        <v>0</v>
      </c>
      <c r="AW53" s="113">
        <f t="shared" si="132"/>
        <v>0</v>
      </c>
      <c r="AX53" s="113">
        <f t="shared" si="132"/>
        <v>0</v>
      </c>
      <c r="AY53" s="113">
        <f t="shared" si="132"/>
        <v>0</v>
      </c>
      <c r="AZ53" s="113">
        <f t="shared" si="132"/>
        <v>0</v>
      </c>
      <c r="BA53" s="113">
        <f t="shared" si="132"/>
        <v>0</v>
      </c>
      <c r="BB53" s="113">
        <f t="shared" si="132"/>
        <v>0</v>
      </c>
      <c r="BC53" s="113">
        <f t="shared" ref="BC53:BN53" si="133">BC33/IF($D33=0,1,$D33)/12+BB53</f>
        <v>0</v>
      </c>
      <c r="BD53" s="113">
        <f t="shared" si="133"/>
        <v>0</v>
      </c>
      <c r="BE53" s="113">
        <f t="shared" si="133"/>
        <v>0</v>
      </c>
      <c r="BF53" s="113">
        <f t="shared" si="133"/>
        <v>0</v>
      </c>
      <c r="BG53" s="113">
        <f t="shared" si="133"/>
        <v>0</v>
      </c>
      <c r="BH53" s="113">
        <f t="shared" si="133"/>
        <v>0</v>
      </c>
      <c r="BI53" s="113">
        <f t="shared" si="133"/>
        <v>0</v>
      </c>
      <c r="BJ53" s="113">
        <f t="shared" si="133"/>
        <v>0</v>
      </c>
      <c r="BK53" s="113">
        <f t="shared" si="133"/>
        <v>0</v>
      </c>
      <c r="BL53" s="113">
        <f t="shared" si="133"/>
        <v>0</v>
      </c>
      <c r="BM53" s="113">
        <f t="shared" si="133"/>
        <v>0</v>
      </c>
      <c r="BN53" s="113">
        <f t="shared" si="133"/>
        <v>0</v>
      </c>
      <c r="BO53" s="113">
        <f t="shared" ref="BO53:BT53" si="134">BO33/IF($D33=0,1,$D33)/12+BN53</f>
        <v>0</v>
      </c>
      <c r="BP53" s="113">
        <f t="shared" si="134"/>
        <v>0</v>
      </c>
      <c r="BQ53" s="113">
        <f t="shared" si="134"/>
        <v>0</v>
      </c>
      <c r="BR53" s="113">
        <f t="shared" si="134"/>
        <v>0</v>
      </c>
      <c r="BS53" s="113">
        <f t="shared" si="134"/>
        <v>0</v>
      </c>
      <c r="BT53" s="113">
        <f t="shared" si="134"/>
        <v>0</v>
      </c>
      <c r="BU53" s="113">
        <f t="shared" si="107"/>
        <v>0</v>
      </c>
      <c r="BV53" s="113">
        <f t="shared" si="108"/>
        <v>0</v>
      </c>
      <c r="BW53" s="113">
        <f t="shared" si="109"/>
        <v>0</v>
      </c>
      <c r="BX53" s="113">
        <f t="shared" si="110"/>
        <v>0</v>
      </c>
      <c r="BY53" s="113">
        <f t="shared" si="111"/>
        <v>0</v>
      </c>
      <c r="BZ53" s="113">
        <f t="shared" si="112"/>
        <v>0</v>
      </c>
      <c r="CA53" s="113">
        <f t="shared" si="113"/>
        <v>0</v>
      </c>
      <c r="CB53" s="113">
        <f t="shared" si="114"/>
        <v>0</v>
      </c>
      <c r="CC53" s="113">
        <f t="shared" si="115"/>
        <v>0</v>
      </c>
      <c r="CD53" s="113">
        <f t="shared" si="116"/>
        <v>0</v>
      </c>
      <c r="CE53" s="113">
        <f t="shared" si="117"/>
        <v>0</v>
      </c>
      <c r="CF53" s="113">
        <f t="shared" si="118"/>
        <v>0</v>
      </c>
    </row>
    <row r="54" spans="1:84">
      <c r="A54" s="104"/>
      <c r="B54" s="116" t="str">
        <f t="shared" si="102"/>
        <v/>
      </c>
      <c r="C54" s="116"/>
      <c r="D54" s="109"/>
      <c r="E54" s="110"/>
      <c r="F54" s="108"/>
      <c r="G54" s="113">
        <f t="shared" ref="G54:BB54" si="135">G34/IF($D34=0,1,$D34)/12+F54</f>
        <v>0</v>
      </c>
      <c r="H54" s="113">
        <f t="shared" si="135"/>
        <v>0</v>
      </c>
      <c r="I54" s="113">
        <f t="shared" si="135"/>
        <v>0</v>
      </c>
      <c r="J54" s="113">
        <f t="shared" si="135"/>
        <v>0</v>
      </c>
      <c r="K54" s="113">
        <f t="shared" si="135"/>
        <v>0</v>
      </c>
      <c r="L54" s="113">
        <f t="shared" si="104"/>
        <v>0</v>
      </c>
      <c r="M54" s="113">
        <f t="shared" si="104"/>
        <v>0</v>
      </c>
      <c r="N54" s="113">
        <f t="shared" si="135"/>
        <v>0</v>
      </c>
      <c r="O54" s="113">
        <f t="shared" si="135"/>
        <v>0</v>
      </c>
      <c r="P54" s="113">
        <f t="shared" si="135"/>
        <v>0</v>
      </c>
      <c r="Q54" s="113">
        <f t="shared" si="135"/>
        <v>0</v>
      </c>
      <c r="R54" s="113">
        <f t="shared" si="135"/>
        <v>0</v>
      </c>
      <c r="S54" s="113">
        <f t="shared" si="135"/>
        <v>0</v>
      </c>
      <c r="T54" s="113">
        <f t="shared" si="135"/>
        <v>0</v>
      </c>
      <c r="U54" s="113">
        <f t="shared" si="135"/>
        <v>0</v>
      </c>
      <c r="V54" s="113">
        <f t="shared" si="135"/>
        <v>0</v>
      </c>
      <c r="W54" s="113">
        <f t="shared" si="135"/>
        <v>0</v>
      </c>
      <c r="X54" s="113">
        <f t="shared" si="135"/>
        <v>0</v>
      </c>
      <c r="Y54" s="113">
        <f t="shared" si="135"/>
        <v>0</v>
      </c>
      <c r="Z54" s="113">
        <f t="shared" si="135"/>
        <v>0</v>
      </c>
      <c r="AA54" s="113">
        <f t="shared" si="135"/>
        <v>0</v>
      </c>
      <c r="AB54" s="113">
        <f t="shared" si="135"/>
        <v>0</v>
      </c>
      <c r="AC54" s="113">
        <f t="shared" si="135"/>
        <v>0</v>
      </c>
      <c r="AD54" s="113">
        <f t="shared" si="135"/>
        <v>0</v>
      </c>
      <c r="AE54" s="113">
        <f t="shared" si="135"/>
        <v>0</v>
      </c>
      <c r="AF54" s="113">
        <f t="shared" si="135"/>
        <v>0</v>
      </c>
      <c r="AG54" s="113">
        <f t="shared" si="135"/>
        <v>0</v>
      </c>
      <c r="AH54" s="113">
        <f t="shared" si="135"/>
        <v>0</v>
      </c>
      <c r="AI54" s="113">
        <f t="shared" si="135"/>
        <v>0</v>
      </c>
      <c r="AJ54" s="113">
        <f t="shared" si="135"/>
        <v>0</v>
      </c>
      <c r="AK54" s="113">
        <f t="shared" si="135"/>
        <v>0</v>
      </c>
      <c r="AL54" s="113">
        <f t="shared" si="135"/>
        <v>0</v>
      </c>
      <c r="AM54" s="113">
        <f t="shared" si="135"/>
        <v>0</v>
      </c>
      <c r="AN54" s="113">
        <f t="shared" si="135"/>
        <v>0</v>
      </c>
      <c r="AO54" s="113">
        <f t="shared" si="135"/>
        <v>0</v>
      </c>
      <c r="AP54" s="113">
        <f t="shared" si="135"/>
        <v>0</v>
      </c>
      <c r="AQ54" s="113">
        <f t="shared" si="135"/>
        <v>0</v>
      </c>
      <c r="AR54" s="113">
        <f t="shared" si="135"/>
        <v>0</v>
      </c>
      <c r="AS54" s="113">
        <f t="shared" si="135"/>
        <v>0</v>
      </c>
      <c r="AT54" s="113">
        <f t="shared" si="135"/>
        <v>0</v>
      </c>
      <c r="AU54" s="113">
        <f t="shared" si="135"/>
        <v>0</v>
      </c>
      <c r="AV54" s="113">
        <f t="shared" si="135"/>
        <v>0</v>
      </c>
      <c r="AW54" s="113">
        <f t="shared" si="135"/>
        <v>0</v>
      </c>
      <c r="AX54" s="113">
        <f t="shared" si="135"/>
        <v>0</v>
      </c>
      <c r="AY54" s="113">
        <f t="shared" si="135"/>
        <v>0</v>
      </c>
      <c r="AZ54" s="113">
        <f t="shared" si="135"/>
        <v>0</v>
      </c>
      <c r="BA54" s="113">
        <f t="shared" si="135"/>
        <v>0</v>
      </c>
      <c r="BB54" s="113">
        <f t="shared" si="135"/>
        <v>0</v>
      </c>
      <c r="BC54" s="113">
        <f t="shared" ref="BC54:BN54" si="136">BC34/IF($D34=0,1,$D34)/12+BB54</f>
        <v>0</v>
      </c>
      <c r="BD54" s="113">
        <f t="shared" si="136"/>
        <v>0</v>
      </c>
      <c r="BE54" s="113">
        <f t="shared" si="136"/>
        <v>0</v>
      </c>
      <c r="BF54" s="113">
        <f t="shared" si="136"/>
        <v>0</v>
      </c>
      <c r="BG54" s="113">
        <f t="shared" si="136"/>
        <v>0</v>
      </c>
      <c r="BH54" s="113">
        <f t="shared" si="136"/>
        <v>0</v>
      </c>
      <c r="BI54" s="113">
        <f t="shared" si="136"/>
        <v>0</v>
      </c>
      <c r="BJ54" s="113">
        <f t="shared" si="136"/>
        <v>0</v>
      </c>
      <c r="BK54" s="113">
        <f t="shared" si="136"/>
        <v>0</v>
      </c>
      <c r="BL54" s="113">
        <f t="shared" si="136"/>
        <v>0</v>
      </c>
      <c r="BM54" s="113">
        <f t="shared" si="136"/>
        <v>0</v>
      </c>
      <c r="BN54" s="113">
        <f t="shared" si="136"/>
        <v>0</v>
      </c>
      <c r="BO54" s="113">
        <f t="shared" ref="BO54:BT54" si="137">BO34/IF($D34=0,1,$D34)/12+BN54</f>
        <v>0</v>
      </c>
      <c r="BP54" s="113">
        <f t="shared" si="137"/>
        <v>0</v>
      </c>
      <c r="BQ54" s="113">
        <f t="shared" si="137"/>
        <v>0</v>
      </c>
      <c r="BR54" s="113">
        <f t="shared" si="137"/>
        <v>0</v>
      </c>
      <c r="BS54" s="113">
        <f t="shared" si="137"/>
        <v>0</v>
      </c>
      <c r="BT54" s="113">
        <f t="shared" si="137"/>
        <v>0</v>
      </c>
      <c r="BU54" s="113">
        <f t="shared" si="107"/>
        <v>0</v>
      </c>
      <c r="BV54" s="113">
        <f t="shared" si="108"/>
        <v>0</v>
      </c>
      <c r="BW54" s="113">
        <f t="shared" si="109"/>
        <v>0</v>
      </c>
      <c r="BX54" s="113">
        <f t="shared" si="110"/>
        <v>0</v>
      </c>
      <c r="BY54" s="113">
        <f t="shared" si="111"/>
        <v>0</v>
      </c>
      <c r="BZ54" s="113">
        <f t="shared" si="112"/>
        <v>0</v>
      </c>
      <c r="CA54" s="113">
        <f t="shared" si="113"/>
        <v>0</v>
      </c>
      <c r="CB54" s="113">
        <f t="shared" si="114"/>
        <v>0</v>
      </c>
      <c r="CC54" s="113">
        <f t="shared" si="115"/>
        <v>0</v>
      </c>
      <c r="CD54" s="113">
        <f t="shared" si="116"/>
        <v>0</v>
      </c>
      <c r="CE54" s="113">
        <f t="shared" si="117"/>
        <v>0</v>
      </c>
      <c r="CF54" s="113">
        <f t="shared" si="118"/>
        <v>0</v>
      </c>
    </row>
    <row r="55" spans="1:84">
      <c r="A55" s="104"/>
      <c r="B55" s="116" t="str">
        <f t="shared" si="102"/>
        <v/>
      </c>
      <c r="C55" s="116"/>
      <c r="D55" s="109"/>
      <c r="E55" s="110"/>
      <c r="F55" s="108"/>
      <c r="G55" s="113">
        <f t="shared" ref="G55:BB55" si="138">G35/IF($D35=0,1,$D35)/12+F55</f>
        <v>0</v>
      </c>
      <c r="H55" s="113">
        <f t="shared" si="138"/>
        <v>0</v>
      </c>
      <c r="I55" s="113">
        <f t="shared" si="138"/>
        <v>0</v>
      </c>
      <c r="J55" s="113">
        <f t="shared" si="138"/>
        <v>0</v>
      </c>
      <c r="K55" s="113">
        <f t="shared" si="138"/>
        <v>0</v>
      </c>
      <c r="L55" s="113">
        <f t="shared" si="104"/>
        <v>0</v>
      </c>
      <c r="M55" s="113">
        <f t="shared" si="104"/>
        <v>0</v>
      </c>
      <c r="N55" s="113">
        <f t="shared" si="138"/>
        <v>0</v>
      </c>
      <c r="O55" s="113">
        <f t="shared" si="138"/>
        <v>0</v>
      </c>
      <c r="P55" s="113">
        <f t="shared" si="138"/>
        <v>0</v>
      </c>
      <c r="Q55" s="113">
        <f t="shared" si="138"/>
        <v>0</v>
      </c>
      <c r="R55" s="113">
        <f t="shared" si="138"/>
        <v>0</v>
      </c>
      <c r="S55" s="113">
        <f t="shared" si="138"/>
        <v>0</v>
      </c>
      <c r="T55" s="113">
        <f t="shared" si="138"/>
        <v>0</v>
      </c>
      <c r="U55" s="113">
        <f t="shared" si="138"/>
        <v>0</v>
      </c>
      <c r="V55" s="113">
        <f t="shared" si="138"/>
        <v>0</v>
      </c>
      <c r="W55" s="113">
        <f t="shared" si="138"/>
        <v>0</v>
      </c>
      <c r="X55" s="113">
        <f t="shared" si="138"/>
        <v>0</v>
      </c>
      <c r="Y55" s="113">
        <f t="shared" si="138"/>
        <v>0</v>
      </c>
      <c r="Z55" s="113">
        <f t="shared" si="138"/>
        <v>0</v>
      </c>
      <c r="AA55" s="113">
        <f t="shared" si="138"/>
        <v>0</v>
      </c>
      <c r="AB55" s="113">
        <f t="shared" si="138"/>
        <v>0</v>
      </c>
      <c r="AC55" s="113">
        <f t="shared" si="138"/>
        <v>0</v>
      </c>
      <c r="AD55" s="113">
        <f t="shared" si="138"/>
        <v>0</v>
      </c>
      <c r="AE55" s="113">
        <f t="shared" si="138"/>
        <v>0</v>
      </c>
      <c r="AF55" s="113">
        <f t="shared" si="138"/>
        <v>0</v>
      </c>
      <c r="AG55" s="113">
        <f t="shared" si="138"/>
        <v>0</v>
      </c>
      <c r="AH55" s="113">
        <f t="shared" si="138"/>
        <v>0</v>
      </c>
      <c r="AI55" s="113">
        <f t="shared" si="138"/>
        <v>0</v>
      </c>
      <c r="AJ55" s="113">
        <f t="shared" si="138"/>
        <v>0</v>
      </c>
      <c r="AK55" s="113">
        <f t="shared" si="138"/>
        <v>0</v>
      </c>
      <c r="AL55" s="113">
        <f t="shared" si="138"/>
        <v>0</v>
      </c>
      <c r="AM55" s="113">
        <f t="shared" si="138"/>
        <v>0</v>
      </c>
      <c r="AN55" s="113">
        <f t="shared" si="138"/>
        <v>0</v>
      </c>
      <c r="AO55" s="113">
        <f t="shared" si="138"/>
        <v>0</v>
      </c>
      <c r="AP55" s="113">
        <f t="shared" si="138"/>
        <v>0</v>
      </c>
      <c r="AQ55" s="113">
        <f t="shared" si="138"/>
        <v>0</v>
      </c>
      <c r="AR55" s="113">
        <f t="shared" si="138"/>
        <v>0</v>
      </c>
      <c r="AS55" s="113">
        <f t="shared" si="138"/>
        <v>0</v>
      </c>
      <c r="AT55" s="113">
        <f t="shared" si="138"/>
        <v>0</v>
      </c>
      <c r="AU55" s="113">
        <f t="shared" si="138"/>
        <v>0</v>
      </c>
      <c r="AV55" s="113">
        <f t="shared" si="138"/>
        <v>0</v>
      </c>
      <c r="AW55" s="113">
        <f t="shared" si="138"/>
        <v>0</v>
      </c>
      <c r="AX55" s="113">
        <f t="shared" si="138"/>
        <v>0</v>
      </c>
      <c r="AY55" s="113">
        <f t="shared" si="138"/>
        <v>0</v>
      </c>
      <c r="AZ55" s="113">
        <f t="shared" si="138"/>
        <v>0</v>
      </c>
      <c r="BA55" s="113">
        <f t="shared" si="138"/>
        <v>0</v>
      </c>
      <c r="BB55" s="113">
        <f t="shared" si="138"/>
        <v>0</v>
      </c>
      <c r="BC55" s="113">
        <f t="shared" ref="BC55:BN55" si="139">BC35/IF($D35=0,1,$D35)/12+BB55</f>
        <v>0</v>
      </c>
      <c r="BD55" s="113">
        <f t="shared" si="139"/>
        <v>0</v>
      </c>
      <c r="BE55" s="113">
        <f t="shared" si="139"/>
        <v>0</v>
      </c>
      <c r="BF55" s="113">
        <f t="shared" si="139"/>
        <v>0</v>
      </c>
      <c r="BG55" s="113">
        <f t="shared" si="139"/>
        <v>0</v>
      </c>
      <c r="BH55" s="113">
        <f t="shared" si="139"/>
        <v>0</v>
      </c>
      <c r="BI55" s="113">
        <f t="shared" si="139"/>
        <v>0</v>
      </c>
      <c r="BJ55" s="113">
        <f t="shared" si="139"/>
        <v>0</v>
      </c>
      <c r="BK55" s="113">
        <f t="shared" si="139"/>
        <v>0</v>
      </c>
      <c r="BL55" s="113">
        <f t="shared" si="139"/>
        <v>0</v>
      </c>
      <c r="BM55" s="113">
        <f t="shared" si="139"/>
        <v>0</v>
      </c>
      <c r="BN55" s="113">
        <f t="shared" si="139"/>
        <v>0</v>
      </c>
      <c r="BO55" s="113">
        <f t="shared" ref="BO55:BT55" si="140">BO35/IF($D35=0,1,$D35)/12+BN55</f>
        <v>0</v>
      </c>
      <c r="BP55" s="113">
        <f t="shared" si="140"/>
        <v>0</v>
      </c>
      <c r="BQ55" s="113">
        <f t="shared" si="140"/>
        <v>0</v>
      </c>
      <c r="BR55" s="113">
        <f t="shared" si="140"/>
        <v>0</v>
      </c>
      <c r="BS55" s="113">
        <f t="shared" si="140"/>
        <v>0</v>
      </c>
      <c r="BT55" s="113">
        <f t="shared" si="140"/>
        <v>0</v>
      </c>
      <c r="BU55" s="113">
        <f t="shared" si="107"/>
        <v>0</v>
      </c>
      <c r="BV55" s="113">
        <f t="shared" si="108"/>
        <v>0</v>
      </c>
      <c r="BW55" s="113">
        <f t="shared" si="109"/>
        <v>0</v>
      </c>
      <c r="BX55" s="113">
        <f t="shared" si="110"/>
        <v>0</v>
      </c>
      <c r="BY55" s="113">
        <f t="shared" si="111"/>
        <v>0</v>
      </c>
      <c r="BZ55" s="113">
        <f t="shared" si="112"/>
        <v>0</v>
      </c>
      <c r="CA55" s="113">
        <f t="shared" si="113"/>
        <v>0</v>
      </c>
      <c r="CB55" s="113">
        <f t="shared" si="114"/>
        <v>0</v>
      </c>
      <c r="CC55" s="113">
        <f t="shared" si="115"/>
        <v>0</v>
      </c>
      <c r="CD55" s="113">
        <f t="shared" si="116"/>
        <v>0</v>
      </c>
      <c r="CE55" s="113">
        <f t="shared" si="117"/>
        <v>0</v>
      </c>
      <c r="CF55" s="113">
        <f t="shared" si="118"/>
        <v>0</v>
      </c>
    </row>
    <row r="56" spans="1:84">
      <c r="A56" s="104"/>
      <c r="B56" s="116" t="str">
        <f t="shared" si="102"/>
        <v/>
      </c>
      <c r="C56" s="116"/>
      <c r="D56" s="109"/>
      <c r="E56" s="110"/>
      <c r="F56" s="108"/>
      <c r="G56" s="113">
        <f t="shared" ref="G56:BB56" si="141">G36/IF($D36=0,1,$D36)/12+F56</f>
        <v>0</v>
      </c>
      <c r="H56" s="113">
        <f t="shared" si="141"/>
        <v>0</v>
      </c>
      <c r="I56" s="113">
        <f t="shared" si="141"/>
        <v>0</v>
      </c>
      <c r="J56" s="113">
        <f t="shared" si="141"/>
        <v>0</v>
      </c>
      <c r="K56" s="113">
        <f t="shared" si="141"/>
        <v>0</v>
      </c>
      <c r="L56" s="113">
        <f t="shared" si="104"/>
        <v>0</v>
      </c>
      <c r="M56" s="113">
        <f t="shared" si="104"/>
        <v>0</v>
      </c>
      <c r="N56" s="113">
        <f t="shared" si="141"/>
        <v>0</v>
      </c>
      <c r="O56" s="113">
        <f t="shared" si="141"/>
        <v>0</v>
      </c>
      <c r="P56" s="113">
        <f t="shared" si="141"/>
        <v>0</v>
      </c>
      <c r="Q56" s="113">
        <f t="shared" si="141"/>
        <v>0</v>
      </c>
      <c r="R56" s="113">
        <f t="shared" si="141"/>
        <v>0</v>
      </c>
      <c r="S56" s="113">
        <f t="shared" si="141"/>
        <v>0</v>
      </c>
      <c r="T56" s="113">
        <f t="shared" si="141"/>
        <v>0</v>
      </c>
      <c r="U56" s="113">
        <f t="shared" si="141"/>
        <v>0</v>
      </c>
      <c r="V56" s="113">
        <f t="shared" si="141"/>
        <v>0</v>
      </c>
      <c r="W56" s="113">
        <f t="shared" si="141"/>
        <v>0</v>
      </c>
      <c r="X56" s="113">
        <f t="shared" si="141"/>
        <v>0</v>
      </c>
      <c r="Y56" s="113">
        <f t="shared" si="141"/>
        <v>0</v>
      </c>
      <c r="Z56" s="113">
        <f t="shared" si="141"/>
        <v>0</v>
      </c>
      <c r="AA56" s="113">
        <f t="shared" si="141"/>
        <v>0</v>
      </c>
      <c r="AB56" s="113">
        <f t="shared" si="141"/>
        <v>0</v>
      </c>
      <c r="AC56" s="113">
        <f t="shared" si="141"/>
        <v>0</v>
      </c>
      <c r="AD56" s="113">
        <f t="shared" si="141"/>
        <v>0</v>
      </c>
      <c r="AE56" s="113">
        <f t="shared" si="141"/>
        <v>0</v>
      </c>
      <c r="AF56" s="113">
        <f t="shared" si="141"/>
        <v>0</v>
      </c>
      <c r="AG56" s="113">
        <f t="shared" si="141"/>
        <v>0</v>
      </c>
      <c r="AH56" s="113">
        <f t="shared" si="141"/>
        <v>0</v>
      </c>
      <c r="AI56" s="113">
        <f t="shared" si="141"/>
        <v>0</v>
      </c>
      <c r="AJ56" s="113">
        <f t="shared" si="141"/>
        <v>0</v>
      </c>
      <c r="AK56" s="113">
        <f t="shared" si="141"/>
        <v>0</v>
      </c>
      <c r="AL56" s="113">
        <f t="shared" si="141"/>
        <v>0</v>
      </c>
      <c r="AM56" s="113">
        <f t="shared" si="141"/>
        <v>0</v>
      </c>
      <c r="AN56" s="113">
        <f t="shared" si="141"/>
        <v>0</v>
      </c>
      <c r="AO56" s="113">
        <f t="shared" si="141"/>
        <v>0</v>
      </c>
      <c r="AP56" s="113">
        <f t="shared" si="141"/>
        <v>0</v>
      </c>
      <c r="AQ56" s="113">
        <f t="shared" si="141"/>
        <v>0</v>
      </c>
      <c r="AR56" s="113">
        <f t="shared" si="141"/>
        <v>0</v>
      </c>
      <c r="AS56" s="113">
        <f t="shared" si="141"/>
        <v>0</v>
      </c>
      <c r="AT56" s="113">
        <f t="shared" si="141"/>
        <v>0</v>
      </c>
      <c r="AU56" s="113">
        <f t="shared" si="141"/>
        <v>0</v>
      </c>
      <c r="AV56" s="113">
        <f t="shared" si="141"/>
        <v>0</v>
      </c>
      <c r="AW56" s="113">
        <f t="shared" si="141"/>
        <v>0</v>
      </c>
      <c r="AX56" s="113">
        <f t="shared" si="141"/>
        <v>0</v>
      </c>
      <c r="AY56" s="113">
        <f t="shared" si="141"/>
        <v>0</v>
      </c>
      <c r="AZ56" s="113">
        <f t="shared" si="141"/>
        <v>0</v>
      </c>
      <c r="BA56" s="113">
        <f t="shared" si="141"/>
        <v>0</v>
      </c>
      <c r="BB56" s="113">
        <f t="shared" si="141"/>
        <v>0</v>
      </c>
      <c r="BC56" s="113">
        <f t="shared" ref="BC56:BN56" si="142">BC36/IF($D36=0,1,$D36)/12+BB56</f>
        <v>0</v>
      </c>
      <c r="BD56" s="113">
        <f t="shared" si="142"/>
        <v>0</v>
      </c>
      <c r="BE56" s="113">
        <f t="shared" si="142"/>
        <v>0</v>
      </c>
      <c r="BF56" s="113">
        <f t="shared" si="142"/>
        <v>0</v>
      </c>
      <c r="BG56" s="113">
        <f t="shared" si="142"/>
        <v>0</v>
      </c>
      <c r="BH56" s="113">
        <f t="shared" si="142"/>
        <v>0</v>
      </c>
      <c r="BI56" s="113">
        <f t="shared" si="142"/>
        <v>0</v>
      </c>
      <c r="BJ56" s="113">
        <f t="shared" si="142"/>
        <v>0</v>
      </c>
      <c r="BK56" s="113">
        <f t="shared" si="142"/>
        <v>0</v>
      </c>
      <c r="BL56" s="113">
        <f t="shared" si="142"/>
        <v>0</v>
      </c>
      <c r="BM56" s="113">
        <f t="shared" si="142"/>
        <v>0</v>
      </c>
      <c r="BN56" s="113">
        <f t="shared" si="142"/>
        <v>0</v>
      </c>
      <c r="BO56" s="113">
        <f t="shared" ref="BO56:BT56" si="143">BO36/IF($D36=0,1,$D36)/12+BN56</f>
        <v>0</v>
      </c>
      <c r="BP56" s="113">
        <f t="shared" si="143"/>
        <v>0</v>
      </c>
      <c r="BQ56" s="113">
        <f t="shared" si="143"/>
        <v>0</v>
      </c>
      <c r="BR56" s="113">
        <f t="shared" si="143"/>
        <v>0</v>
      </c>
      <c r="BS56" s="113">
        <f t="shared" si="143"/>
        <v>0</v>
      </c>
      <c r="BT56" s="113">
        <f t="shared" si="143"/>
        <v>0</v>
      </c>
      <c r="BU56" s="113">
        <f t="shared" si="107"/>
        <v>0</v>
      </c>
      <c r="BV56" s="113">
        <f t="shared" si="108"/>
        <v>0</v>
      </c>
      <c r="BW56" s="113">
        <f t="shared" si="109"/>
        <v>0</v>
      </c>
      <c r="BX56" s="113">
        <f t="shared" si="110"/>
        <v>0</v>
      </c>
      <c r="BY56" s="113">
        <f t="shared" si="111"/>
        <v>0</v>
      </c>
      <c r="BZ56" s="113">
        <f t="shared" si="112"/>
        <v>0</v>
      </c>
      <c r="CA56" s="113">
        <f t="shared" si="113"/>
        <v>0</v>
      </c>
      <c r="CB56" s="113">
        <f t="shared" si="114"/>
        <v>0</v>
      </c>
      <c r="CC56" s="113">
        <f t="shared" si="115"/>
        <v>0</v>
      </c>
      <c r="CD56" s="113">
        <f t="shared" si="116"/>
        <v>0</v>
      </c>
      <c r="CE56" s="113">
        <f t="shared" si="117"/>
        <v>0</v>
      </c>
      <c r="CF56" s="113">
        <f t="shared" si="118"/>
        <v>0</v>
      </c>
    </row>
    <row r="57" spans="1:84">
      <c r="A57" s="104"/>
      <c r="B57" s="116" t="str">
        <f t="shared" si="102"/>
        <v>Total Invest 4</v>
      </c>
      <c r="C57" s="116"/>
      <c r="D57" s="109"/>
      <c r="E57" s="110"/>
      <c r="F57" s="108"/>
      <c r="G57" s="113">
        <f t="shared" ref="G57:AP57" si="144">G37/IF($D37=0,1,$D37)/12+F57</f>
        <v>0</v>
      </c>
      <c r="H57" s="113">
        <f t="shared" si="144"/>
        <v>0</v>
      </c>
      <c r="I57" s="113">
        <f t="shared" si="144"/>
        <v>0</v>
      </c>
      <c r="J57" s="113">
        <f t="shared" si="144"/>
        <v>0</v>
      </c>
      <c r="K57" s="113">
        <f t="shared" si="144"/>
        <v>0</v>
      </c>
      <c r="L57" s="113">
        <f t="shared" si="104"/>
        <v>0</v>
      </c>
      <c r="M57" s="113">
        <f t="shared" si="104"/>
        <v>0</v>
      </c>
      <c r="N57" s="113">
        <f t="shared" si="144"/>
        <v>0</v>
      </c>
      <c r="O57" s="113">
        <f t="shared" si="144"/>
        <v>0</v>
      </c>
      <c r="P57" s="113">
        <f t="shared" si="144"/>
        <v>0</v>
      </c>
      <c r="Q57" s="113">
        <f t="shared" si="144"/>
        <v>0</v>
      </c>
      <c r="R57" s="113">
        <f t="shared" si="144"/>
        <v>0</v>
      </c>
      <c r="S57" s="113">
        <f t="shared" si="144"/>
        <v>0</v>
      </c>
      <c r="T57" s="113">
        <f t="shared" si="144"/>
        <v>0</v>
      </c>
      <c r="U57" s="113">
        <f t="shared" si="144"/>
        <v>0</v>
      </c>
      <c r="V57" s="113">
        <f t="shared" si="144"/>
        <v>0</v>
      </c>
      <c r="W57" s="113">
        <f t="shared" si="144"/>
        <v>0</v>
      </c>
      <c r="X57" s="113">
        <f t="shared" si="144"/>
        <v>0</v>
      </c>
      <c r="Y57" s="113">
        <f t="shared" si="144"/>
        <v>0</v>
      </c>
      <c r="Z57" s="113">
        <f t="shared" si="144"/>
        <v>0</v>
      </c>
      <c r="AA57" s="113">
        <f t="shared" si="144"/>
        <v>0</v>
      </c>
      <c r="AB57" s="113">
        <f t="shared" si="144"/>
        <v>0</v>
      </c>
      <c r="AC57" s="113">
        <f t="shared" si="144"/>
        <v>0</v>
      </c>
      <c r="AD57" s="113">
        <f t="shared" si="144"/>
        <v>0</v>
      </c>
      <c r="AE57" s="113">
        <f t="shared" si="144"/>
        <v>0</v>
      </c>
      <c r="AF57" s="113">
        <f t="shared" si="144"/>
        <v>0</v>
      </c>
      <c r="AG57" s="113">
        <f>AG37/IF($D37=0,1,$D37)/12+AF57</f>
        <v>333.33333333333331</v>
      </c>
      <c r="AH57" s="113">
        <f t="shared" si="144"/>
        <v>333.33333333333331</v>
      </c>
      <c r="AI57" s="113">
        <f t="shared" si="144"/>
        <v>333.33333333333331</v>
      </c>
      <c r="AJ57" s="113">
        <f t="shared" si="144"/>
        <v>333.33333333333331</v>
      </c>
      <c r="AK57" s="113">
        <f t="shared" si="144"/>
        <v>333.33333333333331</v>
      </c>
      <c r="AL57" s="113">
        <f t="shared" si="144"/>
        <v>333.33333333333331</v>
      </c>
      <c r="AM57" s="113">
        <f t="shared" si="144"/>
        <v>333.33333333333331</v>
      </c>
      <c r="AN57" s="113">
        <f t="shared" si="144"/>
        <v>333.33333333333331</v>
      </c>
      <c r="AO57" s="113">
        <f t="shared" si="144"/>
        <v>333.33333333333331</v>
      </c>
      <c r="AP57" s="113">
        <f t="shared" si="144"/>
        <v>333.33333333333331</v>
      </c>
      <c r="AQ57" s="113">
        <f t="shared" ref="AQ57:AV64" si="145">AQ37/IF($D37=0,1,$D37)/12+AP57-IF($D37=3,G37/IF($D37=0,1,$D37)/12,0)</f>
        <v>333.33333333333331</v>
      </c>
      <c r="AR57" s="113">
        <f t="shared" si="145"/>
        <v>333.33333333333331</v>
      </c>
      <c r="AS57" s="113">
        <f t="shared" si="145"/>
        <v>333.33333333333331</v>
      </c>
      <c r="AT57" s="113">
        <f t="shared" si="145"/>
        <v>333.33333333333331</v>
      </c>
      <c r="AU57" s="113">
        <f t="shared" si="145"/>
        <v>333.33333333333331</v>
      </c>
      <c r="AV57" s="113">
        <f t="shared" si="145"/>
        <v>333.33333333333331</v>
      </c>
      <c r="AW57" s="113">
        <f t="shared" ref="AW57:BB57" si="146">AW37/IF($D37=0,1,$D37)/12+AV57-IF($D37=3,M37/IF($D37=0,1,$D37)/12,0)</f>
        <v>333.33333333333331</v>
      </c>
      <c r="AX57" s="113">
        <f t="shared" si="146"/>
        <v>333.33333333333331</v>
      </c>
      <c r="AY57" s="113">
        <f t="shared" si="146"/>
        <v>333.33333333333331</v>
      </c>
      <c r="AZ57" s="113">
        <f t="shared" si="146"/>
        <v>333.33333333333331</v>
      </c>
      <c r="BA57" s="113">
        <f t="shared" si="146"/>
        <v>333.33333333333331</v>
      </c>
      <c r="BB57" s="113">
        <f t="shared" si="146"/>
        <v>333.33333333333331</v>
      </c>
      <c r="BC57" s="113">
        <f>BC37/IF($D37=0,1,$D37)/12+BB57-IF($D37=3,S37/IF($D37=0,1,$D37)/12,0)</f>
        <v>333.33333333333331</v>
      </c>
      <c r="BD57" s="113">
        <f t="shared" ref="BD57:BD64" si="147">BD37/IF($D37=0,1,$D37)/12+BC57-IF($D37=3,T37/IF($D37=0,1,$D37)/12,0)</f>
        <v>333.33333333333331</v>
      </c>
      <c r="BE57" s="113">
        <f t="shared" ref="BE57:BE64" si="148">BE37/IF($D37=0,1,$D37)/12+BD57-IF($D37=3,U37/IF($D37=0,1,$D37)/12,0)</f>
        <v>333.33333333333331</v>
      </c>
      <c r="BF57" s="113">
        <f t="shared" ref="BF57:BF64" si="149">BF37/IF($D37=0,1,$D37)/12+BE57-IF($D37=3,V37/IF($D37=0,1,$D37)/12,0)</f>
        <v>333.33333333333331</v>
      </c>
      <c r="BG57" s="113">
        <f t="shared" ref="BG57:BG64" si="150">BG37/IF($D37=0,1,$D37)/12+BF57-IF($D37=3,W37/IF($D37=0,1,$D37)/12,0)</f>
        <v>333.33333333333331</v>
      </c>
      <c r="BH57" s="113">
        <f t="shared" ref="BH57:BH64" si="151">BH37/IF($D37=0,1,$D37)/12+BG57-IF($D37=3,X37/IF($D37=0,1,$D37)/12,0)</f>
        <v>333.33333333333331</v>
      </c>
      <c r="BI57" s="113">
        <f t="shared" ref="BI57:BI64" si="152">BI37/IF($D37=0,1,$D37)/12+BH57-IF($D37=3,Y37/IF($D37=0,1,$D37)/12,0)</f>
        <v>333.33333333333331</v>
      </c>
      <c r="BJ57" s="113">
        <f t="shared" ref="BJ57:BJ64" si="153">BJ37/IF($D37=0,1,$D37)/12+BI57-IF($D37=3,Z37/IF($D37=0,1,$D37)/12,0)</f>
        <v>333.33333333333331</v>
      </c>
      <c r="BK57" s="113">
        <f t="shared" ref="BK57:BK64" si="154">BK37/IF($D37=0,1,$D37)/12+BJ57-IF($D37=3,AA37/IF($D37=0,1,$D37)/12,0)</f>
        <v>333.33333333333331</v>
      </c>
      <c r="BL57" s="113">
        <f t="shared" ref="BL57:BL64" si="155">BL37/IF($D37=0,1,$D37)/12+BK57-IF($D37=3,AB37/IF($D37=0,1,$D37)/12,0)</f>
        <v>333.33333333333331</v>
      </c>
      <c r="BM57" s="113">
        <f t="shared" ref="BM57:BM64" si="156">BM37/IF($D37=0,1,$D37)/12+BL57-IF($D37=3,AC37/IF($D37=0,1,$D37)/12,0)</f>
        <v>333.33333333333331</v>
      </c>
      <c r="BN57" s="113">
        <f t="shared" ref="BN57:BN64" si="157">BN37/IF($D37=0,1,$D37)/12+BM57-IF($D37=3,AD37/IF($D37=0,1,$D37)/12,0)</f>
        <v>333.33333333333331</v>
      </c>
      <c r="BO57" s="113">
        <f t="shared" ref="BO57:BO64" si="158">BO37/IF($D37=0,1,$D37)/12+BN57-IF($D37=3,AE37/IF($D37=0,1,$D37)/12,0)</f>
        <v>333.33333333333331</v>
      </c>
      <c r="BP57" s="113">
        <f t="shared" ref="BP57:BP64" si="159">BP37/IF($D37=0,1,$D37)/12+BO57-IF($D37=3,AF37/IF($D37=0,1,$D37)/12,0)</f>
        <v>333.33333333333331</v>
      </c>
      <c r="BQ57" s="113">
        <f t="shared" ref="BQ57:BQ64" si="160">BQ37/IF($D37=0,1,$D37)/12+BP57-IF($D37=3,AG37/IF($D37=0,1,$D37)/12,0)</f>
        <v>333.33333333333331</v>
      </c>
      <c r="BR57" s="113">
        <f t="shared" ref="BR57:BR64" si="161">BR37/IF($D37=0,1,$D37)/12+BQ57-IF($D37=3,AH37/IF($D37=0,1,$D37)/12,0)</f>
        <v>333.33333333333331</v>
      </c>
      <c r="BS57" s="113">
        <f t="shared" ref="BS57:BS64" si="162">BS37/IF($D37=0,1,$D37)/12+BR57-IF($D37=3,AI37/IF($D37=0,1,$D37)/12,0)</f>
        <v>333.33333333333331</v>
      </c>
      <c r="BT57" s="113">
        <f t="shared" ref="BT57:BT64" si="163">BT37/IF($D37=0,1,$D37)/12+BS57-IF($D37=3,AJ37/IF($D37=0,1,$D37)/12,0)</f>
        <v>333.33333333333331</v>
      </c>
      <c r="BU57" s="113">
        <f t="shared" ref="BU57:BU64" si="164">BU37/IF($D37=0,1,$D37)/12+BT57-IF($D37=3,AK37/IF($D37=0,1,$D37)/12,0)</f>
        <v>333.33333333333331</v>
      </c>
      <c r="BV57" s="113">
        <f t="shared" ref="BV57:BV64" si="165">BV37/IF($D37=0,1,$D37)/12+BU57-IF($D37=3,AL37/IF($D37=0,1,$D37)/12,0)</f>
        <v>333.33333333333331</v>
      </c>
      <c r="BW57" s="113">
        <f t="shared" ref="BW57:BW64" si="166">BW37/IF($D37=0,1,$D37)/12+BV57-IF($D37=3,AM37/IF($D37=0,1,$D37)/12,0)</f>
        <v>333.33333333333331</v>
      </c>
      <c r="BX57" s="113">
        <f t="shared" ref="BX57:BX64" si="167">BX37/IF($D37=0,1,$D37)/12+BW57-IF($D37=3,AN37/IF($D37=0,1,$D37)/12,0)</f>
        <v>333.33333333333331</v>
      </c>
      <c r="BY57" s="113">
        <f t="shared" ref="BY57:BY64" si="168">BY37/IF($D37=0,1,$D37)/12+BX57-IF($D37=3,AO37/IF($D37=0,1,$D37)/12,0)</f>
        <v>333.33333333333331</v>
      </c>
      <c r="BZ57" s="113">
        <f t="shared" ref="BZ57:BZ64" si="169">BZ37/IF($D37=0,1,$D37)/12+BY57-IF($D37=3,AP37/IF($D37=0,1,$D37)/12,0)</f>
        <v>333.33333333333331</v>
      </c>
      <c r="CA57" s="113">
        <f t="shared" ref="CA57:CA64" si="170">CA37/IF($D37=0,1,$D37)/12+BZ57-IF($D37=3,AQ37/IF($D37=0,1,$D37)/12,0)</f>
        <v>333.33333333333331</v>
      </c>
      <c r="CB57" s="113">
        <f t="shared" ref="CB57:CB64" si="171">CB37/IF($D37=0,1,$D37)/12+CA57-IF($D37=3,AR37/IF($D37=0,1,$D37)/12,0)</f>
        <v>333.33333333333331</v>
      </c>
      <c r="CC57" s="113">
        <f t="shared" ref="CC57:CC64" si="172">CC37/IF($D37=0,1,$D37)/12+CB57-IF($D37=3,AS37/IF($D37=0,1,$D37)/12,0)</f>
        <v>333.33333333333331</v>
      </c>
      <c r="CD57" s="113">
        <f t="shared" ref="CD57:CD64" si="173">CD37/IF($D37=0,1,$D37)/12+CC57-IF($D37=3,AT37/IF($D37=0,1,$D37)/12,0)</f>
        <v>333.33333333333331</v>
      </c>
      <c r="CE57" s="113">
        <f t="shared" ref="CE57:CE64" si="174">CE37/IF($D37=0,1,$D37)/12+CD57-IF($D37=3,AU37/IF($D37=0,1,$D37)/12,0)</f>
        <v>333.33333333333331</v>
      </c>
      <c r="CF57" s="113">
        <f t="shared" ref="CF57:CF64" si="175">CF37/IF($D37=0,1,$D37)/12+CE57-IF($D37=3,AV37/IF($D37=0,1,$D37)/12,0)</f>
        <v>333.33333333333331</v>
      </c>
    </row>
    <row r="58" spans="1:84">
      <c r="A58" s="104"/>
      <c r="B58" s="116" t="str">
        <f t="shared" si="102"/>
        <v>Total Invest 5</v>
      </c>
      <c r="C58" s="116"/>
      <c r="D58" s="109"/>
      <c r="E58" s="110"/>
      <c r="F58" s="108"/>
      <c r="G58" s="113">
        <f t="shared" ref="G58:AP58" si="176">G38/IF($D38=0,1,$D38)/12+F58</f>
        <v>0</v>
      </c>
      <c r="H58" s="113">
        <f t="shared" si="176"/>
        <v>0</v>
      </c>
      <c r="I58" s="113">
        <f t="shared" si="176"/>
        <v>0</v>
      </c>
      <c r="J58" s="113">
        <f t="shared" si="176"/>
        <v>0</v>
      </c>
      <c r="K58" s="113">
        <f t="shared" si="176"/>
        <v>0</v>
      </c>
      <c r="L58" s="113">
        <f t="shared" si="104"/>
        <v>0</v>
      </c>
      <c r="M58" s="113">
        <f t="shared" si="104"/>
        <v>0</v>
      </c>
      <c r="N58" s="113">
        <f t="shared" si="176"/>
        <v>0</v>
      </c>
      <c r="O58" s="113">
        <f t="shared" si="176"/>
        <v>0</v>
      </c>
      <c r="P58" s="113">
        <f t="shared" si="176"/>
        <v>0</v>
      </c>
      <c r="Q58" s="113">
        <f t="shared" si="176"/>
        <v>0</v>
      </c>
      <c r="R58" s="113">
        <f t="shared" si="176"/>
        <v>0</v>
      </c>
      <c r="S58" s="113">
        <f t="shared" si="176"/>
        <v>0</v>
      </c>
      <c r="T58" s="113">
        <f t="shared" si="176"/>
        <v>0</v>
      </c>
      <c r="U58" s="113">
        <f t="shared" si="176"/>
        <v>0</v>
      </c>
      <c r="V58" s="113">
        <f t="shared" si="176"/>
        <v>0</v>
      </c>
      <c r="W58" s="113">
        <f t="shared" si="176"/>
        <v>0</v>
      </c>
      <c r="X58" s="113">
        <f t="shared" si="176"/>
        <v>0</v>
      </c>
      <c r="Y58" s="113">
        <f t="shared" si="176"/>
        <v>0</v>
      </c>
      <c r="Z58" s="113">
        <f t="shared" si="176"/>
        <v>0</v>
      </c>
      <c r="AA58" s="113">
        <f t="shared" si="176"/>
        <v>0</v>
      </c>
      <c r="AB58" s="113">
        <f t="shared" si="176"/>
        <v>0</v>
      </c>
      <c r="AC58" s="113">
        <f t="shared" si="176"/>
        <v>0</v>
      </c>
      <c r="AD58" s="113">
        <f t="shared" si="176"/>
        <v>0</v>
      </c>
      <c r="AE58" s="113">
        <f t="shared" si="176"/>
        <v>0</v>
      </c>
      <c r="AF58" s="113">
        <f t="shared" si="176"/>
        <v>0</v>
      </c>
      <c r="AG58" s="113">
        <f t="shared" si="176"/>
        <v>0</v>
      </c>
      <c r="AH58" s="113">
        <f t="shared" si="176"/>
        <v>0</v>
      </c>
      <c r="AI58" s="113">
        <f t="shared" si="176"/>
        <v>0</v>
      </c>
      <c r="AJ58" s="113">
        <f t="shared" si="176"/>
        <v>0</v>
      </c>
      <c r="AK58" s="113">
        <f t="shared" si="176"/>
        <v>0</v>
      </c>
      <c r="AL58" s="113">
        <f t="shared" si="176"/>
        <v>0</v>
      </c>
      <c r="AM58" s="113">
        <f t="shared" si="176"/>
        <v>0</v>
      </c>
      <c r="AN58" s="113">
        <f t="shared" si="176"/>
        <v>0</v>
      </c>
      <c r="AO58" s="113">
        <f t="shared" si="176"/>
        <v>0</v>
      </c>
      <c r="AP58" s="113">
        <f t="shared" si="176"/>
        <v>0</v>
      </c>
      <c r="AQ58" s="113">
        <f t="shared" si="145"/>
        <v>1000</v>
      </c>
      <c r="AR58" s="113">
        <f t="shared" si="145"/>
        <v>1000</v>
      </c>
      <c r="AS58" s="113">
        <f t="shared" si="145"/>
        <v>1000</v>
      </c>
      <c r="AT58" s="113">
        <f t="shared" si="145"/>
        <v>1000</v>
      </c>
      <c r="AU58" s="113">
        <f t="shared" si="145"/>
        <v>1000</v>
      </c>
      <c r="AV58" s="113">
        <f t="shared" si="145"/>
        <v>1000</v>
      </c>
      <c r="AW58" s="113">
        <f t="shared" ref="AW58:AW64" si="177">AW38/IF($D38=0,1,$D38)/12+AV58-IF($D38=3,M38/IF($D38=0,1,$D38)/12,0)</f>
        <v>1000</v>
      </c>
      <c r="AX58" s="113">
        <f t="shared" ref="AX58:AX64" si="178">AX38/IF($D38=0,1,$D38)/12+AW58-IF($D38=3,N38/IF($D38=0,1,$D38)/12,0)</f>
        <v>1000</v>
      </c>
      <c r="AY58" s="113">
        <f t="shared" ref="AY58:AY64" si="179">AY38/IF($D38=0,1,$D38)/12+AX58-IF($D38=3,O38/IF($D38=0,1,$D38)/12,0)</f>
        <v>1000</v>
      </c>
      <c r="AZ58" s="113">
        <f t="shared" ref="AZ58:AZ64" si="180">AZ38/IF($D38=0,1,$D38)/12+AY58-IF($D38=3,P38/IF($D38=0,1,$D38)/12,0)</f>
        <v>1000</v>
      </c>
      <c r="BA58" s="113">
        <f t="shared" ref="BA58:BA64" si="181">BA38/IF($D38=0,1,$D38)/12+AZ58-IF($D38=3,Q38/IF($D38=0,1,$D38)/12,0)</f>
        <v>1000</v>
      </c>
      <c r="BB58" s="113">
        <f t="shared" ref="BB58:BB64" si="182">BB38/IF($D38=0,1,$D38)/12+BA58-IF($D38=3,R38/IF($D38=0,1,$D38)/12,0)</f>
        <v>1000</v>
      </c>
      <c r="BC58" s="113">
        <f t="shared" ref="BC58:BC64" si="183">BC38/IF($D38=0,1,$D38)/12+BB58-IF($D38=3,S38/IF($D38=0,1,$D38)/12,0)</f>
        <v>1000</v>
      </c>
      <c r="BD58" s="113">
        <f t="shared" si="147"/>
        <v>1000</v>
      </c>
      <c r="BE58" s="113">
        <f t="shared" si="148"/>
        <v>1000</v>
      </c>
      <c r="BF58" s="113">
        <f t="shared" si="149"/>
        <v>1000</v>
      </c>
      <c r="BG58" s="113">
        <f t="shared" si="150"/>
        <v>1000</v>
      </c>
      <c r="BH58" s="113">
        <f t="shared" si="151"/>
        <v>1000</v>
      </c>
      <c r="BI58" s="113">
        <f t="shared" si="152"/>
        <v>1000</v>
      </c>
      <c r="BJ58" s="113">
        <f t="shared" si="153"/>
        <v>1000</v>
      </c>
      <c r="BK58" s="113">
        <f t="shared" si="154"/>
        <v>1000</v>
      </c>
      <c r="BL58" s="113">
        <f t="shared" si="155"/>
        <v>1000</v>
      </c>
      <c r="BM58" s="113">
        <f t="shared" si="156"/>
        <v>1000</v>
      </c>
      <c r="BN58" s="113">
        <f t="shared" si="157"/>
        <v>1000</v>
      </c>
      <c r="BO58" s="113">
        <f t="shared" si="158"/>
        <v>1000</v>
      </c>
      <c r="BP58" s="113">
        <f t="shared" si="159"/>
        <v>1000</v>
      </c>
      <c r="BQ58" s="113">
        <f t="shared" si="160"/>
        <v>1000</v>
      </c>
      <c r="BR58" s="113">
        <f t="shared" si="161"/>
        <v>1000</v>
      </c>
      <c r="BS58" s="113">
        <f t="shared" si="162"/>
        <v>1000</v>
      </c>
      <c r="BT58" s="113">
        <f t="shared" si="163"/>
        <v>1000</v>
      </c>
      <c r="BU58" s="113">
        <f t="shared" si="164"/>
        <v>1000</v>
      </c>
      <c r="BV58" s="113">
        <f t="shared" si="165"/>
        <v>1000</v>
      </c>
      <c r="BW58" s="113">
        <f t="shared" si="166"/>
        <v>1000</v>
      </c>
      <c r="BX58" s="113">
        <f t="shared" si="167"/>
        <v>1000</v>
      </c>
      <c r="BY58" s="113">
        <f t="shared" si="168"/>
        <v>1000</v>
      </c>
      <c r="BZ58" s="113">
        <f t="shared" si="169"/>
        <v>1000</v>
      </c>
      <c r="CA58" s="113">
        <f t="shared" si="170"/>
        <v>1000</v>
      </c>
      <c r="CB58" s="113">
        <f t="shared" si="171"/>
        <v>1000</v>
      </c>
      <c r="CC58" s="113">
        <f t="shared" si="172"/>
        <v>1000</v>
      </c>
      <c r="CD58" s="113">
        <f t="shared" si="173"/>
        <v>1000</v>
      </c>
      <c r="CE58" s="113">
        <f t="shared" si="174"/>
        <v>1000</v>
      </c>
      <c r="CF58" s="113">
        <f t="shared" si="175"/>
        <v>1000</v>
      </c>
    </row>
    <row r="59" spans="1:84">
      <c r="A59" s="104"/>
      <c r="B59" s="116" t="str">
        <f t="shared" si="102"/>
        <v>Divers équipement</v>
      </c>
      <c r="C59" s="116"/>
      <c r="D59" s="109"/>
      <c r="E59" s="110"/>
      <c r="F59" s="108"/>
      <c r="G59" s="113">
        <f t="shared" ref="G59:AP59" si="184">G39/IF($D39=0,1,$D39)/12+F59</f>
        <v>0</v>
      </c>
      <c r="H59" s="113">
        <f t="shared" si="184"/>
        <v>0</v>
      </c>
      <c r="I59" s="113">
        <f t="shared" si="184"/>
        <v>0</v>
      </c>
      <c r="J59" s="113">
        <f t="shared" si="184"/>
        <v>0</v>
      </c>
      <c r="K59" s="113">
        <f t="shared" si="184"/>
        <v>0</v>
      </c>
      <c r="L59" s="113">
        <f t="shared" si="104"/>
        <v>0</v>
      </c>
      <c r="M59" s="113">
        <f t="shared" si="104"/>
        <v>0</v>
      </c>
      <c r="N59" s="113">
        <f t="shared" si="184"/>
        <v>0</v>
      </c>
      <c r="O59" s="113">
        <f t="shared" si="184"/>
        <v>0</v>
      </c>
      <c r="P59" s="113">
        <f t="shared" si="184"/>
        <v>0</v>
      </c>
      <c r="Q59" s="113">
        <f t="shared" si="184"/>
        <v>0</v>
      </c>
      <c r="R59" s="113">
        <f t="shared" si="184"/>
        <v>0</v>
      </c>
      <c r="S59" s="113">
        <f t="shared" si="184"/>
        <v>0</v>
      </c>
      <c r="T59" s="113">
        <f t="shared" si="184"/>
        <v>0</v>
      </c>
      <c r="U59" s="113">
        <f t="shared" si="184"/>
        <v>0</v>
      </c>
      <c r="V59" s="113">
        <f t="shared" si="184"/>
        <v>0</v>
      </c>
      <c r="W59" s="113">
        <f t="shared" si="184"/>
        <v>0</v>
      </c>
      <c r="X59" s="113">
        <f t="shared" si="184"/>
        <v>0</v>
      </c>
      <c r="Y59" s="113">
        <f t="shared" si="184"/>
        <v>0</v>
      </c>
      <c r="Z59" s="113">
        <f t="shared" si="184"/>
        <v>0</v>
      </c>
      <c r="AA59" s="113">
        <f t="shared" si="184"/>
        <v>0</v>
      </c>
      <c r="AB59" s="113">
        <f t="shared" si="184"/>
        <v>0</v>
      </c>
      <c r="AC59" s="113">
        <f t="shared" si="184"/>
        <v>0</v>
      </c>
      <c r="AD59" s="113">
        <f t="shared" si="184"/>
        <v>0</v>
      </c>
      <c r="AE59" s="113">
        <f t="shared" si="184"/>
        <v>0</v>
      </c>
      <c r="AF59" s="113">
        <f t="shared" si="184"/>
        <v>0</v>
      </c>
      <c r="AG59" s="113">
        <f t="shared" si="184"/>
        <v>0</v>
      </c>
      <c r="AH59" s="113">
        <f t="shared" si="184"/>
        <v>0</v>
      </c>
      <c r="AI59" s="113">
        <f t="shared" si="184"/>
        <v>0</v>
      </c>
      <c r="AJ59" s="113">
        <f t="shared" si="184"/>
        <v>0</v>
      </c>
      <c r="AK59" s="113">
        <f t="shared" si="184"/>
        <v>0</v>
      </c>
      <c r="AL59" s="113">
        <f t="shared" si="184"/>
        <v>0</v>
      </c>
      <c r="AM59" s="113">
        <f t="shared" si="184"/>
        <v>0</v>
      </c>
      <c r="AN59" s="113">
        <f t="shared" si="184"/>
        <v>0</v>
      </c>
      <c r="AO59" s="113">
        <f t="shared" si="184"/>
        <v>0</v>
      </c>
      <c r="AP59" s="113">
        <f t="shared" si="184"/>
        <v>0</v>
      </c>
      <c r="AQ59" s="113">
        <f t="shared" si="145"/>
        <v>0</v>
      </c>
      <c r="AR59" s="113">
        <f t="shared" si="145"/>
        <v>0</v>
      </c>
      <c r="AS59" s="113">
        <f t="shared" si="145"/>
        <v>0</v>
      </c>
      <c r="AT59" s="113">
        <f t="shared" si="145"/>
        <v>0</v>
      </c>
      <c r="AU59" s="113">
        <f t="shared" si="145"/>
        <v>0</v>
      </c>
      <c r="AV59" s="113">
        <f t="shared" si="145"/>
        <v>0</v>
      </c>
      <c r="AW59" s="113">
        <f t="shared" si="177"/>
        <v>0</v>
      </c>
      <c r="AX59" s="113">
        <f t="shared" si="178"/>
        <v>0</v>
      </c>
      <c r="AY59" s="113">
        <f t="shared" si="179"/>
        <v>0</v>
      </c>
      <c r="AZ59" s="113">
        <f t="shared" si="180"/>
        <v>0</v>
      </c>
      <c r="BA59" s="113">
        <f t="shared" si="181"/>
        <v>0</v>
      </c>
      <c r="BB59" s="113">
        <f t="shared" si="182"/>
        <v>0</v>
      </c>
      <c r="BC59" s="113">
        <f t="shared" si="183"/>
        <v>750</v>
      </c>
      <c r="BD59" s="113">
        <f t="shared" si="147"/>
        <v>750</v>
      </c>
      <c r="BE59" s="113">
        <f t="shared" si="148"/>
        <v>750</v>
      </c>
      <c r="BF59" s="113">
        <f t="shared" si="149"/>
        <v>750</v>
      </c>
      <c r="BG59" s="113">
        <f t="shared" si="150"/>
        <v>750</v>
      </c>
      <c r="BH59" s="113">
        <f t="shared" si="151"/>
        <v>750</v>
      </c>
      <c r="BI59" s="113">
        <f t="shared" si="152"/>
        <v>750</v>
      </c>
      <c r="BJ59" s="113">
        <f t="shared" si="153"/>
        <v>750</v>
      </c>
      <c r="BK59" s="113">
        <f t="shared" si="154"/>
        <v>750</v>
      </c>
      <c r="BL59" s="113">
        <f t="shared" si="155"/>
        <v>750</v>
      </c>
      <c r="BM59" s="113">
        <f t="shared" si="156"/>
        <v>750</v>
      </c>
      <c r="BN59" s="113">
        <f t="shared" si="157"/>
        <v>750</v>
      </c>
      <c r="BO59" s="113">
        <f t="shared" si="158"/>
        <v>750</v>
      </c>
      <c r="BP59" s="113">
        <f t="shared" si="159"/>
        <v>750</v>
      </c>
      <c r="BQ59" s="113">
        <f t="shared" si="160"/>
        <v>750</v>
      </c>
      <c r="BR59" s="113">
        <f t="shared" si="161"/>
        <v>750</v>
      </c>
      <c r="BS59" s="113">
        <f t="shared" si="162"/>
        <v>750</v>
      </c>
      <c r="BT59" s="113">
        <f t="shared" si="163"/>
        <v>750</v>
      </c>
      <c r="BU59" s="113">
        <f t="shared" si="164"/>
        <v>750</v>
      </c>
      <c r="BV59" s="113">
        <f t="shared" si="165"/>
        <v>750</v>
      </c>
      <c r="BW59" s="113">
        <f t="shared" si="166"/>
        <v>750</v>
      </c>
      <c r="BX59" s="113">
        <f t="shared" si="167"/>
        <v>750</v>
      </c>
      <c r="BY59" s="113">
        <f t="shared" si="168"/>
        <v>750</v>
      </c>
      <c r="BZ59" s="113">
        <f t="shared" si="169"/>
        <v>750</v>
      </c>
      <c r="CA59" s="113">
        <f t="shared" si="170"/>
        <v>750</v>
      </c>
      <c r="CB59" s="113">
        <f t="shared" si="171"/>
        <v>750</v>
      </c>
      <c r="CC59" s="113">
        <f t="shared" si="172"/>
        <v>750</v>
      </c>
      <c r="CD59" s="113">
        <f t="shared" si="173"/>
        <v>750</v>
      </c>
      <c r="CE59" s="113">
        <f t="shared" si="174"/>
        <v>750</v>
      </c>
      <c r="CF59" s="113">
        <f t="shared" si="175"/>
        <v>750</v>
      </c>
    </row>
    <row r="60" spans="1:84">
      <c r="A60" s="104"/>
      <c r="B60" s="116" t="str">
        <f t="shared" si="102"/>
        <v/>
      </c>
      <c r="C60" s="116"/>
      <c r="D60" s="109"/>
      <c r="E60" s="110"/>
      <c r="F60" s="108"/>
      <c r="G60" s="113">
        <f t="shared" ref="G60:AP60" si="185">G40/IF($D40=0,1,$D40)/12+F60</f>
        <v>0</v>
      </c>
      <c r="H60" s="113">
        <f t="shared" si="185"/>
        <v>0</v>
      </c>
      <c r="I60" s="113">
        <f t="shared" si="185"/>
        <v>0</v>
      </c>
      <c r="J60" s="113">
        <f t="shared" si="185"/>
        <v>0</v>
      </c>
      <c r="K60" s="113">
        <f t="shared" si="185"/>
        <v>0</v>
      </c>
      <c r="L60" s="113">
        <f t="shared" si="104"/>
        <v>0</v>
      </c>
      <c r="M60" s="113">
        <f t="shared" si="104"/>
        <v>0</v>
      </c>
      <c r="N60" s="113">
        <f t="shared" si="185"/>
        <v>0</v>
      </c>
      <c r="O60" s="113">
        <f t="shared" si="185"/>
        <v>0</v>
      </c>
      <c r="P60" s="113">
        <f t="shared" si="185"/>
        <v>0</v>
      </c>
      <c r="Q60" s="113">
        <f t="shared" si="185"/>
        <v>0</v>
      </c>
      <c r="R60" s="113">
        <f t="shared" si="185"/>
        <v>0</v>
      </c>
      <c r="S60" s="113">
        <f t="shared" si="185"/>
        <v>0</v>
      </c>
      <c r="T60" s="113">
        <f t="shared" si="185"/>
        <v>0</v>
      </c>
      <c r="U60" s="113">
        <f t="shared" si="185"/>
        <v>0</v>
      </c>
      <c r="V60" s="113">
        <f t="shared" si="185"/>
        <v>0</v>
      </c>
      <c r="W60" s="113">
        <f t="shared" si="185"/>
        <v>0</v>
      </c>
      <c r="X60" s="113">
        <f t="shared" si="185"/>
        <v>0</v>
      </c>
      <c r="Y60" s="113">
        <f t="shared" si="185"/>
        <v>0</v>
      </c>
      <c r="Z60" s="113">
        <f t="shared" si="185"/>
        <v>0</v>
      </c>
      <c r="AA60" s="113">
        <f t="shared" si="185"/>
        <v>0</v>
      </c>
      <c r="AB60" s="113">
        <f t="shared" si="185"/>
        <v>0</v>
      </c>
      <c r="AC60" s="113">
        <f t="shared" si="185"/>
        <v>0</v>
      </c>
      <c r="AD60" s="113">
        <f t="shared" si="185"/>
        <v>0</v>
      </c>
      <c r="AE60" s="113">
        <f t="shared" si="185"/>
        <v>0</v>
      </c>
      <c r="AF60" s="113">
        <f t="shared" si="185"/>
        <v>0</v>
      </c>
      <c r="AG60" s="113">
        <f t="shared" si="185"/>
        <v>0</v>
      </c>
      <c r="AH60" s="113">
        <f t="shared" si="185"/>
        <v>0</v>
      </c>
      <c r="AI60" s="113">
        <f t="shared" si="185"/>
        <v>0</v>
      </c>
      <c r="AJ60" s="113">
        <f t="shared" si="185"/>
        <v>0</v>
      </c>
      <c r="AK60" s="113">
        <f t="shared" si="185"/>
        <v>0</v>
      </c>
      <c r="AL60" s="113">
        <f t="shared" si="185"/>
        <v>0</v>
      </c>
      <c r="AM60" s="113">
        <f t="shared" si="185"/>
        <v>0</v>
      </c>
      <c r="AN60" s="113">
        <f t="shared" si="185"/>
        <v>0</v>
      </c>
      <c r="AO60" s="113">
        <f t="shared" si="185"/>
        <v>0</v>
      </c>
      <c r="AP60" s="113">
        <f t="shared" si="185"/>
        <v>0</v>
      </c>
      <c r="AQ60" s="113">
        <f t="shared" si="145"/>
        <v>0</v>
      </c>
      <c r="AR60" s="113">
        <f t="shared" si="145"/>
        <v>0</v>
      </c>
      <c r="AS60" s="113">
        <f t="shared" si="145"/>
        <v>0</v>
      </c>
      <c r="AT60" s="113">
        <f t="shared" si="145"/>
        <v>0</v>
      </c>
      <c r="AU60" s="113">
        <f t="shared" si="145"/>
        <v>0</v>
      </c>
      <c r="AV60" s="113">
        <f t="shared" si="145"/>
        <v>0</v>
      </c>
      <c r="AW60" s="113">
        <f t="shared" si="177"/>
        <v>0</v>
      </c>
      <c r="AX60" s="113">
        <f t="shared" si="178"/>
        <v>0</v>
      </c>
      <c r="AY60" s="113">
        <f t="shared" si="179"/>
        <v>0</v>
      </c>
      <c r="AZ60" s="113">
        <f t="shared" si="180"/>
        <v>0</v>
      </c>
      <c r="BA60" s="113">
        <f t="shared" si="181"/>
        <v>0</v>
      </c>
      <c r="BB60" s="113">
        <f t="shared" si="182"/>
        <v>0</v>
      </c>
      <c r="BC60" s="113">
        <f t="shared" si="183"/>
        <v>0</v>
      </c>
      <c r="BD60" s="113">
        <f t="shared" si="147"/>
        <v>0</v>
      </c>
      <c r="BE60" s="113">
        <f t="shared" si="148"/>
        <v>0</v>
      </c>
      <c r="BF60" s="113">
        <f t="shared" si="149"/>
        <v>0</v>
      </c>
      <c r="BG60" s="113">
        <f t="shared" si="150"/>
        <v>0</v>
      </c>
      <c r="BH60" s="113">
        <f t="shared" si="151"/>
        <v>0</v>
      </c>
      <c r="BI60" s="113">
        <f t="shared" si="152"/>
        <v>0</v>
      </c>
      <c r="BJ60" s="113">
        <f t="shared" si="153"/>
        <v>0</v>
      </c>
      <c r="BK60" s="113">
        <f t="shared" si="154"/>
        <v>0</v>
      </c>
      <c r="BL60" s="113">
        <f t="shared" si="155"/>
        <v>0</v>
      </c>
      <c r="BM60" s="113">
        <f t="shared" si="156"/>
        <v>0</v>
      </c>
      <c r="BN60" s="113">
        <f t="shared" si="157"/>
        <v>0</v>
      </c>
      <c r="BO60" s="113">
        <f t="shared" si="158"/>
        <v>0</v>
      </c>
      <c r="BP60" s="113">
        <f t="shared" si="159"/>
        <v>0</v>
      </c>
      <c r="BQ60" s="113">
        <f t="shared" si="160"/>
        <v>0</v>
      </c>
      <c r="BR60" s="113">
        <f t="shared" si="161"/>
        <v>0</v>
      </c>
      <c r="BS60" s="113">
        <f t="shared" si="162"/>
        <v>0</v>
      </c>
      <c r="BT60" s="113">
        <f t="shared" si="163"/>
        <v>0</v>
      </c>
      <c r="BU60" s="113">
        <f t="shared" si="164"/>
        <v>0</v>
      </c>
      <c r="BV60" s="113">
        <f t="shared" si="165"/>
        <v>0</v>
      </c>
      <c r="BW60" s="113">
        <f t="shared" si="166"/>
        <v>0</v>
      </c>
      <c r="BX60" s="113">
        <f t="shared" si="167"/>
        <v>0</v>
      </c>
      <c r="BY60" s="113">
        <f t="shared" si="168"/>
        <v>0</v>
      </c>
      <c r="BZ60" s="113">
        <f t="shared" si="169"/>
        <v>0</v>
      </c>
      <c r="CA60" s="113">
        <f t="shared" si="170"/>
        <v>0</v>
      </c>
      <c r="CB60" s="113">
        <f t="shared" si="171"/>
        <v>0</v>
      </c>
      <c r="CC60" s="113">
        <f t="shared" si="172"/>
        <v>0</v>
      </c>
      <c r="CD60" s="113">
        <f t="shared" si="173"/>
        <v>0</v>
      </c>
      <c r="CE60" s="113">
        <f t="shared" si="174"/>
        <v>0</v>
      </c>
      <c r="CF60" s="113">
        <f t="shared" si="175"/>
        <v>0</v>
      </c>
    </row>
    <row r="61" spans="1:84">
      <c r="A61" s="104"/>
      <c r="B61" s="116" t="str">
        <f t="shared" si="102"/>
        <v/>
      </c>
      <c r="C61" s="116"/>
      <c r="D61" s="109"/>
      <c r="E61" s="110"/>
      <c r="F61" s="108"/>
      <c r="G61" s="113">
        <f t="shared" ref="G61:AP61" si="186">G41/IF($D41=0,1,$D41)/12+F61</f>
        <v>0</v>
      </c>
      <c r="H61" s="113">
        <f t="shared" si="186"/>
        <v>0</v>
      </c>
      <c r="I61" s="113">
        <f t="shared" si="186"/>
        <v>0</v>
      </c>
      <c r="J61" s="113">
        <f t="shared" si="186"/>
        <v>0</v>
      </c>
      <c r="K61" s="113">
        <f t="shared" si="186"/>
        <v>0</v>
      </c>
      <c r="L61" s="113">
        <f t="shared" si="104"/>
        <v>0</v>
      </c>
      <c r="M61" s="113">
        <f t="shared" si="104"/>
        <v>0</v>
      </c>
      <c r="N61" s="113">
        <f t="shared" si="186"/>
        <v>0</v>
      </c>
      <c r="O61" s="113">
        <f t="shared" si="186"/>
        <v>0</v>
      </c>
      <c r="P61" s="113">
        <f t="shared" si="186"/>
        <v>0</v>
      </c>
      <c r="Q61" s="113">
        <f t="shared" si="186"/>
        <v>0</v>
      </c>
      <c r="R61" s="113">
        <f t="shared" si="186"/>
        <v>0</v>
      </c>
      <c r="S61" s="113">
        <f t="shared" si="186"/>
        <v>0</v>
      </c>
      <c r="T61" s="113">
        <f t="shared" si="186"/>
        <v>0</v>
      </c>
      <c r="U61" s="113">
        <f t="shared" si="186"/>
        <v>0</v>
      </c>
      <c r="V61" s="113">
        <f t="shared" si="186"/>
        <v>0</v>
      </c>
      <c r="W61" s="113">
        <f t="shared" si="186"/>
        <v>0</v>
      </c>
      <c r="X61" s="113">
        <f t="shared" si="186"/>
        <v>0</v>
      </c>
      <c r="Y61" s="113">
        <f t="shared" si="186"/>
        <v>0</v>
      </c>
      <c r="Z61" s="113">
        <f t="shared" si="186"/>
        <v>0</v>
      </c>
      <c r="AA61" s="113">
        <f t="shared" si="186"/>
        <v>0</v>
      </c>
      <c r="AB61" s="113">
        <f t="shared" si="186"/>
        <v>0</v>
      </c>
      <c r="AC61" s="113">
        <f t="shared" si="186"/>
        <v>0</v>
      </c>
      <c r="AD61" s="113">
        <f t="shared" si="186"/>
        <v>0</v>
      </c>
      <c r="AE61" s="113">
        <f t="shared" si="186"/>
        <v>0</v>
      </c>
      <c r="AF61" s="113">
        <f t="shared" si="186"/>
        <v>0</v>
      </c>
      <c r="AG61" s="113">
        <f t="shared" si="186"/>
        <v>0</v>
      </c>
      <c r="AH61" s="113">
        <f t="shared" si="186"/>
        <v>0</v>
      </c>
      <c r="AI61" s="113">
        <f t="shared" si="186"/>
        <v>0</v>
      </c>
      <c r="AJ61" s="113">
        <f t="shared" si="186"/>
        <v>0</v>
      </c>
      <c r="AK61" s="113">
        <f t="shared" si="186"/>
        <v>0</v>
      </c>
      <c r="AL61" s="113">
        <f t="shared" si="186"/>
        <v>0</v>
      </c>
      <c r="AM61" s="113">
        <f t="shared" si="186"/>
        <v>0</v>
      </c>
      <c r="AN61" s="113">
        <f t="shared" si="186"/>
        <v>0</v>
      </c>
      <c r="AO61" s="113">
        <f t="shared" si="186"/>
        <v>0</v>
      </c>
      <c r="AP61" s="113">
        <f t="shared" si="186"/>
        <v>0</v>
      </c>
      <c r="AQ61" s="113">
        <f>AQ41/IF($D41=0,1,$D41)/12+AP61-IF($D41=3,G41/IF($D41=0,1,$D41)/12,0)</f>
        <v>0</v>
      </c>
      <c r="AR61" s="113">
        <f t="shared" si="145"/>
        <v>0</v>
      </c>
      <c r="AS61" s="113">
        <f t="shared" si="145"/>
        <v>0</v>
      </c>
      <c r="AT61" s="113">
        <f t="shared" si="145"/>
        <v>0</v>
      </c>
      <c r="AU61" s="113">
        <f t="shared" si="145"/>
        <v>0</v>
      </c>
      <c r="AV61" s="113">
        <f t="shared" si="145"/>
        <v>0</v>
      </c>
      <c r="AW61" s="113">
        <f t="shared" si="177"/>
        <v>0</v>
      </c>
      <c r="AX61" s="113">
        <f t="shared" si="178"/>
        <v>0</v>
      </c>
      <c r="AY61" s="113">
        <f t="shared" si="179"/>
        <v>0</v>
      </c>
      <c r="AZ61" s="113">
        <f t="shared" si="180"/>
        <v>0</v>
      </c>
      <c r="BA61" s="113">
        <f t="shared" si="181"/>
        <v>0</v>
      </c>
      <c r="BB61" s="113">
        <f t="shared" si="182"/>
        <v>0</v>
      </c>
      <c r="BC61" s="113">
        <f t="shared" si="183"/>
        <v>0</v>
      </c>
      <c r="BD61" s="113">
        <f t="shared" si="147"/>
        <v>0</v>
      </c>
      <c r="BE61" s="113">
        <f t="shared" si="148"/>
        <v>0</v>
      </c>
      <c r="BF61" s="113">
        <f t="shared" si="149"/>
        <v>0</v>
      </c>
      <c r="BG61" s="113">
        <f t="shared" si="150"/>
        <v>0</v>
      </c>
      <c r="BH61" s="113">
        <f t="shared" si="151"/>
        <v>0</v>
      </c>
      <c r="BI61" s="113">
        <f t="shared" si="152"/>
        <v>0</v>
      </c>
      <c r="BJ61" s="113">
        <f t="shared" si="153"/>
        <v>0</v>
      </c>
      <c r="BK61" s="113">
        <f t="shared" si="154"/>
        <v>0</v>
      </c>
      <c r="BL61" s="113">
        <f t="shared" si="155"/>
        <v>0</v>
      </c>
      <c r="BM61" s="113">
        <f t="shared" si="156"/>
        <v>0</v>
      </c>
      <c r="BN61" s="113">
        <f t="shared" si="157"/>
        <v>0</v>
      </c>
      <c r="BO61" s="113">
        <f t="shared" si="158"/>
        <v>0</v>
      </c>
      <c r="BP61" s="113">
        <f t="shared" si="159"/>
        <v>0</v>
      </c>
      <c r="BQ61" s="113">
        <f t="shared" si="160"/>
        <v>0</v>
      </c>
      <c r="BR61" s="113">
        <f t="shared" si="161"/>
        <v>0</v>
      </c>
      <c r="BS61" s="113">
        <f t="shared" si="162"/>
        <v>0</v>
      </c>
      <c r="BT61" s="113">
        <f t="shared" si="163"/>
        <v>0</v>
      </c>
      <c r="BU61" s="113">
        <f t="shared" si="164"/>
        <v>0</v>
      </c>
      <c r="BV61" s="113">
        <f t="shared" si="165"/>
        <v>0</v>
      </c>
      <c r="BW61" s="113">
        <f t="shared" si="166"/>
        <v>0</v>
      </c>
      <c r="BX61" s="113">
        <f t="shared" si="167"/>
        <v>0</v>
      </c>
      <c r="BY61" s="113">
        <f t="shared" si="168"/>
        <v>0</v>
      </c>
      <c r="BZ61" s="113">
        <f t="shared" si="169"/>
        <v>0</v>
      </c>
      <c r="CA61" s="113">
        <f t="shared" si="170"/>
        <v>0</v>
      </c>
      <c r="CB61" s="113">
        <f t="shared" si="171"/>
        <v>0</v>
      </c>
      <c r="CC61" s="113">
        <f t="shared" si="172"/>
        <v>0</v>
      </c>
      <c r="CD61" s="113">
        <f t="shared" si="173"/>
        <v>0</v>
      </c>
      <c r="CE61" s="113">
        <f t="shared" si="174"/>
        <v>0</v>
      </c>
      <c r="CF61" s="113">
        <f t="shared" si="175"/>
        <v>0</v>
      </c>
    </row>
    <row r="62" spans="1:84">
      <c r="A62" s="104"/>
      <c r="B62" s="116" t="str">
        <f t="shared" si="102"/>
        <v/>
      </c>
      <c r="C62" s="116"/>
      <c r="D62" s="109"/>
      <c r="E62" s="110"/>
      <c r="F62" s="108"/>
      <c r="G62" s="113">
        <f t="shared" ref="G62:AP62" si="187">G42/IF($D42=0,1,$D42)/12+F62</f>
        <v>0</v>
      </c>
      <c r="H62" s="113">
        <f t="shared" si="187"/>
        <v>0</v>
      </c>
      <c r="I62" s="113">
        <f t="shared" si="187"/>
        <v>0</v>
      </c>
      <c r="J62" s="113">
        <f t="shared" si="187"/>
        <v>0</v>
      </c>
      <c r="K62" s="113">
        <f t="shared" si="187"/>
        <v>0</v>
      </c>
      <c r="L62" s="113">
        <f t="shared" si="104"/>
        <v>0</v>
      </c>
      <c r="M62" s="113">
        <f t="shared" si="104"/>
        <v>0</v>
      </c>
      <c r="N62" s="113">
        <f t="shared" si="187"/>
        <v>0</v>
      </c>
      <c r="O62" s="113">
        <f t="shared" si="187"/>
        <v>0</v>
      </c>
      <c r="P62" s="113">
        <f t="shared" si="187"/>
        <v>0</v>
      </c>
      <c r="Q62" s="113">
        <f t="shared" si="187"/>
        <v>0</v>
      </c>
      <c r="R62" s="113">
        <f t="shared" si="187"/>
        <v>0</v>
      </c>
      <c r="S62" s="113">
        <f t="shared" si="187"/>
        <v>0</v>
      </c>
      <c r="T62" s="113">
        <f t="shared" si="187"/>
        <v>0</v>
      </c>
      <c r="U62" s="113">
        <f t="shared" si="187"/>
        <v>0</v>
      </c>
      <c r="V62" s="113">
        <f t="shared" si="187"/>
        <v>0</v>
      </c>
      <c r="W62" s="113">
        <f t="shared" si="187"/>
        <v>0</v>
      </c>
      <c r="X62" s="113">
        <f t="shared" si="187"/>
        <v>0</v>
      </c>
      <c r="Y62" s="113">
        <f t="shared" si="187"/>
        <v>0</v>
      </c>
      <c r="Z62" s="113">
        <f t="shared" si="187"/>
        <v>0</v>
      </c>
      <c r="AA62" s="113">
        <f t="shared" si="187"/>
        <v>0</v>
      </c>
      <c r="AB62" s="113">
        <f t="shared" si="187"/>
        <v>0</v>
      </c>
      <c r="AC62" s="113">
        <f t="shared" si="187"/>
        <v>0</v>
      </c>
      <c r="AD62" s="113">
        <f t="shared" si="187"/>
        <v>0</v>
      </c>
      <c r="AE62" s="113">
        <f t="shared" si="187"/>
        <v>0</v>
      </c>
      <c r="AF62" s="113">
        <f t="shared" si="187"/>
        <v>0</v>
      </c>
      <c r="AG62" s="113">
        <f t="shared" si="187"/>
        <v>0</v>
      </c>
      <c r="AH62" s="113">
        <f t="shared" si="187"/>
        <v>0</v>
      </c>
      <c r="AI62" s="113">
        <f t="shared" si="187"/>
        <v>0</v>
      </c>
      <c r="AJ62" s="113">
        <f t="shared" si="187"/>
        <v>0</v>
      </c>
      <c r="AK62" s="113">
        <f t="shared" si="187"/>
        <v>0</v>
      </c>
      <c r="AL62" s="113">
        <f t="shared" si="187"/>
        <v>0</v>
      </c>
      <c r="AM62" s="113">
        <f t="shared" si="187"/>
        <v>0</v>
      </c>
      <c r="AN62" s="113">
        <f t="shared" si="187"/>
        <v>0</v>
      </c>
      <c r="AO62" s="113">
        <f t="shared" si="187"/>
        <v>0</v>
      </c>
      <c r="AP62" s="113">
        <f t="shared" si="187"/>
        <v>0</v>
      </c>
      <c r="AQ62" s="113">
        <f t="shared" si="145"/>
        <v>0</v>
      </c>
      <c r="AR62" s="113">
        <f t="shared" si="145"/>
        <v>0</v>
      </c>
      <c r="AS62" s="113">
        <f t="shared" si="145"/>
        <v>0</v>
      </c>
      <c r="AT62" s="113">
        <f t="shared" si="145"/>
        <v>0</v>
      </c>
      <c r="AU62" s="113">
        <f t="shared" si="145"/>
        <v>0</v>
      </c>
      <c r="AV62" s="113">
        <f t="shared" si="145"/>
        <v>0</v>
      </c>
      <c r="AW62" s="113">
        <f t="shared" si="177"/>
        <v>0</v>
      </c>
      <c r="AX62" s="113">
        <f t="shared" si="178"/>
        <v>0</v>
      </c>
      <c r="AY62" s="113">
        <f t="shared" si="179"/>
        <v>0</v>
      </c>
      <c r="AZ62" s="113">
        <f t="shared" si="180"/>
        <v>0</v>
      </c>
      <c r="BA62" s="113">
        <f t="shared" si="181"/>
        <v>0</v>
      </c>
      <c r="BB62" s="113">
        <f t="shared" si="182"/>
        <v>0</v>
      </c>
      <c r="BC62" s="113">
        <f t="shared" si="183"/>
        <v>0</v>
      </c>
      <c r="BD62" s="113">
        <f t="shared" si="147"/>
        <v>0</v>
      </c>
      <c r="BE62" s="113">
        <f t="shared" si="148"/>
        <v>0</v>
      </c>
      <c r="BF62" s="113">
        <f t="shared" si="149"/>
        <v>0</v>
      </c>
      <c r="BG62" s="113">
        <f t="shared" si="150"/>
        <v>0</v>
      </c>
      <c r="BH62" s="113">
        <f t="shared" si="151"/>
        <v>0</v>
      </c>
      <c r="BI62" s="113">
        <f t="shared" si="152"/>
        <v>0</v>
      </c>
      <c r="BJ62" s="113">
        <f t="shared" si="153"/>
        <v>0</v>
      </c>
      <c r="BK62" s="113">
        <f t="shared" si="154"/>
        <v>0</v>
      </c>
      <c r="BL62" s="113">
        <f t="shared" si="155"/>
        <v>0</v>
      </c>
      <c r="BM62" s="113">
        <f t="shared" si="156"/>
        <v>0</v>
      </c>
      <c r="BN62" s="113">
        <f t="shared" si="157"/>
        <v>0</v>
      </c>
      <c r="BO62" s="113">
        <f t="shared" si="158"/>
        <v>0</v>
      </c>
      <c r="BP62" s="113">
        <f t="shared" si="159"/>
        <v>0</v>
      </c>
      <c r="BQ62" s="113">
        <f t="shared" si="160"/>
        <v>0</v>
      </c>
      <c r="BR62" s="113">
        <f t="shared" si="161"/>
        <v>0</v>
      </c>
      <c r="BS62" s="113">
        <f t="shared" si="162"/>
        <v>0</v>
      </c>
      <c r="BT62" s="113">
        <f t="shared" si="163"/>
        <v>0</v>
      </c>
      <c r="BU62" s="113">
        <f t="shared" si="164"/>
        <v>0</v>
      </c>
      <c r="BV62" s="113">
        <f t="shared" si="165"/>
        <v>0</v>
      </c>
      <c r="BW62" s="113">
        <f t="shared" si="166"/>
        <v>0</v>
      </c>
      <c r="BX62" s="113">
        <f t="shared" si="167"/>
        <v>0</v>
      </c>
      <c r="BY62" s="113">
        <f t="shared" si="168"/>
        <v>0</v>
      </c>
      <c r="BZ62" s="113">
        <f t="shared" si="169"/>
        <v>0</v>
      </c>
      <c r="CA62" s="113">
        <f t="shared" si="170"/>
        <v>0</v>
      </c>
      <c r="CB62" s="113">
        <f t="shared" si="171"/>
        <v>0</v>
      </c>
      <c r="CC62" s="113">
        <f t="shared" si="172"/>
        <v>0</v>
      </c>
      <c r="CD62" s="113">
        <f t="shared" si="173"/>
        <v>0</v>
      </c>
      <c r="CE62" s="113">
        <f t="shared" si="174"/>
        <v>0</v>
      </c>
      <c r="CF62" s="113">
        <f t="shared" si="175"/>
        <v>0</v>
      </c>
    </row>
    <row r="63" spans="1:84">
      <c r="A63" s="104"/>
      <c r="B63" s="116" t="str">
        <f t="shared" si="102"/>
        <v/>
      </c>
      <c r="C63" s="116"/>
      <c r="D63" s="109"/>
      <c r="E63" s="110"/>
      <c r="F63" s="108"/>
      <c r="G63" s="113">
        <f t="shared" ref="G63:AP63" si="188">G43/IF($D43=0,1,$D43)/12+F63</f>
        <v>0</v>
      </c>
      <c r="H63" s="113">
        <f t="shared" si="188"/>
        <v>0</v>
      </c>
      <c r="I63" s="113">
        <f t="shared" si="188"/>
        <v>0</v>
      </c>
      <c r="J63" s="113">
        <f t="shared" si="188"/>
        <v>0</v>
      </c>
      <c r="K63" s="113">
        <f t="shared" si="188"/>
        <v>0</v>
      </c>
      <c r="L63" s="113">
        <f t="shared" si="104"/>
        <v>0</v>
      </c>
      <c r="M63" s="113">
        <f t="shared" si="104"/>
        <v>0</v>
      </c>
      <c r="N63" s="113">
        <f t="shared" si="188"/>
        <v>0</v>
      </c>
      <c r="O63" s="113">
        <f t="shared" si="188"/>
        <v>0</v>
      </c>
      <c r="P63" s="113">
        <f t="shared" si="188"/>
        <v>0</v>
      </c>
      <c r="Q63" s="113">
        <f t="shared" si="188"/>
        <v>0</v>
      </c>
      <c r="R63" s="113">
        <f t="shared" si="188"/>
        <v>0</v>
      </c>
      <c r="S63" s="113">
        <f t="shared" si="188"/>
        <v>0</v>
      </c>
      <c r="T63" s="113">
        <f t="shared" si="188"/>
        <v>0</v>
      </c>
      <c r="U63" s="113">
        <f t="shared" si="188"/>
        <v>0</v>
      </c>
      <c r="V63" s="113">
        <f t="shared" si="188"/>
        <v>0</v>
      </c>
      <c r="W63" s="113">
        <f t="shared" si="188"/>
        <v>0</v>
      </c>
      <c r="X63" s="113">
        <f t="shared" si="188"/>
        <v>0</v>
      </c>
      <c r="Y63" s="113">
        <f t="shared" si="188"/>
        <v>0</v>
      </c>
      <c r="Z63" s="113">
        <f t="shared" si="188"/>
        <v>0</v>
      </c>
      <c r="AA63" s="113">
        <f t="shared" si="188"/>
        <v>0</v>
      </c>
      <c r="AB63" s="113">
        <f t="shared" si="188"/>
        <v>0</v>
      </c>
      <c r="AC63" s="113">
        <f t="shared" si="188"/>
        <v>0</v>
      </c>
      <c r="AD63" s="113">
        <f t="shared" si="188"/>
        <v>0</v>
      </c>
      <c r="AE63" s="113">
        <f t="shared" si="188"/>
        <v>0</v>
      </c>
      <c r="AF63" s="113">
        <f t="shared" si="188"/>
        <v>0</v>
      </c>
      <c r="AG63" s="113">
        <f t="shared" si="188"/>
        <v>0</v>
      </c>
      <c r="AH63" s="113">
        <f t="shared" si="188"/>
        <v>0</v>
      </c>
      <c r="AI63" s="113">
        <f t="shared" si="188"/>
        <v>0</v>
      </c>
      <c r="AJ63" s="113">
        <f t="shared" si="188"/>
        <v>0</v>
      </c>
      <c r="AK63" s="113">
        <f t="shared" si="188"/>
        <v>0</v>
      </c>
      <c r="AL63" s="113">
        <f t="shared" si="188"/>
        <v>0</v>
      </c>
      <c r="AM63" s="113">
        <f t="shared" si="188"/>
        <v>0</v>
      </c>
      <c r="AN63" s="113">
        <f t="shared" si="188"/>
        <v>0</v>
      </c>
      <c r="AO63" s="113">
        <f t="shared" si="188"/>
        <v>0</v>
      </c>
      <c r="AP63" s="113">
        <f t="shared" si="188"/>
        <v>0</v>
      </c>
      <c r="AQ63" s="113">
        <f t="shared" si="145"/>
        <v>0</v>
      </c>
      <c r="AR63" s="113">
        <f t="shared" si="145"/>
        <v>0</v>
      </c>
      <c r="AS63" s="113">
        <f t="shared" si="145"/>
        <v>0</v>
      </c>
      <c r="AT63" s="113">
        <f t="shared" si="145"/>
        <v>0</v>
      </c>
      <c r="AU63" s="113">
        <f t="shared" si="145"/>
        <v>0</v>
      </c>
      <c r="AV63" s="113">
        <f t="shared" si="145"/>
        <v>0</v>
      </c>
      <c r="AW63" s="113">
        <f t="shared" si="177"/>
        <v>0</v>
      </c>
      <c r="AX63" s="113">
        <f t="shared" si="178"/>
        <v>0</v>
      </c>
      <c r="AY63" s="113">
        <f t="shared" si="179"/>
        <v>0</v>
      </c>
      <c r="AZ63" s="113">
        <f t="shared" si="180"/>
        <v>0</v>
      </c>
      <c r="BA63" s="113">
        <f t="shared" si="181"/>
        <v>0</v>
      </c>
      <c r="BB63" s="113">
        <f t="shared" si="182"/>
        <v>0</v>
      </c>
      <c r="BC63" s="113">
        <f t="shared" si="183"/>
        <v>0</v>
      </c>
      <c r="BD63" s="113">
        <f t="shared" si="147"/>
        <v>0</v>
      </c>
      <c r="BE63" s="113">
        <f t="shared" si="148"/>
        <v>0</v>
      </c>
      <c r="BF63" s="113">
        <f t="shared" si="149"/>
        <v>0</v>
      </c>
      <c r="BG63" s="113">
        <f t="shared" si="150"/>
        <v>0</v>
      </c>
      <c r="BH63" s="113">
        <f t="shared" si="151"/>
        <v>0</v>
      </c>
      <c r="BI63" s="113">
        <f t="shared" si="152"/>
        <v>0</v>
      </c>
      <c r="BJ63" s="113">
        <f t="shared" si="153"/>
        <v>0</v>
      </c>
      <c r="BK63" s="113">
        <f t="shared" si="154"/>
        <v>0</v>
      </c>
      <c r="BL63" s="113">
        <f t="shared" si="155"/>
        <v>0</v>
      </c>
      <c r="BM63" s="113">
        <f t="shared" si="156"/>
        <v>0</v>
      </c>
      <c r="BN63" s="113">
        <f t="shared" si="157"/>
        <v>0</v>
      </c>
      <c r="BO63" s="113">
        <f t="shared" si="158"/>
        <v>0</v>
      </c>
      <c r="BP63" s="113">
        <f t="shared" si="159"/>
        <v>0</v>
      </c>
      <c r="BQ63" s="113">
        <f t="shared" si="160"/>
        <v>0</v>
      </c>
      <c r="BR63" s="113">
        <f t="shared" si="161"/>
        <v>0</v>
      </c>
      <c r="BS63" s="113">
        <f t="shared" si="162"/>
        <v>0</v>
      </c>
      <c r="BT63" s="113">
        <f t="shared" si="163"/>
        <v>0</v>
      </c>
      <c r="BU63" s="113">
        <f t="shared" si="164"/>
        <v>0</v>
      </c>
      <c r="BV63" s="113">
        <f t="shared" si="165"/>
        <v>0</v>
      </c>
      <c r="BW63" s="113">
        <f t="shared" si="166"/>
        <v>0</v>
      </c>
      <c r="BX63" s="113">
        <f t="shared" si="167"/>
        <v>0</v>
      </c>
      <c r="BY63" s="113">
        <f t="shared" si="168"/>
        <v>0</v>
      </c>
      <c r="BZ63" s="113">
        <f t="shared" si="169"/>
        <v>0</v>
      </c>
      <c r="CA63" s="113">
        <f t="shared" si="170"/>
        <v>0</v>
      </c>
      <c r="CB63" s="113">
        <f t="shared" si="171"/>
        <v>0</v>
      </c>
      <c r="CC63" s="113">
        <f t="shared" si="172"/>
        <v>0</v>
      </c>
      <c r="CD63" s="113">
        <f t="shared" si="173"/>
        <v>0</v>
      </c>
      <c r="CE63" s="113">
        <f t="shared" si="174"/>
        <v>0</v>
      </c>
      <c r="CF63" s="113">
        <f t="shared" si="175"/>
        <v>0</v>
      </c>
    </row>
    <row r="64" spans="1:84">
      <c r="A64" s="104"/>
      <c r="B64" s="116" t="str">
        <f t="shared" si="102"/>
        <v/>
      </c>
      <c r="C64" s="116"/>
      <c r="D64" s="109"/>
      <c r="E64" s="110"/>
      <c r="F64" s="108"/>
      <c r="G64" s="113">
        <f t="shared" ref="G64:AP64" si="189">G44/IF($D44=0,1,$D44)/12+F64</f>
        <v>0</v>
      </c>
      <c r="H64" s="113">
        <f t="shared" si="189"/>
        <v>0</v>
      </c>
      <c r="I64" s="113">
        <f t="shared" si="189"/>
        <v>0</v>
      </c>
      <c r="J64" s="113">
        <f t="shared" si="189"/>
        <v>0</v>
      </c>
      <c r="K64" s="113">
        <f t="shared" si="189"/>
        <v>0</v>
      </c>
      <c r="L64" s="113">
        <f t="shared" si="104"/>
        <v>0</v>
      </c>
      <c r="M64" s="113">
        <f t="shared" si="104"/>
        <v>0</v>
      </c>
      <c r="N64" s="113">
        <f t="shared" si="189"/>
        <v>0</v>
      </c>
      <c r="O64" s="113">
        <f t="shared" si="189"/>
        <v>0</v>
      </c>
      <c r="P64" s="113">
        <f t="shared" si="189"/>
        <v>0</v>
      </c>
      <c r="Q64" s="113">
        <f t="shared" si="189"/>
        <v>0</v>
      </c>
      <c r="R64" s="113">
        <f t="shared" si="189"/>
        <v>0</v>
      </c>
      <c r="S64" s="113">
        <f t="shared" si="189"/>
        <v>0</v>
      </c>
      <c r="T64" s="113">
        <f t="shared" si="189"/>
        <v>0</v>
      </c>
      <c r="U64" s="113">
        <f t="shared" si="189"/>
        <v>0</v>
      </c>
      <c r="V64" s="113">
        <f t="shared" si="189"/>
        <v>0</v>
      </c>
      <c r="W64" s="113">
        <f t="shared" si="189"/>
        <v>0</v>
      </c>
      <c r="X64" s="113">
        <f t="shared" si="189"/>
        <v>0</v>
      </c>
      <c r="Y64" s="113">
        <f t="shared" si="189"/>
        <v>0</v>
      </c>
      <c r="Z64" s="113">
        <f t="shared" si="189"/>
        <v>0</v>
      </c>
      <c r="AA64" s="113">
        <f t="shared" si="189"/>
        <v>0</v>
      </c>
      <c r="AB64" s="113">
        <f t="shared" si="189"/>
        <v>0</v>
      </c>
      <c r="AC64" s="113">
        <f t="shared" si="189"/>
        <v>0</v>
      </c>
      <c r="AD64" s="113">
        <f t="shared" si="189"/>
        <v>0</v>
      </c>
      <c r="AE64" s="113">
        <f t="shared" si="189"/>
        <v>0</v>
      </c>
      <c r="AF64" s="113">
        <f t="shared" si="189"/>
        <v>0</v>
      </c>
      <c r="AG64" s="113">
        <f t="shared" si="189"/>
        <v>0</v>
      </c>
      <c r="AH64" s="113">
        <f t="shared" si="189"/>
        <v>0</v>
      </c>
      <c r="AI64" s="113">
        <f t="shared" si="189"/>
        <v>0</v>
      </c>
      <c r="AJ64" s="113">
        <f t="shared" si="189"/>
        <v>0</v>
      </c>
      <c r="AK64" s="113">
        <f t="shared" si="189"/>
        <v>0</v>
      </c>
      <c r="AL64" s="113">
        <f t="shared" si="189"/>
        <v>0</v>
      </c>
      <c r="AM64" s="113">
        <f t="shared" si="189"/>
        <v>0</v>
      </c>
      <c r="AN64" s="113">
        <f t="shared" si="189"/>
        <v>0</v>
      </c>
      <c r="AO64" s="113">
        <f t="shared" si="189"/>
        <v>0</v>
      </c>
      <c r="AP64" s="113">
        <f t="shared" si="189"/>
        <v>0</v>
      </c>
      <c r="AQ64" s="113">
        <f t="shared" si="145"/>
        <v>0</v>
      </c>
      <c r="AR64" s="113">
        <f t="shared" si="145"/>
        <v>0</v>
      </c>
      <c r="AS64" s="113">
        <f t="shared" si="145"/>
        <v>0</v>
      </c>
      <c r="AT64" s="113">
        <f t="shared" si="145"/>
        <v>0</v>
      </c>
      <c r="AU64" s="113">
        <f t="shared" si="145"/>
        <v>0</v>
      </c>
      <c r="AV64" s="113">
        <f t="shared" si="145"/>
        <v>0</v>
      </c>
      <c r="AW64" s="113">
        <f t="shared" si="177"/>
        <v>0</v>
      </c>
      <c r="AX64" s="113">
        <f t="shared" si="178"/>
        <v>0</v>
      </c>
      <c r="AY64" s="113">
        <f t="shared" si="179"/>
        <v>0</v>
      </c>
      <c r="AZ64" s="113">
        <f t="shared" si="180"/>
        <v>0</v>
      </c>
      <c r="BA64" s="113">
        <f t="shared" si="181"/>
        <v>0</v>
      </c>
      <c r="BB64" s="113">
        <f t="shared" si="182"/>
        <v>0</v>
      </c>
      <c r="BC64" s="113">
        <f t="shared" si="183"/>
        <v>0</v>
      </c>
      <c r="BD64" s="113">
        <f t="shared" si="147"/>
        <v>0</v>
      </c>
      <c r="BE64" s="113">
        <f t="shared" si="148"/>
        <v>0</v>
      </c>
      <c r="BF64" s="113">
        <f t="shared" si="149"/>
        <v>0</v>
      </c>
      <c r="BG64" s="113">
        <f t="shared" si="150"/>
        <v>0</v>
      </c>
      <c r="BH64" s="113">
        <f t="shared" si="151"/>
        <v>0</v>
      </c>
      <c r="BI64" s="113">
        <f t="shared" si="152"/>
        <v>0</v>
      </c>
      <c r="BJ64" s="113">
        <f t="shared" si="153"/>
        <v>0</v>
      </c>
      <c r="BK64" s="113">
        <f t="shared" si="154"/>
        <v>0</v>
      </c>
      <c r="BL64" s="113">
        <f t="shared" si="155"/>
        <v>0</v>
      </c>
      <c r="BM64" s="113">
        <f t="shared" si="156"/>
        <v>0</v>
      </c>
      <c r="BN64" s="113">
        <f t="shared" si="157"/>
        <v>0</v>
      </c>
      <c r="BO64" s="113">
        <f t="shared" si="158"/>
        <v>0</v>
      </c>
      <c r="BP64" s="113">
        <f t="shared" si="159"/>
        <v>0</v>
      </c>
      <c r="BQ64" s="113">
        <f t="shared" si="160"/>
        <v>0</v>
      </c>
      <c r="BR64" s="113">
        <f t="shared" si="161"/>
        <v>0</v>
      </c>
      <c r="BS64" s="113">
        <f t="shared" si="162"/>
        <v>0</v>
      </c>
      <c r="BT64" s="113">
        <f t="shared" si="163"/>
        <v>0</v>
      </c>
      <c r="BU64" s="113">
        <f t="shared" si="164"/>
        <v>0</v>
      </c>
      <c r="BV64" s="113">
        <f t="shared" si="165"/>
        <v>0</v>
      </c>
      <c r="BW64" s="113">
        <f t="shared" si="166"/>
        <v>0</v>
      </c>
      <c r="BX64" s="113">
        <f t="shared" si="167"/>
        <v>0</v>
      </c>
      <c r="BY64" s="113">
        <f t="shared" si="168"/>
        <v>0</v>
      </c>
      <c r="BZ64" s="113">
        <f t="shared" si="169"/>
        <v>0</v>
      </c>
      <c r="CA64" s="113">
        <f t="shared" si="170"/>
        <v>0</v>
      </c>
      <c r="CB64" s="113">
        <f t="shared" si="171"/>
        <v>0</v>
      </c>
      <c r="CC64" s="113">
        <f t="shared" si="172"/>
        <v>0</v>
      </c>
      <c r="CD64" s="113">
        <f t="shared" si="173"/>
        <v>0</v>
      </c>
      <c r="CE64" s="113">
        <f t="shared" si="174"/>
        <v>0</v>
      </c>
      <c r="CF64" s="113">
        <f t="shared" si="175"/>
        <v>0</v>
      </c>
    </row>
    <row r="65" spans="1:84">
      <c r="A65" s="118"/>
      <c r="B65" s="123" t="s">
        <v>1</v>
      </c>
      <c r="C65" s="123"/>
      <c r="D65" s="120"/>
      <c r="E65" s="124"/>
      <c r="F65" s="120"/>
      <c r="G65" s="122">
        <f t="shared" ref="G65:BB65" si="190">SUM(G49:G64)</f>
        <v>0</v>
      </c>
      <c r="H65" s="122">
        <f t="shared" si="190"/>
        <v>0</v>
      </c>
      <c r="I65" s="122">
        <f t="shared" si="190"/>
        <v>0</v>
      </c>
      <c r="J65" s="122">
        <f t="shared" si="190"/>
        <v>0</v>
      </c>
      <c r="K65" s="122">
        <f t="shared" si="190"/>
        <v>0</v>
      </c>
      <c r="L65" s="122">
        <f t="shared" si="190"/>
        <v>0</v>
      </c>
      <c r="M65" s="122">
        <f t="shared" si="190"/>
        <v>0</v>
      </c>
      <c r="N65" s="122">
        <f t="shared" si="190"/>
        <v>0</v>
      </c>
      <c r="O65" s="122">
        <f t="shared" si="190"/>
        <v>0</v>
      </c>
      <c r="P65" s="122">
        <f t="shared" si="190"/>
        <v>0</v>
      </c>
      <c r="Q65" s="122">
        <f t="shared" si="190"/>
        <v>0</v>
      </c>
      <c r="R65" s="122">
        <f t="shared" si="190"/>
        <v>0</v>
      </c>
      <c r="S65" s="122">
        <f t="shared" si="190"/>
        <v>0</v>
      </c>
      <c r="T65" s="122">
        <f t="shared" si="190"/>
        <v>0</v>
      </c>
      <c r="U65" s="122">
        <f t="shared" si="190"/>
        <v>0</v>
      </c>
      <c r="V65" s="122">
        <f t="shared" si="190"/>
        <v>0</v>
      </c>
      <c r="W65" s="122">
        <f t="shared" si="190"/>
        <v>0</v>
      </c>
      <c r="X65" s="122">
        <f t="shared" si="190"/>
        <v>4166.666666666667</v>
      </c>
      <c r="Y65" s="122">
        <f t="shared" si="190"/>
        <v>4166.666666666667</v>
      </c>
      <c r="Z65" s="122">
        <f t="shared" si="190"/>
        <v>4166.666666666667</v>
      </c>
      <c r="AA65" s="122">
        <f t="shared" si="190"/>
        <v>4166.666666666667</v>
      </c>
      <c r="AB65" s="122">
        <f t="shared" si="190"/>
        <v>4166.666666666667</v>
      </c>
      <c r="AC65" s="122">
        <f t="shared" si="190"/>
        <v>4166.666666666667</v>
      </c>
      <c r="AD65" s="122">
        <f t="shared" si="190"/>
        <v>4166.666666666667</v>
      </c>
      <c r="AE65" s="122">
        <f t="shared" si="190"/>
        <v>4166.666666666667</v>
      </c>
      <c r="AF65" s="122">
        <f t="shared" si="190"/>
        <v>4166.666666666667</v>
      </c>
      <c r="AG65" s="122">
        <f t="shared" si="190"/>
        <v>4500</v>
      </c>
      <c r="AH65" s="122">
        <f t="shared" si="190"/>
        <v>4500</v>
      </c>
      <c r="AI65" s="122">
        <f t="shared" si="190"/>
        <v>4500</v>
      </c>
      <c r="AJ65" s="122">
        <f t="shared" si="190"/>
        <v>4500</v>
      </c>
      <c r="AK65" s="122">
        <f t="shared" si="190"/>
        <v>4500</v>
      </c>
      <c r="AL65" s="122">
        <f t="shared" si="190"/>
        <v>4500</v>
      </c>
      <c r="AM65" s="122">
        <f t="shared" si="190"/>
        <v>4500</v>
      </c>
      <c r="AN65" s="122">
        <f t="shared" si="190"/>
        <v>4500</v>
      </c>
      <c r="AO65" s="122">
        <f t="shared" si="190"/>
        <v>4500</v>
      </c>
      <c r="AP65" s="122">
        <f t="shared" si="190"/>
        <v>4500</v>
      </c>
      <c r="AQ65" s="122">
        <f t="shared" si="190"/>
        <v>5500</v>
      </c>
      <c r="AR65" s="122">
        <f t="shared" si="190"/>
        <v>5500</v>
      </c>
      <c r="AS65" s="122">
        <f t="shared" si="190"/>
        <v>5500</v>
      </c>
      <c r="AT65" s="122">
        <f t="shared" si="190"/>
        <v>5500</v>
      </c>
      <c r="AU65" s="122">
        <f t="shared" si="190"/>
        <v>5500</v>
      </c>
      <c r="AV65" s="122">
        <f t="shared" si="190"/>
        <v>5500</v>
      </c>
      <c r="AW65" s="122">
        <f t="shared" si="190"/>
        <v>5500</v>
      </c>
      <c r="AX65" s="122">
        <f t="shared" si="190"/>
        <v>5500</v>
      </c>
      <c r="AY65" s="122">
        <f t="shared" si="190"/>
        <v>5500</v>
      </c>
      <c r="AZ65" s="122">
        <f t="shared" si="190"/>
        <v>5500</v>
      </c>
      <c r="BA65" s="122">
        <f t="shared" si="190"/>
        <v>5500</v>
      </c>
      <c r="BB65" s="122">
        <f t="shared" si="190"/>
        <v>5500</v>
      </c>
      <c r="BC65" s="122">
        <f t="shared" ref="BC65:BN65" si="191">SUM(BC49:BC64)</f>
        <v>6250</v>
      </c>
      <c r="BD65" s="122">
        <f t="shared" si="191"/>
        <v>6250</v>
      </c>
      <c r="BE65" s="122">
        <f t="shared" si="191"/>
        <v>6250</v>
      </c>
      <c r="BF65" s="122">
        <f t="shared" si="191"/>
        <v>6250</v>
      </c>
      <c r="BG65" s="122">
        <f t="shared" si="191"/>
        <v>6250</v>
      </c>
      <c r="BH65" s="122">
        <f t="shared" si="191"/>
        <v>6250</v>
      </c>
      <c r="BI65" s="122">
        <f t="shared" si="191"/>
        <v>6250</v>
      </c>
      <c r="BJ65" s="122">
        <f t="shared" si="191"/>
        <v>6250</v>
      </c>
      <c r="BK65" s="122">
        <f t="shared" si="191"/>
        <v>6250</v>
      </c>
      <c r="BL65" s="122">
        <f t="shared" si="191"/>
        <v>6250</v>
      </c>
      <c r="BM65" s="122">
        <f t="shared" si="191"/>
        <v>6250</v>
      </c>
      <c r="BN65" s="122">
        <f t="shared" si="191"/>
        <v>6250</v>
      </c>
      <c r="BO65" s="122">
        <f t="shared" ref="BO65:BT65" si="192">SUM(BO49:BO64)</f>
        <v>6250</v>
      </c>
      <c r="BP65" s="122">
        <f t="shared" si="192"/>
        <v>6250</v>
      </c>
      <c r="BQ65" s="122">
        <f t="shared" si="192"/>
        <v>6250</v>
      </c>
      <c r="BR65" s="122">
        <f t="shared" si="192"/>
        <v>6250</v>
      </c>
      <c r="BS65" s="122">
        <f t="shared" si="192"/>
        <v>6250</v>
      </c>
      <c r="BT65" s="122">
        <f t="shared" si="192"/>
        <v>6250</v>
      </c>
      <c r="BU65" s="122">
        <f t="shared" ref="BU65:CF65" si="193">SUM(BU49:BU64)</f>
        <v>6250</v>
      </c>
      <c r="BV65" s="122">
        <f t="shared" si="193"/>
        <v>6250</v>
      </c>
      <c r="BW65" s="122">
        <f t="shared" si="193"/>
        <v>6250</v>
      </c>
      <c r="BX65" s="122">
        <f t="shared" si="193"/>
        <v>6250</v>
      </c>
      <c r="BY65" s="122">
        <f t="shared" si="193"/>
        <v>6250</v>
      </c>
      <c r="BZ65" s="122">
        <f t="shared" si="193"/>
        <v>6250</v>
      </c>
      <c r="CA65" s="122">
        <f t="shared" si="193"/>
        <v>6250</v>
      </c>
      <c r="CB65" s="122">
        <f t="shared" si="193"/>
        <v>6250</v>
      </c>
      <c r="CC65" s="122">
        <f t="shared" si="193"/>
        <v>6250</v>
      </c>
      <c r="CD65" s="122">
        <f t="shared" si="193"/>
        <v>6250</v>
      </c>
      <c r="CE65" s="122">
        <f t="shared" si="193"/>
        <v>6250</v>
      </c>
      <c r="CF65" s="122">
        <f t="shared" si="193"/>
        <v>6250</v>
      </c>
    </row>
  </sheetData>
  <phoneticPr fontId="0" type="noConversion"/>
  <pageMargins left="0.78740157499999996" right="0.78740157499999996" top="0.984251969" bottom="0.984251969" header="0.4921259845" footer="0.4921259845"/>
  <pageSetup paperSize="9" scale="54" fitToWidth="3" orientation="landscape" horizontalDpi="300" verticalDpi="300" r:id="rId1"/>
  <headerFooter alignWithMargins="0"/>
  <colBreaks count="2" manualBreakCount="2">
    <brk id="30" max="1048575" man="1"/>
    <brk id="5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2:CC33"/>
  <sheetViews>
    <sheetView workbookViewId="0">
      <pane xSplit="3" ySplit="3" topLeftCell="BM13" activePane="bottomRight" state="frozen"/>
      <selection activeCell="E11" sqref="E11"/>
      <selection pane="topRight" activeCell="E11" sqref="E11"/>
      <selection pane="bottomLeft" activeCell="E11" sqref="E11"/>
      <selection pane="bottomRight" activeCell="BQ35" sqref="BQ35"/>
    </sheetView>
  </sheetViews>
  <sheetFormatPr baseColWidth="10" defaultRowHeight="12.75"/>
  <cols>
    <col min="1" max="1" width="7.85546875" style="168" customWidth="1"/>
    <col min="2" max="2" width="24.7109375" style="168" customWidth="1"/>
    <col min="3" max="3" width="9.7109375" style="168" customWidth="1"/>
    <col min="4" max="9" width="6.42578125" style="168" hidden="1" customWidth="1"/>
    <col min="10" max="81" width="6.42578125" style="168" customWidth="1"/>
    <col min="82" max="82" width="3" style="168" customWidth="1"/>
    <col min="83" max="16384" width="11.42578125" style="168"/>
  </cols>
  <sheetData>
    <row r="2" spans="1:81">
      <c r="A2" s="169" t="s">
        <v>231</v>
      </c>
      <c r="D2" s="170"/>
    </row>
    <row r="3" spans="1:81">
      <c r="B3" s="31"/>
      <c r="C3" s="171"/>
      <c r="D3" s="172">
        <v>39630</v>
      </c>
      <c r="E3" s="172">
        <v>39661</v>
      </c>
      <c r="F3" s="172">
        <v>39692</v>
      </c>
      <c r="G3" s="172">
        <v>39722</v>
      </c>
      <c r="H3" s="172">
        <v>39753</v>
      </c>
      <c r="I3" s="172">
        <v>39783</v>
      </c>
      <c r="J3" s="172">
        <v>39814</v>
      </c>
      <c r="K3" s="172">
        <v>39845</v>
      </c>
      <c r="L3" s="172">
        <v>39873</v>
      </c>
      <c r="M3" s="172">
        <v>39904</v>
      </c>
      <c r="N3" s="172">
        <v>39934</v>
      </c>
      <c r="O3" s="172">
        <v>39965</v>
      </c>
      <c r="P3" s="172">
        <v>39995</v>
      </c>
      <c r="Q3" s="172">
        <v>40026</v>
      </c>
      <c r="R3" s="172">
        <v>40057</v>
      </c>
      <c r="S3" s="172">
        <v>40087</v>
      </c>
      <c r="T3" s="172">
        <v>40118</v>
      </c>
      <c r="U3" s="172">
        <v>40148</v>
      </c>
      <c r="V3" s="172">
        <v>40179</v>
      </c>
      <c r="W3" s="172">
        <v>40210</v>
      </c>
      <c r="X3" s="172">
        <v>40238</v>
      </c>
      <c r="Y3" s="172">
        <v>40269</v>
      </c>
      <c r="Z3" s="172">
        <v>40299</v>
      </c>
      <c r="AA3" s="172">
        <v>40330</v>
      </c>
      <c r="AB3" s="172">
        <v>40360</v>
      </c>
      <c r="AC3" s="172">
        <v>40391</v>
      </c>
      <c r="AD3" s="172">
        <v>40422</v>
      </c>
      <c r="AE3" s="172">
        <v>40452</v>
      </c>
      <c r="AF3" s="172">
        <v>40483</v>
      </c>
      <c r="AG3" s="172">
        <v>40513</v>
      </c>
      <c r="AH3" s="172">
        <v>40544</v>
      </c>
      <c r="AI3" s="172">
        <v>40575</v>
      </c>
      <c r="AJ3" s="172">
        <v>40603</v>
      </c>
      <c r="AK3" s="172">
        <v>40634</v>
      </c>
      <c r="AL3" s="172">
        <v>40664</v>
      </c>
      <c r="AM3" s="172">
        <v>40695</v>
      </c>
      <c r="AN3" s="172">
        <v>40725</v>
      </c>
      <c r="AO3" s="172">
        <v>40756</v>
      </c>
      <c r="AP3" s="172">
        <v>40787</v>
      </c>
      <c r="AQ3" s="172">
        <v>40817</v>
      </c>
      <c r="AR3" s="172">
        <v>40848</v>
      </c>
      <c r="AS3" s="172">
        <v>40878</v>
      </c>
      <c r="AT3" s="172">
        <v>40909</v>
      </c>
      <c r="AU3" s="172">
        <v>40940</v>
      </c>
      <c r="AV3" s="172">
        <v>40969</v>
      </c>
      <c r="AW3" s="172">
        <v>41000</v>
      </c>
      <c r="AX3" s="172">
        <v>41030</v>
      </c>
      <c r="AY3" s="172">
        <v>41061</v>
      </c>
      <c r="AZ3" s="172">
        <v>41091</v>
      </c>
      <c r="BA3" s="172">
        <v>41122</v>
      </c>
      <c r="BB3" s="172">
        <v>41153</v>
      </c>
      <c r="BC3" s="172">
        <v>41183</v>
      </c>
      <c r="BD3" s="172">
        <v>41214</v>
      </c>
      <c r="BE3" s="172">
        <v>41244</v>
      </c>
      <c r="BF3" s="172">
        <v>41275</v>
      </c>
      <c r="BG3" s="172">
        <v>41306</v>
      </c>
      <c r="BH3" s="172">
        <v>41334</v>
      </c>
      <c r="BI3" s="172">
        <v>41365</v>
      </c>
      <c r="BJ3" s="172">
        <v>41395</v>
      </c>
      <c r="BK3" s="172">
        <v>41426</v>
      </c>
      <c r="BL3" s="172">
        <v>41456</v>
      </c>
      <c r="BM3" s="172">
        <v>41487</v>
      </c>
      <c r="BN3" s="172">
        <v>41518</v>
      </c>
      <c r="BO3" s="172">
        <v>41548</v>
      </c>
      <c r="BP3" s="172">
        <v>41579</v>
      </c>
      <c r="BQ3" s="172">
        <v>41609</v>
      </c>
      <c r="BR3" s="172">
        <v>41640</v>
      </c>
      <c r="BS3" s="172">
        <v>41671</v>
      </c>
      <c r="BT3" s="172">
        <v>41699</v>
      </c>
      <c r="BU3" s="172">
        <v>41730</v>
      </c>
      <c r="BV3" s="172">
        <v>41760</v>
      </c>
      <c r="BW3" s="172">
        <v>41791</v>
      </c>
      <c r="BX3" s="172">
        <v>41821</v>
      </c>
      <c r="BY3" s="172">
        <v>41852</v>
      </c>
      <c r="BZ3" s="172">
        <v>41883</v>
      </c>
      <c r="CA3" s="172">
        <v>41913</v>
      </c>
      <c r="CB3" s="172">
        <v>41944</v>
      </c>
      <c r="CC3" s="172">
        <v>41974</v>
      </c>
    </row>
    <row r="4" spans="1:81">
      <c r="A4" s="173"/>
      <c r="B4" s="174"/>
      <c r="C4" s="175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</row>
    <row r="5" spans="1:81">
      <c r="A5" s="177" t="s">
        <v>232</v>
      </c>
      <c r="B5" s="174"/>
      <c r="C5" s="175"/>
      <c r="D5" s="172"/>
      <c r="E5" s="172"/>
      <c r="F5" s="172"/>
      <c r="G5" s="172"/>
      <c r="H5" s="172"/>
      <c r="I5" s="172"/>
      <c r="J5" s="176">
        <f>invest!M25</f>
        <v>0</v>
      </c>
      <c r="K5" s="176">
        <f>invest!N25</f>
        <v>0</v>
      </c>
      <c r="L5" s="176">
        <f>invest!O25</f>
        <v>0</v>
      </c>
      <c r="M5" s="176">
        <f>invest!P25</f>
        <v>0</v>
      </c>
      <c r="N5" s="176">
        <f>invest!Q25</f>
        <v>0</v>
      </c>
      <c r="O5" s="176">
        <f>invest!R25</f>
        <v>0</v>
      </c>
      <c r="P5" s="176">
        <f>invest!S25</f>
        <v>0</v>
      </c>
      <c r="Q5" s="176">
        <f>invest!T25</f>
        <v>0</v>
      </c>
      <c r="R5" s="176">
        <f>invest!U25</f>
        <v>0</v>
      </c>
      <c r="S5" s="176">
        <f>invest!V25</f>
        <v>0</v>
      </c>
      <c r="T5" s="176">
        <f>invest!W25</f>
        <v>0</v>
      </c>
      <c r="U5" s="176">
        <f>invest!X25</f>
        <v>250000</v>
      </c>
      <c r="V5" s="176">
        <f>invest!Y25</f>
        <v>0</v>
      </c>
      <c r="W5" s="176">
        <f>invest!Z25-T6</f>
        <v>0</v>
      </c>
      <c r="X5" s="176">
        <f>invest!AA25</f>
        <v>0</v>
      </c>
      <c r="Y5" s="176">
        <f>invest!AB25</f>
        <v>0</v>
      </c>
      <c r="Z5" s="176">
        <f>invest!AC25</f>
        <v>0</v>
      </c>
      <c r="AA5" s="176">
        <f>invest!AD25</f>
        <v>0</v>
      </c>
      <c r="AB5" s="176">
        <f>invest!AE25</f>
        <v>0</v>
      </c>
      <c r="AC5" s="176">
        <f>invest!AF25</f>
        <v>0</v>
      </c>
      <c r="AD5" s="176">
        <f>invest!AG25</f>
        <v>8000</v>
      </c>
      <c r="AE5" s="176">
        <f>invest!AH25</f>
        <v>0</v>
      </c>
      <c r="AF5" s="176">
        <f>invest!AI25</f>
        <v>0</v>
      </c>
      <c r="AG5" s="176">
        <f>invest!AJ25</f>
        <v>0</v>
      </c>
      <c r="AH5" s="176">
        <f>invest!AK25</f>
        <v>0</v>
      </c>
      <c r="AI5" s="176">
        <f>invest!AL25</f>
        <v>0</v>
      </c>
      <c r="AJ5" s="176">
        <f>invest!AM25</f>
        <v>0</v>
      </c>
      <c r="AK5" s="176">
        <f>invest!AN25</f>
        <v>0</v>
      </c>
      <c r="AL5" s="176">
        <f>invest!AO25</f>
        <v>0</v>
      </c>
      <c r="AM5" s="176">
        <f>invest!AP25</f>
        <v>0</v>
      </c>
      <c r="AN5" s="176">
        <f>invest!AQ25</f>
        <v>24000</v>
      </c>
      <c r="AO5" s="176">
        <f>invest!AR25</f>
        <v>0</v>
      </c>
      <c r="AP5" s="176">
        <f>invest!AS25</f>
        <v>0</v>
      </c>
      <c r="AQ5" s="176">
        <f>invest!AT25</f>
        <v>0</v>
      </c>
      <c r="AR5" s="176">
        <f>invest!AU25</f>
        <v>0</v>
      </c>
      <c r="AS5" s="176">
        <f>invest!AV25</f>
        <v>0</v>
      </c>
      <c r="AT5" s="176">
        <f>invest!AW25</f>
        <v>0</v>
      </c>
      <c r="AU5" s="176">
        <f>invest!AX25</f>
        <v>0</v>
      </c>
      <c r="AV5" s="176">
        <f>invest!AY25</f>
        <v>0</v>
      </c>
      <c r="AW5" s="176">
        <f>invest!AZ25</f>
        <v>0</v>
      </c>
      <c r="AX5" s="176">
        <f>invest!BA25</f>
        <v>0</v>
      </c>
      <c r="AY5" s="176">
        <f>invest!BB25</f>
        <v>0</v>
      </c>
      <c r="AZ5" s="176">
        <f>invest!BC25</f>
        <v>18000</v>
      </c>
      <c r="BA5" s="176">
        <f>invest!BD25</f>
        <v>0</v>
      </c>
      <c r="BB5" s="176">
        <f>invest!BE25</f>
        <v>0</v>
      </c>
      <c r="BC5" s="176">
        <f>invest!BF25</f>
        <v>0</v>
      </c>
      <c r="BD5" s="176">
        <f>invest!BG25</f>
        <v>0</v>
      </c>
      <c r="BE5" s="176">
        <f>invest!BH25</f>
        <v>0</v>
      </c>
      <c r="BF5" s="176">
        <f>invest!BI25</f>
        <v>0</v>
      </c>
      <c r="BG5" s="176">
        <f>invest!BJ25</f>
        <v>0</v>
      </c>
      <c r="BH5" s="176">
        <f>invest!BK25</f>
        <v>0</v>
      </c>
      <c r="BI5" s="176">
        <f>invest!BL25</f>
        <v>0</v>
      </c>
      <c r="BJ5" s="176">
        <f>invest!BM25</f>
        <v>0</v>
      </c>
      <c r="BK5" s="176">
        <f>invest!BN25</f>
        <v>0</v>
      </c>
      <c r="BL5" s="176">
        <f>invest!BO25</f>
        <v>0</v>
      </c>
      <c r="BM5" s="176">
        <f>invest!BP25</f>
        <v>0</v>
      </c>
      <c r="BN5" s="176">
        <f>invest!BQ25</f>
        <v>0</v>
      </c>
      <c r="BO5" s="176">
        <f>invest!BR25</f>
        <v>0</v>
      </c>
      <c r="BP5" s="176">
        <f>invest!BS25</f>
        <v>0</v>
      </c>
      <c r="BQ5" s="176">
        <f>invest!BT25</f>
        <v>0</v>
      </c>
      <c r="BR5" s="176">
        <f>invest!CG25</f>
        <v>0</v>
      </c>
      <c r="BS5" s="176">
        <f>invest!CH25</f>
        <v>0</v>
      </c>
      <c r="BT5" s="176">
        <f>invest!CI25</f>
        <v>0</v>
      </c>
      <c r="BU5" s="176">
        <f>invest!CJ25</f>
        <v>0</v>
      </c>
      <c r="BV5" s="176">
        <f>invest!CK25</f>
        <v>0</v>
      </c>
      <c r="BW5" s="176">
        <f>invest!CL25</f>
        <v>0</v>
      </c>
      <c r="BX5" s="176">
        <f>invest!CM25</f>
        <v>0</v>
      </c>
      <c r="BY5" s="176">
        <f>invest!CN25</f>
        <v>0</v>
      </c>
      <c r="BZ5" s="176">
        <f>invest!CO25</f>
        <v>0</v>
      </c>
      <c r="CA5" s="176">
        <f>invest!CP25</f>
        <v>0</v>
      </c>
      <c r="CB5" s="176">
        <f>invest!CQ25</f>
        <v>0</v>
      </c>
      <c r="CC5" s="176">
        <f>invest!CR25</f>
        <v>0</v>
      </c>
    </row>
    <row r="6" spans="1:81">
      <c r="A6" s="177" t="s">
        <v>332</v>
      </c>
      <c r="B6" s="178"/>
      <c r="C6" s="178"/>
      <c r="D6" s="176">
        <f>invest!G25</f>
        <v>0</v>
      </c>
      <c r="E6" s="176">
        <f>invest!H25</f>
        <v>0</v>
      </c>
      <c r="F6" s="176">
        <f>invest!I25</f>
        <v>0</v>
      </c>
      <c r="G6" s="176">
        <f>invest!J25</f>
        <v>0</v>
      </c>
      <c r="H6" s="176">
        <f>invest!K25</f>
        <v>0</v>
      </c>
      <c r="I6" s="176">
        <f>invest!L25</f>
        <v>0</v>
      </c>
      <c r="J6" s="176">
        <f>J5</f>
        <v>0</v>
      </c>
      <c r="K6" s="176">
        <f>K5</f>
        <v>0</v>
      </c>
      <c r="L6" s="176">
        <f t="shared" ref="L6:BQ6" si="0">L5</f>
        <v>0</v>
      </c>
      <c r="M6" s="176">
        <f t="shared" si="0"/>
        <v>0</v>
      </c>
      <c r="N6" s="176">
        <f t="shared" si="0"/>
        <v>0</v>
      </c>
      <c r="O6" s="176">
        <f t="shared" si="0"/>
        <v>0</v>
      </c>
      <c r="P6" s="176">
        <f t="shared" si="0"/>
        <v>0</v>
      </c>
      <c r="Q6" s="176">
        <f t="shared" si="0"/>
        <v>0</v>
      </c>
      <c r="R6" s="176">
        <v>0</v>
      </c>
      <c r="S6" s="176">
        <f t="shared" si="0"/>
        <v>0</v>
      </c>
      <c r="T6" s="176">
        <v>0</v>
      </c>
      <c r="U6" s="176">
        <f t="shared" si="0"/>
        <v>250000</v>
      </c>
      <c r="V6" s="176">
        <f t="shared" si="0"/>
        <v>0</v>
      </c>
      <c r="W6" s="176">
        <f t="shared" si="0"/>
        <v>0</v>
      </c>
      <c r="X6" s="176">
        <f t="shared" si="0"/>
        <v>0</v>
      </c>
      <c r="Y6" s="176">
        <f t="shared" si="0"/>
        <v>0</v>
      </c>
      <c r="Z6" s="176">
        <f t="shared" si="0"/>
        <v>0</v>
      </c>
      <c r="AA6" s="176">
        <f t="shared" si="0"/>
        <v>0</v>
      </c>
      <c r="AB6" s="176">
        <f t="shared" si="0"/>
        <v>0</v>
      </c>
      <c r="AC6" s="176">
        <f t="shared" si="0"/>
        <v>0</v>
      </c>
      <c r="AD6" s="176">
        <f t="shared" si="0"/>
        <v>8000</v>
      </c>
      <c r="AE6" s="176">
        <f t="shared" si="0"/>
        <v>0</v>
      </c>
      <c r="AF6" s="176">
        <f t="shared" si="0"/>
        <v>0</v>
      </c>
      <c r="AG6" s="176">
        <f t="shared" si="0"/>
        <v>0</v>
      </c>
      <c r="AH6" s="176">
        <f t="shared" si="0"/>
        <v>0</v>
      </c>
      <c r="AI6" s="176">
        <f t="shared" si="0"/>
        <v>0</v>
      </c>
      <c r="AJ6" s="176">
        <f t="shared" si="0"/>
        <v>0</v>
      </c>
      <c r="AK6" s="176">
        <f t="shared" si="0"/>
        <v>0</v>
      </c>
      <c r="AL6" s="176">
        <f t="shared" si="0"/>
        <v>0</v>
      </c>
      <c r="AM6" s="176">
        <f t="shared" si="0"/>
        <v>0</v>
      </c>
      <c r="AN6" s="176">
        <f t="shared" si="0"/>
        <v>24000</v>
      </c>
      <c r="AO6" s="176">
        <f t="shared" si="0"/>
        <v>0</v>
      </c>
      <c r="AP6" s="176">
        <f t="shared" si="0"/>
        <v>0</v>
      </c>
      <c r="AQ6" s="176">
        <f t="shared" si="0"/>
        <v>0</v>
      </c>
      <c r="AR6" s="176">
        <f t="shared" si="0"/>
        <v>0</v>
      </c>
      <c r="AS6" s="176">
        <f t="shared" si="0"/>
        <v>0</v>
      </c>
      <c r="AT6" s="176">
        <f t="shared" si="0"/>
        <v>0</v>
      </c>
      <c r="AU6" s="176">
        <f t="shared" si="0"/>
        <v>0</v>
      </c>
      <c r="AV6" s="176">
        <f t="shared" si="0"/>
        <v>0</v>
      </c>
      <c r="AW6" s="176">
        <f t="shared" si="0"/>
        <v>0</v>
      </c>
      <c r="AX6" s="176">
        <f t="shared" si="0"/>
        <v>0</v>
      </c>
      <c r="AY6" s="176">
        <f t="shared" si="0"/>
        <v>0</v>
      </c>
      <c r="AZ6" s="176">
        <f t="shared" si="0"/>
        <v>18000</v>
      </c>
      <c r="BA6" s="176">
        <f t="shared" si="0"/>
        <v>0</v>
      </c>
      <c r="BB6" s="176">
        <f t="shared" si="0"/>
        <v>0</v>
      </c>
      <c r="BC6" s="176">
        <f t="shared" si="0"/>
        <v>0</v>
      </c>
      <c r="BD6" s="176">
        <f t="shared" si="0"/>
        <v>0</v>
      </c>
      <c r="BE6" s="176">
        <f t="shared" si="0"/>
        <v>0</v>
      </c>
      <c r="BF6" s="176">
        <f t="shared" si="0"/>
        <v>0</v>
      </c>
      <c r="BG6" s="176">
        <f t="shared" si="0"/>
        <v>0</v>
      </c>
      <c r="BH6" s="176">
        <f t="shared" si="0"/>
        <v>0</v>
      </c>
      <c r="BI6" s="176">
        <f t="shared" si="0"/>
        <v>0</v>
      </c>
      <c r="BJ6" s="176">
        <f t="shared" si="0"/>
        <v>0</v>
      </c>
      <c r="BK6" s="176">
        <f t="shared" si="0"/>
        <v>0</v>
      </c>
      <c r="BL6" s="176">
        <f t="shared" si="0"/>
        <v>0</v>
      </c>
      <c r="BM6" s="176">
        <f t="shared" si="0"/>
        <v>0</v>
      </c>
      <c r="BN6" s="176">
        <f t="shared" si="0"/>
        <v>0</v>
      </c>
      <c r="BO6" s="176">
        <f t="shared" si="0"/>
        <v>0</v>
      </c>
      <c r="BP6" s="176">
        <f t="shared" si="0"/>
        <v>0</v>
      </c>
      <c r="BQ6" s="176">
        <f t="shared" si="0"/>
        <v>0</v>
      </c>
      <c r="BR6" s="176">
        <f t="shared" ref="BR6:CC6" si="1">BR5</f>
        <v>0</v>
      </c>
      <c r="BS6" s="176">
        <f t="shared" si="1"/>
        <v>0</v>
      </c>
      <c r="BT6" s="176">
        <f t="shared" si="1"/>
        <v>0</v>
      </c>
      <c r="BU6" s="176">
        <f t="shared" si="1"/>
        <v>0</v>
      </c>
      <c r="BV6" s="176">
        <f t="shared" si="1"/>
        <v>0</v>
      </c>
      <c r="BW6" s="176">
        <f t="shared" si="1"/>
        <v>0</v>
      </c>
      <c r="BX6" s="176">
        <f t="shared" si="1"/>
        <v>0</v>
      </c>
      <c r="BY6" s="176">
        <f t="shared" si="1"/>
        <v>0</v>
      </c>
      <c r="BZ6" s="176">
        <f t="shared" si="1"/>
        <v>0</v>
      </c>
      <c r="CA6" s="176">
        <f t="shared" si="1"/>
        <v>0</v>
      </c>
      <c r="CB6" s="176">
        <f t="shared" si="1"/>
        <v>0</v>
      </c>
      <c r="CC6" s="176">
        <f t="shared" si="1"/>
        <v>0</v>
      </c>
    </row>
    <row r="8" spans="1:81">
      <c r="A8" s="179">
        <v>0.05</v>
      </c>
      <c r="B8" s="168" t="s">
        <v>239</v>
      </c>
    </row>
    <row r="9" spans="1:81">
      <c r="A9" s="179">
        <v>3.0000000000000001E-3</v>
      </c>
      <c r="B9" s="168" t="s">
        <v>240</v>
      </c>
    </row>
    <row r="10" spans="1:81">
      <c r="A10" s="180">
        <v>60</v>
      </c>
      <c r="B10" s="168" t="s">
        <v>233</v>
      </c>
    </row>
    <row r="11" spans="1:81">
      <c r="A11" s="199">
        <v>30</v>
      </c>
      <c r="B11" s="168" t="s">
        <v>297</v>
      </c>
      <c r="C11" s="180"/>
    </row>
    <row r="13" spans="1:81">
      <c r="A13" s="177" t="s">
        <v>237</v>
      </c>
      <c r="B13" s="178"/>
      <c r="C13" s="178"/>
      <c r="D13" s="176">
        <f>IF($A$11&lt;30,D6+C13,0)</f>
        <v>0</v>
      </c>
      <c r="E13" s="176">
        <f>IF($A$11&lt;30,E6+D13,IF($A$11&lt;60,D6+D13,0))</f>
        <v>0</v>
      </c>
      <c r="F13" s="176">
        <f t="shared" ref="F13:AY13" si="2">IF($A$11&lt;30,F6+E13,IF($A$11&lt;60,E6+E13,D6+E13))</f>
        <v>0</v>
      </c>
      <c r="G13" s="176">
        <f t="shared" si="2"/>
        <v>0</v>
      </c>
      <c r="H13" s="176">
        <f t="shared" si="2"/>
        <v>0</v>
      </c>
      <c r="I13" s="176">
        <f t="shared" si="2"/>
        <v>0</v>
      </c>
      <c r="J13" s="176">
        <f t="shared" si="2"/>
        <v>0</v>
      </c>
      <c r="K13" s="176">
        <f t="shared" si="2"/>
        <v>0</v>
      </c>
      <c r="L13" s="176">
        <f t="shared" si="2"/>
        <v>0</v>
      </c>
      <c r="M13" s="176">
        <f t="shared" si="2"/>
        <v>0</v>
      </c>
      <c r="N13" s="176">
        <f t="shared" si="2"/>
        <v>0</v>
      </c>
      <c r="O13" s="176">
        <f t="shared" si="2"/>
        <v>0</v>
      </c>
      <c r="P13" s="176">
        <f t="shared" si="2"/>
        <v>0</v>
      </c>
      <c r="Q13" s="176">
        <f t="shared" si="2"/>
        <v>0</v>
      </c>
      <c r="R13" s="176">
        <f t="shared" si="2"/>
        <v>0</v>
      </c>
      <c r="S13" s="176">
        <v>0</v>
      </c>
      <c r="T13" s="176">
        <f t="shared" si="2"/>
        <v>0</v>
      </c>
      <c r="U13" s="176">
        <f>IF($A$11&lt;30,U6+T13,IF($A$11&lt;60,T6+T13,S6+T13))</f>
        <v>0</v>
      </c>
      <c r="V13" s="176">
        <f t="shared" si="2"/>
        <v>250000</v>
      </c>
      <c r="W13" s="176">
        <f t="shared" si="2"/>
        <v>250000</v>
      </c>
      <c r="X13" s="176">
        <f>IF($A$11&lt;30,X6+W13,IF($A$11&lt;60,W6+W13,V6+W13))</f>
        <v>250000</v>
      </c>
      <c r="Y13" s="176">
        <f t="shared" si="2"/>
        <v>250000</v>
      </c>
      <c r="Z13" s="176">
        <f t="shared" si="2"/>
        <v>250000</v>
      </c>
      <c r="AA13" s="176">
        <f t="shared" si="2"/>
        <v>250000</v>
      </c>
      <c r="AB13" s="176">
        <f t="shared" si="2"/>
        <v>250000</v>
      </c>
      <c r="AC13" s="176">
        <f t="shared" si="2"/>
        <v>250000</v>
      </c>
      <c r="AD13" s="176">
        <f t="shared" si="2"/>
        <v>250000</v>
      </c>
      <c r="AE13" s="176">
        <f t="shared" si="2"/>
        <v>258000</v>
      </c>
      <c r="AF13" s="176">
        <f t="shared" si="2"/>
        <v>258000</v>
      </c>
      <c r="AG13" s="176">
        <f t="shared" si="2"/>
        <v>258000</v>
      </c>
      <c r="AH13" s="176">
        <f t="shared" si="2"/>
        <v>258000</v>
      </c>
      <c r="AI13" s="176">
        <f t="shared" si="2"/>
        <v>258000</v>
      </c>
      <c r="AJ13" s="176">
        <f t="shared" si="2"/>
        <v>258000</v>
      </c>
      <c r="AK13" s="176">
        <f t="shared" si="2"/>
        <v>258000</v>
      </c>
      <c r="AL13" s="176">
        <f t="shared" si="2"/>
        <v>258000</v>
      </c>
      <c r="AM13" s="176">
        <f t="shared" si="2"/>
        <v>258000</v>
      </c>
      <c r="AN13" s="176">
        <f t="shared" si="2"/>
        <v>258000</v>
      </c>
      <c r="AO13" s="176">
        <f t="shared" si="2"/>
        <v>282000</v>
      </c>
      <c r="AP13" s="176">
        <f t="shared" si="2"/>
        <v>282000</v>
      </c>
      <c r="AQ13" s="176">
        <f t="shared" si="2"/>
        <v>282000</v>
      </c>
      <c r="AR13" s="176">
        <f t="shared" si="2"/>
        <v>282000</v>
      </c>
      <c r="AS13" s="176">
        <f t="shared" si="2"/>
        <v>282000</v>
      </c>
      <c r="AT13" s="176">
        <f t="shared" si="2"/>
        <v>282000</v>
      </c>
      <c r="AU13" s="176">
        <f t="shared" si="2"/>
        <v>282000</v>
      </c>
      <c r="AV13" s="176">
        <f t="shared" si="2"/>
        <v>282000</v>
      </c>
      <c r="AW13" s="176">
        <f t="shared" si="2"/>
        <v>282000</v>
      </c>
      <c r="AX13" s="176">
        <f t="shared" si="2"/>
        <v>282000</v>
      </c>
      <c r="AY13" s="176">
        <f t="shared" si="2"/>
        <v>282000</v>
      </c>
      <c r="AZ13" s="176">
        <f t="shared" ref="AZ13:BK13" si="3">IF($A$11&lt;30,AZ6+AY13,IF($A$11&lt;60,AY6+AY13,AX6+AY13))</f>
        <v>282000</v>
      </c>
      <c r="BA13" s="176">
        <f t="shared" si="3"/>
        <v>300000</v>
      </c>
      <c r="BB13" s="176">
        <f t="shared" si="3"/>
        <v>300000</v>
      </c>
      <c r="BC13" s="176">
        <f t="shared" si="3"/>
        <v>300000</v>
      </c>
      <c r="BD13" s="176">
        <f t="shared" si="3"/>
        <v>300000</v>
      </c>
      <c r="BE13" s="176">
        <f t="shared" si="3"/>
        <v>300000</v>
      </c>
      <c r="BF13" s="176">
        <f t="shared" si="3"/>
        <v>300000</v>
      </c>
      <c r="BG13" s="176">
        <f t="shared" si="3"/>
        <v>300000</v>
      </c>
      <c r="BH13" s="176">
        <f t="shared" si="3"/>
        <v>300000</v>
      </c>
      <c r="BI13" s="176">
        <f t="shared" si="3"/>
        <v>300000</v>
      </c>
      <c r="BJ13" s="176">
        <f t="shared" si="3"/>
        <v>300000</v>
      </c>
      <c r="BK13" s="176">
        <f t="shared" si="3"/>
        <v>300000</v>
      </c>
      <c r="BL13" s="176">
        <f t="shared" ref="BL13:BQ13" si="4">IF($A$11&lt;30,BL6+BK13,IF($A$11&lt;60,BK6+BK13,BJ6+BK13))</f>
        <v>300000</v>
      </c>
      <c r="BM13" s="176">
        <f t="shared" si="4"/>
        <v>300000</v>
      </c>
      <c r="BN13" s="176">
        <f t="shared" si="4"/>
        <v>300000</v>
      </c>
      <c r="BO13" s="176">
        <f t="shared" si="4"/>
        <v>300000</v>
      </c>
      <c r="BP13" s="176">
        <f t="shared" si="4"/>
        <v>300000</v>
      </c>
      <c r="BQ13" s="176">
        <f t="shared" si="4"/>
        <v>300000</v>
      </c>
      <c r="BR13" s="176">
        <f t="shared" ref="BR13:CC13" si="5">IF($A$11&lt;30,BR6+BQ13,IF($A$11&lt;60,BQ6+BQ13,BP6+BQ13))</f>
        <v>300000</v>
      </c>
      <c r="BS13" s="176">
        <f t="shared" si="5"/>
        <v>300000</v>
      </c>
      <c r="BT13" s="176">
        <f t="shared" si="5"/>
        <v>300000</v>
      </c>
      <c r="BU13" s="176">
        <f t="shared" si="5"/>
        <v>300000</v>
      </c>
      <c r="BV13" s="176">
        <f t="shared" si="5"/>
        <v>300000</v>
      </c>
      <c r="BW13" s="176">
        <f t="shared" si="5"/>
        <v>300000</v>
      </c>
      <c r="BX13" s="176">
        <f t="shared" si="5"/>
        <v>300000</v>
      </c>
      <c r="BY13" s="176">
        <f t="shared" si="5"/>
        <v>300000</v>
      </c>
      <c r="BZ13" s="176">
        <f t="shared" si="5"/>
        <v>300000</v>
      </c>
      <c r="CA13" s="176">
        <f t="shared" si="5"/>
        <v>300000</v>
      </c>
      <c r="CB13" s="176">
        <f t="shared" si="5"/>
        <v>300000</v>
      </c>
      <c r="CC13" s="176">
        <f t="shared" si="5"/>
        <v>300000</v>
      </c>
    </row>
    <row r="14" spans="1:81">
      <c r="A14" s="177" t="s">
        <v>238</v>
      </c>
      <c r="B14" s="178"/>
      <c r="C14" s="178"/>
      <c r="D14" s="176">
        <f t="shared" ref="D14:BO14" si="6">-PMT($A$8/12,$A$10,D$13)</f>
        <v>0</v>
      </c>
      <c r="E14" s="176">
        <f t="shared" si="6"/>
        <v>0</v>
      </c>
      <c r="F14" s="176">
        <f t="shared" si="6"/>
        <v>0</v>
      </c>
      <c r="G14" s="176">
        <f t="shared" si="6"/>
        <v>0</v>
      </c>
      <c r="H14" s="176">
        <f t="shared" si="6"/>
        <v>0</v>
      </c>
      <c r="I14" s="176">
        <f t="shared" si="6"/>
        <v>0</v>
      </c>
      <c r="J14" s="176">
        <f t="shared" si="6"/>
        <v>0</v>
      </c>
      <c r="K14" s="176">
        <f t="shared" si="6"/>
        <v>0</v>
      </c>
      <c r="L14" s="176">
        <f t="shared" si="6"/>
        <v>0</v>
      </c>
      <c r="M14" s="176">
        <f t="shared" si="6"/>
        <v>0</v>
      </c>
      <c r="N14" s="176">
        <f t="shared" si="6"/>
        <v>0</v>
      </c>
      <c r="O14" s="176">
        <f t="shared" si="6"/>
        <v>0</v>
      </c>
      <c r="P14" s="176">
        <f t="shared" si="6"/>
        <v>0</v>
      </c>
      <c r="Q14" s="176">
        <f t="shared" si="6"/>
        <v>0</v>
      </c>
      <c r="R14" s="176">
        <f t="shared" si="6"/>
        <v>0</v>
      </c>
      <c r="S14" s="176">
        <f t="shared" si="6"/>
        <v>0</v>
      </c>
      <c r="T14" s="176">
        <f t="shared" si="6"/>
        <v>0</v>
      </c>
      <c r="U14" s="176">
        <f t="shared" si="6"/>
        <v>0</v>
      </c>
      <c r="V14" s="176">
        <f t="shared" si="6"/>
        <v>4717.8084110027185</v>
      </c>
      <c r="W14" s="176">
        <f t="shared" si="6"/>
        <v>4717.8084110027185</v>
      </c>
      <c r="X14" s="176">
        <f t="shared" si="6"/>
        <v>4717.8084110027185</v>
      </c>
      <c r="Y14" s="176">
        <f t="shared" si="6"/>
        <v>4717.8084110027185</v>
      </c>
      <c r="Z14" s="176">
        <f t="shared" si="6"/>
        <v>4717.8084110027185</v>
      </c>
      <c r="AA14" s="176">
        <f t="shared" si="6"/>
        <v>4717.8084110027185</v>
      </c>
      <c r="AB14" s="176">
        <f t="shared" si="6"/>
        <v>4717.8084110027185</v>
      </c>
      <c r="AC14" s="176">
        <f t="shared" si="6"/>
        <v>4717.8084110027185</v>
      </c>
      <c r="AD14" s="176">
        <f t="shared" si="6"/>
        <v>4717.8084110027185</v>
      </c>
      <c r="AE14" s="176">
        <f t="shared" si="6"/>
        <v>4868.7782801548055</v>
      </c>
      <c r="AF14" s="176">
        <f t="shared" si="6"/>
        <v>4868.7782801548055</v>
      </c>
      <c r="AG14" s="176">
        <f t="shared" si="6"/>
        <v>4868.7782801548055</v>
      </c>
      <c r="AH14" s="176">
        <f t="shared" si="6"/>
        <v>4868.7782801548055</v>
      </c>
      <c r="AI14" s="176">
        <f t="shared" si="6"/>
        <v>4868.7782801548055</v>
      </c>
      <c r="AJ14" s="176">
        <f t="shared" si="6"/>
        <v>4868.7782801548055</v>
      </c>
      <c r="AK14" s="176">
        <f t="shared" si="6"/>
        <v>4868.7782801548055</v>
      </c>
      <c r="AL14" s="176">
        <f t="shared" si="6"/>
        <v>4868.7782801548055</v>
      </c>
      <c r="AM14" s="176">
        <f t="shared" si="6"/>
        <v>4868.7782801548055</v>
      </c>
      <c r="AN14" s="176">
        <f t="shared" si="6"/>
        <v>4868.7782801548055</v>
      </c>
      <c r="AO14" s="176">
        <f t="shared" si="6"/>
        <v>5321.6878876110668</v>
      </c>
      <c r="AP14" s="176">
        <f t="shared" si="6"/>
        <v>5321.6878876110668</v>
      </c>
      <c r="AQ14" s="176">
        <f t="shared" si="6"/>
        <v>5321.6878876110668</v>
      </c>
      <c r="AR14" s="176">
        <f t="shared" si="6"/>
        <v>5321.6878876110668</v>
      </c>
      <c r="AS14" s="176">
        <f t="shared" si="6"/>
        <v>5321.6878876110668</v>
      </c>
      <c r="AT14" s="176">
        <f t="shared" si="6"/>
        <v>5321.6878876110668</v>
      </c>
      <c r="AU14" s="176">
        <f t="shared" si="6"/>
        <v>5321.6878876110668</v>
      </c>
      <c r="AV14" s="176">
        <f t="shared" si="6"/>
        <v>5321.6878876110668</v>
      </c>
      <c r="AW14" s="176">
        <f t="shared" si="6"/>
        <v>5321.6878876110668</v>
      </c>
      <c r="AX14" s="176">
        <f t="shared" si="6"/>
        <v>5321.6878876110668</v>
      </c>
      <c r="AY14" s="176">
        <f t="shared" si="6"/>
        <v>5321.6878876110668</v>
      </c>
      <c r="AZ14" s="176">
        <f t="shared" si="6"/>
        <v>5321.6878876110668</v>
      </c>
      <c r="BA14" s="176">
        <f t="shared" si="6"/>
        <v>5661.3700932032616</v>
      </c>
      <c r="BB14" s="176">
        <f t="shared" si="6"/>
        <v>5661.3700932032616</v>
      </c>
      <c r="BC14" s="176">
        <f t="shared" si="6"/>
        <v>5661.3700932032616</v>
      </c>
      <c r="BD14" s="176">
        <f t="shared" si="6"/>
        <v>5661.3700932032616</v>
      </c>
      <c r="BE14" s="176">
        <f t="shared" si="6"/>
        <v>5661.3700932032616</v>
      </c>
      <c r="BF14" s="176">
        <f t="shared" si="6"/>
        <v>5661.3700932032616</v>
      </c>
      <c r="BG14" s="176">
        <f t="shared" si="6"/>
        <v>5661.3700932032616</v>
      </c>
      <c r="BH14" s="176">
        <f t="shared" si="6"/>
        <v>5661.3700932032616</v>
      </c>
      <c r="BI14" s="176">
        <f t="shared" si="6"/>
        <v>5661.3700932032616</v>
      </c>
      <c r="BJ14" s="176">
        <f t="shared" si="6"/>
        <v>5661.3700932032616</v>
      </c>
      <c r="BK14" s="176">
        <f t="shared" si="6"/>
        <v>5661.3700932032616</v>
      </c>
      <c r="BL14" s="176">
        <f t="shared" si="6"/>
        <v>5661.3700932032616</v>
      </c>
      <c r="BM14" s="176">
        <f t="shared" si="6"/>
        <v>5661.3700932032616</v>
      </c>
      <c r="BN14" s="176">
        <f t="shared" si="6"/>
        <v>5661.3700932032616</v>
      </c>
      <c r="BO14" s="176">
        <f t="shared" si="6"/>
        <v>5661.3700932032616</v>
      </c>
      <c r="BP14" s="176">
        <f>-PMT($A$8/12,$A$10,BP$13)</f>
        <v>5661.3700932032616</v>
      </c>
      <c r="BQ14" s="176">
        <f>-PMT($A$8/12,$A$10,BQ$13)</f>
        <v>5661.3700932032616</v>
      </c>
      <c r="BR14" s="176">
        <f t="shared" ref="BR14:CC14" si="7">-PMT($A$8/12,$A$10,BR$13)</f>
        <v>5661.3700932032616</v>
      </c>
      <c r="BS14" s="176">
        <f t="shared" si="7"/>
        <v>5661.3700932032616</v>
      </c>
      <c r="BT14" s="176">
        <f t="shared" si="7"/>
        <v>5661.3700932032616</v>
      </c>
      <c r="BU14" s="176">
        <f t="shared" si="7"/>
        <v>5661.3700932032616</v>
      </c>
      <c r="BV14" s="176">
        <f t="shared" si="7"/>
        <v>5661.3700932032616</v>
      </c>
      <c r="BW14" s="176">
        <f t="shared" si="7"/>
        <v>5661.3700932032616</v>
      </c>
      <c r="BX14" s="176">
        <f t="shared" si="7"/>
        <v>5661.3700932032616</v>
      </c>
      <c r="BY14" s="176">
        <f t="shared" si="7"/>
        <v>5661.3700932032616</v>
      </c>
      <c r="BZ14" s="176">
        <f t="shared" si="7"/>
        <v>5661.3700932032616</v>
      </c>
      <c r="CA14" s="176">
        <f t="shared" si="7"/>
        <v>5661.3700932032616</v>
      </c>
      <c r="CB14" s="176">
        <f t="shared" si="7"/>
        <v>5661.3700932032616</v>
      </c>
      <c r="CC14" s="176">
        <f t="shared" si="7"/>
        <v>5661.3700932032616</v>
      </c>
    </row>
    <row r="15" spans="1:81">
      <c r="A15" s="177" t="s">
        <v>234</v>
      </c>
      <c r="B15" s="178"/>
      <c r="C15" s="178"/>
      <c r="D15" s="176">
        <f>D13-SUM($D$14:D$14)</f>
        <v>0</v>
      </c>
      <c r="E15" s="176">
        <f>E13-SUM($D$14:E$14)</f>
        <v>0</v>
      </c>
      <c r="F15" s="176">
        <f>F13-SUM($D$14:F$14)</f>
        <v>0</v>
      </c>
      <c r="G15" s="176">
        <f>G13-SUM($D$14:G$14)</f>
        <v>0</v>
      </c>
      <c r="H15" s="176">
        <f>H13-SUM($D$14:H$14)</f>
        <v>0</v>
      </c>
      <c r="I15" s="176">
        <f>I13-SUM($D$14:I$14)</f>
        <v>0</v>
      </c>
      <c r="J15" s="176">
        <f>J13-SUM($D$14:J$14)</f>
        <v>0</v>
      </c>
      <c r="K15" s="176">
        <f>K13-SUM($D$14:K$14)</f>
        <v>0</v>
      </c>
      <c r="L15" s="176">
        <f>L13-SUM($D$14:L$14)</f>
        <v>0</v>
      </c>
      <c r="M15" s="176">
        <f>M13-SUM($D$14:M$14)</f>
        <v>0</v>
      </c>
      <c r="N15" s="176">
        <f>N13-SUM($D$14:N$14)</f>
        <v>0</v>
      </c>
      <c r="O15" s="176">
        <f>O13-SUM($D$14:O$14)</f>
        <v>0</v>
      </c>
      <c r="P15" s="176">
        <f>P13-SUM($D$14:P$14)</f>
        <v>0</v>
      </c>
      <c r="Q15" s="176">
        <f>Q13-SUM($D$14:Q$14)</f>
        <v>0</v>
      </c>
      <c r="R15" s="176">
        <f>R13-SUM($D$14:R$14)</f>
        <v>0</v>
      </c>
      <c r="S15" s="176">
        <f>S13-SUM($D$14:S$14)</f>
        <v>0</v>
      </c>
      <c r="T15" s="176">
        <f>T13-SUM($D$14:T$14)</f>
        <v>0</v>
      </c>
      <c r="U15" s="176">
        <f>U13-SUM($D$14:U$14)</f>
        <v>0</v>
      </c>
      <c r="V15" s="176">
        <f>V13-SUM($D$14:V$14)</f>
        <v>245282.19158899729</v>
      </c>
      <c r="W15" s="176">
        <f>W13-SUM($D$14:W$14)</f>
        <v>240564.38317799458</v>
      </c>
      <c r="X15" s="176">
        <f>X13-SUM($D$14:X$14)</f>
        <v>235846.57476699183</v>
      </c>
      <c r="Y15" s="176">
        <f>Y13-SUM($D$14:Y$14)</f>
        <v>231128.76635598912</v>
      </c>
      <c r="Z15" s="176">
        <f>Z13-SUM($D$14:Z$14)</f>
        <v>226410.95794498641</v>
      </c>
      <c r="AA15" s="176">
        <f>AA13-SUM($D$14:AA$14)</f>
        <v>221693.1495339837</v>
      </c>
      <c r="AB15" s="176">
        <f>AB13-SUM($D$14:AB$14)</f>
        <v>216975.34112298099</v>
      </c>
      <c r="AC15" s="176">
        <f>AC13-SUM($D$14:AC$14)</f>
        <v>212257.53271197825</v>
      </c>
      <c r="AD15" s="176">
        <f>AD13-SUM($D$14:AD$14)</f>
        <v>207539.72430097553</v>
      </c>
      <c r="AE15" s="176">
        <f>AE13-SUM($D$14:AE$14)</f>
        <v>210670.94602082073</v>
      </c>
      <c r="AF15" s="176">
        <f>AF13-SUM($D$14:AF$14)</f>
        <v>205802.16774066593</v>
      </c>
      <c r="AG15" s="176">
        <f>AG13-SUM($D$14:AG$14)</f>
        <v>200933.38946051113</v>
      </c>
      <c r="AH15" s="176">
        <f>AH13-SUM($D$14:AH$14)</f>
        <v>196064.61118035633</v>
      </c>
      <c r="AI15" s="176">
        <f>AI13-SUM($D$14:AI$14)</f>
        <v>191195.83290020152</v>
      </c>
      <c r="AJ15" s="176">
        <f>AJ13-SUM($D$14:AJ$14)</f>
        <v>186327.05462004672</v>
      </c>
      <c r="AK15" s="176">
        <f>AK13-SUM($D$14:AK$14)</f>
        <v>181458.27633989192</v>
      </c>
      <c r="AL15" s="176">
        <f>AL13-SUM($D$14:AL$14)</f>
        <v>176589.49805973712</v>
      </c>
      <c r="AM15" s="176">
        <f>AM13-SUM($D$14:AM$14)</f>
        <v>171720.71977958232</v>
      </c>
      <c r="AN15" s="176">
        <f>AN13-SUM($D$14:AN$14)</f>
        <v>166851.94149942751</v>
      </c>
      <c r="AO15" s="176">
        <f>AO13-SUM($D$14:AO$14)</f>
        <v>185530.25361181644</v>
      </c>
      <c r="AP15" s="176">
        <f>AP13-SUM($D$14:AP$14)</f>
        <v>180208.56572420537</v>
      </c>
      <c r="AQ15" s="176">
        <f>AQ13-SUM($D$14:AQ$14)</f>
        <v>174886.8778365943</v>
      </c>
      <c r="AR15" s="176">
        <f>AR13-SUM($D$14:AR$14)</f>
        <v>169565.18994898323</v>
      </c>
      <c r="AS15" s="176">
        <f>AS13-SUM($D$14:AS$14)</f>
        <v>164243.50206137216</v>
      </c>
      <c r="AT15" s="176">
        <f>AT13-SUM($D$14:AT$14)</f>
        <v>158921.81417376109</v>
      </c>
      <c r="AU15" s="176">
        <f>AU13-SUM($D$14:AU$14)</f>
        <v>153600.12628615001</v>
      </c>
      <c r="AV15" s="176">
        <f>AV13-SUM($D$14:AV$14)</f>
        <v>148278.43839853894</v>
      </c>
      <c r="AW15" s="176">
        <f>AW13-SUM($D$14:AW$14)</f>
        <v>142956.75051092787</v>
      </c>
      <c r="AX15" s="176">
        <f>AX13-SUM($D$14:AX$14)</f>
        <v>137635.0626233168</v>
      </c>
      <c r="AY15" s="176">
        <f>AY13-SUM($D$14:AY$14)</f>
        <v>132313.37473570573</v>
      </c>
      <c r="AZ15" s="176">
        <f>AZ13-SUM($D$14:AZ$14)</f>
        <v>126991.68684809466</v>
      </c>
      <c r="BA15" s="176">
        <f>BA13-SUM($D$14:BA$14)</f>
        <v>139330.31675489139</v>
      </c>
      <c r="BB15" s="176">
        <f>BB13-SUM($D$14:BB$14)</f>
        <v>133668.94666168813</v>
      </c>
      <c r="BC15" s="176">
        <f>BC13-SUM($D$14:BC$14)</f>
        <v>128007.57656848486</v>
      </c>
      <c r="BD15" s="176">
        <f>BD13-SUM($D$14:BD$14)</f>
        <v>122346.20647528159</v>
      </c>
      <c r="BE15" s="176">
        <f>BE13-SUM($D$14:BE$14)</f>
        <v>116684.83638207833</v>
      </c>
      <c r="BF15" s="176">
        <f>BF13-SUM($D$14:BF$14)</f>
        <v>111023.46628887506</v>
      </c>
      <c r="BG15" s="176">
        <f>BG13-SUM($D$14:BG$14)</f>
        <v>105362.09619567179</v>
      </c>
      <c r="BH15" s="176">
        <f>BH13-SUM($D$14:BH$14)</f>
        <v>99700.726102468529</v>
      </c>
      <c r="BI15" s="176">
        <f>BI13-SUM($D$14:BI$14)</f>
        <v>94039.356009265262</v>
      </c>
      <c r="BJ15" s="176">
        <f>BJ13-SUM($D$14:BJ$14)</f>
        <v>88377.985916061996</v>
      </c>
      <c r="BK15" s="176">
        <f>BK13-SUM($D$14:BK$14)</f>
        <v>82716.61582285873</v>
      </c>
      <c r="BL15" s="176">
        <f>BL13-SUM($D$14:BL$14)</f>
        <v>77055.245729655464</v>
      </c>
      <c r="BM15" s="176">
        <f>BM13-SUM($D$14:BM$14)</f>
        <v>71393.875636452198</v>
      </c>
      <c r="BN15" s="176">
        <f>BN13-SUM($D$14:BN$14)</f>
        <v>65732.505543248932</v>
      </c>
      <c r="BO15" s="176">
        <f>BO13-SUM($D$14:BO$14)</f>
        <v>60071.135450045665</v>
      </c>
      <c r="BP15" s="176">
        <f>BP13-SUM($D$14:BP$14)</f>
        <v>54409.765356842399</v>
      </c>
      <c r="BQ15" s="176">
        <f>BQ13-SUM($D$14:BQ$14)</f>
        <v>48748.395263639133</v>
      </c>
      <c r="BR15" s="176">
        <f>BR13-SUM($D$14:BR$14)</f>
        <v>43087.025170435867</v>
      </c>
      <c r="BS15" s="176">
        <f>BS13-SUM($D$14:BS$14)</f>
        <v>37425.65507723263</v>
      </c>
      <c r="BT15" s="176">
        <f>BT13-SUM($D$14:BT$14)</f>
        <v>31764.284984029364</v>
      </c>
      <c r="BU15" s="176">
        <f>BU13-SUM($D$14:BU$14)</f>
        <v>26102.914890826098</v>
      </c>
      <c r="BV15" s="176">
        <f>BV13-SUM($D$14:BV$14)</f>
        <v>20441.544797622832</v>
      </c>
      <c r="BW15" s="176">
        <f>BW13-SUM($D$14:BW$14)</f>
        <v>14780.174704419565</v>
      </c>
      <c r="BX15" s="176">
        <f>BX13-SUM($D$14:BX$14)</f>
        <v>9118.8046112162992</v>
      </c>
      <c r="BY15" s="176">
        <f>BY13-SUM($D$14:BY$14)</f>
        <v>3457.4345180130331</v>
      </c>
      <c r="BZ15" s="176">
        <f>BZ13-SUM($D$14:BZ$14)</f>
        <v>-2203.9355751902331</v>
      </c>
      <c r="CA15" s="176">
        <f>CA13-SUM($D$14:CA$14)</f>
        <v>-7865.3056683934992</v>
      </c>
      <c r="CB15" s="176">
        <f>CB13-SUM($D$14:CB$14)</f>
        <v>-13526.675761596765</v>
      </c>
      <c r="CC15" s="176">
        <f>CC13-SUM($D$14:CC$14)</f>
        <v>-19188.045854800032</v>
      </c>
    </row>
    <row r="16" spans="1:81">
      <c r="A16" s="177" t="s">
        <v>235</v>
      </c>
      <c r="B16" s="178"/>
      <c r="C16" s="178"/>
      <c r="D16" s="176">
        <f t="shared" ref="D16:AY16" si="8">D15*$A$8/12</f>
        <v>0</v>
      </c>
      <c r="E16" s="176">
        <f t="shared" si="8"/>
        <v>0</v>
      </c>
      <c r="F16" s="176">
        <f t="shared" si="8"/>
        <v>0</v>
      </c>
      <c r="G16" s="176">
        <f t="shared" si="8"/>
        <v>0</v>
      </c>
      <c r="H16" s="176">
        <f t="shared" si="8"/>
        <v>0</v>
      </c>
      <c r="I16" s="176">
        <f t="shared" si="8"/>
        <v>0</v>
      </c>
      <c r="J16" s="176">
        <f t="shared" si="8"/>
        <v>0</v>
      </c>
      <c r="K16" s="176">
        <f t="shared" si="8"/>
        <v>0</v>
      </c>
      <c r="L16" s="176">
        <f t="shared" si="8"/>
        <v>0</v>
      </c>
      <c r="M16" s="176">
        <f t="shared" si="8"/>
        <v>0</v>
      </c>
      <c r="N16" s="176">
        <f t="shared" si="8"/>
        <v>0</v>
      </c>
      <c r="O16" s="176">
        <f t="shared" si="8"/>
        <v>0</v>
      </c>
      <c r="P16" s="176">
        <f t="shared" si="8"/>
        <v>0</v>
      </c>
      <c r="Q16" s="176">
        <f t="shared" si="8"/>
        <v>0</v>
      </c>
      <c r="R16" s="176">
        <f t="shared" si="8"/>
        <v>0</v>
      </c>
      <c r="S16" s="176">
        <f t="shared" si="8"/>
        <v>0</v>
      </c>
      <c r="T16" s="176">
        <f t="shared" si="8"/>
        <v>0</v>
      </c>
      <c r="U16" s="176">
        <f t="shared" si="8"/>
        <v>0</v>
      </c>
      <c r="V16" s="176">
        <f t="shared" si="8"/>
        <v>1022.0091316208221</v>
      </c>
      <c r="W16" s="176">
        <f t="shared" si="8"/>
        <v>1002.3515965749775</v>
      </c>
      <c r="X16" s="176">
        <f t="shared" si="8"/>
        <v>982.69406152913268</v>
      </c>
      <c r="Y16" s="176">
        <f t="shared" si="8"/>
        <v>963.03652648328807</v>
      </c>
      <c r="Z16" s="176">
        <f t="shared" si="8"/>
        <v>943.37899143744346</v>
      </c>
      <c r="AA16" s="176">
        <f t="shared" si="8"/>
        <v>923.72145639159874</v>
      </c>
      <c r="AB16" s="176">
        <f t="shared" si="8"/>
        <v>904.06392134575424</v>
      </c>
      <c r="AC16" s="176">
        <f t="shared" si="8"/>
        <v>884.40638629990951</v>
      </c>
      <c r="AD16" s="176">
        <f t="shared" si="8"/>
        <v>864.74885125406479</v>
      </c>
      <c r="AE16" s="176">
        <f t="shared" si="8"/>
        <v>877.79560842008641</v>
      </c>
      <c r="AF16" s="176">
        <f t="shared" si="8"/>
        <v>857.50903225277477</v>
      </c>
      <c r="AG16" s="176">
        <f t="shared" si="8"/>
        <v>837.22245608546302</v>
      </c>
      <c r="AH16" s="176">
        <f t="shared" si="8"/>
        <v>816.93587991815139</v>
      </c>
      <c r="AI16" s="176">
        <f t="shared" si="8"/>
        <v>796.64930375083975</v>
      </c>
      <c r="AJ16" s="176">
        <f t="shared" si="8"/>
        <v>776.362727583528</v>
      </c>
      <c r="AK16" s="176">
        <f t="shared" si="8"/>
        <v>756.07615141621636</v>
      </c>
      <c r="AL16" s="176">
        <f t="shared" si="8"/>
        <v>735.78957524890473</v>
      </c>
      <c r="AM16" s="176">
        <f t="shared" si="8"/>
        <v>715.50299908159298</v>
      </c>
      <c r="AN16" s="176">
        <f t="shared" si="8"/>
        <v>695.21642291428134</v>
      </c>
      <c r="AO16" s="176">
        <f t="shared" si="8"/>
        <v>773.04272338256851</v>
      </c>
      <c r="AP16" s="176">
        <f t="shared" si="8"/>
        <v>750.86902385085568</v>
      </c>
      <c r="AQ16" s="176">
        <f t="shared" si="8"/>
        <v>728.69532431914297</v>
      </c>
      <c r="AR16" s="176">
        <f t="shared" si="8"/>
        <v>706.52162478743014</v>
      </c>
      <c r="AS16" s="176">
        <f t="shared" si="8"/>
        <v>684.34792525571731</v>
      </c>
      <c r="AT16" s="176">
        <f t="shared" si="8"/>
        <v>662.17422572400449</v>
      </c>
      <c r="AU16" s="176">
        <f t="shared" si="8"/>
        <v>640.00052619229177</v>
      </c>
      <c r="AV16" s="176">
        <f t="shared" si="8"/>
        <v>617.82682666057894</v>
      </c>
      <c r="AW16" s="176">
        <f t="shared" si="8"/>
        <v>595.65312712886623</v>
      </c>
      <c r="AX16" s="176">
        <f t="shared" si="8"/>
        <v>573.4794275971534</v>
      </c>
      <c r="AY16" s="176">
        <f t="shared" si="8"/>
        <v>551.30572806544058</v>
      </c>
      <c r="AZ16" s="176">
        <f t="shared" ref="AZ16:BK16" si="9">AZ15*$A$8/12</f>
        <v>529.13202853372775</v>
      </c>
      <c r="BA16" s="176">
        <f t="shared" si="9"/>
        <v>580.54298647871417</v>
      </c>
      <c r="BB16" s="176">
        <f t="shared" si="9"/>
        <v>556.95394442370059</v>
      </c>
      <c r="BC16" s="176">
        <f t="shared" si="9"/>
        <v>533.36490236868701</v>
      </c>
      <c r="BD16" s="176">
        <f t="shared" si="9"/>
        <v>509.77586031367332</v>
      </c>
      <c r="BE16" s="176">
        <f t="shared" si="9"/>
        <v>486.18681825865974</v>
      </c>
      <c r="BF16" s="176">
        <f t="shared" si="9"/>
        <v>462.59777620364611</v>
      </c>
      <c r="BG16" s="176">
        <f t="shared" si="9"/>
        <v>439.00873414863253</v>
      </c>
      <c r="BH16" s="176">
        <f t="shared" si="9"/>
        <v>415.41969209361895</v>
      </c>
      <c r="BI16" s="176">
        <f t="shared" si="9"/>
        <v>391.83065003860526</v>
      </c>
      <c r="BJ16" s="176">
        <f t="shared" si="9"/>
        <v>368.24160798359168</v>
      </c>
      <c r="BK16" s="176">
        <f t="shared" si="9"/>
        <v>344.65256592857804</v>
      </c>
      <c r="BL16" s="176">
        <f t="shared" ref="BL16:BQ16" si="10">BL15*$A$8/12</f>
        <v>321.06352387356446</v>
      </c>
      <c r="BM16" s="176">
        <f t="shared" si="10"/>
        <v>297.47448181855083</v>
      </c>
      <c r="BN16" s="176">
        <f t="shared" si="10"/>
        <v>273.88543976353725</v>
      </c>
      <c r="BO16" s="176">
        <f t="shared" si="10"/>
        <v>250.29639770852361</v>
      </c>
      <c r="BP16" s="176">
        <f t="shared" si="10"/>
        <v>226.70735565351001</v>
      </c>
      <c r="BQ16" s="176">
        <f t="shared" si="10"/>
        <v>203.11831359849637</v>
      </c>
      <c r="BR16" s="176">
        <f t="shared" ref="BR16:CC16" si="11">BR15*$A$8/12</f>
        <v>179.52927154348279</v>
      </c>
      <c r="BS16" s="176">
        <f t="shared" si="11"/>
        <v>155.9402294884693</v>
      </c>
      <c r="BT16" s="176">
        <f t="shared" si="11"/>
        <v>132.35118743345569</v>
      </c>
      <c r="BU16" s="176">
        <f t="shared" si="11"/>
        <v>108.76214537844209</v>
      </c>
      <c r="BV16" s="176">
        <f t="shared" si="11"/>
        <v>85.173103323428464</v>
      </c>
      <c r="BW16" s="176">
        <f t="shared" si="11"/>
        <v>61.584061268414864</v>
      </c>
      <c r="BX16" s="176">
        <f t="shared" si="11"/>
        <v>37.99501921340125</v>
      </c>
      <c r="BY16" s="176">
        <f t="shared" si="11"/>
        <v>14.405977158387637</v>
      </c>
      <c r="BZ16" s="176">
        <f t="shared" si="11"/>
        <v>-9.1830648966259716</v>
      </c>
      <c r="CA16" s="176">
        <f t="shared" si="11"/>
        <v>-32.772106951639579</v>
      </c>
      <c r="CB16" s="176">
        <f t="shared" si="11"/>
        <v>-56.361149006653193</v>
      </c>
      <c r="CC16" s="176">
        <f t="shared" si="11"/>
        <v>-79.9501910616668</v>
      </c>
    </row>
    <row r="17" spans="1:81">
      <c r="A17" s="177" t="s">
        <v>236</v>
      </c>
      <c r="B17" s="178"/>
      <c r="C17" s="178"/>
      <c r="D17" s="176">
        <f t="shared" ref="D17:AY17" si="12">D15*$A$9/12</f>
        <v>0</v>
      </c>
      <c r="E17" s="176">
        <f t="shared" si="12"/>
        <v>0</v>
      </c>
      <c r="F17" s="176">
        <f t="shared" si="12"/>
        <v>0</v>
      </c>
      <c r="G17" s="176">
        <f t="shared" si="12"/>
        <v>0</v>
      </c>
      <c r="H17" s="176">
        <f t="shared" si="12"/>
        <v>0</v>
      </c>
      <c r="I17" s="176">
        <f t="shared" si="12"/>
        <v>0</v>
      </c>
      <c r="J17" s="176">
        <f t="shared" si="12"/>
        <v>0</v>
      </c>
      <c r="K17" s="176">
        <f t="shared" si="12"/>
        <v>0</v>
      </c>
      <c r="L17" s="176">
        <f t="shared" si="12"/>
        <v>0</v>
      </c>
      <c r="M17" s="176">
        <f t="shared" si="12"/>
        <v>0</v>
      </c>
      <c r="N17" s="176">
        <f t="shared" si="12"/>
        <v>0</v>
      </c>
      <c r="O17" s="176">
        <f t="shared" si="12"/>
        <v>0</v>
      </c>
      <c r="P17" s="176">
        <f t="shared" si="12"/>
        <v>0</v>
      </c>
      <c r="Q17" s="176">
        <f t="shared" si="12"/>
        <v>0</v>
      </c>
      <c r="R17" s="176">
        <f t="shared" si="12"/>
        <v>0</v>
      </c>
      <c r="S17" s="176">
        <f t="shared" si="12"/>
        <v>0</v>
      </c>
      <c r="T17" s="176">
        <f t="shared" si="12"/>
        <v>0</v>
      </c>
      <c r="U17" s="176">
        <f t="shared" si="12"/>
        <v>0</v>
      </c>
      <c r="V17" s="176">
        <f t="shared" si="12"/>
        <v>61.320547897249327</v>
      </c>
      <c r="W17" s="176">
        <f t="shared" si="12"/>
        <v>60.141095794498646</v>
      </c>
      <c r="X17" s="176">
        <f t="shared" si="12"/>
        <v>58.961643691747959</v>
      </c>
      <c r="Y17" s="176">
        <f t="shared" si="12"/>
        <v>57.782191588997279</v>
      </c>
      <c r="Z17" s="176">
        <f t="shared" si="12"/>
        <v>56.602739486246605</v>
      </c>
      <c r="AA17" s="176">
        <f t="shared" si="12"/>
        <v>55.423287383495925</v>
      </c>
      <c r="AB17" s="176">
        <f t="shared" si="12"/>
        <v>54.243835280745252</v>
      </c>
      <c r="AC17" s="176">
        <f t="shared" si="12"/>
        <v>53.064383177994564</v>
      </c>
      <c r="AD17" s="176">
        <f t="shared" si="12"/>
        <v>51.884931075243884</v>
      </c>
      <c r="AE17" s="176">
        <f t="shared" si="12"/>
        <v>52.667736505205177</v>
      </c>
      <c r="AF17" s="176">
        <f t="shared" si="12"/>
        <v>51.450541935166484</v>
      </c>
      <c r="AG17" s="176">
        <f t="shared" si="12"/>
        <v>50.233347365127777</v>
      </c>
      <c r="AH17" s="176">
        <f t="shared" si="12"/>
        <v>49.016152795089084</v>
      </c>
      <c r="AI17" s="176">
        <f t="shared" si="12"/>
        <v>47.798958225050377</v>
      </c>
      <c r="AJ17" s="176">
        <f t="shared" si="12"/>
        <v>46.581763655011684</v>
      </c>
      <c r="AK17" s="176">
        <f t="shared" si="12"/>
        <v>45.364569084972977</v>
      </c>
      <c r="AL17" s="176">
        <f t="shared" si="12"/>
        <v>44.147374514934285</v>
      </c>
      <c r="AM17" s="176">
        <f t="shared" si="12"/>
        <v>42.930179944895578</v>
      </c>
      <c r="AN17" s="176">
        <f t="shared" si="12"/>
        <v>41.712985374856878</v>
      </c>
      <c r="AO17" s="176">
        <f t="shared" si="12"/>
        <v>46.382563402954112</v>
      </c>
      <c r="AP17" s="176">
        <f t="shared" si="12"/>
        <v>45.052141431051346</v>
      </c>
      <c r="AQ17" s="176">
        <f t="shared" si="12"/>
        <v>43.721719459148574</v>
      </c>
      <c r="AR17" s="176">
        <f t="shared" si="12"/>
        <v>42.391297487245808</v>
      </c>
      <c r="AS17" s="176">
        <f t="shared" si="12"/>
        <v>41.060875515343042</v>
      </c>
      <c r="AT17" s="176">
        <f t="shared" si="12"/>
        <v>39.730453543440269</v>
      </c>
      <c r="AU17" s="176">
        <f t="shared" si="12"/>
        <v>38.400031571537504</v>
      </c>
      <c r="AV17" s="176">
        <f t="shared" si="12"/>
        <v>37.069609599634738</v>
      </c>
      <c r="AW17" s="176">
        <f t="shared" si="12"/>
        <v>35.739187627731972</v>
      </c>
      <c r="AX17" s="176">
        <f t="shared" si="12"/>
        <v>34.4087656558292</v>
      </c>
      <c r="AY17" s="176">
        <f t="shared" si="12"/>
        <v>33.078343683926434</v>
      </c>
      <c r="AZ17" s="176">
        <f t="shared" ref="AZ17:BI17" si="13">AZ15*$A$9/12</f>
        <v>31.747921712023665</v>
      </c>
      <c r="BA17" s="176">
        <f t="shared" si="13"/>
        <v>34.832579188722853</v>
      </c>
      <c r="BB17" s="176">
        <f t="shared" si="13"/>
        <v>33.417236665422031</v>
      </c>
      <c r="BC17" s="176">
        <f t="shared" si="13"/>
        <v>32.001894142121216</v>
      </c>
      <c r="BD17" s="176">
        <f t="shared" si="13"/>
        <v>30.586551618820398</v>
      </c>
      <c r="BE17" s="176">
        <f t="shared" si="13"/>
        <v>29.171209095519583</v>
      </c>
      <c r="BF17" s="176">
        <f t="shared" si="13"/>
        <v>27.755866572218764</v>
      </c>
      <c r="BG17" s="176">
        <f t="shared" si="13"/>
        <v>26.340524048917953</v>
      </c>
      <c r="BH17" s="176">
        <f t="shared" si="13"/>
        <v>24.925181525617134</v>
      </c>
      <c r="BI17" s="176">
        <f t="shared" si="13"/>
        <v>23.509839002316316</v>
      </c>
      <c r="BJ17" s="176">
        <f>BJ15*$A$9/12</f>
        <v>22.094496479015501</v>
      </c>
      <c r="BK17" s="176">
        <f>BK15*$A$9/12</f>
        <v>20.679153955714682</v>
      </c>
      <c r="BL17" s="176">
        <f t="shared" ref="BL17:BQ17" si="14">BL15*$A$9/12</f>
        <v>19.263811432413867</v>
      </c>
      <c r="BM17" s="176">
        <f t="shared" si="14"/>
        <v>17.848468909113048</v>
      </c>
      <c r="BN17" s="176">
        <f t="shared" si="14"/>
        <v>16.433126385812233</v>
      </c>
      <c r="BO17" s="176">
        <f t="shared" si="14"/>
        <v>15.017783862511417</v>
      </c>
      <c r="BP17" s="176">
        <f t="shared" si="14"/>
        <v>13.6024413392106</v>
      </c>
      <c r="BQ17" s="176">
        <f t="shared" si="14"/>
        <v>12.187098815909783</v>
      </c>
      <c r="BR17" s="176">
        <f t="shared" ref="BR17:CC17" si="15">BR15*$A$9/12</f>
        <v>10.771756292608968</v>
      </c>
      <c r="BS17" s="176">
        <f t="shared" si="15"/>
        <v>9.3564137693081566</v>
      </c>
      <c r="BT17" s="176">
        <f t="shared" si="15"/>
        <v>7.9410712460073407</v>
      </c>
      <c r="BU17" s="176">
        <f t="shared" si="15"/>
        <v>6.5257287227065248</v>
      </c>
      <c r="BV17" s="176">
        <f t="shared" si="15"/>
        <v>5.110386199405708</v>
      </c>
      <c r="BW17" s="176">
        <f t="shared" si="15"/>
        <v>3.6950436761048913</v>
      </c>
      <c r="BX17" s="176">
        <f t="shared" si="15"/>
        <v>2.2797011528040749</v>
      </c>
      <c r="BY17" s="176">
        <f t="shared" si="15"/>
        <v>0.86435862950325826</v>
      </c>
      <c r="BZ17" s="176">
        <f t="shared" si="15"/>
        <v>-0.5509838937975583</v>
      </c>
      <c r="CA17" s="176">
        <f t="shared" si="15"/>
        <v>-1.966326417098375</v>
      </c>
      <c r="CB17" s="176">
        <f t="shared" si="15"/>
        <v>-3.3816689403991913</v>
      </c>
      <c r="CC17" s="176">
        <f t="shared" si="15"/>
        <v>-4.7970114637000085</v>
      </c>
    </row>
    <row r="18" spans="1:81">
      <c r="A18" s="177" t="s">
        <v>241</v>
      </c>
      <c r="B18" s="178"/>
      <c r="C18" s="178"/>
      <c r="D18" s="176">
        <f>D17+D16+D14</f>
        <v>0</v>
      </c>
      <c r="E18" s="176">
        <f t="shared" ref="E18:AY18" si="16">E17+E16+E14</f>
        <v>0</v>
      </c>
      <c r="F18" s="176">
        <f t="shared" si="16"/>
        <v>0</v>
      </c>
      <c r="G18" s="176">
        <f t="shared" si="16"/>
        <v>0</v>
      </c>
      <c r="H18" s="176">
        <f t="shared" si="16"/>
        <v>0</v>
      </c>
      <c r="I18" s="176">
        <f t="shared" si="16"/>
        <v>0</v>
      </c>
      <c r="J18" s="176">
        <f t="shared" si="16"/>
        <v>0</v>
      </c>
      <c r="K18" s="176">
        <f t="shared" si="16"/>
        <v>0</v>
      </c>
      <c r="L18" s="176">
        <f t="shared" si="16"/>
        <v>0</v>
      </c>
      <c r="M18" s="176">
        <f t="shared" si="16"/>
        <v>0</v>
      </c>
      <c r="N18" s="176">
        <f t="shared" si="16"/>
        <v>0</v>
      </c>
      <c r="O18" s="176">
        <f t="shared" si="16"/>
        <v>0</v>
      </c>
      <c r="P18" s="176">
        <f t="shared" si="16"/>
        <v>0</v>
      </c>
      <c r="Q18" s="176">
        <f t="shared" si="16"/>
        <v>0</v>
      </c>
      <c r="R18" s="176">
        <f t="shared" si="16"/>
        <v>0</v>
      </c>
      <c r="S18" s="176">
        <f t="shared" si="16"/>
        <v>0</v>
      </c>
      <c r="T18" s="176">
        <f t="shared" si="16"/>
        <v>0</v>
      </c>
      <c r="U18" s="176">
        <f t="shared" si="16"/>
        <v>0</v>
      </c>
      <c r="V18" s="176">
        <f t="shared" si="16"/>
        <v>5801.1380905207898</v>
      </c>
      <c r="W18" s="176">
        <f t="shared" si="16"/>
        <v>5780.3011033721941</v>
      </c>
      <c r="X18" s="176">
        <f t="shared" si="16"/>
        <v>5759.4641162235994</v>
      </c>
      <c r="Y18" s="176">
        <f t="shared" si="16"/>
        <v>5738.6271290750037</v>
      </c>
      <c r="Z18" s="176">
        <f t="shared" si="16"/>
        <v>5717.790141926409</v>
      </c>
      <c r="AA18" s="176">
        <f t="shared" si="16"/>
        <v>5696.9531547778133</v>
      </c>
      <c r="AB18" s="176">
        <f t="shared" si="16"/>
        <v>5676.1161676292177</v>
      </c>
      <c r="AC18" s="176">
        <f t="shared" si="16"/>
        <v>5655.2791804806229</v>
      </c>
      <c r="AD18" s="176">
        <f t="shared" si="16"/>
        <v>5634.4421933320273</v>
      </c>
      <c r="AE18" s="176">
        <f t="shared" si="16"/>
        <v>5799.241625080097</v>
      </c>
      <c r="AF18" s="176">
        <f t="shared" si="16"/>
        <v>5777.7378543427467</v>
      </c>
      <c r="AG18" s="176">
        <f t="shared" si="16"/>
        <v>5756.2340836053963</v>
      </c>
      <c r="AH18" s="176">
        <f t="shared" si="16"/>
        <v>5734.730312868046</v>
      </c>
      <c r="AI18" s="176">
        <f t="shared" si="16"/>
        <v>5713.2265421306956</v>
      </c>
      <c r="AJ18" s="176">
        <f t="shared" si="16"/>
        <v>5691.7227713933453</v>
      </c>
      <c r="AK18" s="176">
        <f t="shared" si="16"/>
        <v>5670.2190006559949</v>
      </c>
      <c r="AL18" s="176">
        <f t="shared" si="16"/>
        <v>5648.7152299186446</v>
      </c>
      <c r="AM18" s="176">
        <f t="shared" si="16"/>
        <v>5627.2114591812942</v>
      </c>
      <c r="AN18" s="176">
        <f t="shared" si="16"/>
        <v>5605.7076884439439</v>
      </c>
      <c r="AO18" s="176">
        <f t="shared" si="16"/>
        <v>6141.1131743965898</v>
      </c>
      <c r="AP18" s="176">
        <f t="shared" si="16"/>
        <v>6117.6090528929735</v>
      </c>
      <c r="AQ18" s="176">
        <f t="shared" si="16"/>
        <v>6094.1049313893582</v>
      </c>
      <c r="AR18" s="176">
        <f t="shared" si="16"/>
        <v>6070.6008098857428</v>
      </c>
      <c r="AS18" s="176">
        <f t="shared" si="16"/>
        <v>6047.0966883821275</v>
      </c>
      <c r="AT18" s="176">
        <f t="shared" si="16"/>
        <v>6023.5925668785112</v>
      </c>
      <c r="AU18" s="176">
        <f t="shared" si="16"/>
        <v>6000.0884453748959</v>
      </c>
      <c r="AV18" s="176">
        <f t="shared" si="16"/>
        <v>5976.5843238712805</v>
      </c>
      <c r="AW18" s="176">
        <f t="shared" si="16"/>
        <v>5953.0802023676652</v>
      </c>
      <c r="AX18" s="176">
        <f t="shared" si="16"/>
        <v>5929.5760808640498</v>
      </c>
      <c r="AY18" s="176">
        <f t="shared" si="16"/>
        <v>5906.0719593604335</v>
      </c>
      <c r="AZ18" s="176">
        <f t="shared" ref="AZ18:BK18" si="17">AZ17+AZ16+AZ14</f>
        <v>5882.5678378568182</v>
      </c>
      <c r="BA18" s="176">
        <f t="shared" si="17"/>
        <v>6276.7456588706991</v>
      </c>
      <c r="BB18" s="176">
        <f t="shared" si="17"/>
        <v>6251.7412742923843</v>
      </c>
      <c r="BC18" s="176">
        <f t="shared" si="17"/>
        <v>6226.7368897140695</v>
      </c>
      <c r="BD18" s="176">
        <f t="shared" si="17"/>
        <v>6201.7325051357557</v>
      </c>
      <c r="BE18" s="176">
        <f t="shared" si="17"/>
        <v>6176.7281205574409</v>
      </c>
      <c r="BF18" s="176">
        <f t="shared" si="17"/>
        <v>6151.7237359791261</v>
      </c>
      <c r="BG18" s="176">
        <f t="shared" si="17"/>
        <v>6126.7193514008122</v>
      </c>
      <c r="BH18" s="176">
        <f t="shared" si="17"/>
        <v>6101.7149668224974</v>
      </c>
      <c r="BI18" s="176">
        <f t="shared" si="17"/>
        <v>6076.7105822441836</v>
      </c>
      <c r="BJ18" s="176">
        <f t="shared" si="17"/>
        <v>6051.7061976658688</v>
      </c>
      <c r="BK18" s="176">
        <f t="shared" si="17"/>
        <v>6026.701813087554</v>
      </c>
      <c r="BL18" s="176">
        <f t="shared" ref="BL18:BQ18" si="18">BL17+BL16+BL14</f>
        <v>6001.6974285092401</v>
      </c>
      <c r="BM18" s="176">
        <f t="shared" si="18"/>
        <v>5976.6930439309253</v>
      </c>
      <c r="BN18" s="176">
        <f t="shared" si="18"/>
        <v>5951.6886593526115</v>
      </c>
      <c r="BO18" s="176">
        <f t="shared" si="18"/>
        <v>5926.6842747742967</v>
      </c>
      <c r="BP18" s="176">
        <f t="shared" si="18"/>
        <v>5901.6798901959819</v>
      </c>
      <c r="BQ18" s="176">
        <f t="shared" si="18"/>
        <v>5876.675505617668</v>
      </c>
      <c r="BR18" s="176">
        <f t="shared" ref="BR18:CC18" si="19">BR17+BR16+BR14</f>
        <v>5851.6711210393532</v>
      </c>
      <c r="BS18" s="176">
        <f t="shared" si="19"/>
        <v>5826.6667364610394</v>
      </c>
      <c r="BT18" s="176">
        <f t="shared" si="19"/>
        <v>5801.6623518827246</v>
      </c>
      <c r="BU18" s="176">
        <f t="shared" si="19"/>
        <v>5776.6579673044098</v>
      </c>
      <c r="BV18" s="176">
        <f t="shared" si="19"/>
        <v>5751.6535827260959</v>
      </c>
      <c r="BW18" s="176">
        <f t="shared" si="19"/>
        <v>5726.6491981477811</v>
      </c>
      <c r="BX18" s="176">
        <f t="shared" si="19"/>
        <v>5701.6448135694673</v>
      </c>
      <c r="BY18" s="176">
        <f t="shared" si="19"/>
        <v>5676.6404289911525</v>
      </c>
      <c r="BZ18" s="176">
        <f t="shared" si="19"/>
        <v>5651.6360444128377</v>
      </c>
      <c r="CA18" s="176">
        <f t="shared" si="19"/>
        <v>5626.6316598345238</v>
      </c>
      <c r="CB18" s="176">
        <f t="shared" si="19"/>
        <v>5601.627275256209</v>
      </c>
      <c r="CC18" s="176">
        <f t="shared" si="19"/>
        <v>5576.6228906778952</v>
      </c>
    </row>
    <row r="20" spans="1:81">
      <c r="A20" s="179">
        <v>0.04</v>
      </c>
      <c r="B20" s="168" t="s">
        <v>314</v>
      </c>
    </row>
    <row r="21" spans="1:81">
      <c r="A21" s="177" t="s">
        <v>315</v>
      </c>
      <c r="B21" s="178"/>
      <c r="C21" s="178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15"/>
      <c r="BS21" s="215"/>
      <c r="BT21" s="215"/>
      <c r="BU21" s="215"/>
      <c r="BV21" s="215"/>
      <c r="BW21" s="215"/>
      <c r="BX21" s="215"/>
      <c r="BY21" s="215"/>
      <c r="BZ21" s="215"/>
      <c r="CA21" s="215"/>
      <c r="CB21" s="215"/>
      <c r="CC21" s="215"/>
    </row>
    <row r="22" spans="1:81">
      <c r="A22" s="177" t="s">
        <v>316</v>
      </c>
      <c r="B22" s="178"/>
      <c r="C22" s="178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6"/>
      <c r="BH22" s="176"/>
      <c r="BI22" s="176"/>
      <c r="BJ22" s="176"/>
      <c r="BK22" s="176"/>
      <c r="BL22" s="176"/>
      <c r="BM22" s="176"/>
      <c r="BN22" s="176"/>
      <c r="BO22" s="176"/>
      <c r="BP22" s="176"/>
      <c r="BQ22" s="176"/>
      <c r="BR22" s="176"/>
      <c r="BS22" s="176"/>
      <c r="BT22" s="176"/>
      <c r="BU22" s="176"/>
      <c r="BV22" s="176"/>
      <c r="BW22" s="176"/>
      <c r="BX22" s="176"/>
      <c r="BY22" s="176"/>
      <c r="BZ22" s="176"/>
      <c r="CA22" s="176"/>
      <c r="CB22" s="176"/>
      <c r="CC22" s="176"/>
    </row>
    <row r="23" spans="1:81">
      <c r="A23" s="200" t="s">
        <v>317</v>
      </c>
      <c r="D23" s="214">
        <f>SUM($D21:D21)*$A$20/12</f>
        <v>0</v>
      </c>
      <c r="E23" s="214">
        <f>SUM($D21:E21)*$A$20/12</f>
        <v>0</v>
      </c>
      <c r="F23" s="214">
        <f>SUM($D21:F21)*$A$20/12</f>
        <v>0</v>
      </c>
      <c r="G23" s="214">
        <f>SUM($D21:G21)*$A$20/12</f>
        <v>0</v>
      </c>
      <c r="H23" s="214">
        <f>SUM($D21:H21)*$A$20/12</f>
        <v>0</v>
      </c>
      <c r="I23" s="214">
        <f>SUM($D21:I21)*$A$20/12</f>
        <v>0</v>
      </c>
      <c r="J23" s="214">
        <f>SUM($D21:J21)*$A$20/12</f>
        <v>0</v>
      </c>
      <c r="K23" s="214">
        <f>SUM($D21:K21)*$A$20/12</f>
        <v>0</v>
      </c>
      <c r="L23" s="214">
        <f>SUM($D21:L21)*$A$20/12</f>
        <v>0</v>
      </c>
      <c r="M23" s="214">
        <f>SUM($D21:M21)*$A$20/12</f>
        <v>0</v>
      </c>
      <c r="N23" s="214">
        <f>SUM($D21:N21)*$A$20/12</f>
        <v>0</v>
      </c>
      <c r="O23" s="214">
        <f>SUM($D21:O21)*$A$20/12</f>
        <v>0</v>
      </c>
      <c r="P23" s="214">
        <f>SUM($D21:P21)*$A$20/12</f>
        <v>0</v>
      </c>
      <c r="Q23" s="214">
        <f>SUM($D21:Q21)*$A$20/12</f>
        <v>0</v>
      </c>
      <c r="R23" s="214">
        <f>SUM($D21:R21)*$A$20/12</f>
        <v>0</v>
      </c>
      <c r="S23" s="214">
        <f>SUM($D21:S21)*$A$20/12</f>
        <v>0</v>
      </c>
      <c r="T23" s="214">
        <f>SUM($D21:T21)*$A$20/12</f>
        <v>0</v>
      </c>
      <c r="U23" s="214">
        <f>SUM($D21:U21)*$A$20/12</f>
        <v>0</v>
      </c>
      <c r="V23" s="214">
        <f>SUM($D21:V21)*$A$20/12</f>
        <v>0</v>
      </c>
      <c r="W23" s="214">
        <f>SUM($D21:W21)*$A$20/12</f>
        <v>0</v>
      </c>
      <c r="X23" s="214">
        <f>SUM($D21:X21)*$A$20/12</f>
        <v>0</v>
      </c>
      <c r="Y23" s="214">
        <f>SUM($D21:Y21)*$A$20/12</f>
        <v>0</v>
      </c>
      <c r="Z23" s="214">
        <f>SUM($D21:Z21)*$A$20/12</f>
        <v>0</v>
      </c>
      <c r="AA23" s="214">
        <f>SUM($D21:AA21)*$A$20/12</f>
        <v>0</v>
      </c>
      <c r="AB23" s="214">
        <f>SUM($D21:AB21)*$A$20/12</f>
        <v>0</v>
      </c>
      <c r="AC23" s="214">
        <f>SUM($D21:AC21)*$A$20/12</f>
        <v>0</v>
      </c>
      <c r="AD23" s="214">
        <f>SUM($D21:AD21)*$A$20/12</f>
        <v>0</v>
      </c>
      <c r="AE23" s="214">
        <f>SUM($D21:AE21)*$A$20/12</f>
        <v>0</v>
      </c>
      <c r="AF23" s="214">
        <f>SUM($D21:AF21)*$A$20/12</f>
        <v>0</v>
      </c>
      <c r="AG23" s="214">
        <f>SUM($D21:AG21)*$A$20/12</f>
        <v>0</v>
      </c>
      <c r="AH23" s="214">
        <f>SUM($D21:AH21)*$A$20/12</f>
        <v>0</v>
      </c>
      <c r="AI23" s="214">
        <f>SUM($D21:AI21)*$A$20/12</f>
        <v>0</v>
      </c>
      <c r="AJ23" s="214">
        <f>SUM($D21:AJ21)*$A$20/12</f>
        <v>0</v>
      </c>
      <c r="AK23" s="214">
        <f>SUM($D21:AK21)*$A$20/12</f>
        <v>0</v>
      </c>
      <c r="AL23" s="214">
        <f>SUM($D21:AL21)*$A$20/12</f>
        <v>0</v>
      </c>
      <c r="AM23" s="214">
        <f>SUM($D21:AM21)*$A$20/12</f>
        <v>0</v>
      </c>
      <c r="AN23" s="214">
        <f>SUM($D21:AN21)*$A$20/12</f>
        <v>0</v>
      </c>
      <c r="AO23" s="214">
        <f>SUM($D21:AO21)*$A$20/12</f>
        <v>0</v>
      </c>
      <c r="AP23" s="214">
        <f>SUM($D21:AP21)*$A$20/12</f>
        <v>0</v>
      </c>
      <c r="AQ23" s="214">
        <f>SUM($D21:AQ21)*$A$20/12</f>
        <v>0</v>
      </c>
      <c r="AR23" s="214">
        <f>SUM($D21:AR21)*$A$20/12</f>
        <v>0</v>
      </c>
      <c r="AS23" s="214">
        <f>SUM($D21:AS21)*$A$20/12</f>
        <v>0</v>
      </c>
      <c r="AT23" s="214">
        <f>SUM($D21:AT21)*$A$20/12</f>
        <v>0</v>
      </c>
      <c r="AU23" s="214">
        <f>SUM($D21:AU21)*$A$20/12</f>
        <v>0</v>
      </c>
      <c r="AV23" s="214">
        <f>SUM($D21:AV21)*$A$20/12</f>
        <v>0</v>
      </c>
      <c r="AW23" s="214">
        <f>SUM($D21:AW21)*$A$20/12</f>
        <v>0</v>
      </c>
      <c r="AX23" s="214">
        <f>SUM($D21:AX21)*$A$20/12</f>
        <v>0</v>
      </c>
      <c r="AY23" s="214">
        <f>SUM($D21:AY21)*$A$20/12</f>
        <v>0</v>
      </c>
      <c r="AZ23" s="214">
        <f>SUM($D21:AZ21)*$A$20/12</f>
        <v>0</v>
      </c>
      <c r="BA23" s="214">
        <f>SUM($D21:BA21)*$A$20/12</f>
        <v>0</v>
      </c>
      <c r="BB23" s="214">
        <f>SUM($D21:BB21)*$A$20/12</f>
        <v>0</v>
      </c>
      <c r="BC23" s="214">
        <f>SUM($D21:BC21)*$A$20/12</f>
        <v>0</v>
      </c>
      <c r="BD23" s="214">
        <f>SUM($D21:BD21)*$A$20/12</f>
        <v>0</v>
      </c>
      <c r="BE23" s="214">
        <f>SUM($D21:BE21)*$A$20/12</f>
        <v>0</v>
      </c>
      <c r="BF23" s="214">
        <f>SUM($D21:BF21)*$A$20/12</f>
        <v>0</v>
      </c>
      <c r="BG23" s="214">
        <f>SUM($D21:BG21)*$A$20/12</f>
        <v>0</v>
      </c>
      <c r="BH23" s="214">
        <f>SUM($D21:BH21)*$A$20/12</f>
        <v>0</v>
      </c>
      <c r="BI23" s="214">
        <f>SUM($D21:BI21)*$A$20/12</f>
        <v>0</v>
      </c>
      <c r="BJ23" s="214">
        <f>SUM($D21:BJ21)*$A$20/12</f>
        <v>0</v>
      </c>
      <c r="BK23" s="214">
        <f>SUM($D21:BK21)*$A$20/12</f>
        <v>0</v>
      </c>
      <c r="BL23" s="214">
        <f>SUM($D21:BL21)*$A$20/12</f>
        <v>0</v>
      </c>
      <c r="BM23" s="214">
        <f>SUM($D21:BM21)*$A$20/12</f>
        <v>0</v>
      </c>
      <c r="BN23" s="214">
        <f>SUM($D21:BN21)*$A$20/12</f>
        <v>0</v>
      </c>
      <c r="BO23" s="214">
        <f>SUM($D21:BO21)*$A$20/12</f>
        <v>0</v>
      </c>
      <c r="BP23" s="214">
        <f>SUM($D21:BP21)*$A$20/12</f>
        <v>0</v>
      </c>
      <c r="BQ23" s="214">
        <f>SUM($D21:BQ21)*$A$20/12</f>
        <v>0</v>
      </c>
      <c r="BR23" s="214">
        <f>SUM($D21:BR21)*$A$20/12</f>
        <v>0</v>
      </c>
      <c r="BS23" s="214">
        <f>SUM($D21:BS21)*$A$20/12</f>
        <v>0</v>
      </c>
      <c r="BT23" s="214">
        <f>SUM($D21:BT21)*$A$20/12</f>
        <v>0</v>
      </c>
      <c r="BU23" s="214">
        <f>SUM($D21:BU21)*$A$20/12</f>
        <v>0</v>
      </c>
      <c r="BV23" s="214">
        <f>SUM($D21:BV21)*$A$20/12</f>
        <v>0</v>
      </c>
      <c r="BW23" s="214">
        <f>SUM($D21:BW21)*$A$20/12</f>
        <v>0</v>
      </c>
      <c r="BX23" s="214">
        <f>SUM($D21:BX21)*$A$20/12</f>
        <v>0</v>
      </c>
      <c r="BY23" s="214">
        <f>SUM($D21:BY21)*$A$20/12</f>
        <v>0</v>
      </c>
      <c r="BZ23" s="214">
        <f>SUM($D21:BZ21)*$A$20/12</f>
        <v>0</v>
      </c>
      <c r="CA23" s="214">
        <f>SUM($D21:CA21)*$A$20/12</f>
        <v>0</v>
      </c>
      <c r="CB23" s="214">
        <f>SUM($D21:CB21)*$A$20/12</f>
        <v>0</v>
      </c>
      <c r="CC23" s="214">
        <f>SUM($D21:CC21)*$A$20/12</f>
        <v>0</v>
      </c>
    </row>
    <row r="26" spans="1:81">
      <c r="A26" s="169" t="s">
        <v>299</v>
      </c>
    </row>
    <row r="28" spans="1:81">
      <c r="A28" s="177" t="s">
        <v>300</v>
      </c>
      <c r="B28" s="178"/>
      <c r="C28" s="178"/>
      <c r="D28" s="176">
        <f>Bilan!M36</f>
        <v>0</v>
      </c>
      <c r="E28" s="176">
        <f>Bilan!N36</f>
        <v>0</v>
      </c>
      <c r="F28" s="176">
        <f>Bilan!O36</f>
        <v>0</v>
      </c>
      <c r="G28" s="176">
        <f>Bilan!P36</f>
        <v>0</v>
      </c>
      <c r="H28" s="176">
        <f>Bilan!Q36</f>
        <v>0</v>
      </c>
      <c r="I28" s="176">
        <f>Bilan!R36</f>
        <v>0</v>
      </c>
      <c r="J28" s="176">
        <f>Bilan!S36</f>
        <v>0</v>
      </c>
      <c r="K28" s="176">
        <f>Bilan!T36</f>
        <v>0</v>
      </c>
      <c r="L28" s="176">
        <f>Bilan!U36</f>
        <v>0</v>
      </c>
      <c r="M28" s="176">
        <f>Bilan!V36</f>
        <v>0</v>
      </c>
      <c r="N28" s="176">
        <f>Bilan!W36</f>
        <v>0</v>
      </c>
      <c r="O28" s="176">
        <f>Bilan!X36</f>
        <v>0</v>
      </c>
      <c r="P28" s="176">
        <f>Bilan!Y36</f>
        <v>0</v>
      </c>
      <c r="Q28" s="176">
        <f>Bilan!Z36</f>
        <v>350</v>
      </c>
      <c r="R28" s="176">
        <f>Bilan!AA36</f>
        <v>768.59999999999991</v>
      </c>
      <c r="S28" s="176">
        <f>Bilan!AB36</f>
        <v>1187.1999999999998</v>
      </c>
      <c r="T28" s="176">
        <f>Bilan!AC36</f>
        <v>1605.8</v>
      </c>
      <c r="U28" s="176">
        <f>Bilan!AD36</f>
        <v>0</v>
      </c>
      <c r="V28" s="176">
        <f>Bilan!AE36</f>
        <v>0</v>
      </c>
      <c r="W28" s="176">
        <f>Bilan!AF36</f>
        <v>0</v>
      </c>
      <c r="X28" s="176">
        <f>Bilan!AG36</f>
        <v>0</v>
      </c>
      <c r="Y28" s="176">
        <f>Bilan!AH36</f>
        <v>0</v>
      </c>
      <c r="Z28" s="176">
        <f>Bilan!AI36</f>
        <v>0</v>
      </c>
      <c r="AA28" s="176">
        <f>Bilan!AJ36</f>
        <v>0</v>
      </c>
      <c r="AB28" s="176">
        <f>Bilan!AK36</f>
        <v>0</v>
      </c>
      <c r="AC28" s="176">
        <f>Bilan!AL36</f>
        <v>0</v>
      </c>
      <c r="AD28" s="176">
        <f>Bilan!AM36</f>
        <v>0</v>
      </c>
      <c r="AE28" s="176">
        <f>Bilan!AN36</f>
        <v>0</v>
      </c>
      <c r="AF28" s="176">
        <f>Bilan!AO36</f>
        <v>0</v>
      </c>
      <c r="AG28" s="176">
        <f>Bilan!AP36</f>
        <v>0</v>
      </c>
      <c r="AH28" s="176">
        <f>Bilan!AQ36</f>
        <v>0</v>
      </c>
      <c r="AI28" s="176">
        <f>Bilan!AR36</f>
        <v>0</v>
      </c>
      <c r="AJ28" s="176">
        <f>Bilan!AS36</f>
        <v>0</v>
      </c>
      <c r="AK28" s="176">
        <f>Bilan!AT36</f>
        <v>0</v>
      </c>
      <c r="AL28" s="176">
        <f>Bilan!AU36</f>
        <v>0</v>
      </c>
      <c r="AM28" s="176">
        <f>Bilan!AV36</f>
        <v>0</v>
      </c>
      <c r="AN28" s="176">
        <f>Bilan!AW36</f>
        <v>0</v>
      </c>
      <c r="AO28" s="176">
        <f>Bilan!AX36</f>
        <v>0</v>
      </c>
      <c r="AP28" s="176">
        <f>Bilan!AY36</f>
        <v>0</v>
      </c>
      <c r="AQ28" s="176">
        <f>Bilan!AZ36</f>
        <v>0</v>
      </c>
      <c r="AR28" s="176">
        <f>Bilan!BA36</f>
        <v>13839.88349143925</v>
      </c>
      <c r="AS28" s="176">
        <f>Bilan!BB36</f>
        <v>125404.78128269647</v>
      </c>
      <c r="AT28" s="176">
        <f>Bilan!BC36</f>
        <v>196696.33209569994</v>
      </c>
      <c r="AU28" s="176">
        <f>Bilan!BD36</f>
        <v>292050.73526290769</v>
      </c>
      <c r="AV28" s="176">
        <f>Bilan!BE36</f>
        <v>364606.85470923746</v>
      </c>
      <c r="AW28" s="176">
        <f>Bilan!BF36</f>
        <v>385931.22639731527</v>
      </c>
      <c r="AX28" s="176">
        <f>Bilan!BG36</f>
        <v>435459.71289303352</v>
      </c>
      <c r="AY28" s="176">
        <f>Bilan!BH36</f>
        <v>460432.30053151655</v>
      </c>
      <c r="AZ28" s="176">
        <f>Bilan!BI36</f>
        <v>433283.62253818067</v>
      </c>
      <c r="BA28" s="176">
        <f>Bilan!BJ36</f>
        <v>426363.62555689801</v>
      </c>
      <c r="BB28" s="176">
        <f>Bilan!BK36</f>
        <v>404846.96737967845</v>
      </c>
      <c r="BC28" s="176">
        <f>Bilan!BL36</f>
        <v>319195.46863562526</v>
      </c>
      <c r="BD28" s="176">
        <f>Bilan!BM36</f>
        <v>265390.37832600967</v>
      </c>
      <c r="BE28" s="176">
        <f>Bilan!BN36</f>
        <v>238430.38957311079</v>
      </c>
      <c r="BF28" s="176">
        <f>Bilan!BO36</f>
        <v>107713.13700089708</v>
      </c>
      <c r="BG28" s="176">
        <f>Bilan!BP36</f>
        <v>16907.516201276332</v>
      </c>
      <c r="BH28" s="176">
        <f>Bilan!BQ36</f>
        <v>0</v>
      </c>
      <c r="BI28" s="176">
        <f>Bilan!BR36</f>
        <v>0</v>
      </c>
      <c r="BJ28" s="176">
        <f>Bilan!BS36</f>
        <v>0</v>
      </c>
      <c r="BK28" s="176">
        <f>Bilan!BT36</f>
        <v>0</v>
      </c>
      <c r="BL28" s="176">
        <f>Bilan!BU36</f>
        <v>0</v>
      </c>
      <c r="BM28" s="176">
        <f>Bilan!BV36</f>
        <v>0</v>
      </c>
      <c r="BN28" s="176">
        <f>Bilan!BW36</f>
        <v>0</v>
      </c>
      <c r="BO28" s="176">
        <f>Bilan!BX36</f>
        <v>0</v>
      </c>
      <c r="BP28" s="176">
        <f>Bilan!BY36</f>
        <v>0</v>
      </c>
      <c r="BQ28" s="176">
        <f>Bilan!BZ36</f>
        <v>0</v>
      </c>
      <c r="BR28" s="176">
        <f>Bilan!CA36</f>
        <v>0</v>
      </c>
      <c r="BS28" s="176">
        <f>Bilan!CB36</f>
        <v>0</v>
      </c>
      <c r="BT28" s="176">
        <f>Bilan!CC36</f>
        <v>0</v>
      </c>
      <c r="BU28" s="176">
        <f>Bilan!CD36</f>
        <v>0</v>
      </c>
      <c r="BV28" s="176">
        <f>Bilan!CE36</f>
        <v>0</v>
      </c>
      <c r="BW28" s="176">
        <f>Bilan!CF36</f>
        <v>0</v>
      </c>
      <c r="BX28" s="176">
        <f>Bilan!CG36</f>
        <v>0</v>
      </c>
      <c r="BY28" s="176">
        <f>Bilan!CH36</f>
        <v>0</v>
      </c>
      <c r="BZ28" s="176">
        <f>Bilan!CI36</f>
        <v>0</v>
      </c>
      <c r="CA28" s="176">
        <f>Bilan!CJ36</f>
        <v>0</v>
      </c>
      <c r="CB28" s="176">
        <f>Bilan!CK36</f>
        <v>0</v>
      </c>
      <c r="CC28" s="176">
        <f>Bilan!CL36</f>
        <v>0</v>
      </c>
    </row>
    <row r="30" spans="1:81">
      <c r="A30" s="179">
        <v>0.14000000000000001</v>
      </c>
      <c r="B30" s="168" t="s">
        <v>239</v>
      </c>
    </row>
    <row r="32" spans="1:81">
      <c r="A32" s="177" t="s">
        <v>235</v>
      </c>
      <c r="B32" s="178"/>
      <c r="C32" s="178"/>
      <c r="D32" s="176">
        <f>D28*$A$30/12</f>
        <v>0</v>
      </c>
      <c r="E32" s="176">
        <f t="shared" ref="E32:BK32" si="20">E28*$A$30/12</f>
        <v>0</v>
      </c>
      <c r="F32" s="176">
        <f t="shared" si="20"/>
        <v>0</v>
      </c>
      <c r="G32" s="176">
        <f t="shared" si="20"/>
        <v>0</v>
      </c>
      <c r="H32" s="176">
        <f t="shared" si="20"/>
        <v>0</v>
      </c>
      <c r="I32" s="176">
        <f t="shared" si="20"/>
        <v>0</v>
      </c>
      <c r="J32" s="176">
        <f t="shared" si="20"/>
        <v>0</v>
      </c>
      <c r="K32" s="176">
        <f t="shared" si="20"/>
        <v>0</v>
      </c>
      <c r="L32" s="176">
        <f t="shared" si="20"/>
        <v>0</v>
      </c>
      <c r="M32" s="176">
        <f t="shared" si="20"/>
        <v>0</v>
      </c>
      <c r="N32" s="176">
        <f t="shared" si="20"/>
        <v>0</v>
      </c>
      <c r="O32" s="176">
        <f t="shared" si="20"/>
        <v>0</v>
      </c>
      <c r="P32" s="176">
        <f t="shared" si="20"/>
        <v>0</v>
      </c>
      <c r="Q32" s="176">
        <f t="shared" si="20"/>
        <v>4.0833333333333339</v>
      </c>
      <c r="R32" s="176">
        <f t="shared" si="20"/>
        <v>8.9670000000000005</v>
      </c>
      <c r="S32" s="176">
        <f t="shared" si="20"/>
        <v>13.850666666666667</v>
      </c>
      <c r="T32" s="176">
        <f t="shared" si="20"/>
        <v>18.734333333333336</v>
      </c>
      <c r="U32" s="176">
        <f t="shared" si="20"/>
        <v>0</v>
      </c>
      <c r="V32" s="176">
        <f t="shared" si="20"/>
        <v>0</v>
      </c>
      <c r="W32" s="176">
        <f t="shared" si="20"/>
        <v>0</v>
      </c>
      <c r="X32" s="176">
        <f t="shared" si="20"/>
        <v>0</v>
      </c>
      <c r="Y32" s="176">
        <f t="shared" si="20"/>
        <v>0</v>
      </c>
      <c r="Z32" s="176">
        <f t="shared" si="20"/>
        <v>0</v>
      </c>
      <c r="AA32" s="176">
        <f t="shared" si="20"/>
        <v>0</v>
      </c>
      <c r="AB32" s="176">
        <f t="shared" si="20"/>
        <v>0</v>
      </c>
      <c r="AC32" s="176">
        <f t="shared" si="20"/>
        <v>0</v>
      </c>
      <c r="AD32" s="176">
        <f t="shared" si="20"/>
        <v>0</v>
      </c>
      <c r="AE32" s="176">
        <f t="shared" si="20"/>
        <v>0</v>
      </c>
      <c r="AF32" s="176">
        <f t="shared" si="20"/>
        <v>0</v>
      </c>
      <c r="AG32" s="176">
        <f t="shared" si="20"/>
        <v>0</v>
      </c>
      <c r="AH32" s="176">
        <f t="shared" si="20"/>
        <v>0</v>
      </c>
      <c r="AI32" s="176">
        <f t="shared" si="20"/>
        <v>0</v>
      </c>
      <c r="AJ32" s="176">
        <f t="shared" si="20"/>
        <v>0</v>
      </c>
      <c r="AK32" s="176">
        <f t="shared" si="20"/>
        <v>0</v>
      </c>
      <c r="AL32" s="176">
        <f t="shared" si="20"/>
        <v>0</v>
      </c>
      <c r="AM32" s="176">
        <f t="shared" si="20"/>
        <v>0</v>
      </c>
      <c r="AN32" s="176">
        <f t="shared" si="20"/>
        <v>0</v>
      </c>
      <c r="AO32" s="176">
        <f t="shared" si="20"/>
        <v>0</v>
      </c>
      <c r="AP32" s="176">
        <f t="shared" si="20"/>
        <v>0</v>
      </c>
      <c r="AQ32" s="176">
        <f t="shared" si="20"/>
        <v>0</v>
      </c>
      <c r="AR32" s="176">
        <f t="shared" si="20"/>
        <v>161.4653074001246</v>
      </c>
      <c r="AS32" s="176">
        <f t="shared" si="20"/>
        <v>1463.0557816314588</v>
      </c>
      <c r="AT32" s="176">
        <f t="shared" si="20"/>
        <v>2294.7905411164998</v>
      </c>
      <c r="AU32" s="176">
        <f t="shared" si="20"/>
        <v>3407.2585780672566</v>
      </c>
      <c r="AV32" s="176">
        <f t="shared" si="20"/>
        <v>4253.7466382744378</v>
      </c>
      <c r="AW32" s="176">
        <f t="shared" si="20"/>
        <v>4502.530974635345</v>
      </c>
      <c r="AX32" s="176">
        <f t="shared" si="20"/>
        <v>5080.3633170853909</v>
      </c>
      <c r="AY32" s="176">
        <f t="shared" si="20"/>
        <v>5371.7101728676935</v>
      </c>
      <c r="AZ32" s="176">
        <f t="shared" si="20"/>
        <v>5054.9755962787749</v>
      </c>
      <c r="BA32" s="176">
        <f t="shared" si="20"/>
        <v>4974.242298163811</v>
      </c>
      <c r="BB32" s="176">
        <f t="shared" si="20"/>
        <v>4723.2146194295829</v>
      </c>
      <c r="BC32" s="176">
        <f t="shared" si="20"/>
        <v>3723.9471340822952</v>
      </c>
      <c r="BD32" s="176">
        <f t="shared" si="20"/>
        <v>3096.2210804701131</v>
      </c>
      <c r="BE32" s="176">
        <f t="shared" si="20"/>
        <v>2781.6878783529596</v>
      </c>
      <c r="BF32" s="176">
        <f t="shared" si="20"/>
        <v>1256.6532650104662</v>
      </c>
      <c r="BG32" s="176">
        <f t="shared" si="20"/>
        <v>197.2543556815572</v>
      </c>
      <c r="BH32" s="176">
        <f t="shared" si="20"/>
        <v>0</v>
      </c>
      <c r="BI32" s="176">
        <f t="shared" si="20"/>
        <v>0</v>
      </c>
      <c r="BJ32" s="176">
        <f t="shared" si="20"/>
        <v>0</v>
      </c>
      <c r="BK32" s="176">
        <f t="shared" si="20"/>
        <v>0</v>
      </c>
      <c r="BL32" s="176">
        <f t="shared" ref="BL32:BQ32" si="21">BL28*$A$30/12</f>
        <v>0</v>
      </c>
      <c r="BM32" s="176">
        <f t="shared" si="21"/>
        <v>0</v>
      </c>
      <c r="BN32" s="176">
        <f t="shared" si="21"/>
        <v>0</v>
      </c>
      <c r="BO32" s="176">
        <f t="shared" si="21"/>
        <v>0</v>
      </c>
      <c r="BP32" s="176">
        <f t="shared" si="21"/>
        <v>0</v>
      </c>
      <c r="BQ32" s="176">
        <f t="shared" si="21"/>
        <v>0</v>
      </c>
      <c r="BR32" s="176">
        <f t="shared" ref="BR32:CC32" si="22">BR28*$A$30/12</f>
        <v>0</v>
      </c>
      <c r="BS32" s="176">
        <f t="shared" si="22"/>
        <v>0</v>
      </c>
      <c r="BT32" s="176">
        <f t="shared" si="22"/>
        <v>0</v>
      </c>
      <c r="BU32" s="176">
        <f t="shared" si="22"/>
        <v>0</v>
      </c>
      <c r="BV32" s="176">
        <f t="shared" si="22"/>
        <v>0</v>
      </c>
      <c r="BW32" s="176">
        <f t="shared" si="22"/>
        <v>0</v>
      </c>
      <c r="BX32" s="176">
        <f t="shared" si="22"/>
        <v>0</v>
      </c>
      <c r="BY32" s="176">
        <f t="shared" si="22"/>
        <v>0</v>
      </c>
      <c r="BZ32" s="176">
        <f t="shared" si="22"/>
        <v>0</v>
      </c>
      <c r="CA32" s="176">
        <f t="shared" si="22"/>
        <v>0</v>
      </c>
      <c r="CB32" s="176">
        <f t="shared" si="22"/>
        <v>0</v>
      </c>
      <c r="CC32" s="176">
        <f t="shared" si="22"/>
        <v>0</v>
      </c>
    </row>
    <row r="33" spans="1:81">
      <c r="A33" s="200" t="s">
        <v>301</v>
      </c>
      <c r="D33" s="168">
        <v>0</v>
      </c>
      <c r="E33" s="168">
        <v>0</v>
      </c>
      <c r="F33" s="168">
        <v>0</v>
      </c>
      <c r="G33" s="168">
        <v>0</v>
      </c>
      <c r="H33" s="168">
        <v>0</v>
      </c>
      <c r="I33" s="168">
        <v>0</v>
      </c>
      <c r="J33" s="168">
        <v>0</v>
      </c>
      <c r="K33" s="168">
        <v>0</v>
      </c>
      <c r="L33" s="168">
        <v>0</v>
      </c>
      <c r="M33" s="168">
        <v>0</v>
      </c>
      <c r="N33" s="168">
        <v>0</v>
      </c>
      <c r="O33" s="168">
        <v>0</v>
      </c>
      <c r="P33" s="168">
        <v>0</v>
      </c>
      <c r="Q33" s="168">
        <v>0</v>
      </c>
      <c r="R33" s="168">
        <v>0</v>
      </c>
      <c r="S33" s="168">
        <v>0</v>
      </c>
      <c r="T33" s="168">
        <v>0</v>
      </c>
      <c r="U33" s="168">
        <v>0</v>
      </c>
      <c r="V33" s="168">
        <v>0</v>
      </c>
      <c r="W33" s="168">
        <v>0</v>
      </c>
      <c r="X33" s="168">
        <v>0</v>
      </c>
      <c r="Y33" s="168">
        <v>0</v>
      </c>
      <c r="Z33" s="168">
        <v>0</v>
      </c>
      <c r="AA33" s="168">
        <v>0</v>
      </c>
      <c r="AB33" s="168">
        <v>0</v>
      </c>
      <c r="AC33" s="168">
        <v>0</v>
      </c>
      <c r="AD33" s="168">
        <v>0</v>
      </c>
      <c r="AE33" s="168">
        <v>0</v>
      </c>
      <c r="AF33" s="168">
        <v>0</v>
      </c>
      <c r="AG33" s="168">
        <v>0</v>
      </c>
      <c r="AH33" s="168">
        <v>0</v>
      </c>
      <c r="AI33" s="168">
        <v>0</v>
      </c>
      <c r="AJ33" s="168">
        <v>0</v>
      </c>
      <c r="AK33" s="168">
        <v>0</v>
      </c>
      <c r="AL33" s="168">
        <v>0</v>
      </c>
      <c r="AM33" s="168">
        <v>0</v>
      </c>
      <c r="AN33" s="168">
        <v>0</v>
      </c>
      <c r="AO33" s="168">
        <v>0</v>
      </c>
      <c r="AP33" s="168">
        <v>0</v>
      </c>
      <c r="AQ33" s="168">
        <v>0</v>
      </c>
      <c r="AR33" s="168">
        <v>0</v>
      </c>
      <c r="AS33" s="168">
        <v>0</v>
      </c>
      <c r="AT33" s="168">
        <v>0</v>
      </c>
      <c r="AU33" s="168">
        <v>0</v>
      </c>
      <c r="AV33" s="168">
        <v>0</v>
      </c>
      <c r="AW33" s="168">
        <v>0</v>
      </c>
      <c r="AX33" s="168">
        <v>0</v>
      </c>
      <c r="AY33" s="168">
        <v>0</v>
      </c>
      <c r="AZ33" s="168">
        <v>0</v>
      </c>
      <c r="BA33" s="168">
        <v>0</v>
      </c>
      <c r="BB33" s="168">
        <v>0</v>
      </c>
      <c r="BC33" s="168">
        <v>0</v>
      </c>
      <c r="BD33" s="168">
        <v>0</v>
      </c>
      <c r="BE33" s="168">
        <v>0</v>
      </c>
      <c r="BF33" s="168">
        <v>0</v>
      </c>
      <c r="BG33" s="168">
        <v>0</v>
      </c>
      <c r="BH33" s="168">
        <v>0</v>
      </c>
      <c r="BI33" s="168">
        <v>0</v>
      </c>
      <c r="BJ33" s="168">
        <v>0</v>
      </c>
      <c r="BK33" s="168">
        <v>0</v>
      </c>
      <c r="BL33" s="168">
        <v>0</v>
      </c>
      <c r="BM33" s="168">
        <v>0</v>
      </c>
      <c r="BN33" s="168">
        <v>0</v>
      </c>
      <c r="BO33" s="168">
        <v>0</v>
      </c>
      <c r="BP33" s="168">
        <v>0</v>
      </c>
      <c r="BQ33" s="168">
        <v>0</v>
      </c>
      <c r="BR33" s="168">
        <v>0</v>
      </c>
      <c r="BS33" s="168">
        <v>0</v>
      </c>
      <c r="BT33" s="168">
        <v>0</v>
      </c>
      <c r="BU33" s="168">
        <v>0</v>
      </c>
      <c r="BV33" s="168">
        <v>0</v>
      </c>
      <c r="BW33" s="168">
        <v>0</v>
      </c>
      <c r="BX33" s="168">
        <v>0</v>
      </c>
      <c r="BY33" s="168">
        <v>0</v>
      </c>
      <c r="BZ33" s="168">
        <v>0</v>
      </c>
      <c r="CA33" s="168">
        <v>0</v>
      </c>
      <c r="CB33" s="168">
        <v>0</v>
      </c>
      <c r="CC33" s="168">
        <v>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CC89"/>
  <sheetViews>
    <sheetView workbookViewId="0">
      <pane xSplit="6" ySplit="8" topLeftCell="G26" activePane="bottomRight" state="frozen"/>
      <selection activeCell="E11" sqref="E11"/>
      <selection pane="topRight" activeCell="E11" sqref="E11"/>
      <selection pane="bottomLeft" activeCell="E11" sqref="E11"/>
      <selection pane="bottomRight" activeCell="E33" sqref="E33"/>
    </sheetView>
  </sheetViews>
  <sheetFormatPr baseColWidth="10" defaultRowHeight="12.75"/>
  <cols>
    <col min="1" max="1" width="4" style="93" customWidth="1"/>
    <col min="2" max="2" width="4.7109375" style="93" customWidth="1"/>
    <col min="3" max="3" width="25.7109375" style="273" customWidth="1"/>
    <col min="4" max="4" width="10.85546875" customWidth="1"/>
    <col min="5" max="5" width="11.5703125" style="1" customWidth="1"/>
    <col min="6" max="6" width="9.7109375" style="1" customWidth="1"/>
    <col min="7" max="7" width="2.140625" customWidth="1"/>
    <col min="8" max="79" width="7.7109375" customWidth="1"/>
  </cols>
  <sheetData>
    <row r="2" spans="1:81" ht="23.25">
      <c r="B2" s="274" t="s">
        <v>153</v>
      </c>
      <c r="C2" s="184"/>
    </row>
    <row r="3" spans="1:81" ht="12.75" customHeight="1">
      <c r="B3" s="274"/>
      <c r="C3" s="184"/>
    </row>
    <row r="4" spans="1:81">
      <c r="B4" s="208" t="s">
        <v>298</v>
      </c>
      <c r="C4" s="208"/>
      <c r="T4" s="209"/>
      <c r="Z4" s="209">
        <v>0.03</v>
      </c>
      <c r="AL4" s="209">
        <v>0.03</v>
      </c>
      <c r="AX4" s="209">
        <v>0.03</v>
      </c>
      <c r="BJ4" s="209">
        <v>0.03</v>
      </c>
      <c r="BK4" s="2"/>
      <c r="BV4" s="209">
        <v>0.03</v>
      </c>
      <c r="BW4" s="2"/>
      <c r="CC4" s="2"/>
    </row>
    <row r="5" spans="1:81" s="72" customFormat="1">
      <c r="A5" s="262"/>
      <c r="B5" s="262" t="s">
        <v>363</v>
      </c>
      <c r="E5" s="81"/>
      <c r="F5" s="81"/>
      <c r="H5" s="207">
        <v>0</v>
      </c>
      <c r="I5" s="207">
        <v>0</v>
      </c>
      <c r="J5" s="207">
        <v>0</v>
      </c>
      <c r="K5" s="207">
        <v>0</v>
      </c>
      <c r="L5" s="207">
        <v>0</v>
      </c>
      <c r="M5" s="207">
        <v>0</v>
      </c>
      <c r="N5" s="207">
        <v>0</v>
      </c>
      <c r="O5" s="207">
        <v>0</v>
      </c>
      <c r="P5" s="207">
        <v>0</v>
      </c>
      <c r="Q5" s="207">
        <v>0</v>
      </c>
      <c r="R5" s="207">
        <v>0</v>
      </c>
      <c r="S5" s="207">
        <v>0</v>
      </c>
      <c r="T5" s="207">
        <f>(1+S5)*(1+T4)-1</f>
        <v>0</v>
      </c>
      <c r="U5" s="207">
        <f t="shared" ref="U5:BO5" si="0">(1+T5)*(1+U4)-1</f>
        <v>0</v>
      </c>
      <c r="V5" s="207">
        <f t="shared" si="0"/>
        <v>0</v>
      </c>
      <c r="W5" s="207">
        <f t="shared" si="0"/>
        <v>0</v>
      </c>
      <c r="X5" s="207">
        <f t="shared" si="0"/>
        <v>0</v>
      </c>
      <c r="Y5" s="207">
        <f t="shared" si="0"/>
        <v>0</v>
      </c>
      <c r="Z5" s="207">
        <f t="shared" si="0"/>
        <v>3.0000000000000027E-2</v>
      </c>
      <c r="AA5" s="207">
        <f t="shared" si="0"/>
        <v>3.0000000000000027E-2</v>
      </c>
      <c r="AB5" s="207">
        <f t="shared" si="0"/>
        <v>3.0000000000000027E-2</v>
      </c>
      <c r="AC5" s="207">
        <f t="shared" si="0"/>
        <v>3.0000000000000027E-2</v>
      </c>
      <c r="AD5" s="207">
        <f t="shared" si="0"/>
        <v>3.0000000000000027E-2</v>
      </c>
      <c r="AE5" s="207">
        <f t="shared" si="0"/>
        <v>3.0000000000000027E-2</v>
      </c>
      <c r="AF5" s="207">
        <f t="shared" si="0"/>
        <v>3.0000000000000027E-2</v>
      </c>
      <c r="AG5" s="207">
        <f t="shared" si="0"/>
        <v>3.0000000000000027E-2</v>
      </c>
      <c r="AH5" s="207">
        <f t="shared" si="0"/>
        <v>3.0000000000000027E-2</v>
      </c>
      <c r="AI5" s="207">
        <f t="shared" si="0"/>
        <v>3.0000000000000027E-2</v>
      </c>
      <c r="AJ5" s="207">
        <f t="shared" si="0"/>
        <v>3.0000000000000027E-2</v>
      </c>
      <c r="AK5" s="207">
        <f t="shared" si="0"/>
        <v>3.0000000000000027E-2</v>
      </c>
      <c r="AL5" s="207">
        <f t="shared" si="0"/>
        <v>6.0899999999999954E-2</v>
      </c>
      <c r="AM5" s="207">
        <f t="shared" si="0"/>
        <v>6.0899999999999954E-2</v>
      </c>
      <c r="AN5" s="207">
        <f t="shared" si="0"/>
        <v>6.0899999999999954E-2</v>
      </c>
      <c r="AO5" s="207">
        <f t="shared" si="0"/>
        <v>6.0899999999999954E-2</v>
      </c>
      <c r="AP5" s="207">
        <f t="shared" si="0"/>
        <v>6.0899999999999954E-2</v>
      </c>
      <c r="AQ5" s="207">
        <f t="shared" si="0"/>
        <v>6.0899999999999954E-2</v>
      </c>
      <c r="AR5" s="207">
        <f t="shared" si="0"/>
        <v>6.0899999999999954E-2</v>
      </c>
      <c r="AS5" s="207">
        <f t="shared" si="0"/>
        <v>6.0899999999999954E-2</v>
      </c>
      <c r="AT5" s="207">
        <f t="shared" si="0"/>
        <v>6.0899999999999954E-2</v>
      </c>
      <c r="AU5" s="207">
        <f t="shared" si="0"/>
        <v>6.0899999999999954E-2</v>
      </c>
      <c r="AV5" s="207">
        <f t="shared" si="0"/>
        <v>6.0899999999999954E-2</v>
      </c>
      <c r="AW5" s="207">
        <f t="shared" si="0"/>
        <v>6.0899999999999954E-2</v>
      </c>
      <c r="AX5" s="207">
        <f t="shared" si="0"/>
        <v>9.2727000000000004E-2</v>
      </c>
      <c r="AY5" s="207">
        <f t="shared" si="0"/>
        <v>9.2727000000000004E-2</v>
      </c>
      <c r="AZ5" s="207">
        <f t="shared" si="0"/>
        <v>9.2727000000000004E-2</v>
      </c>
      <c r="BA5" s="207">
        <f t="shared" si="0"/>
        <v>9.2727000000000004E-2</v>
      </c>
      <c r="BB5" s="207">
        <f t="shared" si="0"/>
        <v>9.2727000000000004E-2</v>
      </c>
      <c r="BC5" s="207">
        <f t="shared" si="0"/>
        <v>9.2727000000000004E-2</v>
      </c>
      <c r="BD5" s="207">
        <f t="shared" si="0"/>
        <v>9.2727000000000004E-2</v>
      </c>
      <c r="BE5" s="207">
        <f t="shared" si="0"/>
        <v>9.2727000000000004E-2</v>
      </c>
      <c r="BF5" s="207">
        <f t="shared" si="0"/>
        <v>9.2727000000000004E-2</v>
      </c>
      <c r="BG5" s="207">
        <f t="shared" si="0"/>
        <v>9.2727000000000004E-2</v>
      </c>
      <c r="BH5" s="207">
        <f t="shared" si="0"/>
        <v>9.2727000000000004E-2</v>
      </c>
      <c r="BI5" s="207">
        <f t="shared" si="0"/>
        <v>9.2727000000000004E-2</v>
      </c>
      <c r="BJ5" s="207">
        <f t="shared" si="0"/>
        <v>0.12550881000000014</v>
      </c>
      <c r="BK5" s="207">
        <f t="shared" si="0"/>
        <v>0.12550881000000014</v>
      </c>
      <c r="BL5" s="207">
        <f t="shared" si="0"/>
        <v>0.12550881000000014</v>
      </c>
      <c r="BM5" s="207">
        <f t="shared" si="0"/>
        <v>0.12550881000000014</v>
      </c>
      <c r="BN5" s="207">
        <f t="shared" si="0"/>
        <v>0.12550881000000014</v>
      </c>
      <c r="BO5" s="207">
        <f t="shared" si="0"/>
        <v>0.12550881000000014</v>
      </c>
      <c r="BP5" s="207">
        <f t="shared" ref="BP5:CA5" si="1">(1+BO5)*(1+BP4)-1</f>
        <v>0.12550881000000014</v>
      </c>
      <c r="BQ5" s="207">
        <f t="shared" si="1"/>
        <v>0.12550881000000014</v>
      </c>
      <c r="BR5" s="207">
        <f t="shared" si="1"/>
        <v>0.12550881000000014</v>
      </c>
      <c r="BS5" s="207">
        <f t="shared" si="1"/>
        <v>0.12550881000000014</v>
      </c>
      <c r="BT5" s="207">
        <f t="shared" si="1"/>
        <v>0.12550881000000014</v>
      </c>
      <c r="BU5" s="207">
        <f t="shared" si="1"/>
        <v>0.12550881000000014</v>
      </c>
      <c r="BV5" s="207">
        <f t="shared" si="1"/>
        <v>0.15927407430000007</v>
      </c>
      <c r="BW5" s="207">
        <f t="shared" si="1"/>
        <v>0.15927407430000007</v>
      </c>
      <c r="BX5" s="207">
        <f t="shared" si="1"/>
        <v>0.15927407430000007</v>
      </c>
      <c r="BY5" s="207">
        <f t="shared" si="1"/>
        <v>0.15927407430000007</v>
      </c>
      <c r="BZ5" s="207">
        <f t="shared" si="1"/>
        <v>0.15927407430000007</v>
      </c>
      <c r="CA5" s="207">
        <f t="shared" si="1"/>
        <v>0.15927407430000007</v>
      </c>
    </row>
    <row r="7" spans="1:81">
      <c r="C7" s="269"/>
      <c r="D7" s="1"/>
      <c r="E7" s="1" t="s">
        <v>306</v>
      </c>
      <c r="G7" s="1"/>
      <c r="Z7" s="10"/>
    </row>
    <row r="8" spans="1:81">
      <c r="B8" s="202"/>
      <c r="C8" s="202" t="s">
        <v>154</v>
      </c>
      <c r="D8" t="s">
        <v>245</v>
      </c>
      <c r="E8" s="1" t="s">
        <v>155</v>
      </c>
      <c r="F8" s="1" t="s">
        <v>156</v>
      </c>
      <c r="G8" s="5"/>
      <c r="H8" s="5">
        <v>39814</v>
      </c>
      <c r="I8" s="5">
        <v>39845</v>
      </c>
      <c r="J8" s="5">
        <v>39873</v>
      </c>
      <c r="K8" s="5">
        <v>39904</v>
      </c>
      <c r="L8" s="5">
        <v>39934</v>
      </c>
      <c r="M8" s="5">
        <v>39965</v>
      </c>
      <c r="N8" s="5">
        <v>39995</v>
      </c>
      <c r="O8" s="5">
        <v>40026</v>
      </c>
      <c r="P8" s="5">
        <v>40057</v>
      </c>
      <c r="Q8" s="5">
        <v>40087</v>
      </c>
      <c r="R8" s="5">
        <v>40118</v>
      </c>
      <c r="S8" s="5">
        <v>40148</v>
      </c>
      <c r="T8" s="5">
        <v>40179</v>
      </c>
      <c r="U8" s="5">
        <v>40210</v>
      </c>
      <c r="V8" s="5">
        <v>40238</v>
      </c>
      <c r="W8" s="5">
        <v>40269</v>
      </c>
      <c r="X8" s="5">
        <v>40299</v>
      </c>
      <c r="Y8" s="5">
        <v>40330</v>
      </c>
      <c r="Z8" s="5">
        <v>40360</v>
      </c>
      <c r="AA8" s="5">
        <v>40391</v>
      </c>
      <c r="AB8" s="5">
        <v>40422</v>
      </c>
      <c r="AC8" s="5">
        <v>40452</v>
      </c>
      <c r="AD8" s="5">
        <v>40483</v>
      </c>
      <c r="AE8" s="5">
        <v>40513</v>
      </c>
      <c r="AF8" s="5">
        <v>40544</v>
      </c>
      <c r="AG8" s="5">
        <v>40575</v>
      </c>
      <c r="AH8" s="5">
        <v>40603</v>
      </c>
      <c r="AI8" s="5">
        <v>40634</v>
      </c>
      <c r="AJ8" s="5">
        <v>40664</v>
      </c>
      <c r="AK8" s="5">
        <v>40695</v>
      </c>
      <c r="AL8" s="5">
        <v>40725</v>
      </c>
      <c r="AM8" s="5">
        <v>40756</v>
      </c>
      <c r="AN8" s="5">
        <v>40787</v>
      </c>
      <c r="AO8" s="5">
        <v>40817</v>
      </c>
      <c r="AP8" s="5">
        <v>40848</v>
      </c>
      <c r="AQ8" s="5">
        <v>40878</v>
      </c>
      <c r="AR8" s="5">
        <v>40909</v>
      </c>
      <c r="AS8" s="5">
        <v>40940</v>
      </c>
      <c r="AT8" s="5">
        <v>40969</v>
      </c>
      <c r="AU8" s="5">
        <v>41000</v>
      </c>
      <c r="AV8" s="5">
        <v>41030</v>
      </c>
      <c r="AW8" s="5">
        <v>41061</v>
      </c>
      <c r="AX8" s="5">
        <v>41091</v>
      </c>
      <c r="AY8" s="5">
        <v>41122</v>
      </c>
      <c r="AZ8" s="5">
        <v>41153</v>
      </c>
      <c r="BA8" s="5">
        <v>41183</v>
      </c>
      <c r="BB8" s="5">
        <v>41214</v>
      </c>
      <c r="BC8" s="5">
        <v>41244</v>
      </c>
      <c r="BD8" s="5">
        <v>41275</v>
      </c>
      <c r="BE8" s="5">
        <v>41306</v>
      </c>
      <c r="BF8" s="5">
        <v>41334</v>
      </c>
      <c r="BG8" s="5">
        <v>41365</v>
      </c>
      <c r="BH8" s="5">
        <v>41395</v>
      </c>
      <c r="BI8" s="5">
        <v>41426</v>
      </c>
      <c r="BJ8" s="5">
        <v>41456</v>
      </c>
      <c r="BK8" s="5">
        <v>41487</v>
      </c>
      <c r="BL8" s="5">
        <v>41518</v>
      </c>
      <c r="BM8" s="5">
        <v>41548</v>
      </c>
      <c r="BN8" s="5">
        <v>41579</v>
      </c>
      <c r="BO8" s="5">
        <v>41609</v>
      </c>
      <c r="BP8" s="5">
        <v>41640</v>
      </c>
      <c r="BQ8" s="5">
        <v>41671</v>
      </c>
      <c r="BR8" s="5">
        <v>41699</v>
      </c>
      <c r="BS8" s="5">
        <v>41730</v>
      </c>
      <c r="BT8" s="5">
        <v>41760</v>
      </c>
      <c r="BU8" s="5">
        <v>41791</v>
      </c>
      <c r="BV8" s="5">
        <v>41821</v>
      </c>
      <c r="BW8" s="5">
        <v>41852</v>
      </c>
      <c r="BX8" s="5">
        <v>41883</v>
      </c>
      <c r="BY8" s="5">
        <v>41913</v>
      </c>
      <c r="BZ8" s="5">
        <v>41944</v>
      </c>
      <c r="CA8" s="5">
        <v>41974</v>
      </c>
      <c r="CC8" s="5" t="s">
        <v>158</v>
      </c>
    </row>
    <row r="9" spans="1:81">
      <c r="B9" s="202"/>
      <c r="C9" s="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C9" s="5"/>
    </row>
    <row r="10" spans="1:81" s="265" customFormat="1" ht="15.75" customHeight="1">
      <c r="A10" s="267"/>
      <c r="B10" s="275" t="s">
        <v>364</v>
      </c>
      <c r="C10" s="276"/>
      <c r="E10" s="266"/>
      <c r="F10" s="266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7"/>
      <c r="AZ10" s="277"/>
      <c r="BA10" s="277"/>
      <c r="BB10" s="277"/>
      <c r="BC10" s="277"/>
      <c r="BD10" s="277"/>
      <c r="BE10" s="277"/>
      <c r="BF10" s="277"/>
      <c r="BG10" s="277"/>
      <c r="BH10" s="277"/>
      <c r="BI10" s="277"/>
      <c r="BJ10" s="277"/>
      <c r="BK10" s="277"/>
      <c r="BL10" s="277"/>
      <c r="BM10" s="277"/>
      <c r="BN10" s="277"/>
      <c r="BO10" s="277"/>
      <c r="BP10" s="277"/>
      <c r="BQ10" s="277"/>
      <c r="BR10" s="277"/>
      <c r="BS10" s="277"/>
      <c r="BT10" s="277"/>
      <c r="BU10" s="277"/>
      <c r="BV10" s="277"/>
      <c r="BW10" s="277"/>
      <c r="BX10" s="277"/>
      <c r="BY10" s="277"/>
      <c r="BZ10" s="277"/>
      <c r="CA10" s="277"/>
      <c r="CC10" s="277"/>
    </row>
    <row r="11" spans="1:81" s="278" customFormat="1" ht="15.75" customHeight="1">
      <c r="A11" s="268"/>
      <c r="B11" s="275"/>
      <c r="C11" s="268" t="s">
        <v>367</v>
      </c>
      <c r="E11" s="279"/>
      <c r="F11" s="279"/>
      <c r="G11" s="280"/>
      <c r="H11" s="281">
        <f t="shared" ref="H11:AM11" si="2">COUNTIF(H14:H22,"&gt;0")</f>
        <v>0</v>
      </c>
      <c r="I11" s="281">
        <f t="shared" si="2"/>
        <v>0</v>
      </c>
      <c r="J11" s="281">
        <f t="shared" si="2"/>
        <v>0</v>
      </c>
      <c r="K11" s="281">
        <f t="shared" si="2"/>
        <v>0</v>
      </c>
      <c r="L11" s="281">
        <f t="shared" si="2"/>
        <v>0</v>
      </c>
      <c r="M11" s="281">
        <f t="shared" si="2"/>
        <v>0</v>
      </c>
      <c r="N11" s="281">
        <f t="shared" si="2"/>
        <v>0</v>
      </c>
      <c r="O11" s="281">
        <f t="shared" si="2"/>
        <v>0</v>
      </c>
      <c r="P11" s="281">
        <f t="shared" si="2"/>
        <v>0</v>
      </c>
      <c r="Q11" s="281">
        <f t="shared" si="2"/>
        <v>0</v>
      </c>
      <c r="R11" s="281">
        <f t="shared" si="2"/>
        <v>0</v>
      </c>
      <c r="S11" s="281">
        <f t="shared" si="2"/>
        <v>0</v>
      </c>
      <c r="T11" s="281">
        <f t="shared" si="2"/>
        <v>2</v>
      </c>
      <c r="U11" s="281">
        <f t="shared" si="2"/>
        <v>2</v>
      </c>
      <c r="V11" s="281">
        <f t="shared" si="2"/>
        <v>2</v>
      </c>
      <c r="W11" s="281">
        <f t="shared" si="2"/>
        <v>2</v>
      </c>
      <c r="X11" s="281">
        <f t="shared" si="2"/>
        <v>2</v>
      </c>
      <c r="Y11" s="281">
        <f t="shared" si="2"/>
        <v>2</v>
      </c>
      <c r="Z11" s="281">
        <f t="shared" si="2"/>
        <v>2</v>
      </c>
      <c r="AA11" s="281">
        <f t="shared" si="2"/>
        <v>2</v>
      </c>
      <c r="AB11" s="281">
        <f t="shared" si="2"/>
        <v>2</v>
      </c>
      <c r="AC11" s="281">
        <f t="shared" si="2"/>
        <v>2</v>
      </c>
      <c r="AD11" s="281">
        <f t="shared" si="2"/>
        <v>2</v>
      </c>
      <c r="AE11" s="281">
        <f t="shared" si="2"/>
        <v>3</v>
      </c>
      <c r="AF11" s="281">
        <f t="shared" si="2"/>
        <v>4</v>
      </c>
      <c r="AG11" s="281">
        <f t="shared" si="2"/>
        <v>5</v>
      </c>
      <c r="AH11" s="281">
        <f t="shared" si="2"/>
        <v>6</v>
      </c>
      <c r="AI11" s="281">
        <f t="shared" si="2"/>
        <v>6</v>
      </c>
      <c r="AJ11" s="281">
        <f t="shared" si="2"/>
        <v>7</v>
      </c>
      <c r="AK11" s="281">
        <f t="shared" si="2"/>
        <v>7</v>
      </c>
      <c r="AL11" s="281">
        <f t="shared" si="2"/>
        <v>7</v>
      </c>
      <c r="AM11" s="281">
        <f t="shared" si="2"/>
        <v>7</v>
      </c>
      <c r="AN11" s="281">
        <f t="shared" ref="AN11:BO11" si="3">COUNTIF(AN14:AN22,"&gt;0")</f>
        <v>7</v>
      </c>
      <c r="AO11" s="281">
        <f t="shared" si="3"/>
        <v>7</v>
      </c>
      <c r="AP11" s="281">
        <f t="shared" si="3"/>
        <v>7</v>
      </c>
      <c r="AQ11" s="281">
        <f t="shared" si="3"/>
        <v>7</v>
      </c>
      <c r="AR11" s="281">
        <f t="shared" si="3"/>
        <v>7</v>
      </c>
      <c r="AS11" s="281">
        <f t="shared" si="3"/>
        <v>7</v>
      </c>
      <c r="AT11" s="281">
        <f t="shared" si="3"/>
        <v>7</v>
      </c>
      <c r="AU11" s="281">
        <f t="shared" si="3"/>
        <v>7</v>
      </c>
      <c r="AV11" s="281">
        <f t="shared" si="3"/>
        <v>7</v>
      </c>
      <c r="AW11" s="281">
        <f t="shared" si="3"/>
        <v>7</v>
      </c>
      <c r="AX11" s="281">
        <f t="shared" si="3"/>
        <v>8</v>
      </c>
      <c r="AY11" s="281">
        <f t="shared" si="3"/>
        <v>8</v>
      </c>
      <c r="AZ11" s="281">
        <f t="shared" si="3"/>
        <v>8</v>
      </c>
      <c r="BA11" s="281">
        <f t="shared" si="3"/>
        <v>8</v>
      </c>
      <c r="BB11" s="281">
        <f t="shared" si="3"/>
        <v>8</v>
      </c>
      <c r="BC11" s="281">
        <f t="shared" si="3"/>
        <v>8</v>
      </c>
      <c r="BD11" s="281">
        <f t="shared" si="3"/>
        <v>8</v>
      </c>
      <c r="BE11" s="281">
        <f t="shared" si="3"/>
        <v>8</v>
      </c>
      <c r="BF11" s="281">
        <f t="shared" si="3"/>
        <v>8</v>
      </c>
      <c r="BG11" s="281">
        <f t="shared" si="3"/>
        <v>8</v>
      </c>
      <c r="BH11" s="281">
        <f t="shared" si="3"/>
        <v>9</v>
      </c>
      <c r="BI11" s="281">
        <f t="shared" si="3"/>
        <v>9</v>
      </c>
      <c r="BJ11" s="281">
        <f t="shared" si="3"/>
        <v>9</v>
      </c>
      <c r="BK11" s="281">
        <f t="shared" si="3"/>
        <v>9</v>
      </c>
      <c r="BL11" s="281">
        <f t="shared" si="3"/>
        <v>9</v>
      </c>
      <c r="BM11" s="281">
        <f t="shared" si="3"/>
        <v>9</v>
      </c>
      <c r="BN11" s="281">
        <f t="shared" si="3"/>
        <v>9</v>
      </c>
      <c r="BO11" s="281">
        <f t="shared" si="3"/>
        <v>9</v>
      </c>
      <c r="BP11" s="281">
        <f t="shared" ref="BP11:CA11" si="4">COUNTIF(BP14:BP22,"&gt;0")</f>
        <v>9</v>
      </c>
      <c r="BQ11" s="281">
        <f t="shared" si="4"/>
        <v>9</v>
      </c>
      <c r="BR11" s="281">
        <f t="shared" si="4"/>
        <v>9</v>
      </c>
      <c r="BS11" s="281">
        <f t="shared" si="4"/>
        <v>9</v>
      </c>
      <c r="BT11" s="281">
        <f t="shared" si="4"/>
        <v>9</v>
      </c>
      <c r="BU11" s="281">
        <f t="shared" si="4"/>
        <v>9</v>
      </c>
      <c r="BV11" s="281">
        <f t="shared" si="4"/>
        <v>9</v>
      </c>
      <c r="BW11" s="281">
        <f t="shared" si="4"/>
        <v>9</v>
      </c>
      <c r="BX11" s="281">
        <f t="shared" si="4"/>
        <v>9</v>
      </c>
      <c r="BY11" s="281">
        <f t="shared" si="4"/>
        <v>9</v>
      </c>
      <c r="BZ11" s="281">
        <f t="shared" si="4"/>
        <v>9</v>
      </c>
      <c r="CA11" s="281">
        <f t="shared" si="4"/>
        <v>9</v>
      </c>
      <c r="CC11" s="280"/>
    </row>
    <row r="12" spans="1:81" s="278" customFormat="1" ht="15.75" customHeight="1">
      <c r="A12" s="268"/>
      <c r="B12" s="275"/>
      <c r="C12" s="268" t="s">
        <v>368</v>
      </c>
      <c r="E12" s="279"/>
      <c r="F12" s="279"/>
      <c r="G12" s="280"/>
      <c r="H12" s="281">
        <f>SUM(H14:H24)</f>
        <v>0</v>
      </c>
      <c r="I12" s="281">
        <f t="shared" ref="I12:BO12" si="5">SUM(I14:I24)</f>
        <v>0</v>
      </c>
      <c r="J12" s="281">
        <f t="shared" si="5"/>
        <v>0</v>
      </c>
      <c r="K12" s="281">
        <f t="shared" si="5"/>
        <v>0</v>
      </c>
      <c r="L12" s="281">
        <f t="shared" si="5"/>
        <v>0</v>
      </c>
      <c r="M12" s="281">
        <f t="shared" si="5"/>
        <v>0</v>
      </c>
      <c r="N12" s="281">
        <f t="shared" si="5"/>
        <v>0</v>
      </c>
      <c r="O12" s="281">
        <f t="shared" si="5"/>
        <v>0</v>
      </c>
      <c r="P12" s="281">
        <f t="shared" si="5"/>
        <v>0</v>
      </c>
      <c r="Q12" s="281">
        <f t="shared" si="5"/>
        <v>0</v>
      </c>
      <c r="R12" s="281">
        <f t="shared" si="5"/>
        <v>0</v>
      </c>
      <c r="S12" s="281">
        <f t="shared" si="5"/>
        <v>0</v>
      </c>
      <c r="T12" s="281">
        <f t="shared" si="5"/>
        <v>4248</v>
      </c>
      <c r="U12" s="281">
        <f t="shared" si="5"/>
        <v>4248</v>
      </c>
      <c r="V12" s="281">
        <f t="shared" si="5"/>
        <v>4248</v>
      </c>
      <c r="W12" s="281">
        <f t="shared" si="5"/>
        <v>4248</v>
      </c>
      <c r="X12" s="281">
        <f t="shared" si="5"/>
        <v>4248</v>
      </c>
      <c r="Y12" s="281">
        <f t="shared" si="5"/>
        <v>4248</v>
      </c>
      <c r="Z12" s="281">
        <f t="shared" si="5"/>
        <v>4375.4400000000005</v>
      </c>
      <c r="AA12" s="281">
        <f t="shared" si="5"/>
        <v>4375.4400000000005</v>
      </c>
      <c r="AB12" s="281">
        <f t="shared" si="5"/>
        <v>4375.4400000000005</v>
      </c>
      <c r="AC12" s="281">
        <f t="shared" si="5"/>
        <v>4375.4400000000005</v>
      </c>
      <c r="AD12" s="281">
        <f t="shared" si="5"/>
        <v>4375.4400000000005</v>
      </c>
      <c r="AE12" s="281">
        <f t="shared" si="5"/>
        <v>6950.4400000000005</v>
      </c>
      <c r="AF12" s="281">
        <f t="shared" si="5"/>
        <v>10555.44</v>
      </c>
      <c r="AG12" s="281">
        <f t="shared" si="5"/>
        <v>13645.44</v>
      </c>
      <c r="AH12" s="281">
        <f t="shared" si="5"/>
        <v>15705.44</v>
      </c>
      <c r="AI12" s="281">
        <f t="shared" si="5"/>
        <v>15705.44</v>
      </c>
      <c r="AJ12" s="281">
        <f t="shared" si="5"/>
        <v>19138.773333333334</v>
      </c>
      <c r="AK12" s="281">
        <f t="shared" si="5"/>
        <v>19138.773333333334</v>
      </c>
      <c r="AL12" s="281">
        <f t="shared" si="5"/>
        <v>19790.93953333333</v>
      </c>
      <c r="AM12" s="281">
        <f t="shared" si="5"/>
        <v>19868.942533333335</v>
      </c>
      <c r="AN12" s="281">
        <f t="shared" si="5"/>
        <v>19946.945533333332</v>
      </c>
      <c r="AO12" s="281">
        <f t="shared" si="5"/>
        <v>20024.948533333329</v>
      </c>
      <c r="AP12" s="281">
        <f t="shared" si="5"/>
        <v>20102.951533333333</v>
      </c>
      <c r="AQ12" s="281">
        <f t="shared" si="5"/>
        <v>20180.95453333333</v>
      </c>
      <c r="AR12" s="281">
        <f t="shared" si="5"/>
        <v>20336.960533333331</v>
      </c>
      <c r="AS12" s="281">
        <f t="shared" si="5"/>
        <v>20492.966533333332</v>
      </c>
      <c r="AT12" s="281">
        <f t="shared" si="5"/>
        <v>20648.972533333334</v>
      </c>
      <c r="AU12" s="281">
        <f t="shared" si="5"/>
        <v>20882.981533333332</v>
      </c>
      <c r="AV12" s="281">
        <f t="shared" si="5"/>
        <v>21116.99053333333</v>
      </c>
      <c r="AW12" s="281">
        <f t="shared" si="5"/>
        <v>21350.999533333335</v>
      </c>
      <c r="AX12" s="281">
        <f t="shared" si="5"/>
        <v>24543.971796000002</v>
      </c>
      <c r="AY12" s="281">
        <f t="shared" si="5"/>
        <v>24934.093796000001</v>
      </c>
      <c r="AZ12" s="281">
        <f t="shared" si="5"/>
        <v>25324.215796</v>
      </c>
      <c r="BA12" s="281">
        <f t="shared" si="5"/>
        <v>25714.337796</v>
      </c>
      <c r="BB12" s="281">
        <f t="shared" si="5"/>
        <v>26182.569796</v>
      </c>
      <c r="BC12" s="281">
        <f t="shared" si="5"/>
        <v>26728.911796</v>
      </c>
      <c r="BD12" s="281">
        <f t="shared" si="5"/>
        <v>27119.247796</v>
      </c>
      <c r="BE12" s="281">
        <f t="shared" si="5"/>
        <v>27665.803796</v>
      </c>
      <c r="BF12" s="281">
        <f t="shared" si="5"/>
        <v>28134.249796</v>
      </c>
      <c r="BG12" s="281">
        <f t="shared" si="5"/>
        <v>28992.817795999999</v>
      </c>
      <c r="BH12" s="281">
        <f t="shared" si="5"/>
        <v>31828.624962666665</v>
      </c>
      <c r="BI12" s="281">
        <f t="shared" si="5"/>
        <v>32296.856962666665</v>
      </c>
      <c r="BJ12" s="281">
        <f t="shared" si="5"/>
        <v>33516.273211546672</v>
      </c>
      <c r="BK12" s="281">
        <f t="shared" si="5"/>
        <v>33867.447211546671</v>
      </c>
      <c r="BL12" s="281">
        <f t="shared" si="5"/>
        <v>34218.62121154667</v>
      </c>
      <c r="BM12" s="281">
        <f t="shared" si="5"/>
        <v>34569.795211546676</v>
      </c>
      <c r="BN12" s="281">
        <f t="shared" si="5"/>
        <v>34920.969211546668</v>
      </c>
      <c r="BO12" s="281">
        <f t="shared" si="5"/>
        <v>35155.08521154667</v>
      </c>
      <c r="BP12" s="281">
        <f t="shared" ref="BP12:CA12" si="6">SUM(BP14:BP24)</f>
        <v>35389.201211546679</v>
      </c>
      <c r="BQ12" s="281">
        <f t="shared" si="6"/>
        <v>35623.31721154668</v>
      </c>
      <c r="BR12" s="281">
        <f t="shared" si="6"/>
        <v>35857.433211546675</v>
      </c>
      <c r="BS12" s="281">
        <f t="shared" si="6"/>
        <v>36091.549211546677</v>
      </c>
      <c r="BT12" s="281">
        <f t="shared" si="6"/>
        <v>36325.665211546679</v>
      </c>
      <c r="BU12" s="281">
        <f t="shared" si="6"/>
        <v>36559.781211546673</v>
      </c>
      <c r="BV12" s="281">
        <f t="shared" si="6"/>
        <v>37497.382187893068</v>
      </c>
      <c r="BW12" s="281">
        <f t="shared" si="6"/>
        <v>37684.674987893071</v>
      </c>
      <c r="BX12" s="281">
        <f t="shared" si="6"/>
        <v>37801.732987893061</v>
      </c>
      <c r="BY12" s="281">
        <f t="shared" si="6"/>
        <v>37918.790987893066</v>
      </c>
      <c r="BZ12" s="281">
        <f t="shared" si="6"/>
        <v>38035.84898789307</v>
      </c>
      <c r="CA12" s="281">
        <f t="shared" si="6"/>
        <v>38152.90698789306</v>
      </c>
      <c r="CC12" s="280"/>
    </row>
    <row r="13" spans="1:81" ht="15.75" customHeight="1">
      <c r="B13" s="202"/>
      <c r="C13" s="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C13" s="5"/>
    </row>
    <row r="14" spans="1:81" ht="15.75" customHeight="1">
      <c r="B14" s="263"/>
      <c r="C14" s="263" t="s">
        <v>424</v>
      </c>
      <c r="D14" s="96">
        <v>40179</v>
      </c>
      <c r="E14" s="95">
        <f>2400*1.18*12</f>
        <v>33984</v>
      </c>
      <c r="F14" s="183">
        <v>0.02</v>
      </c>
      <c r="G14" s="4"/>
      <c r="H14" s="2">
        <f>IF($D14&lt;=H$8,$E14/12*(1+H$5)+$F14*('Sales &amp; Costs'!F$49/2),0)</f>
        <v>0</v>
      </c>
      <c r="I14" s="2">
        <f>IF($D14&lt;=I$8,$E14/12*(1+I$5)+$F14*('Sales &amp; Costs'!G$49/2),0)</f>
        <v>0</v>
      </c>
      <c r="J14" s="2">
        <f>IF($D14&lt;=J$8,$E14/12*(1+J$5)+$F14*('Sales &amp; Costs'!H$49/2),0)</f>
        <v>0</v>
      </c>
      <c r="K14" s="2">
        <f>IF($D14&lt;=K$8,$E14/12*(1+K$5)+$F14*('Sales &amp; Costs'!I$49/2),0)</f>
        <v>0</v>
      </c>
      <c r="L14" s="2">
        <f>IF($D14&lt;=L$8,$E14/12*(1+L$5)+$F14*('Sales &amp; Costs'!J$49/2),0)</f>
        <v>0</v>
      </c>
      <c r="M14" s="2">
        <f>IF($D14&lt;=M$8,$E14/12*(1+M$5)+$F14*('Sales &amp; Costs'!K$49/2),0)</f>
        <v>0</v>
      </c>
      <c r="N14" s="2">
        <f>IF($D14&lt;=N$8,$E14/12*(1+N$5)+$F14*('Sales &amp; Costs'!L$49/2),0)</f>
        <v>0</v>
      </c>
      <c r="O14" s="2">
        <f>IF($D14&lt;=O$8,$E14/12*(1+O$5)+$F14*('Sales &amp; Costs'!M$49/2),0)</f>
        <v>0</v>
      </c>
      <c r="P14" s="2">
        <f>IF($D14&lt;=P$8,$E14/12*(1+P$5)+$F14*('Sales &amp; Costs'!N$49/2),0)</f>
        <v>0</v>
      </c>
      <c r="Q14" s="2">
        <f>IF($D14&lt;=Q$8,$E14/12*(1+Q$5)+$F14*('Sales &amp; Costs'!O$49/2),0)</f>
        <v>0</v>
      </c>
      <c r="R14" s="2">
        <f>IF($D14&lt;=R$8,$E14/12*(1+R$5)+$F14*('Sales &amp; Costs'!P$49/2),0)</f>
        <v>0</v>
      </c>
      <c r="S14" s="2">
        <f>IF($D14&lt;=S$8,$E14/12*(1+S$5)+$F14*('Sales &amp; Costs'!Q$49/2),0)</f>
        <v>0</v>
      </c>
      <c r="T14" s="2">
        <f>IF($D14&lt;=T$8,$E14/12*(1+T$5)+$F14*('Sales &amp; Costs'!R$49/2),0)</f>
        <v>2832</v>
      </c>
      <c r="U14" s="2">
        <f>IF($D14&lt;=U$8,$E14/12*(1+U$5)+$F14*('Sales &amp; Costs'!S$49/2),0)</f>
        <v>2832</v>
      </c>
      <c r="V14" s="2">
        <f>IF($D14&lt;=V$8,$E14/12*(1+V$5)+$F14*('Sales &amp; Costs'!T$49/2),0)</f>
        <v>2832</v>
      </c>
      <c r="W14" s="2">
        <f>IF($D14&lt;=W$8,$E14/12*(1+W$5)+$F14*('Sales &amp; Costs'!U$49/2),0)</f>
        <v>2832</v>
      </c>
      <c r="X14" s="2">
        <f>IF($D14&lt;=X$8,$E14/12*(1+X$5)+$F14*('Sales &amp; Costs'!V$49/2),0)</f>
        <v>2832</v>
      </c>
      <c r="Y14" s="2">
        <f>IF($D14&lt;=Y$8,$E14/12*(1+Y$5)+$F14*('Sales &amp; Costs'!W$49/2),0)</f>
        <v>2832</v>
      </c>
      <c r="Z14" s="2">
        <f>IF($D14&lt;=Z$8,$E14/12*(1+Z$5)+$F14*('Sales &amp; Costs'!X$49/2),0)</f>
        <v>2916.96</v>
      </c>
      <c r="AA14" s="2">
        <f>IF($D14&lt;=AA$8,$E14/12*(1+AA$5)+$F14*('Sales &amp; Costs'!Y$49/2),0)</f>
        <v>2916.96</v>
      </c>
      <c r="AB14" s="2">
        <f>IF($D14&lt;=AB$8,$E14/12*(1+AB$5)+$F14*('Sales &amp; Costs'!Z$49/2),0)</f>
        <v>2916.96</v>
      </c>
      <c r="AC14" s="2">
        <f>IF($D14&lt;=AC$8,$E14/12*(1+AC$5)+$F14*('Sales &amp; Costs'!AA$49/2),0)</f>
        <v>2916.96</v>
      </c>
      <c r="AD14" s="2">
        <f>IF($D14&lt;=AD$8,$E14/12*(1+AD$5)+$F14*('Sales &amp; Costs'!AB$49/2),0)</f>
        <v>2916.96</v>
      </c>
      <c r="AE14" s="2">
        <f>IF($D14&lt;=AE$8,$E14/12*(1+AE$5)+$F14*('Sales &amp; Costs'!AC$49/2),0)</f>
        <v>2916.96</v>
      </c>
      <c r="AF14" s="2">
        <f>IF($D14&lt;=AF$8,$E14/12*(1+AF$5)+$F14*('Sales &amp; Costs'!AD$49/2),0)</f>
        <v>2916.96</v>
      </c>
      <c r="AG14" s="2">
        <f>IF($D14&lt;=AG$8,$E14/12*(1+AG$5)+$F14*('Sales &amp; Costs'!AE$49/2),0)</f>
        <v>2916.96</v>
      </c>
      <c r="AH14" s="2">
        <f>IF($D14&lt;=AH$8,$E14/12*(1+AH$5)+$F14*('Sales &amp; Costs'!AF$49/2),0)</f>
        <v>2916.96</v>
      </c>
      <c r="AI14" s="2">
        <f>IF($D14&lt;=AI$8,$E14/12*(1+AI$5)+$F14*('Sales &amp; Costs'!AG$49/2),0)</f>
        <v>2916.96</v>
      </c>
      <c r="AJ14" s="2">
        <f>IF($D14&lt;=AJ$8,$E14/12*(1+AJ$5)+$F14*('Sales &amp; Costs'!AH$49/2),0)</f>
        <v>2916.96</v>
      </c>
      <c r="AK14" s="2">
        <f>IF($D14&lt;=AK$8,$E14/12*(1+AK$5)+$F14*('Sales &amp; Costs'!AI$49/2),0)</f>
        <v>2916.96</v>
      </c>
      <c r="AL14" s="2">
        <f>IF($D14&lt;=AL$8,$E14/12*(1+AL$5)+$F14*('Sales &amp; Costs'!AJ$49/2),0)</f>
        <v>3043.4702999999995</v>
      </c>
      <c r="AM14" s="2">
        <f>IF($D14&lt;=AM$8,$E14/12*(1+AM$5)+$F14*('Sales &amp; Costs'!AK$49/2),0)</f>
        <v>3082.4717999999998</v>
      </c>
      <c r="AN14" s="2">
        <f>IF($D14&lt;=AN$8,$E14/12*(1+AN$5)+$F14*('Sales &amp; Costs'!AL$49/2),0)</f>
        <v>3121.4732999999997</v>
      </c>
      <c r="AO14" s="2">
        <f>IF($D14&lt;=AO$8,$E14/12*(1+AO$5)+$F14*('Sales &amp; Costs'!AM$49/2),0)</f>
        <v>3160.4747999999995</v>
      </c>
      <c r="AP14" s="2">
        <f>IF($D14&lt;=AP$8,$E14/12*(1+AP$5)+$F14*('Sales &amp; Costs'!AN$49/2),0)</f>
        <v>3199.4762999999998</v>
      </c>
      <c r="AQ14" s="2">
        <f>IF($D14&lt;=AQ$8,$E14/12*(1+AQ$5)+$F14*('Sales &amp; Costs'!AO$49/2),0)</f>
        <v>3238.4777999999997</v>
      </c>
      <c r="AR14" s="2">
        <f>IF($D14&lt;=AR$8,$E14/12*(1+AR$5)+$F14*('Sales &amp; Costs'!AP$49/2),0)</f>
        <v>3316.4807999999998</v>
      </c>
      <c r="AS14" s="2">
        <f>IF($D14&lt;=AS$8,$E14/12*(1+AS$5)+$F14*('Sales &amp; Costs'!AQ$49/2),0)</f>
        <v>3394.4837999999995</v>
      </c>
      <c r="AT14" s="2">
        <f>IF($D14&lt;=AT$8,$E14/12*(1+AT$5)+$F14*('Sales &amp; Costs'!AR$49/2),0)</f>
        <v>3472.4867999999997</v>
      </c>
      <c r="AU14" s="2">
        <f>IF($D14&lt;=AU$8,$E14/12*(1+AU$5)+$F14*('Sales &amp; Costs'!AS$49/2),0)</f>
        <v>3589.4912999999997</v>
      </c>
      <c r="AV14" s="2">
        <f>IF($D14&lt;=AV$8,$E14/12*(1+AV$5)+$F14*('Sales &amp; Costs'!AT$49/2),0)</f>
        <v>3706.4957999999997</v>
      </c>
      <c r="AW14" s="2">
        <f>IF($D14&lt;=AW$8,$E14/12*(1+AW$5)+$F14*('Sales &amp; Costs'!AU$49/2),0)</f>
        <v>3823.5002999999997</v>
      </c>
      <c r="AX14" s="2">
        <f>IF($D14&lt;=AX$8,$E14/12*(1+AX$5)+$F14*('Sales &amp; Costs'!AV$49/2),0)</f>
        <v>4030.638864</v>
      </c>
      <c r="AY14" s="2">
        <f>IF($D14&lt;=AY$8,$E14/12*(1+AY$5)+$F14*('Sales &amp; Costs'!AW$49/2),0)</f>
        <v>4225.6998640000002</v>
      </c>
      <c r="AZ14" s="2">
        <f>IF($D14&lt;=AZ$8,$E14/12*(1+AZ$5)+$F14*('Sales &amp; Costs'!AX$49/2),0)</f>
        <v>4420.7608639999999</v>
      </c>
      <c r="BA14" s="2">
        <f>IF($D14&lt;=BA$8,$E14/12*(1+BA$5)+$F14*('Sales &amp; Costs'!AY$49/2),0)</f>
        <v>4615.8218639999996</v>
      </c>
      <c r="BB14" s="2">
        <f>IF($D14&lt;=BB$8,$E14/12*(1+BB$5)+$F14*('Sales &amp; Costs'!AZ$49/2),0)</f>
        <v>4849.9378639999995</v>
      </c>
      <c r="BC14" s="2">
        <f>IF($D14&lt;=BC$8,$E14/12*(1+BC$5)+$F14*('Sales &amp; Costs'!BA$49/2),0)</f>
        <v>5123.1088639999998</v>
      </c>
      <c r="BD14" s="2">
        <f>IF($D14&lt;=BD$8,$E14/12*(1+BD$5)+$F14*('Sales &amp; Costs'!BB$49/2),0)</f>
        <v>5318.2768639999995</v>
      </c>
      <c r="BE14" s="2">
        <f>IF($D14&lt;=BE$8,$E14/12*(1+BE$5)+$F14*('Sales &amp; Costs'!BC$49/2),0)</f>
        <v>5591.5548639999997</v>
      </c>
      <c r="BF14" s="2">
        <f>IF($D14&lt;=BF$8,$E14/12*(1+BF$5)+$F14*('Sales &amp; Costs'!BD$49/2),0)</f>
        <v>5825.7778639999997</v>
      </c>
      <c r="BG14" s="2">
        <f>IF($D14&lt;=BG$8,$E14/12*(1+BG$5)+$F14*('Sales &amp; Costs'!BE$49/2),0)</f>
        <v>6255.0618640000002</v>
      </c>
      <c r="BH14" s="2">
        <f>IF($D14&lt;=BH$8,$E14/12*(1+BH$5)+$F14*('Sales &amp; Costs'!BF$49/2),0)</f>
        <v>6489.1778640000002</v>
      </c>
      <c r="BI14" s="2">
        <f>IF($D14&lt;=BI$8,$E14/12*(1+BI$5)+$F14*('Sales &amp; Costs'!BG$49/2),0)</f>
        <v>6723.2938639999993</v>
      </c>
      <c r="BJ14" s="2">
        <f>IF($D14&lt;=BJ$8,$E14/12*(1+BJ$5)+$F14*('Sales &amp; Costs'!BH$49/2),0)</f>
        <v>7050.2479499200008</v>
      </c>
      <c r="BK14" s="2">
        <f>IF($D14&lt;=BK$8,$E14/12*(1+BK$5)+$F14*('Sales &amp; Costs'!BI$49/2),0)</f>
        <v>7225.8349499200012</v>
      </c>
      <c r="BL14" s="2">
        <f>IF($D14&lt;=BL$8,$E14/12*(1+BL$5)+$F14*('Sales &amp; Costs'!BJ$49/2),0)</f>
        <v>7401.4219499200008</v>
      </c>
      <c r="BM14" s="2">
        <f>IF($D14&lt;=BM$8,$E14/12*(1+BM$5)+$F14*('Sales &amp; Costs'!BK$49/2),0)</f>
        <v>7577.0089499200003</v>
      </c>
      <c r="BN14" s="2">
        <f>IF($D14&lt;=BN$8,$E14/12*(1+BN$5)+$F14*('Sales &amp; Costs'!BL$49/2),0)</f>
        <v>7752.5959499199998</v>
      </c>
      <c r="BO14" s="2">
        <f>IF($D14&lt;=BO$8,$E14/12*(1+BO$5)+$F14*('Sales &amp; Costs'!BM$49/2),0)</f>
        <v>7869.6539499200007</v>
      </c>
      <c r="BP14" s="2">
        <f>IF($D14&lt;=BP$8,$E14/12*(1+BP$5)+$F14*('Sales &amp; Costs'!BN$49/2),0)</f>
        <v>7986.7119499199998</v>
      </c>
      <c r="BQ14" s="2">
        <f>IF($D14&lt;=BQ$8,$E14/12*(1+BQ$5)+$F14*('Sales &amp; Costs'!BO$49/2),0)</f>
        <v>8103.7699499200007</v>
      </c>
      <c r="BR14" s="2">
        <f>IF($D14&lt;=BR$8,$E14/12*(1+BR$5)+$F14*('Sales &amp; Costs'!BP$49/2),0)</f>
        <v>8220.8279499200016</v>
      </c>
      <c r="BS14" s="2">
        <f>IF($D14&lt;=BS$8,$E14/12*(1+BS$5)+$F14*('Sales &amp; Costs'!BQ$49/2),0)</f>
        <v>8337.8859499200007</v>
      </c>
      <c r="BT14" s="2">
        <f>IF($D14&lt;=BT$8,$E14/12*(1+BT$5)+$F14*('Sales &amp; Costs'!BR$49/2),0)</f>
        <v>8454.9439499200016</v>
      </c>
      <c r="BU14" s="2">
        <f>IF($D14&lt;=BU$8,$E14/12*(1+BU$5)+$F14*('Sales &amp; Costs'!BS$49/2),0)</f>
        <v>8572.0019499200007</v>
      </c>
      <c r="BV14" s="2">
        <f>IF($D14&lt;=BV$8,$E14/12*(1+BV$5)+$F14*('Sales &amp; Costs'!BT$49/2),0)</f>
        <v>8749.5657784176001</v>
      </c>
      <c r="BW14" s="2">
        <f>IF($D14&lt;=BW$8,$E14/12*(1+BW$5)+$F14*('Sales &amp; Costs'!BU$49/2),0)</f>
        <v>8843.2121784175997</v>
      </c>
      <c r="BX14" s="2">
        <f>IF($D14&lt;=BX$8,$E14/12*(1+BX$5)+$F14*('Sales &amp; Costs'!BV$49/2),0)</f>
        <v>8901.7411784176002</v>
      </c>
      <c r="BY14" s="2">
        <f>IF($D14&lt;=BY$8,$E14/12*(1+BY$5)+$F14*('Sales &amp; Costs'!BW$49/2),0)</f>
        <v>8960.2701784176006</v>
      </c>
      <c r="BZ14" s="2">
        <f>IF($D14&lt;=BZ$8,$E14/12*(1+BZ$5)+$F14*('Sales &amp; Costs'!BX$49/2),0)</f>
        <v>9018.7991784175993</v>
      </c>
      <c r="CA14" s="2">
        <f>IF($D14&lt;=CA$8,$E14/12*(1+CA$5)+$F14*('Sales &amp; Costs'!BY$49/2),0)</f>
        <v>9077.3281784175997</v>
      </c>
      <c r="CC14" s="2">
        <f t="shared" ref="CC14:CC22" si="7">BO14*12</f>
        <v>94435.847399040009</v>
      </c>
    </row>
    <row r="15" spans="1:81" ht="15.75" customHeight="1">
      <c r="C15" s="93" t="s">
        <v>425</v>
      </c>
      <c r="D15" s="96">
        <v>40179</v>
      </c>
      <c r="E15" s="95">
        <f>1200*1.18*12</f>
        <v>16992</v>
      </c>
      <c r="F15" s="183">
        <v>0.02</v>
      </c>
      <c r="H15" s="2">
        <f>IF($D15&lt;=H$8,$E15/12*(1+H$5)+$F15*('Sales &amp; Costs'!F$49/2),0)</f>
        <v>0</v>
      </c>
      <c r="I15" s="2">
        <f>IF($D15&lt;=I$8,$E15/12*(1+I$5)+$F15*('Sales &amp; Costs'!G$49/2),0)</f>
        <v>0</v>
      </c>
      <c r="J15" s="2">
        <f>IF($D15&lt;=J$8,$E15/12*(1+J$5)+$F15*('Sales &amp; Costs'!H$49/2),0)</f>
        <v>0</v>
      </c>
      <c r="K15" s="2">
        <f>IF($D15&lt;=K$8,$E15/12*(1+K$5)+$F15*('Sales &amp; Costs'!I$49/2),0)</f>
        <v>0</v>
      </c>
      <c r="L15" s="2">
        <f>IF($D15&lt;=L$8,$E15/12*(1+L$5)+$F15*('Sales &amp; Costs'!J$49/2),0)</f>
        <v>0</v>
      </c>
      <c r="M15" s="2">
        <f>IF($D15&lt;=M$8,$E15/12*(1+M$5)+$F15*('Sales &amp; Costs'!K$49/2),0)</f>
        <v>0</v>
      </c>
      <c r="N15" s="2">
        <f>IF($D15&lt;=N$8,$E15/12*(1+N$5)+$F15*('Sales &amp; Costs'!L$49/2),0)</f>
        <v>0</v>
      </c>
      <c r="O15" s="2">
        <f>IF($D15&lt;=O$8,$E15/12*(1+O$5)+$F15*('Sales &amp; Costs'!M$49/2),0)</f>
        <v>0</v>
      </c>
      <c r="P15" s="2">
        <f>IF($D15&lt;=P$8,$E15/12*(1+P$5)+$F15*('Sales &amp; Costs'!N$49/2),0)</f>
        <v>0</v>
      </c>
      <c r="Q15" s="2">
        <f>IF($D15&lt;=Q$8,$E15/12*(1+Q$5)+$F15*('Sales &amp; Costs'!O$49/2),0)</f>
        <v>0</v>
      </c>
      <c r="R15" s="2">
        <f>IF($D15&lt;=R$8,$E15/12*(1+R$5)+$F15*('Sales &amp; Costs'!P$49/2),0)</f>
        <v>0</v>
      </c>
      <c r="S15" s="2">
        <f>IF($D15&lt;=S$8,$E15/12*(1+S$5)+$F15*('Sales &amp; Costs'!Q$49/2),0)</f>
        <v>0</v>
      </c>
      <c r="T15" s="2">
        <f>IF($D15&lt;=T$8,$E15/12*(1+T$5)+$F15*('Sales &amp; Costs'!R$49/2),0)</f>
        <v>1416</v>
      </c>
      <c r="U15" s="2">
        <f>IF($D15&lt;=U$8,$E15/12*(1+U$5)+$F15*('Sales &amp; Costs'!S$49/2),0)</f>
        <v>1416</v>
      </c>
      <c r="V15" s="2">
        <f>IF($D15&lt;=V$8,$E15/12*(1+V$5)+$F15*('Sales &amp; Costs'!T$49/2),0)</f>
        <v>1416</v>
      </c>
      <c r="W15" s="2">
        <f>IF($D15&lt;=W$8,$E15/12*(1+W$5)+$F15*('Sales &amp; Costs'!U$49/2),0)</f>
        <v>1416</v>
      </c>
      <c r="X15" s="2">
        <f>IF($D15&lt;=X$8,$E15/12*(1+X$5)+$F15*('Sales &amp; Costs'!V$49/2),0)</f>
        <v>1416</v>
      </c>
      <c r="Y15" s="2">
        <f>IF($D15&lt;=Y$8,$E15/12*(1+Y$5)+$F15*('Sales &amp; Costs'!W$49/2),0)</f>
        <v>1416</v>
      </c>
      <c r="Z15" s="2">
        <f>IF($D15&lt;=Z$8,$E15/12*(1+Z$5)+$F15*('Sales &amp; Costs'!X$49/2),0)</f>
        <v>1458.48</v>
      </c>
      <c r="AA15" s="2">
        <f>IF($D15&lt;=AA$8,$E15/12*(1+AA$5)+$F15*('Sales &amp; Costs'!Y$49/2),0)</f>
        <v>1458.48</v>
      </c>
      <c r="AB15" s="2">
        <f>IF($D15&lt;=AB$8,$E15/12*(1+AB$5)+$F15*('Sales &amp; Costs'!Z$49/2),0)</f>
        <v>1458.48</v>
      </c>
      <c r="AC15" s="2">
        <f>IF($D15&lt;=AC$8,$E15/12*(1+AC$5)+$F15*('Sales &amp; Costs'!AA$49/2),0)</f>
        <v>1458.48</v>
      </c>
      <c r="AD15" s="2">
        <f>IF($D15&lt;=AD$8,$E15/12*(1+AD$5)+$F15*('Sales &amp; Costs'!AB$49/2),0)</f>
        <v>1458.48</v>
      </c>
      <c r="AE15" s="2">
        <f>IF($D15&lt;=AE$8,$E15/12*(1+AE$5)+$F15*('Sales &amp; Costs'!AC$49/2),0)</f>
        <v>1458.48</v>
      </c>
      <c r="AF15" s="2">
        <f>IF($D15&lt;=AF$8,$E15/12*(1+AF$5)+$F15*('Sales &amp; Costs'!AD$49/2),0)</f>
        <v>1458.48</v>
      </c>
      <c r="AG15" s="2">
        <f>IF($D15&lt;=AG$8,$E15/12*(1+AG$5)+$F15*('Sales &amp; Costs'!AE$49/2),0)</f>
        <v>1458.48</v>
      </c>
      <c r="AH15" s="2">
        <f>IF($D15&lt;=AH$8,$E15/12*(1+AH$5)+$F15*('Sales &amp; Costs'!AF$49/2),0)</f>
        <v>1458.48</v>
      </c>
      <c r="AI15" s="2">
        <f>IF($D15&lt;=AI$8,$E15/12*(1+AI$5)+$F15*('Sales &amp; Costs'!AG$49/2),0)</f>
        <v>1458.48</v>
      </c>
      <c r="AJ15" s="2">
        <f>IF($D15&lt;=AJ$8,$E15/12*(1+AJ$5)+$F15*('Sales &amp; Costs'!AH$49/2),0)</f>
        <v>1458.48</v>
      </c>
      <c r="AK15" s="2">
        <f>IF($D15&lt;=AK$8,$E15/12*(1+AK$5)+$F15*('Sales &amp; Costs'!AI$49/2),0)</f>
        <v>1458.48</v>
      </c>
      <c r="AL15" s="2">
        <f>IF($D15&lt;=AL$8,$E15/12*(1+AL$5)+$F15*('Sales &amp; Costs'!AJ$49/2),0)</f>
        <v>1541.2358999999999</v>
      </c>
      <c r="AM15" s="2">
        <f>IF($D15&lt;=AM$8,$E15/12*(1+AM$5)+$F15*('Sales &amp; Costs'!AK$49/2),0)</f>
        <v>1580.2373999999998</v>
      </c>
      <c r="AN15" s="2">
        <f>IF($D15&lt;=AN$8,$E15/12*(1+AN$5)+$F15*('Sales &amp; Costs'!AL$49/2),0)</f>
        <v>1619.2388999999998</v>
      </c>
      <c r="AO15" s="2">
        <f>IF($D15&lt;=AO$8,$E15/12*(1+AO$5)+$F15*('Sales &amp; Costs'!AM$49/2),0)</f>
        <v>1658.2403999999999</v>
      </c>
      <c r="AP15" s="2">
        <f>IF($D15&lt;=AP$8,$E15/12*(1+AP$5)+$F15*('Sales &amp; Costs'!AN$49/2),0)</f>
        <v>1697.2418999999998</v>
      </c>
      <c r="AQ15" s="2">
        <f>IF($D15&lt;=AQ$8,$E15/12*(1+AQ$5)+$F15*('Sales &amp; Costs'!AO$49/2),0)</f>
        <v>1736.2433999999998</v>
      </c>
      <c r="AR15" s="2">
        <f>IF($D15&lt;=AR$8,$E15/12*(1+AR$5)+$F15*('Sales &amp; Costs'!AP$49/2),0)</f>
        <v>1814.2463999999998</v>
      </c>
      <c r="AS15" s="2">
        <f>IF($D15&lt;=AS$8,$E15/12*(1+AS$5)+$F15*('Sales &amp; Costs'!AQ$49/2),0)</f>
        <v>1892.2493999999997</v>
      </c>
      <c r="AT15" s="2">
        <f>IF($D15&lt;=AT$8,$E15/12*(1+AT$5)+$F15*('Sales &amp; Costs'!AR$49/2),0)</f>
        <v>1970.2523999999999</v>
      </c>
      <c r="AU15" s="2">
        <f>IF($D15&lt;=AU$8,$E15/12*(1+AU$5)+$F15*('Sales &amp; Costs'!AS$49/2),0)</f>
        <v>2087.2568999999999</v>
      </c>
      <c r="AV15" s="2">
        <f>IF($D15&lt;=AV$8,$E15/12*(1+AV$5)+$F15*('Sales &amp; Costs'!AT$49/2),0)</f>
        <v>2204.2613999999999</v>
      </c>
      <c r="AW15" s="2">
        <f>IF($D15&lt;=AW$8,$E15/12*(1+AW$5)+$F15*('Sales &amp; Costs'!AU$49/2),0)</f>
        <v>2321.2658999999999</v>
      </c>
      <c r="AX15" s="2">
        <f>IF($D15&lt;=AX$8,$E15/12*(1+AX$5)+$F15*('Sales &amp; Costs'!AV$49/2),0)</f>
        <v>2483.3374320000003</v>
      </c>
      <c r="AY15" s="2">
        <f>IF($D15&lt;=AY$8,$E15/12*(1+AY$5)+$F15*('Sales &amp; Costs'!AW$49/2),0)</f>
        <v>2678.398432</v>
      </c>
      <c r="AZ15" s="2">
        <f>IF($D15&lt;=AZ$8,$E15/12*(1+AZ$5)+$F15*('Sales &amp; Costs'!AX$49/2),0)</f>
        <v>2873.4594319999997</v>
      </c>
      <c r="BA15" s="2">
        <f>IF($D15&lt;=BA$8,$E15/12*(1+BA$5)+$F15*('Sales &amp; Costs'!AY$49/2),0)</f>
        <v>3068.5204320000003</v>
      </c>
      <c r="BB15" s="2">
        <f>IF($D15&lt;=BB$8,$E15/12*(1+BB$5)+$F15*('Sales &amp; Costs'!AZ$49/2),0)</f>
        <v>3302.6364320000002</v>
      </c>
      <c r="BC15" s="2">
        <f>IF($D15&lt;=BC$8,$E15/12*(1+BC$5)+$F15*('Sales &amp; Costs'!BA$49/2),0)</f>
        <v>3575.8074320000001</v>
      </c>
      <c r="BD15" s="2">
        <f>IF($D15&lt;=BD$8,$E15/12*(1+BD$5)+$F15*('Sales &amp; Costs'!BB$49/2),0)</f>
        <v>3770.9754320000002</v>
      </c>
      <c r="BE15" s="2">
        <f>IF($D15&lt;=BE$8,$E15/12*(1+BE$5)+$F15*('Sales &amp; Costs'!BC$49/2),0)</f>
        <v>4044.2534320000004</v>
      </c>
      <c r="BF15" s="2">
        <f>IF($D15&lt;=BF$8,$E15/12*(1+BF$5)+$F15*('Sales &amp; Costs'!BD$49/2),0)</f>
        <v>4278.4764320000004</v>
      </c>
      <c r="BG15" s="2">
        <f>IF($D15&lt;=BG$8,$E15/12*(1+BG$5)+$F15*('Sales &amp; Costs'!BE$49/2),0)</f>
        <v>4707.760432</v>
      </c>
      <c r="BH15" s="2">
        <f>IF($D15&lt;=BH$8,$E15/12*(1+BH$5)+$F15*('Sales &amp; Costs'!BF$49/2),0)</f>
        <v>4941.876432</v>
      </c>
      <c r="BI15" s="2">
        <f>IF($D15&lt;=BI$8,$E15/12*(1+BI$5)+$F15*('Sales &amp; Costs'!BG$49/2),0)</f>
        <v>5175.992432</v>
      </c>
      <c r="BJ15" s="2">
        <f>IF($D15&lt;=BJ$8,$E15/12*(1+BJ$5)+$F15*('Sales &amp; Costs'!BH$49/2),0)</f>
        <v>5456.5274749600003</v>
      </c>
      <c r="BK15" s="2">
        <f>IF($D15&lt;=BK$8,$E15/12*(1+BK$5)+$F15*('Sales &amp; Costs'!BI$49/2),0)</f>
        <v>5632.1144749600007</v>
      </c>
      <c r="BL15" s="2">
        <f>IF($D15&lt;=BL$8,$E15/12*(1+BL$5)+$F15*('Sales &amp; Costs'!BJ$49/2),0)</f>
        <v>5807.7014749600003</v>
      </c>
      <c r="BM15" s="2">
        <f>IF($D15&lt;=BM$8,$E15/12*(1+BM$5)+$F15*('Sales &amp; Costs'!BK$49/2),0)</f>
        <v>5983.2884749600007</v>
      </c>
      <c r="BN15" s="2">
        <f>IF($D15&lt;=BN$8,$E15/12*(1+BN$5)+$F15*('Sales &amp; Costs'!BL$49/2),0)</f>
        <v>6158.8754749600002</v>
      </c>
      <c r="BO15" s="2">
        <f>IF($D15&lt;=BO$8,$E15/12*(1+BO$5)+$F15*('Sales &amp; Costs'!BM$49/2),0)</f>
        <v>6275.9334749600002</v>
      </c>
      <c r="BP15" s="2">
        <f>IF($D15&lt;=BP$8,$E15/12*(1+BP$5)+$F15*('Sales &amp; Costs'!BN$49/2),0)</f>
        <v>6392.9914749600002</v>
      </c>
      <c r="BQ15" s="2">
        <f>IF($D15&lt;=BQ$8,$E15/12*(1+BQ$5)+$F15*('Sales &amp; Costs'!BO$49/2),0)</f>
        <v>6510.0494749600011</v>
      </c>
      <c r="BR15" s="2">
        <f>IF($D15&lt;=BR$8,$E15/12*(1+BR$5)+$F15*('Sales &amp; Costs'!BP$49/2),0)</f>
        <v>6627.1074749600011</v>
      </c>
      <c r="BS15" s="2">
        <f>IF($D15&lt;=BS$8,$E15/12*(1+BS$5)+$F15*('Sales &amp; Costs'!BQ$49/2),0)</f>
        <v>6744.1654749600002</v>
      </c>
      <c r="BT15" s="2">
        <f>IF($D15&lt;=BT$8,$E15/12*(1+BT$5)+$F15*('Sales &amp; Costs'!BR$49/2),0)</f>
        <v>6861.2234749600011</v>
      </c>
      <c r="BU15" s="2">
        <f>IF($D15&lt;=BU$8,$E15/12*(1+BU$5)+$F15*('Sales &amp; Costs'!BS$49/2),0)</f>
        <v>6978.2814749600002</v>
      </c>
      <c r="BV15" s="2">
        <f>IF($D15&lt;=BV$8,$E15/12*(1+BV$5)+$F15*('Sales &amp; Costs'!BT$49/2),0)</f>
        <v>7108.0336892088008</v>
      </c>
      <c r="BW15" s="2">
        <f>IF($D15&lt;=BW$8,$E15/12*(1+BW$5)+$F15*('Sales &amp; Costs'!BU$49/2),0)</f>
        <v>7201.6800892088004</v>
      </c>
      <c r="BX15" s="2">
        <f>IF($D15&lt;=BX$8,$E15/12*(1+BX$5)+$F15*('Sales &amp; Costs'!BV$49/2),0)</f>
        <v>7260.2090892087999</v>
      </c>
      <c r="BY15" s="2">
        <f>IF($D15&lt;=BY$8,$E15/12*(1+BY$5)+$F15*('Sales &amp; Costs'!BW$49/2),0)</f>
        <v>7318.7380892088004</v>
      </c>
      <c r="BZ15" s="2">
        <f>IF($D15&lt;=BZ$8,$E15/12*(1+BZ$5)+$F15*('Sales &amp; Costs'!BX$49/2),0)</f>
        <v>7377.2670892087999</v>
      </c>
      <c r="CA15" s="2">
        <f>IF($D15&lt;=CA$8,$E15/12*(1+CA$5)+$F15*('Sales &amp; Costs'!BY$49/2),0)</f>
        <v>7435.7960892088004</v>
      </c>
      <c r="CC15" s="2">
        <f t="shared" si="7"/>
        <v>75311.201699519996</v>
      </c>
    </row>
    <row r="16" spans="1:81" ht="15.75" customHeight="1">
      <c r="C16" s="272" t="s">
        <v>365</v>
      </c>
      <c r="D16" s="96">
        <v>40513</v>
      </c>
      <c r="E16" s="95">
        <f>2500*12</f>
        <v>30000</v>
      </c>
      <c r="F16" s="183">
        <v>0</v>
      </c>
      <c r="H16" s="2">
        <f>IF($D16&lt;=H$8,$E16/12*(1+H$5)+$F16*('Sales &amp; Costs'!F$49/2),0)</f>
        <v>0</v>
      </c>
      <c r="I16" s="2">
        <f>IF($D16&lt;=I$8,$E16/12*(1+I$5)+$F16*('Sales &amp; Costs'!G$49/2),0)</f>
        <v>0</v>
      </c>
      <c r="J16" s="2">
        <f>IF($D16&lt;=J$8,$E16/12*(1+J$5)+$F16*('Sales &amp; Costs'!H$49/2),0)</f>
        <v>0</v>
      </c>
      <c r="K16" s="2">
        <f>IF($D16&lt;=K$8,$E16/12*(1+K$5)+$F16*('Sales &amp; Costs'!I$49/2),0)</f>
        <v>0</v>
      </c>
      <c r="L16" s="2">
        <f>IF($D16&lt;=L$8,$E16/12*(1+L$5)+$F16*('Sales &amp; Costs'!J$49/2),0)</f>
        <v>0</v>
      </c>
      <c r="M16" s="2">
        <f>IF($D16&lt;=M$8,$E16/12*(1+M$5)+$F16*('Sales &amp; Costs'!K$49/2),0)</f>
        <v>0</v>
      </c>
      <c r="N16" s="2">
        <f>IF($D16&lt;=N$8,$E16/12*(1+N$5)+$F16*('Sales &amp; Costs'!L$49/2),0)</f>
        <v>0</v>
      </c>
      <c r="O16" s="2">
        <f>IF($D16&lt;=O$8,$E16/12*(1+O$5)+$F16*('Sales &amp; Costs'!M$49/2),0)</f>
        <v>0</v>
      </c>
      <c r="P16" s="2">
        <f>IF($D16&lt;=P$8,$E16/12*(1+P$5)+$F16*('Sales &amp; Costs'!N$49/2),0)</f>
        <v>0</v>
      </c>
      <c r="Q16" s="2">
        <f>IF($D16&lt;=Q$8,$E16/12*(1+Q$5)+$F16*('Sales &amp; Costs'!O$49/2),0)</f>
        <v>0</v>
      </c>
      <c r="R16" s="2">
        <f>IF($D16&lt;=R$8,$E16/12*(1+R$5)+$F16*('Sales &amp; Costs'!P$49/2),0)</f>
        <v>0</v>
      </c>
      <c r="S16" s="2">
        <f>IF($D16&lt;=S$8,$E16/12*(1+S$5)+$F16*('Sales &amp; Costs'!Q$49/2),0)</f>
        <v>0</v>
      </c>
      <c r="T16" s="2">
        <f>IF($D16&lt;=T$8,$E16/12*(1+T$5)+$F16*('Sales &amp; Costs'!R$49/2),0)</f>
        <v>0</v>
      </c>
      <c r="U16" s="2">
        <f>IF($D16&lt;=U$8,$E16/12*(1+U$5)+$F16*('Sales &amp; Costs'!S$49/2),0)</f>
        <v>0</v>
      </c>
      <c r="V16" s="2">
        <f>IF($D16&lt;=V$8,$E16/12*(1+V$5)+$F16*('Sales &amp; Costs'!T$49/2),0)</f>
        <v>0</v>
      </c>
      <c r="W16" s="2">
        <f>IF($D16&lt;=W$8,$E16/12*(1+W$5)+$F16*('Sales &amp; Costs'!U$49/2),0)</f>
        <v>0</v>
      </c>
      <c r="X16" s="2">
        <f>IF($D16&lt;=X$8,$E16/12*(1+X$5)+$F16*('Sales &amp; Costs'!V$49/2),0)</f>
        <v>0</v>
      </c>
      <c r="Y16" s="2">
        <f>IF($D16&lt;=Y$8,$E16/12*(1+Y$5)+$F16*('Sales &amp; Costs'!W$49/2),0)</f>
        <v>0</v>
      </c>
      <c r="Z16" s="2">
        <f>IF($D16&lt;=Z$8,$E16/12*(1+Z$5)+$F16*('Sales &amp; Costs'!X$49/2),0)</f>
        <v>0</v>
      </c>
      <c r="AA16" s="2">
        <f>IF($D16&lt;=AA$8,$E16/12*(1+AA$5)+$F16*('Sales &amp; Costs'!Y$49/2),0)</f>
        <v>0</v>
      </c>
      <c r="AB16" s="2">
        <f>IF($D16&lt;=AB$8,$E16/12*(1+AB$5)+$F16*('Sales &amp; Costs'!Z$49/2),0)</f>
        <v>0</v>
      </c>
      <c r="AC16" s="2">
        <f>IF($D16&lt;=AC$8,$E16/12*(1+AC$5)+$F16*('Sales &amp; Costs'!AA$49/2),0)</f>
        <v>0</v>
      </c>
      <c r="AD16" s="2">
        <f>IF($D16&lt;=AD$8,$E16/12*(1+AD$5)+$F16*('Sales &amp; Costs'!AB$49/2),0)</f>
        <v>0</v>
      </c>
      <c r="AE16" s="2">
        <f>IF($D16&lt;=AE$8,$E16/12*(1+AE$5)+$F16*('Sales &amp; Costs'!AC$49/2),0)</f>
        <v>2575</v>
      </c>
      <c r="AF16" s="2">
        <f>IF($D16&lt;=AF$8,$E16/12*(1+AF$5)+$F16*('Sales &amp; Costs'!AD$49/2),0)</f>
        <v>2575</v>
      </c>
      <c r="AG16" s="2">
        <f>IF($D16&lt;=AG$8,$E16/12*(1+AG$5)+$F16*('Sales &amp; Costs'!AE$49/2),0)</f>
        <v>2575</v>
      </c>
      <c r="AH16" s="2">
        <f>IF($D16&lt;=AH$8,$E16/12*(1+AH$5)+$F16*('Sales &amp; Costs'!AF$49/2),0)</f>
        <v>2575</v>
      </c>
      <c r="AI16" s="2">
        <f>IF($D16&lt;=AI$8,$E16/12*(1+AI$5)+$F16*('Sales &amp; Costs'!AG$49/2),0)</f>
        <v>2575</v>
      </c>
      <c r="AJ16" s="2">
        <f>IF($D16&lt;=AJ$8,$E16/12*(1+AJ$5)+$F16*('Sales &amp; Costs'!AH$49/2),0)</f>
        <v>2575</v>
      </c>
      <c r="AK16" s="2">
        <f>IF($D16&lt;=AK$8,$E16/12*(1+AK$5)+$F16*('Sales &amp; Costs'!AI$49/2),0)</f>
        <v>2575</v>
      </c>
      <c r="AL16" s="2">
        <f>IF($D16&lt;=AL$8,$E16/12*(1+AL$5)+$F16*('Sales &amp; Costs'!AJ$49/2),0)</f>
        <v>2652.25</v>
      </c>
      <c r="AM16" s="2">
        <f>IF($D16&lt;=AM$8,$E16/12*(1+AM$5)+$F16*('Sales &amp; Costs'!AK$49/2),0)</f>
        <v>2652.25</v>
      </c>
      <c r="AN16" s="2">
        <f>IF($D16&lt;=AN$8,$E16/12*(1+AN$5)+$F16*('Sales &amp; Costs'!AL$49/2),0)</f>
        <v>2652.25</v>
      </c>
      <c r="AO16" s="2">
        <f>IF($D16&lt;=AO$8,$E16/12*(1+AO$5)+$F16*('Sales &amp; Costs'!AM$49/2),0)</f>
        <v>2652.25</v>
      </c>
      <c r="AP16" s="2">
        <f>IF($D16&lt;=AP$8,$E16/12*(1+AP$5)+$F16*('Sales &amp; Costs'!AN$49/2),0)</f>
        <v>2652.25</v>
      </c>
      <c r="AQ16" s="2">
        <f>IF($D16&lt;=AQ$8,$E16/12*(1+AQ$5)+$F16*('Sales &amp; Costs'!AO$49/2),0)</f>
        <v>2652.25</v>
      </c>
      <c r="AR16" s="2">
        <f>IF($D16&lt;=AR$8,$E16/12*(1+AR$5)+$F16*('Sales &amp; Costs'!AP$49/2),0)</f>
        <v>2652.25</v>
      </c>
      <c r="AS16" s="2">
        <f>IF($D16&lt;=AS$8,$E16/12*(1+AS$5)+$F16*('Sales &amp; Costs'!AQ$49/2),0)</f>
        <v>2652.25</v>
      </c>
      <c r="AT16" s="2">
        <f>IF($D16&lt;=AT$8,$E16/12*(1+AT$5)+$F16*('Sales &amp; Costs'!AR$49/2),0)</f>
        <v>2652.25</v>
      </c>
      <c r="AU16" s="2">
        <f>IF($D16&lt;=AU$8,$E16/12*(1+AU$5)+$F16*('Sales &amp; Costs'!AS$49/2),0)</f>
        <v>2652.25</v>
      </c>
      <c r="AV16" s="2">
        <f>IF($D16&lt;=AV$8,$E16/12*(1+AV$5)+$F16*('Sales &amp; Costs'!AT$49/2),0)</f>
        <v>2652.25</v>
      </c>
      <c r="AW16" s="2">
        <f>IF($D16&lt;=AW$8,$E16/12*(1+AW$5)+$F16*('Sales &amp; Costs'!AU$49/2),0)</f>
        <v>2652.25</v>
      </c>
      <c r="AX16" s="2">
        <f>IF($D16&lt;=AX$8,$E16/12*(1+AX$5)+$F16*('Sales &amp; Costs'!AV$49/2),0)</f>
        <v>2731.8175000000001</v>
      </c>
      <c r="AY16" s="2">
        <f>IF($D16&lt;=AY$8,$E16/12*(1+AY$5)+$F16*('Sales &amp; Costs'!AW$49/2),0)</f>
        <v>2731.8175000000001</v>
      </c>
      <c r="AZ16" s="2">
        <f>IF($D16&lt;=AZ$8,$E16/12*(1+AZ$5)+$F16*('Sales &amp; Costs'!AX$49/2),0)</f>
        <v>2731.8175000000001</v>
      </c>
      <c r="BA16" s="2">
        <f>IF($D16&lt;=BA$8,$E16/12*(1+BA$5)+$F16*('Sales &amp; Costs'!AY$49/2),0)</f>
        <v>2731.8175000000001</v>
      </c>
      <c r="BB16" s="2">
        <f>IF($D16&lt;=BB$8,$E16/12*(1+BB$5)+$F16*('Sales &amp; Costs'!AZ$49/2),0)</f>
        <v>2731.8175000000001</v>
      </c>
      <c r="BC16" s="2">
        <f>IF($D16&lt;=BC$8,$E16/12*(1+BC$5)+$F16*('Sales &amp; Costs'!BA$49/2),0)</f>
        <v>2731.8175000000001</v>
      </c>
      <c r="BD16" s="2">
        <f>IF($D16&lt;=BD$8,$E16/12*(1+BD$5)+$F16*('Sales &amp; Costs'!BB$49/2),0)</f>
        <v>2731.8175000000001</v>
      </c>
      <c r="BE16" s="2">
        <f>IF($D16&lt;=BE$8,$E16/12*(1+BE$5)+$F16*('Sales &amp; Costs'!BC$49/2),0)</f>
        <v>2731.8175000000001</v>
      </c>
      <c r="BF16" s="2">
        <f>IF($D16&lt;=BF$8,$E16/12*(1+BF$5)+$F16*('Sales &amp; Costs'!BD$49/2),0)</f>
        <v>2731.8175000000001</v>
      </c>
      <c r="BG16" s="2">
        <f>IF($D16&lt;=BG$8,$E16/12*(1+BG$5)+$F16*('Sales &amp; Costs'!BE$49/2),0)</f>
        <v>2731.8175000000001</v>
      </c>
      <c r="BH16" s="2">
        <f>IF($D16&lt;=BH$8,$E16/12*(1+BH$5)+$F16*('Sales &amp; Costs'!BF$49/2),0)</f>
        <v>2731.8175000000001</v>
      </c>
      <c r="BI16" s="2">
        <f>IF($D16&lt;=BI$8,$E16/12*(1+BI$5)+$F16*('Sales &amp; Costs'!BG$49/2),0)</f>
        <v>2731.8175000000001</v>
      </c>
      <c r="BJ16" s="2">
        <f>IF($D16&lt;=BJ$8,$E16/12*(1+BJ$5)+$F16*('Sales &amp; Costs'!BH$49/2),0)</f>
        <v>2813.7720250000002</v>
      </c>
      <c r="BK16" s="2">
        <f>IF($D16&lt;=BK$8,$E16/12*(1+BK$5)+$F16*('Sales &amp; Costs'!BI$49/2),0)</f>
        <v>2813.7720250000002</v>
      </c>
      <c r="BL16" s="2">
        <f>IF($D16&lt;=BL$8,$E16/12*(1+BL$5)+$F16*('Sales &amp; Costs'!BJ$49/2),0)</f>
        <v>2813.7720250000002</v>
      </c>
      <c r="BM16" s="2">
        <f>IF($D16&lt;=BM$8,$E16/12*(1+BM$5)+$F16*('Sales &amp; Costs'!BK$49/2),0)</f>
        <v>2813.7720250000002</v>
      </c>
      <c r="BN16" s="2">
        <f>IF($D16&lt;=BN$8,$E16/12*(1+BN$5)+$F16*('Sales &amp; Costs'!BL$49/2),0)</f>
        <v>2813.7720250000002</v>
      </c>
      <c r="BO16" s="2">
        <f>IF($D16&lt;=BO$8,$E16/12*(1+BO$5)+$F16*('Sales &amp; Costs'!BM$49/2),0)</f>
        <v>2813.7720250000002</v>
      </c>
      <c r="BP16" s="2">
        <f>IF($D16&lt;=BP$8,$E16/12*(1+BP$5)+$F16*('Sales &amp; Costs'!BN$49/2),0)</f>
        <v>2813.7720250000002</v>
      </c>
      <c r="BQ16" s="2">
        <f>IF($D16&lt;=BQ$8,$E16/12*(1+BQ$5)+$F16*('Sales &amp; Costs'!BO$49/2),0)</f>
        <v>2813.7720250000002</v>
      </c>
      <c r="BR16" s="2">
        <f>IF($D16&lt;=BR$8,$E16/12*(1+BR$5)+$F16*('Sales &amp; Costs'!BP$49/2),0)</f>
        <v>2813.7720250000002</v>
      </c>
      <c r="BS16" s="2">
        <f>IF($D16&lt;=BS$8,$E16/12*(1+BS$5)+$F16*('Sales &amp; Costs'!BQ$49/2),0)</f>
        <v>2813.7720250000002</v>
      </c>
      <c r="BT16" s="2">
        <f>IF($D16&lt;=BT$8,$E16/12*(1+BT$5)+$F16*('Sales &amp; Costs'!BR$49/2),0)</f>
        <v>2813.7720250000002</v>
      </c>
      <c r="BU16" s="2">
        <f>IF($D16&lt;=BU$8,$E16/12*(1+BU$5)+$F16*('Sales &amp; Costs'!BS$49/2),0)</f>
        <v>2813.7720250000002</v>
      </c>
      <c r="BV16" s="2">
        <f>IF($D16&lt;=BV$8,$E16/12*(1+BV$5)+$F16*('Sales &amp; Costs'!BT$49/2),0)</f>
        <v>2898.1851857500001</v>
      </c>
      <c r="BW16" s="2">
        <f>IF($D16&lt;=BW$8,$E16/12*(1+BW$5)+$F16*('Sales &amp; Costs'!BU$49/2),0)</f>
        <v>2898.1851857500001</v>
      </c>
      <c r="BX16" s="2">
        <f>IF($D16&lt;=BX$8,$E16/12*(1+BX$5)+$F16*('Sales &amp; Costs'!BV$49/2),0)</f>
        <v>2898.1851857500001</v>
      </c>
      <c r="BY16" s="2">
        <f>IF($D16&lt;=BY$8,$E16/12*(1+BY$5)+$F16*('Sales &amp; Costs'!BW$49/2),0)</f>
        <v>2898.1851857500001</v>
      </c>
      <c r="BZ16" s="2">
        <f>IF($D16&lt;=BZ$8,$E16/12*(1+BZ$5)+$F16*('Sales &amp; Costs'!BX$49/2),0)</f>
        <v>2898.1851857500001</v>
      </c>
      <c r="CA16" s="2">
        <f>IF($D16&lt;=CA$8,$E16/12*(1+CA$5)+$F16*('Sales &amp; Costs'!BY$49/2),0)</f>
        <v>2898.1851857500001</v>
      </c>
      <c r="CC16" s="2">
        <f t="shared" si="7"/>
        <v>33765.264300000003</v>
      </c>
    </row>
    <row r="17" spans="1:81" ht="15.75" customHeight="1">
      <c r="C17" s="271" t="s">
        <v>366</v>
      </c>
      <c r="D17" s="96">
        <v>40664</v>
      </c>
      <c r="E17" s="95">
        <v>40000</v>
      </c>
      <c r="F17" s="183">
        <v>0</v>
      </c>
      <c r="H17" s="2">
        <f>IF($D17&lt;=H$8,$E17/12*(1+H$5)+$F17*('Sales &amp; Costs'!F$49/2),0)</f>
        <v>0</v>
      </c>
      <c r="I17" s="2">
        <f>IF($D17&lt;=I$8,$E17/12*(1+I$5)+$F17*('Sales &amp; Costs'!G$49/2),0)</f>
        <v>0</v>
      </c>
      <c r="J17" s="2">
        <f>IF($D17&lt;=J$8,$E17/12*(1+J$5)+$F17*('Sales &amp; Costs'!H$49/2),0)</f>
        <v>0</v>
      </c>
      <c r="K17" s="2">
        <f>IF($D17&lt;=K$8,$E17/12*(1+K$5)+$F17*('Sales &amp; Costs'!I$49/2),0)</f>
        <v>0</v>
      </c>
      <c r="L17" s="2">
        <f>IF($D17&lt;=L$8,$E17/12*(1+L$5)+$F17*('Sales &amp; Costs'!J$49/2),0)</f>
        <v>0</v>
      </c>
      <c r="M17" s="2">
        <f>IF($D17&lt;=M$8,$E17/12*(1+M$5)+$F17*('Sales &amp; Costs'!K$49/2),0)</f>
        <v>0</v>
      </c>
      <c r="N17" s="2">
        <f>IF($D17&lt;=N$8,$E17/12*(1+N$5)+$F17*('Sales &amp; Costs'!L$49/2),0)</f>
        <v>0</v>
      </c>
      <c r="O17" s="2">
        <f>IF($D17&lt;=O$8,$E17/12*(1+O$5)+$F17*('Sales &amp; Costs'!M$49/2),0)</f>
        <v>0</v>
      </c>
      <c r="P17" s="2">
        <f>IF($D17&lt;=P$8,$E17/12*(1+P$5)+$F17*('Sales &amp; Costs'!N$49/2),0)</f>
        <v>0</v>
      </c>
      <c r="Q17" s="2">
        <f>IF($D17&lt;=Q$8,$E17/12*(1+Q$5)+$F17*('Sales &amp; Costs'!O$49/2),0)</f>
        <v>0</v>
      </c>
      <c r="R17" s="2">
        <f>IF($D17&lt;=R$8,$E17/12*(1+R$5)+$F17*('Sales &amp; Costs'!P$49/2),0)</f>
        <v>0</v>
      </c>
      <c r="S17" s="2">
        <f>IF($D17&lt;=S$8,$E17/12*(1+S$5)+$F17*('Sales &amp; Costs'!Q$49/2),0)</f>
        <v>0</v>
      </c>
      <c r="T17" s="2">
        <f>IF($D17&lt;=T$8,$E17/12*(1+T$5)+$F17*('Sales &amp; Costs'!R$49/2),0)</f>
        <v>0</v>
      </c>
      <c r="U17" s="2">
        <f>IF($D17&lt;=U$8,$E17/12*(1+U$5)+$F17*('Sales &amp; Costs'!S$49/2),0)</f>
        <v>0</v>
      </c>
      <c r="V17" s="2">
        <f>IF($D17&lt;=V$8,$E17/12*(1+V$5)+$F17*('Sales &amp; Costs'!T$49/2),0)</f>
        <v>0</v>
      </c>
      <c r="W17" s="2">
        <f>IF($D17&lt;=W$8,$E17/12*(1+W$5)+$F17*('Sales &amp; Costs'!U$49/2),0)</f>
        <v>0</v>
      </c>
      <c r="X17" s="2">
        <f>IF($D17&lt;=X$8,$E17/12*(1+X$5)+$F17*('Sales &amp; Costs'!V$49/2),0)</f>
        <v>0</v>
      </c>
      <c r="Y17" s="2">
        <f>IF($D17&lt;=Y$8,$E17/12*(1+Y$5)+$F17*('Sales &amp; Costs'!W$49/2),0)</f>
        <v>0</v>
      </c>
      <c r="Z17" s="2">
        <f>IF($D17&lt;=Z$8,$E17/12*(1+Z$5)+$F17*('Sales &amp; Costs'!X$49/2),0)</f>
        <v>0</v>
      </c>
      <c r="AA17" s="2">
        <f>IF($D17&lt;=AA$8,$E17/12*(1+AA$5)+$F17*('Sales &amp; Costs'!Y$49/2),0)</f>
        <v>0</v>
      </c>
      <c r="AB17" s="2">
        <f>IF($D17&lt;=AB$8,$E17/12*(1+AB$5)+$F17*('Sales &amp; Costs'!Z$49/2),0)</f>
        <v>0</v>
      </c>
      <c r="AC17" s="2">
        <f>IF($D17&lt;=AC$8,$E17/12*(1+AC$5)+$F17*('Sales &amp; Costs'!AA$49/2),0)</f>
        <v>0</v>
      </c>
      <c r="AD17" s="2">
        <f>IF($D17&lt;=AD$8,$E17/12*(1+AD$5)+$F17*('Sales &amp; Costs'!AB$49/2),0)</f>
        <v>0</v>
      </c>
      <c r="AE17" s="2">
        <f>IF($D17&lt;=AE$8,$E17/12*(1+AE$5)+$F17*('Sales &amp; Costs'!AC$49/2),0)</f>
        <v>0</v>
      </c>
      <c r="AF17" s="2">
        <f>IF($D17&lt;=AF$8,$E17/12*(1+AF$5)+$F17*('Sales &amp; Costs'!AD$49/2),0)</f>
        <v>0</v>
      </c>
      <c r="AG17" s="2">
        <f>IF($D17&lt;=AG$8,$E17/12*(1+AG$5)+$F17*('Sales &amp; Costs'!AE$49/2),0)</f>
        <v>0</v>
      </c>
      <c r="AH17" s="2">
        <f>IF($D17&lt;=AH$8,$E17/12*(1+AH$5)+$F17*('Sales &amp; Costs'!AF$49/2),0)</f>
        <v>0</v>
      </c>
      <c r="AI17" s="2">
        <f>IF($D17&lt;=AI$8,$E17/12*(1+AI$5)+$F17*('Sales &amp; Costs'!AG$49/2),0)</f>
        <v>0</v>
      </c>
      <c r="AJ17" s="2">
        <f>IF($D17&lt;=AJ$8,$E17/12*(1+AJ$5)+$F17*('Sales &amp; Costs'!AH$49/2),0)</f>
        <v>3433.3333333333335</v>
      </c>
      <c r="AK17" s="2">
        <f>IF($D17&lt;=AK$8,$E17/12*(1+AK$5)+$F17*('Sales &amp; Costs'!AI$49/2),0)</f>
        <v>3433.3333333333335</v>
      </c>
      <c r="AL17" s="2">
        <f>IF($D17&lt;=AL$8,$E17/12*(1+AL$5)+$F17*('Sales &amp; Costs'!AJ$49/2),0)</f>
        <v>3536.3333333333335</v>
      </c>
      <c r="AM17" s="2">
        <f>IF($D17&lt;=AM$8,$E17/12*(1+AM$5)+$F17*('Sales &amp; Costs'!AK$49/2),0)</f>
        <v>3536.3333333333335</v>
      </c>
      <c r="AN17" s="2">
        <f>IF($D17&lt;=AN$8,$E17/12*(1+AN$5)+$F17*('Sales &amp; Costs'!AL$49/2),0)</f>
        <v>3536.3333333333335</v>
      </c>
      <c r="AO17" s="2">
        <f>IF($D17&lt;=AO$8,$E17/12*(1+AO$5)+$F17*('Sales &amp; Costs'!AM$49/2),0)</f>
        <v>3536.3333333333335</v>
      </c>
      <c r="AP17" s="2">
        <f>IF($D17&lt;=AP$8,$E17/12*(1+AP$5)+$F17*('Sales &amp; Costs'!AN$49/2),0)</f>
        <v>3536.3333333333335</v>
      </c>
      <c r="AQ17" s="2">
        <f>IF($D17&lt;=AQ$8,$E17/12*(1+AQ$5)+$F17*('Sales &amp; Costs'!AO$49/2),0)</f>
        <v>3536.3333333333335</v>
      </c>
      <c r="AR17" s="2">
        <f>IF($D17&lt;=AR$8,$E17/12*(1+AR$5)+$F17*('Sales &amp; Costs'!AP$49/2),0)</f>
        <v>3536.3333333333335</v>
      </c>
      <c r="AS17" s="2">
        <f>IF($D17&lt;=AS$8,$E17/12*(1+AS$5)+$F17*('Sales &amp; Costs'!AQ$49/2),0)</f>
        <v>3536.3333333333335</v>
      </c>
      <c r="AT17" s="2">
        <f>IF($D17&lt;=AT$8,$E17/12*(1+AT$5)+$F17*('Sales &amp; Costs'!AR$49/2),0)</f>
        <v>3536.3333333333335</v>
      </c>
      <c r="AU17" s="2">
        <f>IF($D17&lt;=AU$8,$E17/12*(1+AU$5)+$F17*('Sales &amp; Costs'!AS$49/2),0)</f>
        <v>3536.3333333333335</v>
      </c>
      <c r="AV17" s="2">
        <f>IF($D17&lt;=AV$8,$E17/12*(1+AV$5)+$F17*('Sales &amp; Costs'!AT$49/2),0)</f>
        <v>3536.3333333333335</v>
      </c>
      <c r="AW17" s="2">
        <f>IF($D17&lt;=AW$8,$E17/12*(1+AW$5)+$F17*('Sales &amp; Costs'!AU$49/2),0)</f>
        <v>3536.3333333333335</v>
      </c>
      <c r="AX17" s="2">
        <f>IF($D17&lt;=AX$8,$E17/12*(1+AX$5)+$F17*('Sales &amp; Costs'!AV$49/2),0)</f>
        <v>3642.4233333333336</v>
      </c>
      <c r="AY17" s="2">
        <f>IF($D17&lt;=AY$8,$E17/12*(1+AY$5)+$F17*('Sales &amp; Costs'!AW$49/2),0)</f>
        <v>3642.4233333333336</v>
      </c>
      <c r="AZ17" s="2">
        <f>IF($D17&lt;=AZ$8,$E17/12*(1+AZ$5)+$F17*('Sales &amp; Costs'!AX$49/2),0)</f>
        <v>3642.4233333333336</v>
      </c>
      <c r="BA17" s="2">
        <f>IF($D17&lt;=BA$8,$E17/12*(1+BA$5)+$F17*('Sales &amp; Costs'!AY$49/2),0)</f>
        <v>3642.4233333333336</v>
      </c>
      <c r="BB17" s="2">
        <f>IF($D17&lt;=BB$8,$E17/12*(1+BB$5)+$F17*('Sales &amp; Costs'!AZ$49/2),0)</f>
        <v>3642.4233333333336</v>
      </c>
      <c r="BC17" s="2">
        <f>IF($D17&lt;=BC$8,$E17/12*(1+BC$5)+$F17*('Sales &amp; Costs'!BA$49/2),0)</f>
        <v>3642.4233333333336</v>
      </c>
      <c r="BD17" s="2">
        <f>IF($D17&lt;=BD$8,$E17/12*(1+BD$5)+$F17*('Sales &amp; Costs'!BB$49/2),0)</f>
        <v>3642.4233333333336</v>
      </c>
      <c r="BE17" s="2">
        <f>IF($D17&lt;=BE$8,$E17/12*(1+BE$5)+$F17*('Sales &amp; Costs'!BC$49/2),0)</f>
        <v>3642.4233333333336</v>
      </c>
      <c r="BF17" s="2">
        <f>IF($D17&lt;=BF$8,$E17/12*(1+BF$5)+$F17*('Sales &amp; Costs'!BD$49/2),0)</f>
        <v>3642.4233333333336</v>
      </c>
      <c r="BG17" s="2">
        <f>IF($D17&lt;=BG$8,$E17/12*(1+BG$5)+$F17*('Sales &amp; Costs'!BE$49/2),0)</f>
        <v>3642.4233333333336</v>
      </c>
      <c r="BH17" s="2">
        <f>IF($D17&lt;=BH$8,$E17/12*(1+BH$5)+$F17*('Sales &amp; Costs'!BF$49/2),0)</f>
        <v>3642.4233333333336</v>
      </c>
      <c r="BI17" s="2">
        <f>IF($D17&lt;=BI$8,$E17/12*(1+BI$5)+$F17*('Sales &amp; Costs'!BG$49/2),0)</f>
        <v>3642.4233333333336</v>
      </c>
      <c r="BJ17" s="2">
        <f>IF($D17&lt;=BJ$8,$E17/12*(1+BJ$5)+$F17*('Sales &amp; Costs'!BH$49/2),0)</f>
        <v>3751.6960333333341</v>
      </c>
      <c r="BK17" s="2">
        <f>IF($D17&lt;=BK$8,$E17/12*(1+BK$5)+$F17*('Sales &amp; Costs'!BI$49/2),0)</f>
        <v>3751.6960333333341</v>
      </c>
      <c r="BL17" s="2">
        <f>IF($D17&lt;=BL$8,$E17/12*(1+BL$5)+$F17*('Sales &amp; Costs'!BJ$49/2),0)</f>
        <v>3751.6960333333341</v>
      </c>
      <c r="BM17" s="2">
        <f>IF($D17&lt;=BM$8,$E17/12*(1+BM$5)+$F17*('Sales &amp; Costs'!BK$49/2),0)</f>
        <v>3751.6960333333341</v>
      </c>
      <c r="BN17" s="2">
        <f>IF($D17&lt;=BN$8,$E17/12*(1+BN$5)+$F17*('Sales &amp; Costs'!BL$49/2),0)</f>
        <v>3751.6960333333341</v>
      </c>
      <c r="BO17" s="2">
        <f>IF($D17&lt;=BO$8,$E17/12*(1+BO$5)+$F17*('Sales &amp; Costs'!BM$49/2),0)</f>
        <v>3751.6960333333341</v>
      </c>
      <c r="BP17" s="2">
        <f>IF($D17&lt;=BP$8,$E17/12*(1+BP$5)+$F17*('Sales &amp; Costs'!BN$49/2),0)</f>
        <v>3751.6960333333341</v>
      </c>
      <c r="BQ17" s="2">
        <f>IF($D17&lt;=BQ$8,$E17/12*(1+BQ$5)+$F17*('Sales &amp; Costs'!BO$49/2),0)</f>
        <v>3751.6960333333341</v>
      </c>
      <c r="BR17" s="2">
        <f>IF($D17&lt;=BR$8,$E17/12*(1+BR$5)+$F17*('Sales &amp; Costs'!BP$49/2),0)</f>
        <v>3751.6960333333341</v>
      </c>
      <c r="BS17" s="2">
        <f>IF($D17&lt;=BS$8,$E17/12*(1+BS$5)+$F17*('Sales &amp; Costs'!BQ$49/2),0)</f>
        <v>3751.6960333333341</v>
      </c>
      <c r="BT17" s="2">
        <f>IF($D17&lt;=BT$8,$E17/12*(1+BT$5)+$F17*('Sales &amp; Costs'!BR$49/2),0)</f>
        <v>3751.6960333333341</v>
      </c>
      <c r="BU17" s="2">
        <f>IF($D17&lt;=BU$8,$E17/12*(1+BU$5)+$F17*('Sales &amp; Costs'!BS$49/2),0)</f>
        <v>3751.6960333333341</v>
      </c>
      <c r="BV17" s="2">
        <f>IF($D17&lt;=BV$8,$E17/12*(1+BV$5)+$F17*('Sales &amp; Costs'!BT$49/2),0)</f>
        <v>3864.2469143333337</v>
      </c>
      <c r="BW17" s="2">
        <f>IF($D17&lt;=BW$8,$E17/12*(1+BW$5)+$F17*('Sales &amp; Costs'!BU$49/2),0)</f>
        <v>3864.2469143333337</v>
      </c>
      <c r="BX17" s="2">
        <f>IF($D17&lt;=BX$8,$E17/12*(1+BX$5)+$F17*('Sales &amp; Costs'!BV$49/2),0)</f>
        <v>3864.2469143333337</v>
      </c>
      <c r="BY17" s="2">
        <f>IF($D17&lt;=BY$8,$E17/12*(1+BY$5)+$F17*('Sales &amp; Costs'!BW$49/2),0)</f>
        <v>3864.2469143333337</v>
      </c>
      <c r="BZ17" s="2">
        <f>IF($D17&lt;=BZ$8,$E17/12*(1+BZ$5)+$F17*('Sales &amp; Costs'!BX$49/2),0)</f>
        <v>3864.2469143333337</v>
      </c>
      <c r="CA17" s="2">
        <f>IF($D17&lt;=CA$8,$E17/12*(1+CA$5)+$F17*('Sales &amp; Costs'!BY$49/2),0)</f>
        <v>3864.2469143333337</v>
      </c>
      <c r="CC17" s="2">
        <f t="shared" si="7"/>
        <v>45020.352400000011</v>
      </c>
    </row>
    <row r="18" spans="1:81" ht="15.75" customHeight="1">
      <c r="C18" s="271" t="s">
        <v>157</v>
      </c>
      <c r="D18" s="96">
        <v>40603</v>
      </c>
      <c r="E18" s="95">
        <f>2000*12</f>
        <v>24000</v>
      </c>
      <c r="F18" s="183">
        <v>0</v>
      </c>
      <c r="H18" s="2">
        <f>IF($D18&lt;=H$8,$E18/12*(1+H$5)+$F18*('Sales &amp; Costs'!F$49/2),0)</f>
        <v>0</v>
      </c>
      <c r="I18" s="2">
        <f>IF($D18&lt;=I$8,$E18/12*(1+I$5)+$F18*('Sales &amp; Costs'!G$49/2),0)</f>
        <v>0</v>
      </c>
      <c r="J18" s="2">
        <f>IF($D18&lt;=J$8,$E18/12*(1+J$5)+$F18*('Sales &amp; Costs'!H$49/2),0)</f>
        <v>0</v>
      </c>
      <c r="K18" s="2">
        <f>IF($D18&lt;=K$8,$E18/12*(1+K$5)+$F18*('Sales &amp; Costs'!I$49/2),0)</f>
        <v>0</v>
      </c>
      <c r="L18" s="2">
        <f>IF($D18&lt;=L$8,$E18/12*(1+L$5)+$F18*('Sales &amp; Costs'!J$49/2),0)</f>
        <v>0</v>
      </c>
      <c r="M18" s="2">
        <f>IF($D18&lt;=M$8,$E18/12*(1+M$5)+$F18*('Sales &amp; Costs'!K$49/2),0)</f>
        <v>0</v>
      </c>
      <c r="N18" s="2">
        <f>IF($D18&lt;=N$8,$E18/12*(1+N$5)+$F18*('Sales &amp; Costs'!L$49/2),0)</f>
        <v>0</v>
      </c>
      <c r="O18" s="2">
        <f>IF($D18&lt;=O$8,$E18/12*(1+O$5)+$F18*('Sales &amp; Costs'!M$49/2),0)</f>
        <v>0</v>
      </c>
      <c r="P18" s="2">
        <f>IF($D18&lt;=P$8,$E18/12*(1+P$5)+$F18*('Sales &amp; Costs'!N$49/2),0)</f>
        <v>0</v>
      </c>
      <c r="Q18" s="2">
        <f>IF($D18&lt;=Q$8,$E18/12*(1+Q$5)+$F18*('Sales &amp; Costs'!O$49/2),0)</f>
        <v>0</v>
      </c>
      <c r="R18" s="2">
        <f>IF($D18&lt;=R$8,$E18/12*(1+R$5)+$F18*('Sales &amp; Costs'!P$49/2),0)</f>
        <v>0</v>
      </c>
      <c r="S18" s="2">
        <f>IF($D18&lt;=S$8,$E18/12*(1+S$5)+$F18*('Sales &amp; Costs'!Q$49/2),0)</f>
        <v>0</v>
      </c>
      <c r="T18" s="2">
        <f>IF($D18&lt;=T$8,$E18/12*(1+T$5)+$F18*('Sales &amp; Costs'!R$49/2),0)</f>
        <v>0</v>
      </c>
      <c r="U18" s="2">
        <f>IF($D18&lt;=U$8,$E18/12*(1+U$5)+$F18*('Sales &amp; Costs'!S$49/2),0)</f>
        <v>0</v>
      </c>
      <c r="V18" s="2">
        <f>IF($D18&lt;=V$8,$E18/12*(1+V$5)+$F18*('Sales &amp; Costs'!T$49/2),0)</f>
        <v>0</v>
      </c>
      <c r="W18" s="2">
        <f>IF($D18&lt;=W$8,$E18/12*(1+W$5)+$F18*('Sales &amp; Costs'!U$49/2),0)</f>
        <v>0</v>
      </c>
      <c r="X18" s="2">
        <f>IF($D18&lt;=X$8,$E18/12*(1+X$5)+$F18*('Sales &amp; Costs'!V$49/2),0)</f>
        <v>0</v>
      </c>
      <c r="Y18" s="2">
        <f>IF($D18&lt;=Y$8,$E18/12*(1+Y$5)+$F18*('Sales &amp; Costs'!W$49/2),0)</f>
        <v>0</v>
      </c>
      <c r="Z18" s="2">
        <f>IF($D18&lt;=Z$8,$E18/12*(1+Z$5)+$F18*('Sales &amp; Costs'!X$49/2),0)</f>
        <v>0</v>
      </c>
      <c r="AA18" s="2">
        <f>IF($D18&lt;=AA$8,$E18/12*(1+AA$5)+$F18*('Sales &amp; Costs'!Y$49/2),0)</f>
        <v>0</v>
      </c>
      <c r="AB18" s="2">
        <f>IF($D18&lt;=AB$8,$E18/12*(1+AB$5)+$F18*('Sales &amp; Costs'!Z$49/2),0)</f>
        <v>0</v>
      </c>
      <c r="AC18" s="2">
        <f>IF($D18&lt;=AC$8,$E18/12*(1+AC$5)+$F18*('Sales &amp; Costs'!AA$49/2),0)</f>
        <v>0</v>
      </c>
      <c r="AD18" s="2">
        <f>IF($D18&lt;=AD$8,$E18/12*(1+AD$5)+$F18*('Sales &amp; Costs'!AB$49/2),0)</f>
        <v>0</v>
      </c>
      <c r="AE18" s="2">
        <f>IF($D18&lt;=AE$8,$E18/12*(1+AE$5)+$F18*('Sales &amp; Costs'!AC$49/2),0)</f>
        <v>0</v>
      </c>
      <c r="AF18" s="2">
        <f>IF($D18&lt;=AF$8,$E18/12*(1+AF$5)+$F18*('Sales &amp; Costs'!AD$49/2),0)</f>
        <v>0</v>
      </c>
      <c r="AG18" s="2">
        <f>IF($D18&lt;=AG$8,$E18/12*(1+AG$5)+$F18*('Sales &amp; Costs'!AE$49/2),0)</f>
        <v>0</v>
      </c>
      <c r="AH18" s="2">
        <f>IF($D18&lt;=AH$8,$E18/12*(1+AH$5)+$F18*('Sales &amp; Costs'!AF$49/2),0)</f>
        <v>2060</v>
      </c>
      <c r="AI18" s="2">
        <f>IF($D18&lt;=AI$8,$E18/12*(1+AI$5)+$F18*('Sales &amp; Costs'!AG$49/2),0)</f>
        <v>2060</v>
      </c>
      <c r="AJ18" s="2">
        <f>IF($D18&lt;=AJ$8,$E18/12*(1+AJ$5)+$F18*('Sales &amp; Costs'!AH$49/2),0)</f>
        <v>2060</v>
      </c>
      <c r="AK18" s="2">
        <f>IF($D18&lt;=AK$8,$E18/12*(1+AK$5)+$F18*('Sales &amp; Costs'!AI$49/2),0)</f>
        <v>2060</v>
      </c>
      <c r="AL18" s="2">
        <f>IF($D18&lt;=AL$8,$E18/12*(1+AL$5)+$F18*('Sales &amp; Costs'!AJ$49/2),0)</f>
        <v>2121.7999999999997</v>
      </c>
      <c r="AM18" s="2">
        <f>IF($D18&lt;=AM$8,$E18/12*(1+AM$5)+$F18*('Sales &amp; Costs'!AK$49/2),0)</f>
        <v>2121.7999999999997</v>
      </c>
      <c r="AN18" s="2">
        <f>IF($D18&lt;=AN$8,$E18/12*(1+AN$5)+$F18*('Sales &amp; Costs'!AL$49/2),0)</f>
        <v>2121.7999999999997</v>
      </c>
      <c r="AO18" s="2">
        <f>IF($D18&lt;=AO$8,$E18/12*(1+AO$5)+$F18*('Sales &amp; Costs'!AM$49/2),0)</f>
        <v>2121.7999999999997</v>
      </c>
      <c r="AP18" s="2">
        <f>IF($D18&lt;=AP$8,$E18/12*(1+AP$5)+$F18*('Sales &amp; Costs'!AN$49/2),0)</f>
        <v>2121.7999999999997</v>
      </c>
      <c r="AQ18" s="2">
        <f>IF($D18&lt;=AQ$8,$E18/12*(1+AQ$5)+$F18*('Sales &amp; Costs'!AO$49/2),0)</f>
        <v>2121.7999999999997</v>
      </c>
      <c r="AR18" s="2">
        <f>IF($D18&lt;=AR$8,$E18/12*(1+AR$5)+$F18*('Sales &amp; Costs'!AP$49/2),0)</f>
        <v>2121.7999999999997</v>
      </c>
      <c r="AS18" s="2">
        <f>IF($D18&lt;=AS$8,$E18/12*(1+AS$5)+$F18*('Sales &amp; Costs'!AQ$49/2),0)</f>
        <v>2121.7999999999997</v>
      </c>
      <c r="AT18" s="2">
        <f>IF($D18&lt;=AT$8,$E18/12*(1+AT$5)+$F18*('Sales &amp; Costs'!AR$49/2),0)</f>
        <v>2121.7999999999997</v>
      </c>
      <c r="AU18" s="2">
        <f>IF($D18&lt;=AU$8,$E18/12*(1+AU$5)+$F18*('Sales &amp; Costs'!AS$49/2),0)</f>
        <v>2121.7999999999997</v>
      </c>
      <c r="AV18" s="2">
        <f>IF($D18&lt;=AV$8,$E18/12*(1+AV$5)+$F18*('Sales &amp; Costs'!AT$49/2),0)</f>
        <v>2121.7999999999997</v>
      </c>
      <c r="AW18" s="2">
        <f>IF($D18&lt;=AW$8,$E18/12*(1+AW$5)+$F18*('Sales &amp; Costs'!AU$49/2),0)</f>
        <v>2121.7999999999997</v>
      </c>
      <c r="AX18" s="2">
        <f>IF($D18&lt;=AX$8,$E18/12*(1+AX$5)+$F18*('Sales &amp; Costs'!AV$49/2),0)</f>
        <v>2185.4540000000002</v>
      </c>
      <c r="AY18" s="2">
        <f>IF($D18&lt;=AY$8,$E18/12*(1+AY$5)+$F18*('Sales &amp; Costs'!AW$49/2),0)</f>
        <v>2185.4540000000002</v>
      </c>
      <c r="AZ18" s="2">
        <f>IF($D18&lt;=AZ$8,$E18/12*(1+AZ$5)+$F18*('Sales &amp; Costs'!AX$49/2),0)</f>
        <v>2185.4540000000002</v>
      </c>
      <c r="BA18" s="2">
        <f>IF($D18&lt;=BA$8,$E18/12*(1+BA$5)+$F18*('Sales &amp; Costs'!AY$49/2),0)</f>
        <v>2185.4540000000002</v>
      </c>
      <c r="BB18" s="2">
        <f>IF($D18&lt;=BB$8,$E18/12*(1+BB$5)+$F18*('Sales &amp; Costs'!AZ$49/2),0)</f>
        <v>2185.4540000000002</v>
      </c>
      <c r="BC18" s="2">
        <f>IF($D18&lt;=BC$8,$E18/12*(1+BC$5)+$F18*('Sales &amp; Costs'!BA$49/2),0)</f>
        <v>2185.4540000000002</v>
      </c>
      <c r="BD18" s="2">
        <f>IF($D18&lt;=BD$8,$E18/12*(1+BD$5)+$F18*('Sales &amp; Costs'!BB$49/2),0)</f>
        <v>2185.4540000000002</v>
      </c>
      <c r="BE18" s="2">
        <f>IF($D18&lt;=BE$8,$E18/12*(1+BE$5)+$F18*('Sales &amp; Costs'!BC$49/2),0)</f>
        <v>2185.4540000000002</v>
      </c>
      <c r="BF18" s="2">
        <f>IF($D18&lt;=BF$8,$E18/12*(1+BF$5)+$F18*('Sales &amp; Costs'!BD$49/2),0)</f>
        <v>2185.4540000000002</v>
      </c>
      <c r="BG18" s="2">
        <f>IF($D18&lt;=BG$8,$E18/12*(1+BG$5)+$F18*('Sales &amp; Costs'!BE$49/2),0)</f>
        <v>2185.4540000000002</v>
      </c>
      <c r="BH18" s="2">
        <f>IF($D18&lt;=BH$8,$E18/12*(1+BH$5)+$F18*('Sales &amp; Costs'!BF$49/2),0)</f>
        <v>2185.4540000000002</v>
      </c>
      <c r="BI18" s="2">
        <f>IF($D18&lt;=BI$8,$E18/12*(1+BI$5)+$F18*('Sales &amp; Costs'!BG$49/2),0)</f>
        <v>2185.4540000000002</v>
      </c>
      <c r="BJ18" s="2">
        <f>IF($D18&lt;=BJ$8,$E18/12*(1+BJ$5)+$F18*('Sales &amp; Costs'!BH$49/2),0)</f>
        <v>2251.0176200000001</v>
      </c>
      <c r="BK18" s="2">
        <f>IF($D18&lt;=BK$8,$E18/12*(1+BK$5)+$F18*('Sales &amp; Costs'!BI$49/2),0)</f>
        <v>2251.0176200000001</v>
      </c>
      <c r="BL18" s="2">
        <f>IF($D18&lt;=BL$8,$E18/12*(1+BL$5)+$F18*('Sales &amp; Costs'!BJ$49/2),0)</f>
        <v>2251.0176200000001</v>
      </c>
      <c r="BM18" s="2">
        <f>IF($D18&lt;=BM$8,$E18/12*(1+BM$5)+$F18*('Sales &amp; Costs'!BK$49/2),0)</f>
        <v>2251.0176200000001</v>
      </c>
      <c r="BN18" s="2">
        <f>IF($D18&lt;=BN$8,$E18/12*(1+BN$5)+$F18*('Sales &amp; Costs'!BL$49/2),0)</f>
        <v>2251.0176200000001</v>
      </c>
      <c r="BO18" s="2">
        <f>IF($D18&lt;=BO$8,$E18/12*(1+BO$5)+$F18*('Sales &amp; Costs'!BM$49/2),0)</f>
        <v>2251.0176200000001</v>
      </c>
      <c r="BP18" s="2">
        <f>IF($D18&lt;=BP$8,$E18/12*(1+BP$5)+$F18*('Sales &amp; Costs'!BN$49/2),0)</f>
        <v>2251.0176200000001</v>
      </c>
      <c r="BQ18" s="2">
        <f>IF($D18&lt;=BQ$8,$E18/12*(1+BQ$5)+$F18*('Sales &amp; Costs'!BO$49/2),0)</f>
        <v>2251.0176200000001</v>
      </c>
      <c r="BR18" s="2">
        <f>IF($D18&lt;=BR$8,$E18/12*(1+BR$5)+$F18*('Sales &amp; Costs'!BP$49/2),0)</f>
        <v>2251.0176200000001</v>
      </c>
      <c r="BS18" s="2">
        <f>IF($D18&lt;=BS$8,$E18/12*(1+BS$5)+$F18*('Sales &amp; Costs'!BQ$49/2),0)</f>
        <v>2251.0176200000001</v>
      </c>
      <c r="BT18" s="2">
        <f>IF($D18&lt;=BT$8,$E18/12*(1+BT$5)+$F18*('Sales &amp; Costs'!BR$49/2),0)</f>
        <v>2251.0176200000001</v>
      </c>
      <c r="BU18" s="2">
        <f>IF($D18&lt;=BU$8,$E18/12*(1+BU$5)+$F18*('Sales &amp; Costs'!BS$49/2),0)</f>
        <v>2251.0176200000001</v>
      </c>
      <c r="BV18" s="2">
        <f>IF($D18&lt;=BV$8,$E18/12*(1+BV$5)+$F18*('Sales &amp; Costs'!BT$49/2),0)</f>
        <v>2318.5481486000003</v>
      </c>
      <c r="BW18" s="2">
        <f>IF($D18&lt;=BW$8,$E18/12*(1+BW$5)+$F18*('Sales &amp; Costs'!BU$49/2),0)</f>
        <v>2318.5481486000003</v>
      </c>
      <c r="BX18" s="2">
        <f>IF($D18&lt;=BX$8,$E18/12*(1+BX$5)+$F18*('Sales &amp; Costs'!BV$49/2),0)</f>
        <v>2318.5481486000003</v>
      </c>
      <c r="BY18" s="2">
        <f>IF($D18&lt;=BY$8,$E18/12*(1+BY$5)+$F18*('Sales &amp; Costs'!BW$49/2),0)</f>
        <v>2318.5481486000003</v>
      </c>
      <c r="BZ18" s="2">
        <f>IF($D18&lt;=BZ$8,$E18/12*(1+BZ$5)+$F18*('Sales &amp; Costs'!BX$49/2),0)</f>
        <v>2318.5481486000003</v>
      </c>
      <c r="CA18" s="2">
        <f>IF($D18&lt;=CA$8,$E18/12*(1+CA$5)+$F18*('Sales &amp; Costs'!BY$49/2),0)</f>
        <v>2318.5481486000003</v>
      </c>
      <c r="CC18" s="2">
        <f t="shared" si="7"/>
        <v>27012.211439999999</v>
      </c>
    </row>
    <row r="19" spans="1:81" ht="15.75" customHeight="1">
      <c r="C19" s="271" t="s">
        <v>404</v>
      </c>
      <c r="D19" s="96">
        <v>40575</v>
      </c>
      <c r="E19" s="95">
        <v>36000</v>
      </c>
      <c r="F19" s="183">
        <v>0</v>
      </c>
      <c r="H19" s="2">
        <f>IF($D19&lt;=H$8,$E19/12*(1+H$5)+$F19*('Sales &amp; Costs'!F$49/2),0)</f>
        <v>0</v>
      </c>
      <c r="I19" s="2">
        <f>IF($D19&lt;=I$8,$E19/12*(1+I$5)+$F19*('Sales &amp; Costs'!G$49/2),0)</f>
        <v>0</v>
      </c>
      <c r="J19" s="2">
        <f>IF($D19&lt;=J$8,$E19/12*(1+J$5)+$F19*('Sales &amp; Costs'!H$49/2),0)</f>
        <v>0</v>
      </c>
      <c r="K19" s="2">
        <f>IF($D19&lt;=K$8,$E19/12*(1+K$5)+$F19*('Sales &amp; Costs'!I$49/2),0)</f>
        <v>0</v>
      </c>
      <c r="L19" s="2">
        <f>IF($D19&lt;=L$8,$E19/12*(1+L$5)+$F19*('Sales &amp; Costs'!J$49/2),0)</f>
        <v>0</v>
      </c>
      <c r="M19" s="2">
        <f>IF($D19&lt;=M$8,$E19/12*(1+M$5)+$F19*('Sales &amp; Costs'!K$49/2),0)</f>
        <v>0</v>
      </c>
      <c r="N19" s="2">
        <f>IF($D19&lt;=N$8,$E19/12*(1+N$5)+$F19*('Sales &amp; Costs'!L$49/2),0)</f>
        <v>0</v>
      </c>
      <c r="O19" s="2">
        <f>IF($D19&lt;=O$8,$E19/12*(1+O$5)+$F19*('Sales &amp; Costs'!M$49/2),0)</f>
        <v>0</v>
      </c>
      <c r="P19" s="2">
        <f>IF($D19&lt;=P$8,$E19/12*(1+P$5)+$F19*('Sales &amp; Costs'!N$49/2),0)</f>
        <v>0</v>
      </c>
      <c r="Q19" s="2">
        <f>IF($D19&lt;=Q$8,$E19/12*(1+Q$5)+$F19*('Sales &amp; Costs'!O$49/2),0)</f>
        <v>0</v>
      </c>
      <c r="R19" s="2">
        <f>IF($D19&lt;=R$8,$E19/12*(1+R$5)+$F19*('Sales &amp; Costs'!P$49/2),0)</f>
        <v>0</v>
      </c>
      <c r="S19" s="2">
        <f>IF($D19&lt;=S$8,$E19/12*(1+S$5)+$F19*('Sales &amp; Costs'!Q$49/2),0)</f>
        <v>0</v>
      </c>
      <c r="T19" s="2">
        <f>IF($D19&lt;=T$8,$E19/12*(1+T$5)+$F19*('Sales &amp; Costs'!R$49/2),0)</f>
        <v>0</v>
      </c>
      <c r="U19" s="2">
        <f>IF($D19&lt;=U$8,$E19/12*(1+U$5)+$F19*('Sales &amp; Costs'!S$49/2),0)</f>
        <v>0</v>
      </c>
      <c r="V19" s="2">
        <f>IF($D19&lt;=V$8,$E19/12*(1+V$5)+$F19*('Sales &amp; Costs'!T$49/2),0)</f>
        <v>0</v>
      </c>
      <c r="W19" s="2">
        <f>IF($D19&lt;=W$8,$E19/12*(1+W$5)+$F19*('Sales &amp; Costs'!U$49/2),0)</f>
        <v>0</v>
      </c>
      <c r="X19" s="2">
        <f>IF($D19&lt;=X$8,$E19/12*(1+X$5)+$F19*('Sales &amp; Costs'!V$49/2),0)</f>
        <v>0</v>
      </c>
      <c r="Y19" s="2">
        <f>IF($D19&lt;=Y$8,$E19/12*(1+Y$5)+$F19*('Sales &amp; Costs'!W$49/2),0)</f>
        <v>0</v>
      </c>
      <c r="Z19" s="2">
        <f>IF($D19&lt;=Z$8,$E19/12*(1+Z$5)+$F19*('Sales &amp; Costs'!X$49/2),0)</f>
        <v>0</v>
      </c>
      <c r="AA19" s="2">
        <f>IF($D19&lt;=AA$8,$E19/12*(1+AA$5)+$F19*('Sales &amp; Costs'!Y$49/2),0)</f>
        <v>0</v>
      </c>
      <c r="AB19" s="2">
        <f>IF($D19&lt;=AB$8,$E19/12*(1+AB$5)+$F19*('Sales &amp; Costs'!Z$49/2),0)</f>
        <v>0</v>
      </c>
      <c r="AC19" s="2">
        <f>IF($D19&lt;=AC$8,$E19/12*(1+AC$5)+$F19*('Sales &amp; Costs'!AA$49/2),0)</f>
        <v>0</v>
      </c>
      <c r="AD19" s="2">
        <f>IF($D19&lt;=AD$8,$E19/12*(1+AD$5)+$F19*('Sales &amp; Costs'!AB$49/2),0)</f>
        <v>0</v>
      </c>
      <c r="AE19" s="2">
        <f>IF($D19&lt;=AE$8,$E19/12*(1+AE$5)+$F19*('Sales &amp; Costs'!AC$49/2),0)</f>
        <v>0</v>
      </c>
      <c r="AF19" s="2">
        <f>IF($D19&lt;=AF$8,$E19/12*(1+AF$5)+$F19*('Sales &amp; Costs'!AD$49/2),0)</f>
        <v>0</v>
      </c>
      <c r="AG19" s="2">
        <f>IF($D19&lt;=AG$8,$E19/12*(1+AG$5)+$F19*('Sales &amp; Costs'!AE$49/2),0)</f>
        <v>3090</v>
      </c>
      <c r="AH19" s="2">
        <f>IF($D19&lt;=AH$8,$E19/12*(1+AH$5)+$F19*('Sales &amp; Costs'!AF$49/2),0)</f>
        <v>3090</v>
      </c>
      <c r="AI19" s="2">
        <f>IF($D19&lt;=AI$8,$E19/12*(1+AI$5)+$F19*('Sales &amp; Costs'!AG$49/2),0)</f>
        <v>3090</v>
      </c>
      <c r="AJ19" s="2">
        <f>IF($D19&lt;=AJ$8,$E19/12*(1+AJ$5)+$F19*('Sales &amp; Costs'!AH$49/2),0)</f>
        <v>3090</v>
      </c>
      <c r="AK19" s="2">
        <f>IF($D19&lt;=AK$8,$E19/12*(1+AK$5)+$F19*('Sales &amp; Costs'!AI$49/2),0)</f>
        <v>3090</v>
      </c>
      <c r="AL19" s="2">
        <f>IF($D19&lt;=AL$8,$E19/12*(1+AL$5)+$F19*('Sales &amp; Costs'!AJ$49/2),0)</f>
        <v>3182.7</v>
      </c>
      <c r="AM19" s="2">
        <f>IF($D19&lt;=AM$8,$E19/12*(1+AM$5)+$F19*('Sales &amp; Costs'!AK$49/2),0)</f>
        <v>3182.7</v>
      </c>
      <c r="AN19" s="2">
        <f>IF($D19&lt;=AN$8,$E19/12*(1+AN$5)+$F19*('Sales &amp; Costs'!AL$49/2),0)</f>
        <v>3182.7</v>
      </c>
      <c r="AO19" s="2">
        <f>IF($D19&lt;=AO$8,$E19/12*(1+AO$5)+$F19*('Sales &amp; Costs'!AM$49/2),0)</f>
        <v>3182.7</v>
      </c>
      <c r="AP19" s="2">
        <f>IF($D19&lt;=AP$8,$E19/12*(1+AP$5)+$F19*('Sales &amp; Costs'!AN$49/2),0)</f>
        <v>3182.7</v>
      </c>
      <c r="AQ19" s="2">
        <f>IF($D19&lt;=AQ$8,$E19/12*(1+AQ$5)+$F19*('Sales &amp; Costs'!AO$49/2),0)</f>
        <v>3182.7</v>
      </c>
      <c r="AR19" s="2">
        <f>IF($D19&lt;=AR$8,$E19/12*(1+AR$5)+$F19*('Sales &amp; Costs'!AP$49/2),0)</f>
        <v>3182.7</v>
      </c>
      <c r="AS19" s="2">
        <f>IF($D19&lt;=AS$8,$E19/12*(1+AS$5)+$F19*('Sales &amp; Costs'!AQ$49/2),0)</f>
        <v>3182.7</v>
      </c>
      <c r="AT19" s="2">
        <f>IF($D19&lt;=AT$8,$E19/12*(1+AT$5)+$F19*('Sales &amp; Costs'!AR$49/2),0)</f>
        <v>3182.7</v>
      </c>
      <c r="AU19" s="2">
        <f>IF($D19&lt;=AU$8,$E19/12*(1+AU$5)+$F19*('Sales &amp; Costs'!AS$49/2),0)</f>
        <v>3182.7</v>
      </c>
      <c r="AV19" s="2">
        <f>IF($D19&lt;=AV$8,$E19/12*(1+AV$5)+$F19*('Sales &amp; Costs'!AT$49/2),0)</f>
        <v>3182.7</v>
      </c>
      <c r="AW19" s="2">
        <f>IF($D19&lt;=AW$8,$E19/12*(1+AW$5)+$F19*('Sales &amp; Costs'!AU$49/2),0)</f>
        <v>3182.7</v>
      </c>
      <c r="AX19" s="2">
        <f>IF($D19&lt;=AX$8,$E19/12*(1+AX$5)+$F19*('Sales &amp; Costs'!AV$49/2),0)</f>
        <v>3278.181</v>
      </c>
      <c r="AY19" s="2">
        <f>IF($D19&lt;=AY$8,$E19/12*(1+AY$5)+$F19*('Sales &amp; Costs'!AW$49/2),0)</f>
        <v>3278.181</v>
      </c>
      <c r="AZ19" s="2">
        <f>IF($D19&lt;=AZ$8,$E19/12*(1+AZ$5)+$F19*('Sales &amp; Costs'!AX$49/2),0)</f>
        <v>3278.181</v>
      </c>
      <c r="BA19" s="2">
        <f>IF($D19&lt;=BA$8,$E19/12*(1+BA$5)+$F19*('Sales &amp; Costs'!AY$49/2),0)</f>
        <v>3278.181</v>
      </c>
      <c r="BB19" s="2">
        <f>IF($D19&lt;=BB$8,$E19/12*(1+BB$5)+$F19*('Sales &amp; Costs'!AZ$49/2),0)</f>
        <v>3278.181</v>
      </c>
      <c r="BC19" s="2">
        <f>IF($D19&lt;=BC$8,$E19/12*(1+BC$5)+$F19*('Sales &amp; Costs'!BA$49/2),0)</f>
        <v>3278.181</v>
      </c>
      <c r="BD19" s="2">
        <f>IF($D19&lt;=BD$8,$E19/12*(1+BD$5)+$F19*('Sales &amp; Costs'!BB$49/2),0)</f>
        <v>3278.181</v>
      </c>
      <c r="BE19" s="2">
        <f>IF($D19&lt;=BE$8,$E19/12*(1+BE$5)+$F19*('Sales &amp; Costs'!BC$49/2),0)</f>
        <v>3278.181</v>
      </c>
      <c r="BF19" s="2">
        <f>IF($D19&lt;=BF$8,$E19/12*(1+BF$5)+$F19*('Sales &amp; Costs'!BD$49/2),0)</f>
        <v>3278.181</v>
      </c>
      <c r="BG19" s="2">
        <f>IF($D19&lt;=BG$8,$E19/12*(1+BG$5)+$F19*('Sales &amp; Costs'!BE$49/2),0)</f>
        <v>3278.181</v>
      </c>
      <c r="BH19" s="2">
        <f>IF($D19&lt;=BH$8,$E19/12*(1+BH$5)+$F19*('Sales &amp; Costs'!BF$49/2),0)</f>
        <v>3278.181</v>
      </c>
      <c r="BI19" s="2">
        <f>IF($D19&lt;=BI$8,$E19/12*(1+BI$5)+$F19*('Sales &amp; Costs'!BG$49/2),0)</f>
        <v>3278.181</v>
      </c>
      <c r="BJ19" s="2">
        <f>IF($D19&lt;=BJ$8,$E19/12*(1+BJ$5)+$F19*('Sales &amp; Costs'!BH$49/2),0)</f>
        <v>3376.5264300000003</v>
      </c>
      <c r="BK19" s="2">
        <f>IF($D19&lt;=BK$8,$E19/12*(1+BK$5)+$F19*('Sales &amp; Costs'!BI$49/2),0)</f>
        <v>3376.5264300000003</v>
      </c>
      <c r="BL19" s="2">
        <f>IF($D19&lt;=BL$8,$E19/12*(1+BL$5)+$F19*('Sales &amp; Costs'!BJ$49/2),0)</f>
        <v>3376.5264300000003</v>
      </c>
      <c r="BM19" s="2">
        <f>IF($D19&lt;=BM$8,$E19/12*(1+BM$5)+$F19*('Sales &amp; Costs'!BK$49/2),0)</f>
        <v>3376.5264300000003</v>
      </c>
      <c r="BN19" s="2">
        <f>IF($D19&lt;=BN$8,$E19/12*(1+BN$5)+$F19*('Sales &amp; Costs'!BL$49/2),0)</f>
        <v>3376.5264300000003</v>
      </c>
      <c r="BO19" s="2">
        <f>IF($D19&lt;=BO$8,$E19/12*(1+BO$5)+$F19*('Sales &amp; Costs'!BM$49/2),0)</f>
        <v>3376.5264300000003</v>
      </c>
      <c r="BP19" s="2">
        <f>IF($D19&lt;=BP$8,$E19/12*(1+BP$5)+$F19*('Sales &amp; Costs'!BN$49/2),0)</f>
        <v>3376.5264300000003</v>
      </c>
      <c r="BQ19" s="2">
        <f>IF($D19&lt;=BQ$8,$E19/12*(1+BQ$5)+$F19*('Sales &amp; Costs'!BO$49/2),0)</f>
        <v>3376.5264300000003</v>
      </c>
      <c r="BR19" s="2">
        <f>IF($D19&lt;=BR$8,$E19/12*(1+BR$5)+$F19*('Sales &amp; Costs'!BP$49/2),0)</f>
        <v>3376.5264300000003</v>
      </c>
      <c r="BS19" s="2">
        <f>IF($D19&lt;=BS$8,$E19/12*(1+BS$5)+$F19*('Sales &amp; Costs'!BQ$49/2),0)</f>
        <v>3376.5264300000003</v>
      </c>
      <c r="BT19" s="2">
        <f>IF($D19&lt;=BT$8,$E19/12*(1+BT$5)+$F19*('Sales &amp; Costs'!BR$49/2),0)</f>
        <v>3376.5264300000003</v>
      </c>
      <c r="BU19" s="2">
        <f>IF($D19&lt;=BU$8,$E19/12*(1+BU$5)+$F19*('Sales &amp; Costs'!BS$49/2),0)</f>
        <v>3376.5264300000003</v>
      </c>
      <c r="BV19" s="2">
        <f>IF($D19&lt;=BV$8,$E19/12*(1+BV$5)+$F19*('Sales &amp; Costs'!BT$49/2),0)</f>
        <v>3477.8222229000003</v>
      </c>
      <c r="BW19" s="2">
        <f>IF($D19&lt;=BW$8,$E19/12*(1+BW$5)+$F19*('Sales &amp; Costs'!BU$49/2),0)</f>
        <v>3477.8222229000003</v>
      </c>
      <c r="BX19" s="2">
        <f>IF($D19&lt;=BX$8,$E19/12*(1+BX$5)+$F19*('Sales &amp; Costs'!BV$49/2),0)</f>
        <v>3477.8222229000003</v>
      </c>
      <c r="BY19" s="2">
        <f>IF($D19&lt;=BY$8,$E19/12*(1+BY$5)+$F19*('Sales &amp; Costs'!BW$49/2),0)</f>
        <v>3477.8222229000003</v>
      </c>
      <c r="BZ19" s="2">
        <f>IF($D19&lt;=BZ$8,$E19/12*(1+BZ$5)+$F19*('Sales &amp; Costs'!BX$49/2),0)</f>
        <v>3477.8222229000003</v>
      </c>
      <c r="CA19" s="2">
        <f>IF($D19&lt;=CA$8,$E19/12*(1+CA$5)+$F19*('Sales &amp; Costs'!BY$49/2),0)</f>
        <v>3477.8222229000003</v>
      </c>
      <c r="CC19" s="2">
        <f t="shared" si="7"/>
        <v>40518.317160000006</v>
      </c>
    </row>
    <row r="20" spans="1:81" ht="15.75" customHeight="1">
      <c r="C20" s="271" t="s">
        <v>387</v>
      </c>
      <c r="D20" s="96">
        <v>40544</v>
      </c>
      <c r="E20" s="95">
        <v>42000</v>
      </c>
      <c r="F20" s="183">
        <v>0</v>
      </c>
      <c r="H20" s="2">
        <f>IF($D20&lt;=H$8,$E20/12*(1+H$5)+$F20*('Sales &amp; Costs'!F$49/2),0)</f>
        <v>0</v>
      </c>
      <c r="I20" s="2">
        <f>IF($D20&lt;=I$8,$E20/12*(1+I$5)+$F20*('Sales &amp; Costs'!G$49/2),0)</f>
        <v>0</v>
      </c>
      <c r="J20" s="2">
        <f>IF($D20&lt;=J$8,$E20/12*(1+J$5)+$F20*('Sales &amp; Costs'!H$49/2),0)</f>
        <v>0</v>
      </c>
      <c r="K20" s="2">
        <f>IF($D20&lt;=K$8,$E20/12*(1+K$5)+$F20*('Sales &amp; Costs'!I$49/2),0)</f>
        <v>0</v>
      </c>
      <c r="L20" s="2">
        <f>IF($D20&lt;=L$8,$E20/12*(1+L$5)+$F20*('Sales &amp; Costs'!J$49/2),0)</f>
        <v>0</v>
      </c>
      <c r="M20" s="2">
        <f>IF($D20&lt;=M$8,$E20/12*(1+M$5)+$F20*('Sales &amp; Costs'!K$49/2),0)</f>
        <v>0</v>
      </c>
      <c r="N20" s="2">
        <f>IF($D20&lt;=N$8,$E20/12*(1+N$5)+$F20*('Sales &amp; Costs'!L$49/2),0)</f>
        <v>0</v>
      </c>
      <c r="O20" s="2">
        <f>IF($D20&lt;=O$8,$E20/12*(1+O$5)+$F20*('Sales &amp; Costs'!M$49/2),0)</f>
        <v>0</v>
      </c>
      <c r="P20" s="2">
        <f>IF($D20&lt;=P$8,$E20/12*(1+P$5)+$F20*('Sales &amp; Costs'!N$49/2),0)</f>
        <v>0</v>
      </c>
      <c r="Q20" s="2">
        <f>IF($D20&lt;=Q$8,$E20/12*(1+Q$5)+$F20*('Sales &amp; Costs'!O$49/2),0)</f>
        <v>0</v>
      </c>
      <c r="R20" s="2">
        <f>IF($D20&lt;=R$8,$E20/12*(1+R$5)+$F20*('Sales &amp; Costs'!P$49/2),0)</f>
        <v>0</v>
      </c>
      <c r="S20" s="2">
        <f>IF($D20&lt;=S$8,$E20/12*(1+S$5)+$F20*('Sales &amp; Costs'!Q$49/2),0)</f>
        <v>0</v>
      </c>
      <c r="T20" s="2">
        <f>IF($D20&lt;=T$8,$E20/12*(1+T$5)+$F20*('Sales &amp; Costs'!R$49/2),0)</f>
        <v>0</v>
      </c>
      <c r="U20" s="2">
        <f>IF($D20&lt;=U$8,$E20/12*(1+U$5)+$F20*('Sales &amp; Costs'!S$49/2),0)</f>
        <v>0</v>
      </c>
      <c r="V20" s="2">
        <f>IF($D20&lt;=V$8,$E20/12*(1+V$5)+$F20*('Sales &amp; Costs'!T$49/2),0)</f>
        <v>0</v>
      </c>
      <c r="W20" s="2">
        <f>IF($D20&lt;=W$8,$E20/12*(1+W$5)+$F20*('Sales &amp; Costs'!U$49/2),0)</f>
        <v>0</v>
      </c>
      <c r="X20" s="2">
        <f>IF($D20&lt;=X$8,$E20/12*(1+X$5)+$F20*('Sales &amp; Costs'!V$49/2),0)</f>
        <v>0</v>
      </c>
      <c r="Y20" s="2">
        <f>IF($D20&lt;=Y$8,$E20/12*(1+Y$5)+$F20*('Sales &amp; Costs'!W$49/2),0)</f>
        <v>0</v>
      </c>
      <c r="Z20" s="2">
        <f>IF($D20&lt;=Z$8,$E20/12*(1+Z$5)+$F20*('Sales &amp; Costs'!X$49/2),0)</f>
        <v>0</v>
      </c>
      <c r="AA20" s="2">
        <f>IF($D20&lt;=AA$8,$E20/12*(1+AA$5)+$F20*('Sales &amp; Costs'!Y$49/2),0)</f>
        <v>0</v>
      </c>
      <c r="AB20" s="2">
        <f>IF($D20&lt;=AB$8,$E20/12*(1+AB$5)+$F20*('Sales &amp; Costs'!Z$49/2),0)</f>
        <v>0</v>
      </c>
      <c r="AC20" s="2">
        <f>IF($D20&lt;=AC$8,$E20/12*(1+AC$5)+$F20*('Sales &amp; Costs'!AA$49/2),0)</f>
        <v>0</v>
      </c>
      <c r="AD20" s="2">
        <f>IF($D20&lt;=AD$8,$E20/12*(1+AD$5)+$F20*('Sales &amp; Costs'!AB$49/2),0)</f>
        <v>0</v>
      </c>
      <c r="AE20" s="2">
        <f>IF($D20&lt;=AE$8,$E20/12*(1+AE$5)+$F20*('Sales &amp; Costs'!AC$49/2),0)</f>
        <v>0</v>
      </c>
      <c r="AF20" s="2">
        <f>IF($D20&lt;=AF$8,$E20/12*(1+AF$5)+$F20*('Sales &amp; Costs'!AD$49/2),0)</f>
        <v>3605</v>
      </c>
      <c r="AG20" s="2">
        <f>IF($D20&lt;=AG$8,$E20/12*(1+AG$5)+$F20*('Sales &amp; Costs'!AE$49/2),0)</f>
        <v>3605</v>
      </c>
      <c r="AH20" s="2">
        <f>IF($D20&lt;=AH$8,$E20/12*(1+AH$5)+$F20*('Sales &amp; Costs'!AF$49/2),0)</f>
        <v>3605</v>
      </c>
      <c r="AI20" s="2">
        <f>IF($D20&lt;=AI$8,$E20/12*(1+AI$5)+$F20*('Sales &amp; Costs'!AG$49/2),0)</f>
        <v>3605</v>
      </c>
      <c r="AJ20" s="2">
        <f>IF($D20&lt;=AJ$8,$E20/12*(1+AJ$5)+$F20*('Sales &amp; Costs'!AH$49/2),0)</f>
        <v>3605</v>
      </c>
      <c r="AK20" s="2">
        <f>IF($D20&lt;=AK$8,$E20/12*(1+AK$5)+$F20*('Sales &amp; Costs'!AI$49/2),0)</f>
        <v>3605</v>
      </c>
      <c r="AL20" s="2">
        <f>IF($D20&lt;=AL$8,$E20/12*(1+AL$5)+$F20*('Sales &amp; Costs'!AJ$49/2),0)</f>
        <v>3713.1499999999996</v>
      </c>
      <c r="AM20" s="2">
        <f>IF($D20&lt;=AM$8,$E20/12*(1+AM$5)+$F20*('Sales &amp; Costs'!AK$49/2),0)</f>
        <v>3713.1499999999996</v>
      </c>
      <c r="AN20" s="2">
        <f>IF($D20&lt;=AN$8,$E20/12*(1+AN$5)+$F20*('Sales &amp; Costs'!AL$49/2),0)</f>
        <v>3713.1499999999996</v>
      </c>
      <c r="AO20" s="2">
        <f>IF($D20&lt;=AO$8,$E20/12*(1+AO$5)+$F20*('Sales &amp; Costs'!AM$49/2),0)</f>
        <v>3713.1499999999996</v>
      </c>
      <c r="AP20" s="2">
        <f>IF($D20&lt;=AP$8,$E20/12*(1+AP$5)+$F20*('Sales &amp; Costs'!AN$49/2),0)</f>
        <v>3713.1499999999996</v>
      </c>
      <c r="AQ20" s="2">
        <f>IF($D20&lt;=AQ$8,$E20/12*(1+AQ$5)+$F20*('Sales &amp; Costs'!AO$49/2),0)</f>
        <v>3713.1499999999996</v>
      </c>
      <c r="AR20" s="2">
        <f>IF($D20&lt;=AR$8,$E20/12*(1+AR$5)+$F20*('Sales &amp; Costs'!AP$49/2),0)</f>
        <v>3713.1499999999996</v>
      </c>
      <c r="AS20" s="2">
        <f>IF($D20&lt;=AS$8,$E20/12*(1+AS$5)+$F20*('Sales &amp; Costs'!AQ$49/2),0)</f>
        <v>3713.1499999999996</v>
      </c>
      <c r="AT20" s="2">
        <f>IF($D20&lt;=AT$8,$E20/12*(1+AT$5)+$F20*('Sales &amp; Costs'!AR$49/2),0)</f>
        <v>3713.1499999999996</v>
      </c>
      <c r="AU20" s="2">
        <f>IF($D20&lt;=AU$8,$E20/12*(1+AU$5)+$F20*('Sales &amp; Costs'!AS$49/2),0)</f>
        <v>3713.1499999999996</v>
      </c>
      <c r="AV20" s="2">
        <f>IF($D20&lt;=AV$8,$E20/12*(1+AV$5)+$F20*('Sales &amp; Costs'!AT$49/2),0)</f>
        <v>3713.1499999999996</v>
      </c>
      <c r="AW20" s="2">
        <f>IF($D20&lt;=AW$8,$E20/12*(1+AW$5)+$F20*('Sales &amp; Costs'!AU$49/2),0)</f>
        <v>3713.1499999999996</v>
      </c>
      <c r="AX20" s="2">
        <f>IF($D20&lt;=AX$8,$E20/12*(1+AX$5)+$F20*('Sales &amp; Costs'!AV$49/2),0)</f>
        <v>3824.5445</v>
      </c>
      <c r="AY20" s="2">
        <f>IF($D20&lt;=AY$8,$E20/12*(1+AY$5)+$F20*('Sales &amp; Costs'!AW$49/2),0)</f>
        <v>3824.5445</v>
      </c>
      <c r="AZ20" s="2">
        <f>IF($D20&lt;=AZ$8,$E20/12*(1+AZ$5)+$F20*('Sales &amp; Costs'!AX$49/2),0)</f>
        <v>3824.5445</v>
      </c>
      <c r="BA20" s="2">
        <f>IF($D20&lt;=BA$8,$E20/12*(1+BA$5)+$F20*('Sales &amp; Costs'!AY$49/2),0)</f>
        <v>3824.5445</v>
      </c>
      <c r="BB20" s="2">
        <f>IF($D20&lt;=BB$8,$E20/12*(1+BB$5)+$F20*('Sales &amp; Costs'!AZ$49/2),0)</f>
        <v>3824.5445</v>
      </c>
      <c r="BC20" s="2">
        <f>IF($D20&lt;=BC$8,$E20/12*(1+BC$5)+$F20*('Sales &amp; Costs'!BA$49/2),0)</f>
        <v>3824.5445</v>
      </c>
      <c r="BD20" s="2">
        <f>IF($D20&lt;=BD$8,$E20/12*(1+BD$5)+$F20*('Sales &amp; Costs'!BB$49/2),0)</f>
        <v>3824.5445</v>
      </c>
      <c r="BE20" s="2">
        <f>IF($D20&lt;=BE$8,$E20/12*(1+BE$5)+$F20*('Sales &amp; Costs'!BC$49/2),0)</f>
        <v>3824.5445</v>
      </c>
      <c r="BF20" s="2">
        <f>IF($D20&lt;=BF$8,$E20/12*(1+BF$5)+$F20*('Sales &amp; Costs'!BD$49/2),0)</f>
        <v>3824.5445</v>
      </c>
      <c r="BG20" s="2">
        <f>IF($D20&lt;=BG$8,$E20/12*(1+BG$5)+$F20*('Sales &amp; Costs'!BE$49/2),0)</f>
        <v>3824.5445</v>
      </c>
      <c r="BH20" s="2">
        <f>IF($D20&lt;=BH$8,$E20/12*(1+BH$5)+$F20*('Sales &amp; Costs'!BF$49/2),0)</f>
        <v>3824.5445</v>
      </c>
      <c r="BI20" s="2">
        <f>IF($D20&lt;=BI$8,$E20/12*(1+BI$5)+$F20*('Sales &amp; Costs'!BG$49/2),0)</f>
        <v>3824.5445</v>
      </c>
      <c r="BJ20" s="2">
        <f>IF($D20&lt;=BJ$8,$E20/12*(1+BJ$5)+$F20*('Sales &amp; Costs'!BH$49/2),0)</f>
        <v>3939.2808350000005</v>
      </c>
      <c r="BK20" s="2">
        <f>IF($D20&lt;=BK$8,$E20/12*(1+BK$5)+$F20*('Sales &amp; Costs'!BI$49/2),0)</f>
        <v>3939.2808350000005</v>
      </c>
      <c r="BL20" s="2">
        <f>IF($D20&lt;=BL$8,$E20/12*(1+BL$5)+$F20*('Sales &amp; Costs'!BJ$49/2),0)</f>
        <v>3939.2808350000005</v>
      </c>
      <c r="BM20" s="2">
        <f>IF($D20&lt;=BM$8,$E20/12*(1+BM$5)+$F20*('Sales &amp; Costs'!BK$49/2),0)</f>
        <v>3939.2808350000005</v>
      </c>
      <c r="BN20" s="2">
        <f>IF($D20&lt;=BN$8,$E20/12*(1+BN$5)+$F20*('Sales &amp; Costs'!BL$49/2),0)</f>
        <v>3939.2808350000005</v>
      </c>
      <c r="BO20" s="2">
        <f>IF($D20&lt;=BO$8,$E20/12*(1+BO$5)+$F20*('Sales &amp; Costs'!BM$49/2),0)</f>
        <v>3939.2808350000005</v>
      </c>
      <c r="BP20" s="2">
        <f>IF($D20&lt;=BP$8,$E20/12*(1+BP$5)+$F20*('Sales &amp; Costs'!BN$49/2),0)</f>
        <v>3939.2808350000005</v>
      </c>
      <c r="BQ20" s="2">
        <f>IF($D20&lt;=BQ$8,$E20/12*(1+BQ$5)+$F20*('Sales &amp; Costs'!BO$49/2),0)</f>
        <v>3939.2808350000005</v>
      </c>
      <c r="BR20" s="2">
        <f>IF($D20&lt;=BR$8,$E20/12*(1+BR$5)+$F20*('Sales &amp; Costs'!BP$49/2),0)</f>
        <v>3939.2808350000005</v>
      </c>
      <c r="BS20" s="2">
        <f>IF($D20&lt;=BS$8,$E20/12*(1+BS$5)+$F20*('Sales &amp; Costs'!BQ$49/2),0)</f>
        <v>3939.2808350000005</v>
      </c>
      <c r="BT20" s="2">
        <f>IF($D20&lt;=BT$8,$E20/12*(1+BT$5)+$F20*('Sales &amp; Costs'!BR$49/2),0)</f>
        <v>3939.2808350000005</v>
      </c>
      <c r="BU20" s="2">
        <f>IF($D20&lt;=BU$8,$E20/12*(1+BU$5)+$F20*('Sales &amp; Costs'!BS$49/2),0)</f>
        <v>3939.2808350000005</v>
      </c>
      <c r="BV20" s="2">
        <f>IF($D20&lt;=BV$8,$E20/12*(1+BV$5)+$F20*('Sales &amp; Costs'!BT$49/2),0)</f>
        <v>4057.45926005</v>
      </c>
      <c r="BW20" s="2">
        <f>IF($D20&lt;=BW$8,$E20/12*(1+BW$5)+$F20*('Sales &amp; Costs'!BU$49/2),0)</f>
        <v>4057.45926005</v>
      </c>
      <c r="BX20" s="2">
        <f>IF($D20&lt;=BX$8,$E20/12*(1+BX$5)+$F20*('Sales &amp; Costs'!BV$49/2),0)</f>
        <v>4057.45926005</v>
      </c>
      <c r="BY20" s="2">
        <f>IF($D20&lt;=BY$8,$E20/12*(1+BY$5)+$F20*('Sales &amp; Costs'!BW$49/2),0)</f>
        <v>4057.45926005</v>
      </c>
      <c r="BZ20" s="2">
        <f>IF($D20&lt;=BZ$8,$E20/12*(1+BZ$5)+$F20*('Sales &amp; Costs'!BX$49/2),0)</f>
        <v>4057.45926005</v>
      </c>
      <c r="CA20" s="2">
        <f>IF($D20&lt;=CA$8,$E20/12*(1+CA$5)+$F20*('Sales &amp; Costs'!BY$49/2),0)</f>
        <v>4057.45926005</v>
      </c>
      <c r="CC20" s="2">
        <f t="shared" si="7"/>
        <v>47271.370020000002</v>
      </c>
    </row>
    <row r="21" spans="1:81" ht="15.75" customHeight="1">
      <c r="C21" s="271" t="s">
        <v>392</v>
      </c>
      <c r="D21" s="96">
        <v>41091</v>
      </c>
      <c r="E21" s="95">
        <v>26000</v>
      </c>
      <c r="F21" s="183">
        <v>0</v>
      </c>
      <c r="H21" s="2">
        <f>IF($D21&lt;=H$8,$E21/12*(1+H$5)+$F21*('Sales &amp; Costs'!F$49/2),0)</f>
        <v>0</v>
      </c>
      <c r="I21" s="2">
        <f>IF($D21&lt;=I$8,$E21/12*(1+I$5)+$F21*('Sales &amp; Costs'!G$49/2),0)</f>
        <v>0</v>
      </c>
      <c r="J21" s="2">
        <f>IF($D21&lt;=J$8,$E21/12*(1+J$5)+$F21*('Sales &amp; Costs'!H$49/2),0)</f>
        <v>0</v>
      </c>
      <c r="K21" s="2">
        <f>IF($D21&lt;=K$8,$E21/12*(1+K$5)+$F21*('Sales &amp; Costs'!I$49/2),0)</f>
        <v>0</v>
      </c>
      <c r="L21" s="2">
        <f>IF($D21&lt;=L$8,$E21/12*(1+L$5)+$F21*('Sales &amp; Costs'!J$49/2),0)</f>
        <v>0</v>
      </c>
      <c r="M21" s="2">
        <f>IF($D21&lt;=M$8,$E21/12*(1+M$5)+$F21*('Sales &amp; Costs'!K$49/2),0)</f>
        <v>0</v>
      </c>
      <c r="N21" s="2">
        <f>IF($D21&lt;=N$8,$E21/12*(1+N$5)+$F21*('Sales &amp; Costs'!L$49/2),0)</f>
        <v>0</v>
      </c>
      <c r="O21" s="2">
        <f>IF($D21&lt;=O$8,$E21/12*(1+O$5)+$F21*('Sales &amp; Costs'!M$49/2),0)</f>
        <v>0</v>
      </c>
      <c r="P21" s="2">
        <f>IF($D21&lt;=P$8,$E21/12*(1+P$5)+$F21*('Sales &amp; Costs'!N$49/2),0)</f>
        <v>0</v>
      </c>
      <c r="Q21" s="2">
        <f>IF($D21&lt;=Q$8,$E21/12*(1+Q$5)+$F21*('Sales &amp; Costs'!O$49/2),0)</f>
        <v>0</v>
      </c>
      <c r="R21" s="2">
        <f>IF($D21&lt;=R$8,$E21/12*(1+R$5)+$F21*('Sales &amp; Costs'!P$49/2),0)</f>
        <v>0</v>
      </c>
      <c r="S21" s="2">
        <f>IF($D21&lt;=S$8,$E21/12*(1+S$5)+$F21*('Sales &amp; Costs'!Q$49/2),0)</f>
        <v>0</v>
      </c>
      <c r="T21" s="2">
        <f>IF($D21&lt;=T$8,$E21/12*(1+T$5)+$F21*('Sales &amp; Costs'!R$49/2),0)</f>
        <v>0</v>
      </c>
      <c r="U21" s="2">
        <f>IF($D21&lt;=U$8,$E21/12*(1+U$5)+$F21*('Sales &amp; Costs'!S$49/2),0)</f>
        <v>0</v>
      </c>
      <c r="V21" s="2">
        <f>IF($D21&lt;=V$8,$E21/12*(1+V$5)+$F21*('Sales &amp; Costs'!T$49/2),0)</f>
        <v>0</v>
      </c>
      <c r="W21" s="2">
        <f>IF($D21&lt;=W$8,$E21/12*(1+W$5)+$F21*('Sales &amp; Costs'!U$49/2),0)</f>
        <v>0</v>
      </c>
      <c r="X21" s="2">
        <f>IF($D21&lt;=X$8,$E21/12*(1+X$5)+$F21*('Sales &amp; Costs'!V$49/2),0)</f>
        <v>0</v>
      </c>
      <c r="Y21" s="2">
        <f>IF($D21&lt;=Y$8,$E21/12*(1+Y$5)+$F21*('Sales &amp; Costs'!W$49/2),0)</f>
        <v>0</v>
      </c>
      <c r="Z21" s="2">
        <f>IF($D21&lt;=Z$8,$E21/12*(1+Z$5)+$F21*('Sales &amp; Costs'!X$49/2),0)</f>
        <v>0</v>
      </c>
      <c r="AA21" s="2">
        <f>IF($D21&lt;=AA$8,$E21/12*(1+AA$5)+$F21*('Sales &amp; Costs'!Y$49/2),0)</f>
        <v>0</v>
      </c>
      <c r="AB21" s="2">
        <f>IF($D21&lt;=AB$8,$E21/12*(1+AB$5)+$F21*('Sales &amp; Costs'!Z$49/2),0)</f>
        <v>0</v>
      </c>
      <c r="AC21" s="2">
        <f>IF($D21&lt;=AC$8,$E21/12*(1+AC$5)+$F21*('Sales &amp; Costs'!AA$49/2),0)</f>
        <v>0</v>
      </c>
      <c r="AD21" s="2">
        <f>IF($D21&lt;=AD$8,$E21/12*(1+AD$5)+$F21*('Sales &amp; Costs'!AB$49/2),0)</f>
        <v>0</v>
      </c>
      <c r="AE21" s="2">
        <f>IF($D21&lt;=AE$8,$E21/12*(1+AE$5)+$F21*('Sales &amp; Costs'!AC$49/2),0)</f>
        <v>0</v>
      </c>
      <c r="AF21" s="2">
        <f>IF($D21&lt;=AF$8,$E21/12*(1+AF$5)+$F21*('Sales &amp; Costs'!AD$49/2),0)</f>
        <v>0</v>
      </c>
      <c r="AG21" s="2">
        <f>IF($D21&lt;=AG$8,$E21/12*(1+AG$5)+$F21*('Sales &amp; Costs'!AE$49/2),0)</f>
        <v>0</v>
      </c>
      <c r="AH21" s="2">
        <f>IF($D21&lt;=AH$8,$E21/12*(1+AH$5)+$F21*('Sales &amp; Costs'!AF$49/2),0)</f>
        <v>0</v>
      </c>
      <c r="AI21" s="2">
        <f>IF($D21&lt;=AI$8,$E21/12*(1+AI$5)+$F21*('Sales &amp; Costs'!AG$49/2),0)</f>
        <v>0</v>
      </c>
      <c r="AJ21" s="2">
        <f>IF($D21&lt;=AJ$8,$E21/12*(1+AJ$5)+$F21*('Sales &amp; Costs'!AH$49/2),0)</f>
        <v>0</v>
      </c>
      <c r="AK21" s="2">
        <f>IF($D21&lt;=AK$8,$E21/12*(1+AK$5)+$F21*('Sales &amp; Costs'!AI$49/2),0)</f>
        <v>0</v>
      </c>
      <c r="AL21" s="2">
        <f>IF($D21&lt;=AL$8,$E21/12*(1+AL$5)+$F21*('Sales &amp; Costs'!AJ$49/2),0)</f>
        <v>0</v>
      </c>
      <c r="AM21" s="2">
        <f>IF($D21&lt;=AM$8,$E21/12*(1+AM$5)+$F21*('Sales &amp; Costs'!AK$49/2),0)</f>
        <v>0</v>
      </c>
      <c r="AN21" s="2">
        <f>IF($D21&lt;=AN$8,$E21/12*(1+AN$5)+$F21*('Sales &amp; Costs'!AL$49/2),0)</f>
        <v>0</v>
      </c>
      <c r="AO21" s="2">
        <f>IF($D21&lt;=AO$8,$E21/12*(1+AO$5)+$F21*('Sales &amp; Costs'!AM$49/2),0)</f>
        <v>0</v>
      </c>
      <c r="AP21" s="2">
        <f>IF($D21&lt;=AP$8,$E21/12*(1+AP$5)+$F21*('Sales &amp; Costs'!AN$49/2),0)</f>
        <v>0</v>
      </c>
      <c r="AQ21" s="2">
        <f>IF($D21&lt;=AQ$8,$E21/12*(1+AQ$5)+$F21*('Sales &amp; Costs'!AO$49/2),0)</f>
        <v>0</v>
      </c>
      <c r="AR21" s="2">
        <f>IF($D21&lt;=AR$8,$E21/12*(1+AR$5)+$F21*('Sales &amp; Costs'!AP$49/2),0)</f>
        <v>0</v>
      </c>
      <c r="AS21" s="2">
        <f>IF($D21&lt;=AS$8,$E21/12*(1+AS$5)+$F21*('Sales &amp; Costs'!AQ$49/2),0)</f>
        <v>0</v>
      </c>
      <c r="AT21" s="2">
        <f>IF($D21&lt;=AT$8,$E21/12*(1+AT$5)+$F21*('Sales &amp; Costs'!AR$49/2),0)</f>
        <v>0</v>
      </c>
      <c r="AU21" s="2">
        <f>IF($D21&lt;=AU$8,$E21/12*(1+AU$5)+$F21*('Sales &amp; Costs'!AS$49/2),0)</f>
        <v>0</v>
      </c>
      <c r="AV21" s="2">
        <f>IF($D21&lt;=AV$8,$E21/12*(1+AV$5)+$F21*('Sales &amp; Costs'!AT$49/2),0)</f>
        <v>0</v>
      </c>
      <c r="AW21" s="2">
        <f>IF($D21&lt;=AW$8,$E21/12*(1+AW$5)+$F21*('Sales &amp; Costs'!AU$49/2),0)</f>
        <v>0</v>
      </c>
      <c r="AX21" s="2">
        <f>IF($D21&lt;=AX$8,$E21/12*(1+AX$5)+$F21*('Sales &amp; Costs'!AV$49/2),0)</f>
        <v>2367.5751666666665</v>
      </c>
      <c r="AY21" s="2">
        <f>IF($D21&lt;=AY$8,$E21/12*(1+AY$5)+$F21*('Sales &amp; Costs'!AW$49/2),0)</f>
        <v>2367.5751666666665</v>
      </c>
      <c r="AZ21" s="2">
        <f>IF($D21&lt;=AZ$8,$E21/12*(1+AZ$5)+$F21*('Sales &amp; Costs'!AX$49/2),0)</f>
        <v>2367.5751666666665</v>
      </c>
      <c r="BA21" s="2">
        <f>IF($D21&lt;=BA$8,$E21/12*(1+BA$5)+$F21*('Sales &amp; Costs'!AY$49/2),0)</f>
        <v>2367.5751666666665</v>
      </c>
      <c r="BB21" s="2">
        <f>IF($D21&lt;=BB$8,$E21/12*(1+BB$5)+$F21*('Sales &amp; Costs'!AZ$49/2),0)</f>
        <v>2367.5751666666665</v>
      </c>
      <c r="BC21" s="2">
        <f>IF($D21&lt;=BC$8,$E21/12*(1+BC$5)+$F21*('Sales &amp; Costs'!BA$49/2),0)</f>
        <v>2367.5751666666665</v>
      </c>
      <c r="BD21" s="2">
        <f>IF($D21&lt;=BD$8,$E21/12*(1+BD$5)+$F21*('Sales &amp; Costs'!BB$49/2),0)</f>
        <v>2367.5751666666665</v>
      </c>
      <c r="BE21" s="2">
        <f>IF($D21&lt;=BE$8,$E21/12*(1+BE$5)+$F21*('Sales &amp; Costs'!BC$49/2),0)</f>
        <v>2367.5751666666665</v>
      </c>
      <c r="BF21" s="2">
        <f>IF($D21&lt;=BF$8,$E21/12*(1+BF$5)+$F21*('Sales &amp; Costs'!BD$49/2),0)</f>
        <v>2367.5751666666665</v>
      </c>
      <c r="BG21" s="2">
        <f>IF($D21&lt;=BG$8,$E21/12*(1+BG$5)+$F21*('Sales &amp; Costs'!BE$49/2),0)</f>
        <v>2367.5751666666665</v>
      </c>
      <c r="BH21" s="2">
        <f>IF($D21&lt;=BH$8,$E21/12*(1+BH$5)+$F21*('Sales &amp; Costs'!BF$49/2),0)</f>
        <v>2367.5751666666665</v>
      </c>
      <c r="BI21" s="2">
        <f>IF($D21&lt;=BI$8,$E21/12*(1+BI$5)+$F21*('Sales &amp; Costs'!BG$49/2),0)</f>
        <v>2367.5751666666665</v>
      </c>
      <c r="BJ21" s="2">
        <f>IF($D21&lt;=BJ$8,$E21/12*(1+BJ$5)+$F21*('Sales &amp; Costs'!BH$49/2),0)</f>
        <v>2438.6024216666669</v>
      </c>
      <c r="BK21" s="2">
        <f>IF($D21&lt;=BK$8,$E21/12*(1+BK$5)+$F21*('Sales &amp; Costs'!BI$49/2),0)</f>
        <v>2438.6024216666669</v>
      </c>
      <c r="BL21" s="2">
        <f>IF($D21&lt;=BL$8,$E21/12*(1+BL$5)+$F21*('Sales &amp; Costs'!BJ$49/2),0)</f>
        <v>2438.6024216666669</v>
      </c>
      <c r="BM21" s="2">
        <f>IF($D21&lt;=BM$8,$E21/12*(1+BM$5)+$F21*('Sales &amp; Costs'!BK$49/2),0)</f>
        <v>2438.6024216666669</v>
      </c>
      <c r="BN21" s="2">
        <f>IF($D21&lt;=BN$8,$E21/12*(1+BN$5)+$F21*('Sales &amp; Costs'!BL$49/2),0)</f>
        <v>2438.6024216666669</v>
      </c>
      <c r="BO21" s="2">
        <f>IF($D21&lt;=BO$8,$E21/12*(1+BO$5)+$F21*('Sales &amp; Costs'!BM$49/2),0)</f>
        <v>2438.6024216666669</v>
      </c>
      <c r="BP21" s="2">
        <f>IF($D21&lt;=BP$8,$E21/12*(1+BP$5)+$F21*('Sales &amp; Costs'!BN$49/2),0)</f>
        <v>2438.6024216666669</v>
      </c>
      <c r="BQ21" s="2">
        <f>IF($D21&lt;=BQ$8,$E21/12*(1+BQ$5)+$F21*('Sales &amp; Costs'!BO$49/2),0)</f>
        <v>2438.6024216666669</v>
      </c>
      <c r="BR21" s="2">
        <f>IF($D21&lt;=BR$8,$E21/12*(1+BR$5)+$F21*('Sales &amp; Costs'!BP$49/2),0)</f>
        <v>2438.6024216666669</v>
      </c>
      <c r="BS21" s="2">
        <f>IF($D21&lt;=BS$8,$E21/12*(1+BS$5)+$F21*('Sales &amp; Costs'!BQ$49/2),0)</f>
        <v>2438.6024216666669</v>
      </c>
      <c r="BT21" s="2">
        <f>IF($D21&lt;=BT$8,$E21/12*(1+BT$5)+$F21*('Sales &amp; Costs'!BR$49/2),0)</f>
        <v>2438.6024216666669</v>
      </c>
      <c r="BU21" s="2">
        <f>IF($D21&lt;=BU$8,$E21/12*(1+BU$5)+$F21*('Sales &amp; Costs'!BS$49/2),0)</f>
        <v>2438.6024216666669</v>
      </c>
      <c r="BV21" s="2">
        <f>IF($D21&lt;=BV$8,$E21/12*(1+BV$5)+$F21*('Sales &amp; Costs'!BT$49/2),0)</f>
        <v>2511.7604943166666</v>
      </c>
      <c r="BW21" s="2">
        <f>IF($D21&lt;=BW$8,$E21/12*(1+BW$5)+$F21*('Sales &amp; Costs'!BU$49/2),0)</f>
        <v>2511.7604943166666</v>
      </c>
      <c r="BX21" s="2">
        <f>IF($D21&lt;=BX$8,$E21/12*(1+BX$5)+$F21*('Sales &amp; Costs'!BV$49/2),0)</f>
        <v>2511.7604943166666</v>
      </c>
      <c r="BY21" s="2">
        <f>IF($D21&lt;=BY$8,$E21/12*(1+BY$5)+$F21*('Sales &amp; Costs'!BW$49/2),0)</f>
        <v>2511.7604943166666</v>
      </c>
      <c r="BZ21" s="2">
        <f>IF($D21&lt;=BZ$8,$E21/12*(1+BZ$5)+$F21*('Sales &amp; Costs'!BX$49/2),0)</f>
        <v>2511.7604943166666</v>
      </c>
      <c r="CA21" s="2">
        <f>IF($D21&lt;=CA$8,$E21/12*(1+CA$5)+$F21*('Sales &amp; Costs'!BY$49/2),0)</f>
        <v>2511.7604943166666</v>
      </c>
      <c r="CC21" s="2">
        <f t="shared" si="7"/>
        <v>29263.229060000005</v>
      </c>
    </row>
    <row r="22" spans="1:81" ht="15.75" customHeight="1">
      <c r="C22" s="271" t="s">
        <v>393</v>
      </c>
      <c r="D22" s="96">
        <v>41395</v>
      </c>
      <c r="E22" s="95">
        <v>26000</v>
      </c>
      <c r="F22" s="183">
        <v>0</v>
      </c>
      <c r="H22" s="2">
        <f>IF($D22&lt;=H$8,$E22/12*(1+H$5)+$F22*('Sales &amp; Costs'!F$49/2),0)</f>
        <v>0</v>
      </c>
      <c r="I22" s="2">
        <f>IF($D22&lt;=I$8,$E22/12*(1+I$5)+$F22*('Sales &amp; Costs'!G$49/2),0)</f>
        <v>0</v>
      </c>
      <c r="J22" s="2">
        <f>IF($D22&lt;=J$8,$E22/12*(1+J$5)+$F22*('Sales &amp; Costs'!H$49/2),0)</f>
        <v>0</v>
      </c>
      <c r="K22" s="2">
        <f>IF($D22&lt;=K$8,$E22/12*(1+K$5)+$F22*('Sales &amp; Costs'!I$49/2),0)</f>
        <v>0</v>
      </c>
      <c r="L22" s="2">
        <f>IF($D22&lt;=L$8,$E22/12*(1+L$5)+$F22*('Sales &amp; Costs'!J$49/2),0)</f>
        <v>0</v>
      </c>
      <c r="M22" s="2">
        <f>IF($D22&lt;=M$8,$E22/12*(1+M$5)+$F22*('Sales &amp; Costs'!K$49/2),0)</f>
        <v>0</v>
      </c>
      <c r="N22" s="2">
        <f>IF($D22&lt;=N$8,$E22/12*(1+N$5)+$F22*('Sales &amp; Costs'!L$49/2),0)</f>
        <v>0</v>
      </c>
      <c r="O22" s="2">
        <f>IF($D22&lt;=O$8,$E22/12*(1+O$5)+$F22*('Sales &amp; Costs'!M$49/2),0)</f>
        <v>0</v>
      </c>
      <c r="P22" s="2">
        <f>IF($D22&lt;=P$8,$E22/12*(1+P$5)+$F22*('Sales &amp; Costs'!N$49/2),0)</f>
        <v>0</v>
      </c>
      <c r="Q22" s="2">
        <f>IF($D22&lt;=Q$8,$E22/12*(1+Q$5)+$F22*('Sales &amp; Costs'!O$49/2),0)</f>
        <v>0</v>
      </c>
      <c r="R22" s="2">
        <f>IF($D22&lt;=R$8,$E22/12*(1+R$5)+$F22*('Sales &amp; Costs'!P$49/2),0)</f>
        <v>0</v>
      </c>
      <c r="S22" s="2">
        <f>IF($D22&lt;=S$8,$E22/12*(1+S$5)+$F22*('Sales &amp; Costs'!Q$49/2),0)</f>
        <v>0</v>
      </c>
      <c r="T22" s="2">
        <f>IF($D22&lt;=T$8,$E22/12*(1+T$5)+$F22*('Sales &amp; Costs'!R$49/2),0)</f>
        <v>0</v>
      </c>
      <c r="U22" s="2">
        <f>IF($D22&lt;=U$8,$E22/12*(1+U$5)+$F22*('Sales &amp; Costs'!S$49/2),0)</f>
        <v>0</v>
      </c>
      <c r="V22" s="2">
        <f>IF($D22&lt;=V$8,$E22/12*(1+V$5)+$F22*('Sales &amp; Costs'!T$49/2),0)</f>
        <v>0</v>
      </c>
      <c r="W22" s="2">
        <f>IF($D22&lt;=W$8,$E22/12*(1+W$5)+$F22*('Sales &amp; Costs'!U$49/2),0)</f>
        <v>0</v>
      </c>
      <c r="X22" s="2">
        <f>IF($D22&lt;=X$8,$E22/12*(1+X$5)+$F22*('Sales &amp; Costs'!V$49/2),0)</f>
        <v>0</v>
      </c>
      <c r="Y22" s="2">
        <f>IF($D22&lt;=Y$8,$E22/12*(1+Y$5)+$F22*('Sales &amp; Costs'!W$49/2),0)</f>
        <v>0</v>
      </c>
      <c r="Z22" s="2">
        <f>IF($D22&lt;=Z$8,$E22/12*(1+Z$5)+$F22*('Sales &amp; Costs'!X$49/2),0)</f>
        <v>0</v>
      </c>
      <c r="AA22" s="2">
        <f>IF($D22&lt;=AA$8,$E22/12*(1+AA$5)+$F22*('Sales &amp; Costs'!Y$49/2),0)</f>
        <v>0</v>
      </c>
      <c r="AB22" s="2">
        <f>IF($D22&lt;=AB$8,$E22/12*(1+AB$5)+$F22*('Sales &amp; Costs'!Z$49/2),0)</f>
        <v>0</v>
      </c>
      <c r="AC22" s="2">
        <f>IF($D22&lt;=AC$8,$E22/12*(1+AC$5)+$F22*('Sales &amp; Costs'!AA$49/2),0)</f>
        <v>0</v>
      </c>
      <c r="AD22" s="2">
        <f>IF($D22&lt;=AD$8,$E22/12*(1+AD$5)+$F22*('Sales &amp; Costs'!AB$49/2),0)</f>
        <v>0</v>
      </c>
      <c r="AE22" s="2">
        <f>IF($D22&lt;=AE$8,$E22/12*(1+AE$5)+$F22*('Sales &amp; Costs'!AC$49/2),0)</f>
        <v>0</v>
      </c>
      <c r="AF22" s="2">
        <f>IF($D22&lt;=AF$8,$E22/12*(1+AF$5)+$F22*('Sales &amp; Costs'!AD$49/2),0)</f>
        <v>0</v>
      </c>
      <c r="AG22" s="2">
        <f>IF($D22&lt;=AG$8,$E22/12*(1+AG$5)+$F22*('Sales &amp; Costs'!AE$49/2),0)</f>
        <v>0</v>
      </c>
      <c r="AH22" s="2">
        <f>IF($D22&lt;=AH$8,$E22/12*(1+AH$5)+$F22*('Sales &amp; Costs'!AF$49/2),0)</f>
        <v>0</v>
      </c>
      <c r="AI22" s="2">
        <f>IF($D22&lt;=AI$8,$E22/12*(1+AI$5)+$F22*('Sales &amp; Costs'!AG$49/2),0)</f>
        <v>0</v>
      </c>
      <c r="AJ22" s="2">
        <f>IF($D22&lt;=AJ$8,$E22/12*(1+AJ$5)+$F22*('Sales &amp; Costs'!AH$49/2),0)</f>
        <v>0</v>
      </c>
      <c r="AK22" s="2">
        <f>IF($D22&lt;=AK$8,$E22/12*(1+AK$5)+$F22*('Sales &amp; Costs'!AI$49/2),0)</f>
        <v>0</v>
      </c>
      <c r="AL22" s="2">
        <f>IF($D22&lt;=AL$8,$E22/12*(1+AL$5)+$F22*('Sales &amp; Costs'!AJ$49/2),0)</f>
        <v>0</v>
      </c>
      <c r="AM22" s="2">
        <f>IF($D22&lt;=AM$8,$E22/12*(1+AM$5)+$F22*('Sales &amp; Costs'!AK$49/2),0)</f>
        <v>0</v>
      </c>
      <c r="AN22" s="2">
        <f>IF($D22&lt;=AN$8,$E22/12*(1+AN$5)+$F22*('Sales &amp; Costs'!AL$49/2),0)</f>
        <v>0</v>
      </c>
      <c r="AO22" s="2">
        <f>IF($D22&lt;=AO$8,$E22/12*(1+AO$5)+$F22*('Sales &amp; Costs'!AM$49/2),0)</f>
        <v>0</v>
      </c>
      <c r="AP22" s="2">
        <f>IF($D22&lt;=AP$8,$E22/12*(1+AP$5)+$F22*('Sales &amp; Costs'!AN$49/2),0)</f>
        <v>0</v>
      </c>
      <c r="AQ22" s="2">
        <f>IF($D22&lt;=AQ$8,$E22/12*(1+AQ$5)+$F22*('Sales &amp; Costs'!AO$49/2),0)</f>
        <v>0</v>
      </c>
      <c r="AR22" s="2">
        <f>IF($D22&lt;=AR$8,$E22/12*(1+AR$5)+$F22*('Sales &amp; Costs'!AP$49/2),0)</f>
        <v>0</v>
      </c>
      <c r="AS22" s="2">
        <f>IF($D22&lt;=AS$8,$E22/12*(1+AS$5)+$F22*('Sales &amp; Costs'!AQ$49/2),0)</f>
        <v>0</v>
      </c>
      <c r="AT22" s="2">
        <f>IF($D22&lt;=AT$8,$E22/12*(1+AT$5)+$F22*('Sales &amp; Costs'!AR$49/2),0)</f>
        <v>0</v>
      </c>
      <c r="AU22" s="2">
        <f>IF($D22&lt;=AU$8,$E22/12*(1+AU$5)+$F22*('Sales &amp; Costs'!AS$49/2),0)</f>
        <v>0</v>
      </c>
      <c r="AV22" s="2">
        <f>IF($D22&lt;=AV$8,$E22/12*(1+AV$5)+$F22*('Sales &amp; Costs'!AT$49/2),0)</f>
        <v>0</v>
      </c>
      <c r="AW22" s="2">
        <f>IF($D22&lt;=AW$8,$E22/12*(1+AW$5)+$F22*('Sales &amp; Costs'!AU$49/2),0)</f>
        <v>0</v>
      </c>
      <c r="AX22" s="2">
        <f>IF($D22&lt;=AX$8,$E22/12*(1+AX$5)+$F22*('Sales &amp; Costs'!AV$49/2),0)</f>
        <v>0</v>
      </c>
      <c r="AY22" s="2">
        <f>IF($D22&lt;=AY$8,$E22/12*(1+AY$5)+$F22*('Sales &amp; Costs'!AW$49/2),0)</f>
        <v>0</v>
      </c>
      <c r="AZ22" s="2">
        <f>IF($D22&lt;=AZ$8,$E22/12*(1+AZ$5)+$F22*('Sales &amp; Costs'!AX$49/2),0)</f>
        <v>0</v>
      </c>
      <c r="BA22" s="2">
        <f>IF($D22&lt;=BA$8,$E22/12*(1+BA$5)+$F22*('Sales &amp; Costs'!AY$49/2),0)</f>
        <v>0</v>
      </c>
      <c r="BB22" s="2">
        <f>IF($D22&lt;=BB$8,$E22/12*(1+BB$5)+$F22*('Sales &amp; Costs'!AZ$49/2),0)</f>
        <v>0</v>
      </c>
      <c r="BC22" s="2">
        <f>IF($D22&lt;=BC$8,$E22/12*(1+BC$5)+$F22*('Sales &amp; Costs'!BA$49/2),0)</f>
        <v>0</v>
      </c>
      <c r="BD22" s="2">
        <f>IF($D22&lt;=BD$8,$E22/12*(1+BD$5)+$F22*('Sales &amp; Costs'!BB$49/2),0)</f>
        <v>0</v>
      </c>
      <c r="BE22" s="2">
        <f>IF($D22&lt;=BE$8,$E22/12*(1+BE$5)+$F22*('Sales &amp; Costs'!BC$49/2),0)</f>
        <v>0</v>
      </c>
      <c r="BF22" s="2">
        <f>IF($D22&lt;=BF$8,$E22/12*(1+BF$5)+$F22*('Sales &amp; Costs'!BD$49/2),0)</f>
        <v>0</v>
      </c>
      <c r="BG22" s="2">
        <f>IF($D22&lt;=BG$8,$E22/12*(1+BG$5)+$F22*('Sales &amp; Costs'!BE$49/2),0)</f>
        <v>0</v>
      </c>
      <c r="BH22" s="2">
        <f>IF($D22&lt;=BH$8,$E22/12*(1+BH$5)+$F22*('Sales &amp; Costs'!BF$49/2),0)</f>
        <v>2367.5751666666665</v>
      </c>
      <c r="BI22" s="2">
        <f>IF($D22&lt;=BI$8,$E22/12*(1+BI$5)+$F22*('Sales &amp; Costs'!BG$49/2),0)</f>
        <v>2367.5751666666665</v>
      </c>
      <c r="BJ22" s="2">
        <f>IF($D22&lt;=BJ$8,$E22/12*(1+BJ$5)+$F22*('Sales &amp; Costs'!BH$49/2),0)</f>
        <v>2438.6024216666669</v>
      </c>
      <c r="BK22" s="2">
        <f>IF($D22&lt;=BK$8,$E22/12*(1+BK$5)+$F22*('Sales &amp; Costs'!BI$49/2),0)</f>
        <v>2438.6024216666669</v>
      </c>
      <c r="BL22" s="2">
        <f>IF($D22&lt;=BL$8,$E22/12*(1+BL$5)+$F22*('Sales &amp; Costs'!BJ$49/2),0)</f>
        <v>2438.6024216666669</v>
      </c>
      <c r="BM22" s="2">
        <f>IF($D22&lt;=BM$8,$E22/12*(1+BM$5)+$F22*('Sales &amp; Costs'!BK$49/2),0)</f>
        <v>2438.6024216666669</v>
      </c>
      <c r="BN22" s="2">
        <f>IF($D22&lt;=BN$8,$E22/12*(1+BN$5)+$F22*('Sales &amp; Costs'!BL$49/2),0)</f>
        <v>2438.6024216666669</v>
      </c>
      <c r="BO22" s="2">
        <f>IF($D22&lt;=BO$8,$E22/12*(1+BO$5)+$F22*('Sales &amp; Costs'!BM$49/2),0)</f>
        <v>2438.6024216666669</v>
      </c>
      <c r="BP22" s="2">
        <f>IF($D22&lt;=BP$8,$E22/12*(1+BP$5)+$F22*('Sales &amp; Costs'!BN$49/2),0)</f>
        <v>2438.6024216666669</v>
      </c>
      <c r="BQ22" s="2">
        <f>IF($D22&lt;=BQ$8,$E22/12*(1+BQ$5)+$F22*('Sales &amp; Costs'!BO$49/2),0)</f>
        <v>2438.6024216666669</v>
      </c>
      <c r="BR22" s="2">
        <f>IF($D22&lt;=BR$8,$E22/12*(1+BR$5)+$F22*('Sales &amp; Costs'!BP$49/2),0)</f>
        <v>2438.6024216666669</v>
      </c>
      <c r="BS22" s="2">
        <f>IF($D22&lt;=BS$8,$E22/12*(1+BS$5)+$F22*('Sales &amp; Costs'!BQ$49/2),0)</f>
        <v>2438.6024216666669</v>
      </c>
      <c r="BT22" s="2">
        <f>IF($D22&lt;=BT$8,$E22/12*(1+BT$5)+$F22*('Sales &amp; Costs'!BR$49/2),0)</f>
        <v>2438.6024216666669</v>
      </c>
      <c r="BU22" s="2">
        <f>IF($D22&lt;=BU$8,$E22/12*(1+BU$5)+$F22*('Sales &amp; Costs'!BS$49/2),0)</f>
        <v>2438.6024216666669</v>
      </c>
      <c r="BV22" s="2">
        <f>IF($D22&lt;=BV$8,$E22/12*(1+BV$5)+$F22*('Sales &amp; Costs'!BT$49/2),0)</f>
        <v>2511.7604943166666</v>
      </c>
      <c r="BW22" s="2">
        <f>IF($D22&lt;=BW$8,$E22/12*(1+BW$5)+$F22*('Sales &amp; Costs'!BU$49/2),0)</f>
        <v>2511.7604943166666</v>
      </c>
      <c r="BX22" s="2">
        <f>IF($D22&lt;=BX$8,$E22/12*(1+BX$5)+$F22*('Sales &amp; Costs'!BV$49/2),0)</f>
        <v>2511.7604943166666</v>
      </c>
      <c r="BY22" s="2">
        <f>IF($D22&lt;=BY$8,$E22/12*(1+BY$5)+$F22*('Sales &amp; Costs'!BW$49/2),0)</f>
        <v>2511.7604943166666</v>
      </c>
      <c r="BZ22" s="2">
        <f>IF($D22&lt;=BZ$8,$E22/12*(1+BZ$5)+$F22*('Sales &amp; Costs'!BX$49/2),0)</f>
        <v>2511.7604943166666</v>
      </c>
      <c r="CA22" s="2">
        <f>IF($D22&lt;=CA$8,$E22/12*(1+CA$5)+$F22*('Sales &amp; Costs'!BY$49/2),0)</f>
        <v>2511.7604943166666</v>
      </c>
      <c r="CC22" s="2">
        <f t="shared" si="7"/>
        <v>29263.229060000005</v>
      </c>
    </row>
    <row r="23" spans="1:81" ht="15.75" customHeight="1">
      <c r="C23" s="271"/>
      <c r="D23" s="96"/>
      <c r="E23" s="95"/>
      <c r="F23" s="18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C23" s="2"/>
    </row>
    <row r="24" spans="1:81" ht="15.75" customHeight="1">
      <c r="C24" s="271"/>
      <c r="D24" s="96"/>
      <c r="E24" s="97"/>
      <c r="F24" s="18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C24" s="2"/>
    </row>
    <row r="25" spans="1:81" s="265" customFormat="1" ht="15.75" customHeight="1">
      <c r="A25" s="267"/>
      <c r="B25" s="275" t="s">
        <v>369</v>
      </c>
      <c r="C25" s="276"/>
      <c r="E25" s="266"/>
      <c r="F25" s="266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  <c r="AJ25" s="277"/>
      <c r="AK25" s="277"/>
      <c r="AL25" s="277"/>
      <c r="AM25" s="277"/>
      <c r="AN25" s="277"/>
      <c r="AO25" s="277"/>
      <c r="AP25" s="277"/>
      <c r="AQ25" s="277"/>
      <c r="AR25" s="277"/>
      <c r="AS25" s="277"/>
      <c r="AT25" s="277"/>
      <c r="AU25" s="277"/>
      <c r="AV25" s="277"/>
      <c r="AW25" s="277"/>
      <c r="AX25" s="277"/>
      <c r="AY25" s="277"/>
      <c r="AZ25" s="277"/>
      <c r="BA25" s="277"/>
      <c r="BB25" s="277"/>
      <c r="BC25" s="277"/>
      <c r="BD25" s="277"/>
      <c r="BE25" s="277"/>
      <c r="BF25" s="277"/>
      <c r="BG25" s="277"/>
      <c r="BH25" s="277"/>
      <c r="BI25" s="277"/>
      <c r="BJ25" s="277"/>
      <c r="BK25" s="277"/>
      <c r="BL25" s="277"/>
      <c r="BM25" s="277"/>
      <c r="BN25" s="277"/>
      <c r="BO25" s="277"/>
      <c r="BP25" s="277"/>
      <c r="BQ25" s="277"/>
      <c r="BR25" s="277"/>
      <c r="BS25" s="277"/>
      <c r="BT25" s="277"/>
      <c r="BU25" s="277"/>
      <c r="BV25" s="277"/>
      <c r="BW25" s="277"/>
      <c r="BX25" s="277"/>
      <c r="BY25" s="277"/>
      <c r="BZ25" s="277"/>
      <c r="CA25" s="277"/>
      <c r="CC25" s="277"/>
    </row>
    <row r="26" spans="1:81" s="278" customFormat="1" ht="15.75" customHeight="1">
      <c r="A26" s="268"/>
      <c r="B26" s="275"/>
      <c r="C26" s="268" t="s">
        <v>367</v>
      </c>
      <c r="E26" s="279"/>
      <c r="F26" s="279"/>
      <c r="G26" s="280"/>
      <c r="H26" s="281">
        <f t="shared" ref="H26:AM26" si="8">COUNTIF(H29:H38,"&gt;0")</f>
        <v>0</v>
      </c>
      <c r="I26" s="281">
        <f t="shared" si="8"/>
        <v>0</v>
      </c>
      <c r="J26" s="281">
        <f t="shared" si="8"/>
        <v>0</v>
      </c>
      <c r="K26" s="281">
        <f t="shared" si="8"/>
        <v>0</v>
      </c>
      <c r="L26" s="281">
        <f t="shared" si="8"/>
        <v>0</v>
      </c>
      <c r="M26" s="281">
        <f t="shared" si="8"/>
        <v>0</v>
      </c>
      <c r="N26" s="281">
        <f t="shared" si="8"/>
        <v>0</v>
      </c>
      <c r="O26" s="281">
        <f t="shared" si="8"/>
        <v>0</v>
      </c>
      <c r="P26" s="281">
        <f t="shared" si="8"/>
        <v>0</v>
      </c>
      <c r="Q26" s="281">
        <f t="shared" si="8"/>
        <v>0</v>
      </c>
      <c r="R26" s="281">
        <f t="shared" si="8"/>
        <v>0</v>
      </c>
      <c r="S26" s="281">
        <f t="shared" si="8"/>
        <v>0</v>
      </c>
      <c r="T26" s="281">
        <f t="shared" si="8"/>
        <v>0</v>
      </c>
      <c r="U26" s="281">
        <f t="shared" si="8"/>
        <v>0</v>
      </c>
      <c r="V26" s="281">
        <f t="shared" si="8"/>
        <v>0</v>
      </c>
      <c r="W26" s="281">
        <f t="shared" si="8"/>
        <v>0</v>
      </c>
      <c r="X26" s="281">
        <f t="shared" si="8"/>
        <v>0</v>
      </c>
      <c r="Y26" s="281">
        <f t="shared" si="8"/>
        <v>0</v>
      </c>
      <c r="Z26" s="281">
        <f t="shared" si="8"/>
        <v>0</v>
      </c>
      <c r="AA26" s="281">
        <f t="shared" si="8"/>
        <v>0</v>
      </c>
      <c r="AB26" s="281">
        <f t="shared" si="8"/>
        <v>0</v>
      </c>
      <c r="AC26" s="281">
        <f t="shared" si="8"/>
        <v>0</v>
      </c>
      <c r="AD26" s="281">
        <f t="shared" si="8"/>
        <v>0</v>
      </c>
      <c r="AE26" s="281">
        <f t="shared" si="8"/>
        <v>0</v>
      </c>
      <c r="AF26" s="281">
        <f t="shared" si="8"/>
        <v>0</v>
      </c>
      <c r="AG26" s="281">
        <f t="shared" si="8"/>
        <v>0</v>
      </c>
      <c r="AH26" s="281">
        <f t="shared" si="8"/>
        <v>1</v>
      </c>
      <c r="AI26" s="281">
        <f t="shared" si="8"/>
        <v>1</v>
      </c>
      <c r="AJ26" s="281">
        <f t="shared" si="8"/>
        <v>1</v>
      </c>
      <c r="AK26" s="281">
        <f t="shared" si="8"/>
        <v>2</v>
      </c>
      <c r="AL26" s="281">
        <f t="shared" si="8"/>
        <v>3</v>
      </c>
      <c r="AM26" s="281">
        <f t="shared" si="8"/>
        <v>3</v>
      </c>
      <c r="AN26" s="281">
        <f t="shared" ref="AN26:BO26" si="9">COUNTIF(AN29:AN38,"&gt;0")</f>
        <v>4</v>
      </c>
      <c r="AO26" s="281">
        <f t="shared" si="9"/>
        <v>4</v>
      </c>
      <c r="AP26" s="281">
        <f t="shared" si="9"/>
        <v>4</v>
      </c>
      <c r="AQ26" s="281">
        <f t="shared" si="9"/>
        <v>4</v>
      </c>
      <c r="AR26" s="281">
        <f t="shared" si="9"/>
        <v>7</v>
      </c>
      <c r="AS26" s="281">
        <f t="shared" si="9"/>
        <v>7</v>
      </c>
      <c r="AT26" s="281">
        <f t="shared" si="9"/>
        <v>7</v>
      </c>
      <c r="AU26" s="281">
        <f t="shared" si="9"/>
        <v>7</v>
      </c>
      <c r="AV26" s="281">
        <f t="shared" si="9"/>
        <v>8</v>
      </c>
      <c r="AW26" s="281">
        <f t="shared" si="9"/>
        <v>8</v>
      </c>
      <c r="AX26" s="281">
        <f t="shared" si="9"/>
        <v>9</v>
      </c>
      <c r="AY26" s="281">
        <f t="shared" si="9"/>
        <v>9</v>
      </c>
      <c r="AZ26" s="281">
        <f t="shared" si="9"/>
        <v>10</v>
      </c>
      <c r="BA26" s="281">
        <f t="shared" si="9"/>
        <v>10</v>
      </c>
      <c r="BB26" s="281">
        <f t="shared" si="9"/>
        <v>10</v>
      </c>
      <c r="BC26" s="281">
        <f t="shared" si="9"/>
        <v>10</v>
      </c>
      <c r="BD26" s="281">
        <f t="shared" si="9"/>
        <v>10</v>
      </c>
      <c r="BE26" s="281">
        <f t="shared" si="9"/>
        <v>10</v>
      </c>
      <c r="BF26" s="281">
        <f t="shared" si="9"/>
        <v>10</v>
      </c>
      <c r="BG26" s="281">
        <f t="shared" si="9"/>
        <v>10</v>
      </c>
      <c r="BH26" s="281">
        <f t="shared" si="9"/>
        <v>10</v>
      </c>
      <c r="BI26" s="281">
        <f t="shared" si="9"/>
        <v>10</v>
      </c>
      <c r="BJ26" s="281">
        <f t="shared" si="9"/>
        <v>10</v>
      </c>
      <c r="BK26" s="281">
        <f t="shared" si="9"/>
        <v>10</v>
      </c>
      <c r="BL26" s="281">
        <f t="shared" si="9"/>
        <v>10</v>
      </c>
      <c r="BM26" s="281">
        <f t="shared" si="9"/>
        <v>10</v>
      </c>
      <c r="BN26" s="281">
        <f t="shared" si="9"/>
        <v>10</v>
      </c>
      <c r="BO26" s="281">
        <f t="shared" si="9"/>
        <v>10</v>
      </c>
      <c r="BP26" s="281">
        <f t="shared" ref="BP26:CA26" si="10">COUNTIF(BP29:BP38,"&gt;0")</f>
        <v>10</v>
      </c>
      <c r="BQ26" s="281">
        <f t="shared" si="10"/>
        <v>10</v>
      </c>
      <c r="BR26" s="281">
        <f t="shared" si="10"/>
        <v>10</v>
      </c>
      <c r="BS26" s="281">
        <f t="shared" si="10"/>
        <v>10</v>
      </c>
      <c r="BT26" s="281">
        <f t="shared" si="10"/>
        <v>10</v>
      </c>
      <c r="BU26" s="281">
        <f t="shared" si="10"/>
        <v>10</v>
      </c>
      <c r="BV26" s="281">
        <f t="shared" si="10"/>
        <v>10</v>
      </c>
      <c r="BW26" s="281">
        <f t="shared" si="10"/>
        <v>10</v>
      </c>
      <c r="BX26" s="281">
        <f t="shared" si="10"/>
        <v>10</v>
      </c>
      <c r="BY26" s="281">
        <f t="shared" si="10"/>
        <v>10</v>
      </c>
      <c r="BZ26" s="281">
        <f t="shared" si="10"/>
        <v>10</v>
      </c>
      <c r="CA26" s="281">
        <f t="shared" si="10"/>
        <v>10</v>
      </c>
      <c r="CC26" s="280"/>
    </row>
    <row r="27" spans="1:81" s="278" customFormat="1" ht="15.75" customHeight="1">
      <c r="A27" s="268"/>
      <c r="B27" s="275"/>
      <c r="C27" s="268" t="s">
        <v>368</v>
      </c>
      <c r="E27" s="279"/>
      <c r="F27" s="279"/>
      <c r="G27" s="280"/>
      <c r="H27" s="281">
        <f>SUM(H29:H39)</f>
        <v>0</v>
      </c>
      <c r="I27" s="281">
        <f t="shared" ref="I27:BO27" si="11">SUM(I29:I39)</f>
        <v>0</v>
      </c>
      <c r="J27" s="281">
        <f t="shared" si="11"/>
        <v>0</v>
      </c>
      <c r="K27" s="281">
        <f t="shared" si="11"/>
        <v>0</v>
      </c>
      <c r="L27" s="281">
        <f t="shared" si="11"/>
        <v>0</v>
      </c>
      <c r="M27" s="281">
        <f t="shared" si="11"/>
        <v>0</v>
      </c>
      <c r="N27" s="281">
        <f t="shared" si="11"/>
        <v>0</v>
      </c>
      <c r="O27" s="281">
        <f t="shared" si="11"/>
        <v>0</v>
      </c>
      <c r="P27" s="281">
        <f t="shared" si="11"/>
        <v>0</v>
      </c>
      <c r="Q27" s="281">
        <f t="shared" si="11"/>
        <v>0</v>
      </c>
      <c r="R27" s="281">
        <f t="shared" si="11"/>
        <v>0</v>
      </c>
      <c r="S27" s="281">
        <f t="shared" si="11"/>
        <v>0</v>
      </c>
      <c r="T27" s="281">
        <f t="shared" si="11"/>
        <v>0</v>
      </c>
      <c r="U27" s="281">
        <f t="shared" si="11"/>
        <v>0</v>
      </c>
      <c r="V27" s="281">
        <f t="shared" si="11"/>
        <v>0</v>
      </c>
      <c r="W27" s="281">
        <f t="shared" si="11"/>
        <v>0</v>
      </c>
      <c r="X27" s="281">
        <f t="shared" si="11"/>
        <v>0</v>
      </c>
      <c r="Y27" s="281">
        <f t="shared" si="11"/>
        <v>0</v>
      </c>
      <c r="Z27" s="281">
        <f t="shared" si="11"/>
        <v>0</v>
      </c>
      <c r="AA27" s="281">
        <f t="shared" si="11"/>
        <v>0</v>
      </c>
      <c r="AB27" s="281">
        <f t="shared" si="11"/>
        <v>0</v>
      </c>
      <c r="AC27" s="281">
        <f t="shared" si="11"/>
        <v>0</v>
      </c>
      <c r="AD27" s="281">
        <f t="shared" si="11"/>
        <v>0</v>
      </c>
      <c r="AE27" s="281">
        <f t="shared" si="11"/>
        <v>0</v>
      </c>
      <c r="AF27" s="281">
        <f t="shared" si="11"/>
        <v>0</v>
      </c>
      <c r="AG27" s="281">
        <f t="shared" si="11"/>
        <v>0</v>
      </c>
      <c r="AH27" s="281">
        <f t="shared" si="11"/>
        <v>3914</v>
      </c>
      <c r="AI27" s="281">
        <f t="shared" si="11"/>
        <v>3914</v>
      </c>
      <c r="AJ27" s="281">
        <f t="shared" si="11"/>
        <v>3914</v>
      </c>
      <c r="AK27" s="281">
        <f t="shared" si="11"/>
        <v>7004</v>
      </c>
      <c r="AL27" s="281">
        <f t="shared" si="11"/>
        <v>10300.480374999999</v>
      </c>
      <c r="AM27" s="281">
        <f t="shared" si="11"/>
        <v>10310.230749999999</v>
      </c>
      <c r="AN27" s="281">
        <f t="shared" si="11"/>
        <v>14380.652249999999</v>
      </c>
      <c r="AO27" s="281">
        <f t="shared" si="11"/>
        <v>14400.152999999998</v>
      </c>
      <c r="AP27" s="281">
        <f t="shared" si="11"/>
        <v>14419.653749999998</v>
      </c>
      <c r="AQ27" s="281">
        <f t="shared" si="11"/>
        <v>14439.154500000001</v>
      </c>
      <c r="AR27" s="281">
        <f t="shared" si="11"/>
        <v>24528.619000000002</v>
      </c>
      <c r="AS27" s="281">
        <f t="shared" si="11"/>
        <v>24587.12125</v>
      </c>
      <c r="AT27" s="281">
        <f t="shared" si="11"/>
        <v>24645.623499999998</v>
      </c>
      <c r="AU27" s="281">
        <f t="shared" si="11"/>
        <v>24733.376875000002</v>
      </c>
      <c r="AV27" s="281">
        <f t="shared" si="11"/>
        <v>28640.37025</v>
      </c>
      <c r="AW27" s="281">
        <f t="shared" si="11"/>
        <v>28728.123625</v>
      </c>
      <c r="AX27" s="281">
        <f t="shared" si="11"/>
        <v>32718.928100000005</v>
      </c>
      <c r="AY27" s="281">
        <f t="shared" si="11"/>
        <v>32865.223850000002</v>
      </c>
      <c r="AZ27" s="281">
        <f t="shared" si="11"/>
        <v>37395.689180000008</v>
      </c>
      <c r="BA27" s="281">
        <f t="shared" si="11"/>
        <v>37543.935540000006</v>
      </c>
      <c r="BB27" s="281">
        <f t="shared" si="11"/>
        <v>37721.863700000002</v>
      </c>
      <c r="BC27" s="281">
        <f t="shared" si="11"/>
        <v>37929.473660000003</v>
      </c>
      <c r="BD27" s="281">
        <f t="shared" si="11"/>
        <v>38077.801340000005</v>
      </c>
      <c r="BE27" s="281">
        <f t="shared" si="11"/>
        <v>38285.492620000005</v>
      </c>
      <c r="BF27" s="281">
        <f t="shared" si="11"/>
        <v>38463.502099999998</v>
      </c>
      <c r="BG27" s="281">
        <f t="shared" si="11"/>
        <v>38789.757940000003</v>
      </c>
      <c r="BH27" s="281">
        <f t="shared" si="11"/>
        <v>38967.686100000006</v>
      </c>
      <c r="BI27" s="281">
        <f t="shared" si="11"/>
        <v>39145.614260000002</v>
      </c>
      <c r="BJ27" s="281">
        <f t="shared" si="11"/>
        <v>40415.176693000001</v>
      </c>
      <c r="BK27" s="281">
        <f t="shared" si="11"/>
        <v>40548.622813000002</v>
      </c>
      <c r="BL27" s="281">
        <f t="shared" si="11"/>
        <v>40682.068933000002</v>
      </c>
      <c r="BM27" s="281">
        <f t="shared" si="11"/>
        <v>40815.515053000003</v>
      </c>
      <c r="BN27" s="281">
        <f t="shared" si="11"/>
        <v>40948.961173000003</v>
      </c>
      <c r="BO27" s="281">
        <f t="shared" si="11"/>
        <v>41037.925253000001</v>
      </c>
      <c r="BP27" s="281">
        <f t="shared" ref="BP27:CA27" si="12">SUM(BP29:BP39)</f>
        <v>41126.889333000006</v>
      </c>
      <c r="BQ27" s="281">
        <f t="shared" si="12"/>
        <v>41215.853413000004</v>
      </c>
      <c r="BR27" s="281">
        <f t="shared" si="12"/>
        <v>41304.817493000002</v>
      </c>
      <c r="BS27" s="281">
        <f t="shared" si="12"/>
        <v>41393.781573</v>
      </c>
      <c r="BT27" s="281">
        <f t="shared" si="12"/>
        <v>41482.745653000005</v>
      </c>
      <c r="BU27" s="281">
        <f t="shared" si="12"/>
        <v>41571.709733000003</v>
      </c>
      <c r="BV27" s="281">
        <f t="shared" si="12"/>
        <v>42758.367890189998</v>
      </c>
      <c r="BW27" s="281">
        <f t="shared" si="12"/>
        <v>42829.53915419001</v>
      </c>
      <c r="BX27" s="281">
        <f t="shared" si="12"/>
        <v>42874.021194190005</v>
      </c>
      <c r="BY27" s="281">
        <f t="shared" si="12"/>
        <v>42918.503234190008</v>
      </c>
      <c r="BZ27" s="281">
        <f t="shared" si="12"/>
        <v>42962.98527419001</v>
      </c>
      <c r="CA27" s="281">
        <f t="shared" si="12"/>
        <v>43007.467314190006</v>
      </c>
      <c r="CC27" s="280"/>
    </row>
    <row r="28" spans="1:81" ht="15.75" customHeight="1">
      <c r="B28" s="202"/>
      <c r="C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C28" s="5"/>
    </row>
    <row r="29" spans="1:81" ht="15.75" customHeight="1">
      <c r="B29" s="263"/>
      <c r="C29" s="270" t="s">
        <v>370</v>
      </c>
      <c r="D29" s="96">
        <v>40603</v>
      </c>
      <c r="E29" s="95">
        <f>3800*12</f>
        <v>45600</v>
      </c>
      <c r="F29" s="183">
        <v>5.0000000000000001E-3</v>
      </c>
      <c r="G29" s="4"/>
      <c r="H29" s="2">
        <f>IF($D29&lt;=H$8,$E29/12*(1+H$5)+$F29*('Sales &amp; Costs'!F$49/2),0)</f>
        <v>0</v>
      </c>
      <c r="I29" s="2">
        <f>IF($D29&lt;=I$8,$E29/12*(1+I$5)+$F29*('Sales &amp; Costs'!G$49/2),0)</f>
        <v>0</v>
      </c>
      <c r="J29" s="2">
        <f>IF($D29&lt;=J$8,$E29/12*(1+J$5)+$F29*('Sales &amp; Costs'!H$49/2),0)</f>
        <v>0</v>
      </c>
      <c r="K29" s="2">
        <f>IF($D29&lt;=K$8,$E29/12*(1+K$5)+$F29*('Sales &amp; Costs'!I$49/2),0)</f>
        <v>0</v>
      </c>
      <c r="L29" s="2">
        <f>IF($D29&lt;=L$8,$E29/12*(1+L$5)+$F29*('Sales &amp; Costs'!J$49/2),0)</f>
        <v>0</v>
      </c>
      <c r="M29" s="2">
        <f>IF($D29&lt;=M$8,$E29/12*(1+M$5)+$F29*('Sales &amp; Costs'!K$49/2),0)</f>
        <v>0</v>
      </c>
      <c r="N29" s="2">
        <f>IF($D29&lt;=N$8,$E29/12*(1+N$5)+$F29*('Sales &amp; Costs'!L$49/2),0)</f>
        <v>0</v>
      </c>
      <c r="O29" s="2">
        <f>IF($D29&lt;=O$8,$E29/12*(1+O$5)+$F29*('Sales &amp; Costs'!M$49/2),0)</f>
        <v>0</v>
      </c>
      <c r="P29" s="2">
        <f>IF($D29&lt;=P$8,$E29/12*(1+P$5)+$F29*('Sales &amp; Costs'!N$49/2),0)</f>
        <v>0</v>
      </c>
      <c r="Q29" s="2">
        <f>IF($D29&lt;=Q$8,$E29/12*(1+Q$5)+$F29*('Sales &amp; Costs'!O$49/2),0)</f>
        <v>0</v>
      </c>
      <c r="R29" s="2">
        <f>IF($D29&lt;=R$8,$E29/12*(1+R$5)+$F29*('Sales &amp; Costs'!P$49/2),0)</f>
        <v>0</v>
      </c>
      <c r="S29" s="2">
        <f>IF($D29&lt;=S$8,$E29/12*(1+S$5)+$F29*('Sales &amp; Costs'!Q$49/2),0)</f>
        <v>0</v>
      </c>
      <c r="T29" s="2">
        <f>IF($D29&lt;=T$8,$E29/12*(1+T$5)+$F29*('Sales &amp; Costs'!R$49/2),0)</f>
        <v>0</v>
      </c>
      <c r="U29" s="2">
        <f>IF($D29&lt;=U$8,$E29/12*(1+U$5)+$F29*('Sales &amp; Costs'!S$49/2),0)</f>
        <v>0</v>
      </c>
      <c r="V29" s="2">
        <f>IF($D29&lt;=V$8,$E29/12*(1+V$5)+$F29*('Sales &amp; Costs'!T$49/2),0)</f>
        <v>0</v>
      </c>
      <c r="W29" s="2">
        <f>IF($D29&lt;=W$8,$E29/12*(1+W$5)+$F29*('Sales &amp; Costs'!U$49/2),0)</f>
        <v>0</v>
      </c>
      <c r="X29" s="2">
        <f>IF($D29&lt;=X$8,$E29/12*(1+X$5)+$F29*('Sales &amp; Costs'!V$49/2),0)</f>
        <v>0</v>
      </c>
      <c r="Y29" s="2">
        <f>IF($D29&lt;=Y$8,$E29/12*(1+Y$5)+$F29*('Sales &amp; Costs'!W$49/2),0)</f>
        <v>0</v>
      </c>
      <c r="Z29" s="2">
        <f>IF($D29&lt;=Z$8,$E29/12*(1+Z$5)+$F29*('Sales &amp; Costs'!X$49/2),0)</f>
        <v>0</v>
      </c>
      <c r="AA29" s="2">
        <f>IF($D29&lt;=AA$8,$E29/12*(1+AA$5)+$F29*('Sales &amp; Costs'!Y$49/2),0)</f>
        <v>0</v>
      </c>
      <c r="AB29" s="2">
        <f>IF($D29&lt;=AB$8,$E29/12*(1+AB$5)+$F29*('Sales &amp; Costs'!Z$49/2),0)</f>
        <v>0</v>
      </c>
      <c r="AC29" s="2">
        <f>IF($D29&lt;=AC$8,$E29/12*(1+AC$5)+$F29*('Sales &amp; Costs'!AA$49/2),0)</f>
        <v>0</v>
      </c>
      <c r="AD29" s="2">
        <f>IF($D29&lt;=AD$8,$E29/12*(1+AD$5)+$F29*('Sales &amp; Costs'!AB$49/2),0)</f>
        <v>0</v>
      </c>
      <c r="AE29" s="2">
        <f>IF($D29&lt;=AE$8,$E29/12*(1+AE$5)+$F29*('Sales &amp; Costs'!AC$49/2),0)</f>
        <v>0</v>
      </c>
      <c r="AF29" s="2">
        <f>IF($D29&lt;=AF$8,$E29/12*(1+AF$5)+$F29*('Sales &amp; Costs'!AD$49/2),0)</f>
        <v>0</v>
      </c>
      <c r="AG29" s="2">
        <f>IF($D29&lt;=AG$8,$E29/12*(1+AG$5)+$F29*('Sales &amp; Costs'!AE$49/2),0)</f>
        <v>0</v>
      </c>
      <c r="AH29" s="2">
        <f>IF($D29&lt;=AH$8,$E29/12*(1+AH$5)+$F29*('Sales &amp; Costs'!AF$49/2),0)</f>
        <v>3914</v>
      </c>
      <c r="AI29" s="2">
        <f>IF($D29&lt;=AI$8,$E29/12*(1+AI$5)+$F29*('Sales &amp; Costs'!AG$49/2),0)</f>
        <v>3914</v>
      </c>
      <c r="AJ29" s="2">
        <f>IF($D29&lt;=AJ$8,$E29/12*(1+AJ$5)+$F29*('Sales &amp; Costs'!AH$49/2),0)</f>
        <v>3914</v>
      </c>
      <c r="AK29" s="2">
        <f>IF($D29&lt;=AK$8,$E29/12*(1+AK$5)+$F29*('Sales &amp; Costs'!AI$49/2),0)</f>
        <v>3914</v>
      </c>
      <c r="AL29" s="2">
        <f>IF($D29&lt;=AL$8,$E29/12*(1+AL$5)+$F29*('Sales &amp; Costs'!AJ$49/2),0)</f>
        <v>4041.1703749999997</v>
      </c>
      <c r="AM29" s="2">
        <f>IF($D29&lt;=AM$8,$E29/12*(1+AM$5)+$F29*('Sales &amp; Costs'!AK$49/2),0)</f>
        <v>4050.9207499999998</v>
      </c>
      <c r="AN29" s="2">
        <f>IF($D29&lt;=AN$8,$E29/12*(1+AN$5)+$F29*('Sales &amp; Costs'!AL$49/2),0)</f>
        <v>4060.6711249999998</v>
      </c>
      <c r="AO29" s="2">
        <f>IF($D29&lt;=AO$8,$E29/12*(1+AO$5)+$F29*('Sales &amp; Costs'!AM$49/2),0)</f>
        <v>4070.4214999999995</v>
      </c>
      <c r="AP29" s="2">
        <f>IF($D29&lt;=AP$8,$E29/12*(1+AP$5)+$F29*('Sales &amp; Costs'!AN$49/2),0)</f>
        <v>4080.1718749999995</v>
      </c>
      <c r="AQ29" s="2">
        <f>IF($D29&lt;=AQ$8,$E29/12*(1+AQ$5)+$F29*('Sales &amp; Costs'!AO$49/2),0)</f>
        <v>4089.9222499999996</v>
      </c>
      <c r="AR29" s="2">
        <f>IF($D29&lt;=AR$8,$E29/12*(1+AR$5)+$F29*('Sales &amp; Costs'!AP$49/2),0)</f>
        <v>4109.4229999999998</v>
      </c>
      <c r="AS29" s="2">
        <f>IF($D29&lt;=AS$8,$E29/12*(1+AS$5)+$F29*('Sales &amp; Costs'!AQ$49/2),0)</f>
        <v>4128.9237499999999</v>
      </c>
      <c r="AT29" s="2">
        <f>IF($D29&lt;=AT$8,$E29/12*(1+AT$5)+$F29*('Sales &amp; Costs'!AR$49/2),0)</f>
        <v>4148.4244999999992</v>
      </c>
      <c r="AU29" s="2">
        <f>IF($D29&lt;=AU$8,$E29/12*(1+AU$5)+$F29*('Sales &amp; Costs'!AS$49/2),0)</f>
        <v>4177.6756249999999</v>
      </c>
      <c r="AV29" s="2">
        <f>IF($D29&lt;=AV$8,$E29/12*(1+AV$5)+$F29*('Sales &amp; Costs'!AT$49/2),0)</f>
        <v>4206.9267499999996</v>
      </c>
      <c r="AW29" s="2">
        <f>IF($D29&lt;=AW$8,$E29/12*(1+AW$5)+$F29*('Sales &amp; Costs'!AU$49/2),0)</f>
        <v>4236.1778749999994</v>
      </c>
      <c r="AX29" s="2">
        <f>IF($D29&lt;=AX$8,$E29/12*(1+AX$5)+$F29*('Sales &amp; Costs'!AV$49/2),0)</f>
        <v>4386.3716000000004</v>
      </c>
      <c r="AY29" s="2">
        <f>IF($D29&lt;=AY$8,$E29/12*(1+AY$5)+$F29*('Sales &amp; Costs'!AW$49/2),0)</f>
        <v>4435.1368500000008</v>
      </c>
      <c r="AZ29" s="2">
        <f>IF($D29&lt;=AZ$8,$E29/12*(1+AZ$5)+$F29*('Sales &amp; Costs'!AX$49/2),0)</f>
        <v>4483.9021000000002</v>
      </c>
      <c r="BA29" s="2">
        <f>IF($D29&lt;=BA$8,$E29/12*(1+BA$5)+$F29*('Sales &amp; Costs'!AY$49/2),0)</f>
        <v>4532.6673500000006</v>
      </c>
      <c r="BB29" s="2">
        <f>IF($D29&lt;=BB$8,$E29/12*(1+BB$5)+$F29*('Sales &amp; Costs'!AZ$49/2),0)</f>
        <v>4591.1963500000002</v>
      </c>
      <c r="BC29" s="2">
        <f>IF($D29&lt;=BC$8,$E29/12*(1+BC$5)+$F29*('Sales &amp; Costs'!BA$49/2),0)</f>
        <v>4659.4891000000007</v>
      </c>
      <c r="BD29" s="2">
        <f>IF($D29&lt;=BD$8,$E29/12*(1+BD$5)+$F29*('Sales &amp; Costs'!BB$49/2),0)</f>
        <v>4708.2811000000002</v>
      </c>
      <c r="BE29" s="2">
        <f>IF($D29&lt;=BE$8,$E29/12*(1+BE$5)+$F29*('Sales &amp; Costs'!BC$49/2),0)</f>
        <v>4776.6006000000007</v>
      </c>
      <c r="BF29" s="2">
        <f>IF($D29&lt;=BF$8,$E29/12*(1+BF$5)+$F29*('Sales &amp; Costs'!BD$49/2),0)</f>
        <v>4835.1563500000002</v>
      </c>
      <c r="BG29" s="2">
        <f>IF($D29&lt;=BG$8,$E29/12*(1+BG$5)+$F29*('Sales &amp; Costs'!BE$49/2),0)</f>
        <v>4942.4773500000001</v>
      </c>
      <c r="BH29" s="2">
        <f>IF($D29&lt;=BH$8,$E29/12*(1+BH$5)+$F29*('Sales &amp; Costs'!BF$49/2),0)</f>
        <v>5001.0063500000006</v>
      </c>
      <c r="BI29" s="2">
        <f>IF($D29&lt;=BI$8,$E29/12*(1+BI$5)+$F29*('Sales &amp; Costs'!BG$49/2),0)</f>
        <v>5059.5353500000001</v>
      </c>
      <c r="BJ29" s="2">
        <f>IF($D29&lt;=BJ$8,$E29/12*(1+BJ$5)+$F29*('Sales &amp; Costs'!BH$49/2),0)</f>
        <v>5242.635228000001</v>
      </c>
      <c r="BK29" s="2">
        <f>IF($D29&lt;=BK$8,$E29/12*(1+BK$5)+$F29*('Sales &amp; Costs'!BI$49/2),0)</f>
        <v>5286.5319780000009</v>
      </c>
      <c r="BL29" s="2">
        <f>IF($D29&lt;=BL$8,$E29/12*(1+BL$5)+$F29*('Sales &amp; Costs'!BJ$49/2),0)</f>
        <v>5330.4287280000008</v>
      </c>
      <c r="BM29" s="2">
        <f>IF($D29&lt;=BM$8,$E29/12*(1+BM$5)+$F29*('Sales &amp; Costs'!BK$49/2),0)</f>
        <v>5374.3254780000007</v>
      </c>
      <c r="BN29" s="2">
        <f>IF($D29&lt;=BN$8,$E29/12*(1+BN$5)+$F29*('Sales &amp; Costs'!BL$49/2),0)</f>
        <v>5418.2222280000005</v>
      </c>
      <c r="BO29" s="2">
        <f>IF($D29&lt;=BO$8,$E29/12*(1+BO$5)+$F29*('Sales &amp; Costs'!BM$49/2),0)</f>
        <v>5447.4867280000008</v>
      </c>
      <c r="BP29" s="2">
        <f>IF($D29&lt;=BP$8,$E29/12*(1+BP$5)+$F29*('Sales &amp; Costs'!BN$49/2),0)</f>
        <v>5476.751228000001</v>
      </c>
      <c r="BQ29" s="2">
        <f>IF($D29&lt;=BQ$8,$E29/12*(1+BQ$5)+$F29*('Sales &amp; Costs'!BO$49/2),0)</f>
        <v>5506.0157280000012</v>
      </c>
      <c r="BR29" s="2">
        <f>IF($D29&lt;=BR$8,$E29/12*(1+BR$5)+$F29*('Sales &amp; Costs'!BP$49/2),0)</f>
        <v>5535.2802280000014</v>
      </c>
      <c r="BS29" s="2">
        <f>IF($D29&lt;=BS$8,$E29/12*(1+BS$5)+$F29*('Sales &amp; Costs'!BQ$49/2),0)</f>
        <v>5564.5447280000008</v>
      </c>
      <c r="BT29" s="2">
        <f>IF($D29&lt;=BT$8,$E29/12*(1+BT$5)+$F29*('Sales &amp; Costs'!BR$49/2),0)</f>
        <v>5593.809228000001</v>
      </c>
      <c r="BU29" s="2">
        <f>IF($D29&lt;=BU$8,$E29/12*(1+BU$5)+$F29*('Sales &amp; Costs'!BS$49/2),0)</f>
        <v>5623.0737280000012</v>
      </c>
      <c r="BV29" s="2">
        <f>IF($D29&lt;=BV$8,$E29/12*(1+BV$5)+$F29*('Sales &amp; Costs'!BT$49/2),0)</f>
        <v>5771.8668823400003</v>
      </c>
      <c r="BW29" s="2">
        <f>IF($D29&lt;=BW$8,$E29/12*(1+BW$5)+$F29*('Sales &amp; Costs'!BU$49/2),0)</f>
        <v>5795.2784823400007</v>
      </c>
      <c r="BX29" s="2">
        <f>IF($D29&lt;=BX$8,$E29/12*(1+BX$5)+$F29*('Sales &amp; Costs'!BV$49/2),0)</f>
        <v>5809.9107323400003</v>
      </c>
      <c r="BY29" s="2">
        <f>IF($D29&lt;=BY$8,$E29/12*(1+BY$5)+$F29*('Sales &amp; Costs'!BW$49/2),0)</f>
        <v>5824.5429823400009</v>
      </c>
      <c r="BZ29" s="2">
        <f>IF($D29&lt;=BZ$8,$E29/12*(1+BZ$5)+$F29*('Sales &amp; Costs'!BX$49/2),0)</f>
        <v>5839.1752323400005</v>
      </c>
      <c r="CA29" s="2">
        <f>IF($D29&lt;=CA$8,$E29/12*(1+CA$5)+$F29*('Sales &amp; Costs'!BY$49/2),0)</f>
        <v>5853.8074823400002</v>
      </c>
      <c r="CC29" s="2">
        <f t="shared" ref="CC29:CC38" si="13">BO29*12</f>
        <v>65369.840736000013</v>
      </c>
    </row>
    <row r="30" spans="1:81" ht="15.75" customHeight="1">
      <c r="C30" s="270" t="s">
        <v>371</v>
      </c>
      <c r="D30" s="96">
        <v>40787</v>
      </c>
      <c r="E30" s="95">
        <f>3800*12</f>
        <v>45600</v>
      </c>
      <c r="F30" s="183">
        <v>5.0000000000000001E-3</v>
      </c>
      <c r="H30" s="2">
        <f>IF($D30&lt;=H$8,$E30/12*(1+H$5)+$F30*('Sales &amp; Costs'!F$49/2),0)</f>
        <v>0</v>
      </c>
      <c r="I30" s="2">
        <f>IF($D30&lt;=I$8,$E30/12*(1+I$5)+$F30*('Sales &amp; Costs'!G$49/2),0)</f>
        <v>0</v>
      </c>
      <c r="J30" s="2">
        <f>IF($D30&lt;=J$8,$E30/12*(1+J$5)+$F30*('Sales &amp; Costs'!H$49/2),0)</f>
        <v>0</v>
      </c>
      <c r="K30" s="2">
        <f>IF($D30&lt;=K$8,$E30/12*(1+K$5)+$F30*('Sales &amp; Costs'!I$49/2),0)</f>
        <v>0</v>
      </c>
      <c r="L30" s="2">
        <f>IF($D30&lt;=L$8,$E30/12*(1+L$5)+$F30*('Sales &amp; Costs'!J$49/2),0)</f>
        <v>0</v>
      </c>
      <c r="M30" s="2">
        <f>IF($D30&lt;=M$8,$E30/12*(1+M$5)+$F30*('Sales &amp; Costs'!K$49/2),0)</f>
        <v>0</v>
      </c>
      <c r="N30" s="2">
        <f>IF($D30&lt;=N$8,$E30/12*(1+N$5)+$F30*('Sales &amp; Costs'!L$49/2),0)</f>
        <v>0</v>
      </c>
      <c r="O30" s="2">
        <f>IF($D30&lt;=O$8,$E30/12*(1+O$5)+$F30*('Sales &amp; Costs'!M$49/2),0)</f>
        <v>0</v>
      </c>
      <c r="P30" s="2">
        <f>IF($D30&lt;=P$8,$E30/12*(1+P$5)+$F30*('Sales &amp; Costs'!N$49/2),0)</f>
        <v>0</v>
      </c>
      <c r="Q30" s="2">
        <f>IF($D30&lt;=Q$8,$E30/12*(1+Q$5)+$F30*('Sales &amp; Costs'!O$49/2),0)</f>
        <v>0</v>
      </c>
      <c r="R30" s="2">
        <f>IF($D30&lt;=R$8,$E30/12*(1+R$5)+$F30*('Sales &amp; Costs'!P$49/2),0)</f>
        <v>0</v>
      </c>
      <c r="S30" s="2">
        <f>IF($D30&lt;=S$8,$E30/12*(1+S$5)+$F30*('Sales &amp; Costs'!Q$49/2),0)</f>
        <v>0</v>
      </c>
      <c r="T30" s="2">
        <f>IF($D30&lt;=T$8,$E30/12*(1+T$5)+$F30*('Sales &amp; Costs'!R$49/2),0)</f>
        <v>0</v>
      </c>
      <c r="U30" s="2">
        <f>IF($D30&lt;=U$8,$E30/12*(1+U$5)+$F30*('Sales &amp; Costs'!S$49/2),0)</f>
        <v>0</v>
      </c>
      <c r="V30" s="2">
        <f>IF($D30&lt;=V$8,$E30/12*(1+V$5)+$F30*('Sales &amp; Costs'!T$49/2),0)</f>
        <v>0</v>
      </c>
      <c r="W30" s="2">
        <f>IF($D30&lt;=W$8,$E30/12*(1+W$5)+$F30*('Sales &amp; Costs'!U$49/2),0)</f>
        <v>0</v>
      </c>
      <c r="X30" s="2">
        <f>IF($D30&lt;=X$8,$E30/12*(1+X$5)+$F30*('Sales &amp; Costs'!V$49/2),0)</f>
        <v>0</v>
      </c>
      <c r="Y30" s="2">
        <f>IF($D30&lt;=Y$8,$E30/12*(1+Y$5)+$F30*('Sales &amp; Costs'!W$49/2),0)</f>
        <v>0</v>
      </c>
      <c r="Z30" s="2">
        <f>IF($D30&lt;=Z$8,$E30/12*(1+Z$5)+$F30*('Sales &amp; Costs'!X$49/2),0)</f>
        <v>0</v>
      </c>
      <c r="AA30" s="2">
        <f>IF($D30&lt;=AA$8,$E30/12*(1+AA$5)+$F30*('Sales &amp; Costs'!Y$49/2),0)</f>
        <v>0</v>
      </c>
      <c r="AB30" s="2">
        <f>IF($D30&lt;=AB$8,$E30/12*(1+AB$5)+$F30*('Sales &amp; Costs'!Z$49/2),0)</f>
        <v>0</v>
      </c>
      <c r="AC30" s="2">
        <f>IF($D30&lt;=AC$8,$E30/12*(1+AC$5)+$F30*('Sales &amp; Costs'!AA$49/2),0)</f>
        <v>0</v>
      </c>
      <c r="AD30" s="2">
        <f>IF($D30&lt;=AD$8,$E30/12*(1+AD$5)+$F30*('Sales &amp; Costs'!AB$49/2),0)</f>
        <v>0</v>
      </c>
      <c r="AE30" s="2">
        <f>IF($D30&lt;=AE$8,$E30/12*(1+AE$5)+$F30*('Sales &amp; Costs'!AC$49/2),0)</f>
        <v>0</v>
      </c>
      <c r="AF30" s="2">
        <f>IF($D30&lt;=AF$8,$E30/12*(1+AF$5)+$F30*('Sales &amp; Costs'!AD$49/2),0)</f>
        <v>0</v>
      </c>
      <c r="AG30" s="2">
        <f>IF($D30&lt;=AG$8,$E30/12*(1+AG$5)+$F30*('Sales &amp; Costs'!AE$49/2),0)</f>
        <v>0</v>
      </c>
      <c r="AH30" s="2">
        <f>IF($D30&lt;=AH$8,$E30/12*(1+AH$5)+$F30*('Sales &amp; Costs'!AF$49/2),0)</f>
        <v>0</v>
      </c>
      <c r="AI30" s="2">
        <f>IF($D30&lt;=AI$8,$E30/12*(1+AI$5)+$F30*('Sales &amp; Costs'!AG$49/2),0)</f>
        <v>0</v>
      </c>
      <c r="AJ30" s="2">
        <f>IF($D30&lt;=AJ$8,$E30/12*(1+AJ$5)+$F30*('Sales &amp; Costs'!AH$49/2),0)</f>
        <v>0</v>
      </c>
      <c r="AK30" s="2">
        <f>IF($D30&lt;=AK$8,$E30/12*(1+AK$5)+$F30*('Sales &amp; Costs'!AI$49/2),0)</f>
        <v>0</v>
      </c>
      <c r="AL30" s="2">
        <f>IF($D30&lt;=AL$8,$E30/12*(1+AL$5)+$F30*('Sales &amp; Costs'!AJ$49/2),0)</f>
        <v>0</v>
      </c>
      <c r="AM30" s="2">
        <f>IF($D30&lt;=AM$8,$E30/12*(1+AM$5)+$F30*('Sales &amp; Costs'!AK$49/2),0)</f>
        <v>0</v>
      </c>
      <c r="AN30" s="2">
        <f>IF($D30&lt;=AN$8,$E30/12*(1+AN$5)+$F30*('Sales &amp; Costs'!AL$49/2),0)</f>
        <v>4060.6711249999998</v>
      </c>
      <c r="AO30" s="2">
        <f>IF($D30&lt;=AO$8,$E30/12*(1+AO$5)+$F30*('Sales &amp; Costs'!AM$49/2),0)</f>
        <v>4070.4214999999995</v>
      </c>
      <c r="AP30" s="2">
        <f>IF($D30&lt;=AP$8,$E30/12*(1+AP$5)+$F30*('Sales &amp; Costs'!AN$49/2),0)</f>
        <v>4080.1718749999995</v>
      </c>
      <c r="AQ30" s="2">
        <f>IF($D30&lt;=AQ$8,$E30/12*(1+AQ$5)+$F30*('Sales &amp; Costs'!AO$49/2),0)</f>
        <v>4089.9222499999996</v>
      </c>
      <c r="AR30" s="2">
        <f>IF($D30&lt;=AR$8,$E30/12*(1+AR$5)+$F30*('Sales &amp; Costs'!AP$49/2),0)</f>
        <v>4109.4229999999998</v>
      </c>
      <c r="AS30" s="2">
        <f>IF($D30&lt;=AS$8,$E30/12*(1+AS$5)+$F30*('Sales &amp; Costs'!AQ$49/2),0)</f>
        <v>4128.9237499999999</v>
      </c>
      <c r="AT30" s="2">
        <f>IF($D30&lt;=AT$8,$E30/12*(1+AT$5)+$F30*('Sales &amp; Costs'!AR$49/2),0)</f>
        <v>4148.4244999999992</v>
      </c>
      <c r="AU30" s="2">
        <f>IF($D30&lt;=AU$8,$E30/12*(1+AU$5)+$F30*('Sales &amp; Costs'!AS$49/2),0)</f>
        <v>4177.6756249999999</v>
      </c>
      <c r="AV30" s="2">
        <f>IF($D30&lt;=AV$8,$E30/12*(1+AV$5)+$F30*('Sales &amp; Costs'!AT$49/2),0)</f>
        <v>4206.9267499999996</v>
      </c>
      <c r="AW30" s="2">
        <f>IF($D30&lt;=AW$8,$E30/12*(1+AW$5)+$F30*('Sales &amp; Costs'!AU$49/2),0)</f>
        <v>4236.1778749999994</v>
      </c>
      <c r="AX30" s="2">
        <f>IF($D30&lt;=AX$8,$E30/12*(1+AX$5)+$F30*('Sales &amp; Costs'!AV$49/2),0)</f>
        <v>4386.3716000000004</v>
      </c>
      <c r="AY30" s="2">
        <f>IF($D30&lt;=AY$8,$E30/12*(1+AY$5)+$F30*('Sales &amp; Costs'!AW$49/2),0)</f>
        <v>4435.1368500000008</v>
      </c>
      <c r="AZ30" s="2">
        <f>IF($D30&lt;=AZ$8,$E30/12*(1+AZ$5)+$F30*('Sales &amp; Costs'!AX$49/2),0)</f>
        <v>4483.9021000000002</v>
      </c>
      <c r="BA30" s="2">
        <f>IF($D30&lt;=BA$8,$E30/12*(1+BA$5)+$F30*('Sales &amp; Costs'!AY$49/2),0)</f>
        <v>4532.6673500000006</v>
      </c>
      <c r="BB30" s="2">
        <f>IF($D30&lt;=BB$8,$E30/12*(1+BB$5)+$F30*('Sales &amp; Costs'!AZ$49/2),0)</f>
        <v>4591.1963500000002</v>
      </c>
      <c r="BC30" s="2">
        <f>IF($D30&lt;=BC$8,$E30/12*(1+BC$5)+$F30*('Sales &amp; Costs'!BA$49/2),0)</f>
        <v>4659.4891000000007</v>
      </c>
      <c r="BD30" s="2">
        <f>IF($D30&lt;=BD$8,$E30/12*(1+BD$5)+$F30*('Sales &amp; Costs'!BB$49/2),0)</f>
        <v>4708.2811000000002</v>
      </c>
      <c r="BE30" s="2">
        <f>IF($D30&lt;=BE$8,$E30/12*(1+BE$5)+$F30*('Sales &amp; Costs'!BC$49/2),0)</f>
        <v>4776.6006000000007</v>
      </c>
      <c r="BF30" s="2">
        <f>IF($D30&lt;=BF$8,$E30/12*(1+BF$5)+$F30*('Sales &amp; Costs'!BD$49/2),0)</f>
        <v>4835.1563500000002</v>
      </c>
      <c r="BG30" s="2">
        <f>IF($D30&lt;=BG$8,$E30/12*(1+BG$5)+$F30*('Sales &amp; Costs'!BE$49/2),0)</f>
        <v>4942.4773500000001</v>
      </c>
      <c r="BH30" s="2">
        <f>IF($D30&lt;=BH$8,$E30/12*(1+BH$5)+$F30*('Sales &amp; Costs'!BF$49/2),0)</f>
        <v>5001.0063500000006</v>
      </c>
      <c r="BI30" s="2">
        <f>IF($D30&lt;=BI$8,$E30/12*(1+BI$5)+$F30*('Sales &amp; Costs'!BG$49/2),0)</f>
        <v>5059.5353500000001</v>
      </c>
      <c r="BJ30" s="2">
        <f>IF($D30&lt;=BJ$8,$E30/12*(1+BJ$5)+$F30*('Sales &amp; Costs'!BH$49/2),0)</f>
        <v>5242.635228000001</v>
      </c>
      <c r="BK30" s="2">
        <f>IF($D30&lt;=BK$8,$E30/12*(1+BK$5)+$F30*('Sales &amp; Costs'!BI$49/2),0)</f>
        <v>5286.5319780000009</v>
      </c>
      <c r="BL30" s="2">
        <f>IF($D30&lt;=BL$8,$E30/12*(1+BL$5)+$F30*('Sales &amp; Costs'!BJ$49/2),0)</f>
        <v>5330.4287280000008</v>
      </c>
      <c r="BM30" s="2">
        <f>IF($D30&lt;=BM$8,$E30/12*(1+BM$5)+$F30*('Sales &amp; Costs'!BK$49/2),0)</f>
        <v>5374.3254780000007</v>
      </c>
      <c r="BN30" s="2">
        <f>IF($D30&lt;=BN$8,$E30/12*(1+BN$5)+$F30*('Sales &amp; Costs'!BL$49/2),0)</f>
        <v>5418.2222280000005</v>
      </c>
      <c r="BO30" s="2">
        <f>IF($D30&lt;=BO$8,$E30/12*(1+BO$5)+$F30*('Sales &amp; Costs'!BM$49/2),0)</f>
        <v>5447.4867280000008</v>
      </c>
      <c r="BP30" s="2">
        <f>IF($D30&lt;=BP$8,$E30/12*(1+BP$5)+$F30*('Sales &amp; Costs'!BN$49/2),0)</f>
        <v>5476.751228000001</v>
      </c>
      <c r="BQ30" s="2">
        <f>IF($D30&lt;=BQ$8,$E30/12*(1+BQ$5)+$F30*('Sales &amp; Costs'!BO$49/2),0)</f>
        <v>5506.0157280000012</v>
      </c>
      <c r="BR30" s="2">
        <f>IF($D30&lt;=BR$8,$E30/12*(1+BR$5)+$F30*('Sales &amp; Costs'!BP$49/2),0)</f>
        <v>5535.2802280000014</v>
      </c>
      <c r="BS30" s="2">
        <f>IF($D30&lt;=BS$8,$E30/12*(1+BS$5)+$F30*('Sales &amp; Costs'!BQ$49/2),0)</f>
        <v>5564.5447280000008</v>
      </c>
      <c r="BT30" s="2">
        <f>IF($D30&lt;=BT$8,$E30/12*(1+BT$5)+$F30*('Sales &amp; Costs'!BR$49/2),0)</f>
        <v>5593.809228000001</v>
      </c>
      <c r="BU30" s="2">
        <f>IF($D30&lt;=BU$8,$E30/12*(1+BU$5)+$F30*('Sales &amp; Costs'!BS$49/2),0)</f>
        <v>5623.0737280000012</v>
      </c>
      <c r="BV30" s="2">
        <f>IF($D30&lt;=BV$8,$E30/12*(1+BV$5)+$F30*('Sales &amp; Costs'!BT$49/2),0)</f>
        <v>5771.8668823400003</v>
      </c>
      <c r="BW30" s="2">
        <f>IF($D30&lt;=BW$8,$E30/12*(1+BW$5)+$F30*('Sales &amp; Costs'!BU$49/2),0)</f>
        <v>5795.2784823400007</v>
      </c>
      <c r="BX30" s="2">
        <f>IF($D30&lt;=BX$8,$E30/12*(1+BX$5)+$F30*('Sales &amp; Costs'!BV$49/2),0)</f>
        <v>5809.9107323400003</v>
      </c>
      <c r="BY30" s="2">
        <f>IF($D30&lt;=BY$8,$E30/12*(1+BY$5)+$F30*('Sales &amp; Costs'!BW$49/2),0)</f>
        <v>5824.5429823400009</v>
      </c>
      <c r="BZ30" s="2">
        <f>IF($D30&lt;=BZ$8,$E30/12*(1+BZ$5)+$F30*('Sales &amp; Costs'!BX$49/2),0)</f>
        <v>5839.1752323400005</v>
      </c>
      <c r="CA30" s="2">
        <f>IF($D30&lt;=CA$8,$E30/12*(1+CA$5)+$F30*('Sales &amp; Costs'!BY$49/2),0)</f>
        <v>5853.8074823400002</v>
      </c>
      <c r="CC30" s="2">
        <f t="shared" si="13"/>
        <v>65369.840736000013</v>
      </c>
    </row>
    <row r="31" spans="1:81" ht="15.75" customHeight="1">
      <c r="C31" s="272" t="s">
        <v>372</v>
      </c>
      <c r="D31" s="96">
        <v>40909</v>
      </c>
      <c r="E31" s="95">
        <f>3800*12</f>
        <v>45600</v>
      </c>
      <c r="F31" s="183">
        <v>5.0000000000000001E-3</v>
      </c>
      <c r="H31" s="2">
        <f>IF($D31&lt;=H$8,$E31/12*(1+H$5)+$F31*('Sales &amp; Costs'!F$49/2),0)</f>
        <v>0</v>
      </c>
      <c r="I31" s="2">
        <f>IF($D31&lt;=I$8,$E31/12*(1+I$5)+$F31*('Sales &amp; Costs'!G$49/2),0)</f>
        <v>0</v>
      </c>
      <c r="J31" s="2">
        <f>IF($D31&lt;=J$8,$E31/12*(1+J$5)+$F31*('Sales &amp; Costs'!H$49/2),0)</f>
        <v>0</v>
      </c>
      <c r="K31" s="2">
        <f>IF($D31&lt;=K$8,$E31/12*(1+K$5)+$F31*('Sales &amp; Costs'!I$49/2),0)</f>
        <v>0</v>
      </c>
      <c r="L31" s="2">
        <f>IF($D31&lt;=L$8,$E31/12*(1+L$5)+$F31*('Sales &amp; Costs'!J$49/2),0)</f>
        <v>0</v>
      </c>
      <c r="M31" s="2">
        <f>IF($D31&lt;=M$8,$E31/12*(1+M$5)+$F31*('Sales &amp; Costs'!K$49/2),0)</f>
        <v>0</v>
      </c>
      <c r="N31" s="2">
        <f>IF($D31&lt;=N$8,$E31/12*(1+N$5)+$F31*('Sales &amp; Costs'!L$49/2),0)</f>
        <v>0</v>
      </c>
      <c r="O31" s="2">
        <f>IF($D31&lt;=O$8,$E31/12*(1+O$5)+$F31*('Sales &amp; Costs'!M$49/2),0)</f>
        <v>0</v>
      </c>
      <c r="P31" s="2">
        <f>IF($D31&lt;=P$8,$E31/12*(1+P$5)+$F31*('Sales &amp; Costs'!N$49/2),0)</f>
        <v>0</v>
      </c>
      <c r="Q31" s="2">
        <f>IF($D31&lt;=Q$8,$E31/12*(1+Q$5)+$F31*('Sales &amp; Costs'!O$49/2),0)</f>
        <v>0</v>
      </c>
      <c r="R31" s="2">
        <f>IF($D31&lt;=R$8,$E31/12*(1+R$5)+$F31*('Sales &amp; Costs'!P$49/2),0)</f>
        <v>0</v>
      </c>
      <c r="S31" s="2">
        <f>IF($D31&lt;=S$8,$E31/12*(1+S$5)+$F31*('Sales &amp; Costs'!Q$49/2),0)</f>
        <v>0</v>
      </c>
      <c r="T31" s="2">
        <f>IF($D31&lt;=T$8,$E31/12*(1+T$5)+$F31*('Sales &amp; Costs'!R$49/2),0)</f>
        <v>0</v>
      </c>
      <c r="U31" s="2">
        <f>IF($D31&lt;=U$8,$E31/12*(1+U$5)+$F31*('Sales &amp; Costs'!S$49/2),0)</f>
        <v>0</v>
      </c>
      <c r="V31" s="2">
        <f>IF($D31&lt;=V$8,$E31/12*(1+V$5)+$F31*('Sales &amp; Costs'!T$49/2),0)</f>
        <v>0</v>
      </c>
      <c r="W31" s="2">
        <f>IF($D31&lt;=W$8,$E31/12*(1+W$5)+$F31*('Sales &amp; Costs'!U$49/2),0)</f>
        <v>0</v>
      </c>
      <c r="X31" s="2">
        <f>IF($D31&lt;=X$8,$E31/12*(1+X$5)+$F31*('Sales &amp; Costs'!V$49/2),0)</f>
        <v>0</v>
      </c>
      <c r="Y31" s="2">
        <f>IF($D31&lt;=Y$8,$E31/12*(1+Y$5)+$F31*('Sales &amp; Costs'!W$49/2),0)</f>
        <v>0</v>
      </c>
      <c r="Z31" s="2">
        <f>IF($D31&lt;=Z$8,$E31/12*(1+Z$5)+$F31*('Sales &amp; Costs'!X$49/2),0)</f>
        <v>0</v>
      </c>
      <c r="AA31" s="2">
        <f>IF($D31&lt;=AA$8,$E31/12*(1+AA$5)+$F31*('Sales &amp; Costs'!Y$49/2),0)</f>
        <v>0</v>
      </c>
      <c r="AB31" s="2">
        <f>IF($D31&lt;=AB$8,$E31/12*(1+AB$5)+$F31*('Sales &amp; Costs'!Z$49/2),0)</f>
        <v>0</v>
      </c>
      <c r="AC31" s="2">
        <f>IF($D31&lt;=AC$8,$E31/12*(1+AC$5)+$F31*('Sales &amp; Costs'!AA$49/2),0)</f>
        <v>0</v>
      </c>
      <c r="AD31" s="2">
        <f>IF($D31&lt;=AD$8,$E31/12*(1+AD$5)+$F31*('Sales &amp; Costs'!AB$49/2),0)</f>
        <v>0</v>
      </c>
      <c r="AE31" s="2">
        <f>IF($D31&lt;=AE$8,$E31/12*(1+AE$5)+$F31*('Sales &amp; Costs'!AC$49/2),0)</f>
        <v>0</v>
      </c>
      <c r="AF31" s="2">
        <f>IF($D31&lt;=AF$8,$E31/12*(1+AF$5)+$F31*('Sales &amp; Costs'!AD$49/2),0)</f>
        <v>0</v>
      </c>
      <c r="AG31" s="2">
        <f>IF($D31&lt;=AG$8,$E31/12*(1+AG$5)+$F31*('Sales &amp; Costs'!AE$49/2),0)</f>
        <v>0</v>
      </c>
      <c r="AH31" s="2">
        <f>IF($D31&lt;=AH$8,$E31/12*(1+AH$5)+$F31*('Sales &amp; Costs'!AF$49/2),0)</f>
        <v>0</v>
      </c>
      <c r="AI31" s="2">
        <f>IF($D31&lt;=AI$8,$E31/12*(1+AI$5)+$F31*('Sales &amp; Costs'!AG$49/2),0)</f>
        <v>0</v>
      </c>
      <c r="AJ31" s="2">
        <f>IF($D31&lt;=AJ$8,$E31/12*(1+AJ$5)+$F31*('Sales &amp; Costs'!AH$49/2),0)</f>
        <v>0</v>
      </c>
      <c r="AK31" s="2">
        <f>IF($D31&lt;=AK$8,$E31/12*(1+AK$5)+$F31*('Sales &amp; Costs'!AI$49/2),0)</f>
        <v>0</v>
      </c>
      <c r="AL31" s="2">
        <f>IF($D31&lt;=AL$8,$E31/12*(1+AL$5)+$F31*('Sales &amp; Costs'!AJ$49/2),0)</f>
        <v>0</v>
      </c>
      <c r="AM31" s="2">
        <f>IF($D31&lt;=AM$8,$E31/12*(1+AM$5)+$F31*('Sales &amp; Costs'!AK$49/2),0)</f>
        <v>0</v>
      </c>
      <c r="AN31" s="2">
        <f>IF($D31&lt;=AN$8,$E31/12*(1+AN$5)+$F31*('Sales &amp; Costs'!AL$49/2),0)</f>
        <v>0</v>
      </c>
      <c r="AO31" s="2">
        <f>IF($D31&lt;=AO$8,$E31/12*(1+AO$5)+$F31*('Sales &amp; Costs'!AM$49/2),0)</f>
        <v>0</v>
      </c>
      <c r="AP31" s="2">
        <f>IF($D31&lt;=AP$8,$E31/12*(1+AP$5)+$F31*('Sales &amp; Costs'!AN$49/2),0)</f>
        <v>0</v>
      </c>
      <c r="AQ31" s="2">
        <f>IF($D31&lt;=AQ$8,$E31/12*(1+AQ$5)+$F31*('Sales &amp; Costs'!AO$49/2),0)</f>
        <v>0</v>
      </c>
      <c r="AR31" s="2">
        <f>IF($D31&lt;=AR$8,$E31/12*(1+AR$5)+$F31*('Sales &amp; Costs'!AP$49/2),0)</f>
        <v>4109.4229999999998</v>
      </c>
      <c r="AS31" s="2">
        <f>IF($D31&lt;=AS$8,$E31/12*(1+AS$5)+$F31*('Sales &amp; Costs'!AQ$49/2),0)</f>
        <v>4128.9237499999999</v>
      </c>
      <c r="AT31" s="2">
        <f>IF($D31&lt;=AT$8,$E31/12*(1+AT$5)+$F31*('Sales &amp; Costs'!AR$49/2),0)</f>
        <v>4148.4244999999992</v>
      </c>
      <c r="AU31" s="2">
        <f>IF($D31&lt;=AU$8,$E31/12*(1+AU$5)+$F31*('Sales &amp; Costs'!AS$49/2),0)</f>
        <v>4177.6756249999999</v>
      </c>
      <c r="AV31" s="2">
        <f>IF($D31&lt;=AV$8,$E31/12*(1+AV$5)+$F31*('Sales &amp; Costs'!AT$49/2),0)</f>
        <v>4206.9267499999996</v>
      </c>
      <c r="AW31" s="2">
        <f>IF($D31&lt;=AW$8,$E31/12*(1+AW$5)+$F31*('Sales &amp; Costs'!AU$49/2),0)</f>
        <v>4236.1778749999994</v>
      </c>
      <c r="AX31" s="2">
        <f>IF($D31&lt;=AX$8,$E31/12*(1+AX$5)+$F31*('Sales &amp; Costs'!AV$49/2),0)</f>
        <v>4386.3716000000004</v>
      </c>
      <c r="AY31" s="2">
        <f>IF($D31&lt;=AY$8,$E31/12*(1+AY$5)+$F31*('Sales &amp; Costs'!AW$49/2),0)</f>
        <v>4435.1368500000008</v>
      </c>
      <c r="AZ31" s="2">
        <f>IF($D31&lt;=AZ$8,$E31/12*(1+AZ$5)+$F31*('Sales &amp; Costs'!AX$49/2),0)</f>
        <v>4483.9021000000002</v>
      </c>
      <c r="BA31" s="2">
        <f>IF($D31&lt;=BA$8,$E31/12*(1+BA$5)+$F31*('Sales &amp; Costs'!AY$49/2),0)</f>
        <v>4532.6673500000006</v>
      </c>
      <c r="BB31" s="2">
        <f>IF($D31&lt;=BB$8,$E31/12*(1+BB$5)+$F31*('Sales &amp; Costs'!AZ$49/2),0)</f>
        <v>4591.1963500000002</v>
      </c>
      <c r="BC31" s="2">
        <f>IF($D31&lt;=BC$8,$E31/12*(1+BC$5)+$F31*('Sales &amp; Costs'!BA$49/2),0)</f>
        <v>4659.4891000000007</v>
      </c>
      <c r="BD31" s="2">
        <f>IF($D31&lt;=BD$8,$E31/12*(1+BD$5)+$F31*('Sales &amp; Costs'!BB$49/2),0)</f>
        <v>4708.2811000000002</v>
      </c>
      <c r="BE31" s="2">
        <f>IF($D31&lt;=BE$8,$E31/12*(1+BE$5)+$F31*('Sales &amp; Costs'!BC$49/2),0)</f>
        <v>4776.6006000000007</v>
      </c>
      <c r="BF31" s="2">
        <f>IF($D31&lt;=BF$8,$E31/12*(1+BF$5)+$F31*('Sales &amp; Costs'!BD$49/2),0)</f>
        <v>4835.1563500000002</v>
      </c>
      <c r="BG31" s="2">
        <f>IF($D31&lt;=BG$8,$E31/12*(1+BG$5)+$F31*('Sales &amp; Costs'!BE$49/2),0)</f>
        <v>4942.4773500000001</v>
      </c>
      <c r="BH31" s="2">
        <f>IF($D31&lt;=BH$8,$E31/12*(1+BH$5)+$F31*('Sales &amp; Costs'!BF$49/2),0)</f>
        <v>5001.0063500000006</v>
      </c>
      <c r="BI31" s="2">
        <f>IF($D31&lt;=BI$8,$E31/12*(1+BI$5)+$F31*('Sales &amp; Costs'!BG$49/2),0)</f>
        <v>5059.5353500000001</v>
      </c>
      <c r="BJ31" s="2">
        <f>IF($D31&lt;=BJ$8,$E31/12*(1+BJ$5)+$F31*('Sales &amp; Costs'!BH$49/2),0)</f>
        <v>5242.635228000001</v>
      </c>
      <c r="BK31" s="2">
        <f>IF($D31&lt;=BK$8,$E31/12*(1+BK$5)+$F31*('Sales &amp; Costs'!BI$49/2),0)</f>
        <v>5286.5319780000009</v>
      </c>
      <c r="BL31" s="2">
        <f>IF($D31&lt;=BL$8,$E31/12*(1+BL$5)+$F31*('Sales &amp; Costs'!BJ$49/2),0)</f>
        <v>5330.4287280000008</v>
      </c>
      <c r="BM31" s="2">
        <f>IF($D31&lt;=BM$8,$E31/12*(1+BM$5)+$F31*('Sales &amp; Costs'!BK$49/2),0)</f>
        <v>5374.3254780000007</v>
      </c>
      <c r="BN31" s="2">
        <f>IF($D31&lt;=BN$8,$E31/12*(1+BN$5)+$F31*('Sales &amp; Costs'!BL$49/2),0)</f>
        <v>5418.2222280000005</v>
      </c>
      <c r="BO31" s="2">
        <f>IF($D31&lt;=BO$8,$E31/12*(1+BO$5)+$F31*('Sales &amp; Costs'!BM$49/2),0)</f>
        <v>5447.4867280000008</v>
      </c>
      <c r="BP31" s="2">
        <f>IF($D31&lt;=BP$8,$E31/12*(1+BP$5)+$F31*('Sales &amp; Costs'!BN$49/2),0)</f>
        <v>5476.751228000001</v>
      </c>
      <c r="BQ31" s="2">
        <f>IF($D31&lt;=BQ$8,$E31/12*(1+BQ$5)+$F31*('Sales &amp; Costs'!BO$49/2),0)</f>
        <v>5506.0157280000012</v>
      </c>
      <c r="BR31" s="2">
        <f>IF($D31&lt;=BR$8,$E31/12*(1+BR$5)+$F31*('Sales &amp; Costs'!BP$49/2),0)</f>
        <v>5535.2802280000014</v>
      </c>
      <c r="BS31" s="2">
        <f>IF($D31&lt;=BS$8,$E31/12*(1+BS$5)+$F31*('Sales &amp; Costs'!BQ$49/2),0)</f>
        <v>5564.5447280000008</v>
      </c>
      <c r="BT31" s="2">
        <f>IF($D31&lt;=BT$8,$E31/12*(1+BT$5)+$F31*('Sales &amp; Costs'!BR$49/2),0)</f>
        <v>5593.809228000001</v>
      </c>
      <c r="BU31" s="2">
        <f>IF($D31&lt;=BU$8,$E31/12*(1+BU$5)+$F31*('Sales &amp; Costs'!BS$49/2),0)</f>
        <v>5623.0737280000012</v>
      </c>
      <c r="BV31" s="2">
        <f>IF($D31&lt;=BV$8,$E31/12*(1+BV$5)+$F31*('Sales &amp; Costs'!BT$49/2),0)</f>
        <v>5771.8668823400003</v>
      </c>
      <c r="BW31" s="2">
        <f>IF($D31&lt;=BW$8,$E31/12*(1+BW$5)+$F31*('Sales &amp; Costs'!BU$49/2),0)</f>
        <v>5795.2784823400007</v>
      </c>
      <c r="BX31" s="2">
        <f>IF($D31&lt;=BX$8,$E31/12*(1+BX$5)+$F31*('Sales &amp; Costs'!BV$49/2),0)</f>
        <v>5809.9107323400003</v>
      </c>
      <c r="BY31" s="2">
        <f>IF($D31&lt;=BY$8,$E31/12*(1+BY$5)+$F31*('Sales &amp; Costs'!BW$49/2),0)</f>
        <v>5824.5429823400009</v>
      </c>
      <c r="BZ31" s="2">
        <f>IF($D31&lt;=BZ$8,$E31/12*(1+BZ$5)+$F31*('Sales &amp; Costs'!BX$49/2),0)</f>
        <v>5839.1752323400005</v>
      </c>
      <c r="CA31" s="2">
        <f>IF($D31&lt;=CA$8,$E31/12*(1+CA$5)+$F31*('Sales &amp; Costs'!BY$49/2),0)</f>
        <v>5853.8074823400002</v>
      </c>
      <c r="CC31" s="2">
        <f t="shared" si="13"/>
        <v>65369.840736000013</v>
      </c>
    </row>
    <row r="32" spans="1:81" ht="15.75" customHeight="1">
      <c r="C32" s="271" t="s">
        <v>375</v>
      </c>
      <c r="D32" s="96">
        <v>40695</v>
      </c>
      <c r="E32" s="95">
        <f>3000*12</f>
        <v>36000</v>
      </c>
      <c r="F32" s="183">
        <v>0</v>
      </c>
      <c r="H32" s="2">
        <f>IF($D32&lt;=H$8,$E32/12*(1+H$5)+$F32*('Sales &amp; Costs'!F$49/2),0)</f>
        <v>0</v>
      </c>
      <c r="I32" s="2">
        <f>IF($D32&lt;=I$8,$E32/12*(1+I$5)+$F32*('Sales &amp; Costs'!G$49/2),0)</f>
        <v>0</v>
      </c>
      <c r="J32" s="2">
        <f>IF($D32&lt;=J$8,$E32/12*(1+J$5)+$F32*('Sales &amp; Costs'!H$49/2),0)</f>
        <v>0</v>
      </c>
      <c r="K32" s="2">
        <f>IF($D32&lt;=K$8,$E32/12*(1+K$5)+$F32*('Sales &amp; Costs'!I$49/2),0)</f>
        <v>0</v>
      </c>
      <c r="L32" s="2">
        <f>IF($D32&lt;=L$8,$E32/12*(1+L$5)+$F32*('Sales &amp; Costs'!J$49/2),0)</f>
        <v>0</v>
      </c>
      <c r="M32" s="2">
        <f>IF($D32&lt;=M$8,$E32/12*(1+M$5)+$F32*('Sales &amp; Costs'!K$49/2),0)</f>
        <v>0</v>
      </c>
      <c r="N32" s="2">
        <f>IF($D32&lt;=N$8,$E32/12*(1+N$5)+$F32*('Sales &amp; Costs'!L$49/2),0)</f>
        <v>0</v>
      </c>
      <c r="O32" s="2">
        <f>IF($D32&lt;=O$8,$E32/12*(1+O$5)+$F32*('Sales &amp; Costs'!M$49/2),0)</f>
        <v>0</v>
      </c>
      <c r="P32" s="2">
        <f>IF($D32&lt;=P$8,$E32/12*(1+P$5)+$F32*('Sales &amp; Costs'!N$49/2),0)</f>
        <v>0</v>
      </c>
      <c r="Q32" s="2">
        <f>IF($D32&lt;=Q$8,$E32/12*(1+Q$5)+$F32*('Sales &amp; Costs'!O$49/2),0)</f>
        <v>0</v>
      </c>
      <c r="R32" s="2">
        <f>IF($D32&lt;=R$8,$E32/12*(1+R$5)+$F32*('Sales &amp; Costs'!P$49/2),0)</f>
        <v>0</v>
      </c>
      <c r="S32" s="2">
        <f>IF($D32&lt;=S$8,$E32/12*(1+S$5)+$F32*('Sales &amp; Costs'!Q$49/2),0)</f>
        <v>0</v>
      </c>
      <c r="T32" s="2">
        <f>IF($D32&lt;=T$8,$E32/12*(1+T$5)+$F32*('Sales &amp; Costs'!R$49/2),0)</f>
        <v>0</v>
      </c>
      <c r="U32" s="2">
        <f>IF($D32&lt;=U$8,$E32/12*(1+U$5)+$F32*('Sales &amp; Costs'!S$49/2),0)</f>
        <v>0</v>
      </c>
      <c r="V32" s="2">
        <f>IF($D32&lt;=V$8,$E32/12*(1+V$5)+$F32*('Sales &amp; Costs'!T$49/2),0)</f>
        <v>0</v>
      </c>
      <c r="W32" s="2">
        <f>IF($D32&lt;=W$8,$E32/12*(1+W$5)+$F32*('Sales &amp; Costs'!U$49/2),0)</f>
        <v>0</v>
      </c>
      <c r="X32" s="2">
        <f>IF($D32&lt;=X$8,$E32/12*(1+X$5)+$F32*('Sales &amp; Costs'!V$49/2),0)</f>
        <v>0</v>
      </c>
      <c r="Y32" s="2">
        <f>IF($D32&lt;=Y$8,$E32/12*(1+Y$5)+$F32*('Sales &amp; Costs'!W$49/2),0)</f>
        <v>0</v>
      </c>
      <c r="Z32" s="2">
        <f>IF($D32&lt;=Z$8,$E32/12*(1+Z$5)+$F32*('Sales &amp; Costs'!X$49/2),0)</f>
        <v>0</v>
      </c>
      <c r="AA32" s="2">
        <f>IF($D32&lt;=AA$8,$E32/12*(1+AA$5)+$F32*('Sales &amp; Costs'!Y$49/2),0)</f>
        <v>0</v>
      </c>
      <c r="AB32" s="2">
        <f>IF($D32&lt;=AB$8,$E32/12*(1+AB$5)+$F32*('Sales &amp; Costs'!Z$49/2),0)</f>
        <v>0</v>
      </c>
      <c r="AC32" s="2">
        <f>IF($D32&lt;=AC$8,$E32/12*(1+AC$5)+$F32*('Sales &amp; Costs'!AA$49/2),0)</f>
        <v>0</v>
      </c>
      <c r="AD32" s="2">
        <f>IF($D32&lt;=AD$8,$E32/12*(1+AD$5)+$F32*('Sales &amp; Costs'!AB$49/2),0)</f>
        <v>0</v>
      </c>
      <c r="AE32" s="2">
        <f>IF($D32&lt;=AE$8,$E32/12*(1+AE$5)+$F32*('Sales &amp; Costs'!AC$49/2),0)</f>
        <v>0</v>
      </c>
      <c r="AF32" s="2">
        <f>IF($D32&lt;=AF$8,$E32/12*(1+AF$5)+$F32*('Sales &amp; Costs'!AD$49/2),0)</f>
        <v>0</v>
      </c>
      <c r="AG32" s="2">
        <f>IF($D32&lt;=AG$8,$E32/12*(1+AG$5)+$F32*('Sales &amp; Costs'!AE$49/2),0)</f>
        <v>0</v>
      </c>
      <c r="AH32" s="2">
        <f>IF($D32&lt;=AH$8,$E32/12*(1+AH$5)+$F32*('Sales &amp; Costs'!AF$49/2),0)</f>
        <v>0</v>
      </c>
      <c r="AI32" s="2">
        <f>IF($D32&lt;=AI$8,$E32/12*(1+AI$5)+$F32*('Sales &amp; Costs'!AG$49/2),0)</f>
        <v>0</v>
      </c>
      <c r="AJ32" s="2">
        <f>IF($D32&lt;=AJ$8,$E32/12*(1+AJ$5)+$F32*('Sales &amp; Costs'!AH$49/2),0)</f>
        <v>0</v>
      </c>
      <c r="AK32" s="2">
        <f>IF($D32&lt;=AK$8,$E32/12*(1+AK$5)+$F32*('Sales &amp; Costs'!AI$49/2),0)</f>
        <v>3090</v>
      </c>
      <c r="AL32" s="2">
        <f>IF($D32&lt;=AL$8,$E32/12*(1+AL$5)+$F32*('Sales &amp; Costs'!AJ$49/2),0)</f>
        <v>3182.7</v>
      </c>
      <c r="AM32" s="2">
        <f>IF($D32&lt;=AM$8,$E32/12*(1+AM$5)+$F32*('Sales &amp; Costs'!AK$49/2),0)</f>
        <v>3182.7</v>
      </c>
      <c r="AN32" s="2">
        <f>IF($D32&lt;=AN$8,$E32/12*(1+AN$5)+$F32*('Sales &amp; Costs'!AL$49/2),0)</f>
        <v>3182.7</v>
      </c>
      <c r="AO32" s="2">
        <f>IF($D32&lt;=AO$8,$E32/12*(1+AO$5)+$F32*('Sales &amp; Costs'!AM$49/2),0)</f>
        <v>3182.7</v>
      </c>
      <c r="AP32" s="2">
        <f>IF($D32&lt;=AP$8,$E32/12*(1+AP$5)+$F32*('Sales &amp; Costs'!AN$49/2),0)</f>
        <v>3182.7</v>
      </c>
      <c r="AQ32" s="2">
        <f>IF($D32&lt;=AQ$8,$E32/12*(1+AQ$5)+$F32*('Sales &amp; Costs'!AO$49/2),0)</f>
        <v>3182.7</v>
      </c>
      <c r="AR32" s="2">
        <f>IF($D32&lt;=AR$8,$E32/12*(1+AR$5)+$F32*('Sales &amp; Costs'!AP$49/2),0)</f>
        <v>3182.7</v>
      </c>
      <c r="AS32" s="2">
        <f>IF($D32&lt;=AS$8,$E32/12*(1+AS$5)+$F32*('Sales &amp; Costs'!AQ$49/2),0)</f>
        <v>3182.7</v>
      </c>
      <c r="AT32" s="2">
        <f>IF($D32&lt;=AT$8,$E32/12*(1+AT$5)+$F32*('Sales &amp; Costs'!AR$49/2),0)</f>
        <v>3182.7</v>
      </c>
      <c r="AU32" s="2">
        <f>IF($D32&lt;=AU$8,$E32/12*(1+AU$5)+$F32*('Sales &amp; Costs'!AS$49/2),0)</f>
        <v>3182.7</v>
      </c>
      <c r="AV32" s="2">
        <f>IF($D32&lt;=AV$8,$E32/12*(1+AV$5)+$F32*('Sales &amp; Costs'!AT$49/2),0)</f>
        <v>3182.7</v>
      </c>
      <c r="AW32" s="2">
        <f>IF($D32&lt;=AW$8,$E32/12*(1+AW$5)+$F32*('Sales &amp; Costs'!AU$49/2),0)</f>
        <v>3182.7</v>
      </c>
      <c r="AX32" s="2">
        <f>IF($D32&lt;=AX$8,$E32/12*(1+AX$5)+$F32*('Sales &amp; Costs'!AV$49/2),0)</f>
        <v>3278.181</v>
      </c>
      <c r="AY32" s="2">
        <f>IF($D32&lt;=AY$8,$E32/12*(1+AY$5)+$F32*('Sales &amp; Costs'!AW$49/2),0)</f>
        <v>3278.181</v>
      </c>
      <c r="AZ32" s="2">
        <f>IF($D32&lt;=AZ$8,$E32/12*(1+AZ$5)+$F32*('Sales &amp; Costs'!AX$49/2),0)</f>
        <v>3278.181</v>
      </c>
      <c r="BA32" s="2">
        <f>IF($D32&lt;=BA$8,$E32/12*(1+BA$5)+$F32*('Sales &amp; Costs'!AY$49/2),0)</f>
        <v>3278.181</v>
      </c>
      <c r="BB32" s="2">
        <f>IF($D32&lt;=BB$8,$E32/12*(1+BB$5)+$F32*('Sales &amp; Costs'!AZ$49/2),0)</f>
        <v>3278.181</v>
      </c>
      <c r="BC32" s="2">
        <f>IF($D32&lt;=BC$8,$E32/12*(1+BC$5)+$F32*('Sales &amp; Costs'!BA$49/2),0)</f>
        <v>3278.181</v>
      </c>
      <c r="BD32" s="2">
        <f>IF($D32&lt;=BD$8,$E32/12*(1+BD$5)+$F32*('Sales &amp; Costs'!BB$49/2),0)</f>
        <v>3278.181</v>
      </c>
      <c r="BE32" s="2">
        <f>IF($D32&lt;=BE$8,$E32/12*(1+BE$5)+$F32*('Sales &amp; Costs'!BC$49/2),0)</f>
        <v>3278.181</v>
      </c>
      <c r="BF32" s="2">
        <f>IF($D32&lt;=BF$8,$E32/12*(1+BF$5)+$F32*('Sales &amp; Costs'!BD$49/2),0)</f>
        <v>3278.181</v>
      </c>
      <c r="BG32" s="2">
        <f>IF($D32&lt;=BG$8,$E32/12*(1+BG$5)+$F32*('Sales &amp; Costs'!BE$49/2),0)</f>
        <v>3278.181</v>
      </c>
      <c r="BH32" s="2">
        <f>IF($D32&lt;=BH$8,$E32/12*(1+BH$5)+$F32*('Sales &amp; Costs'!BF$49/2),0)</f>
        <v>3278.181</v>
      </c>
      <c r="BI32" s="2">
        <f>IF($D32&lt;=BI$8,$E32/12*(1+BI$5)+$F32*('Sales &amp; Costs'!BG$49/2),0)</f>
        <v>3278.181</v>
      </c>
      <c r="BJ32" s="2">
        <f>IF($D32&lt;=BJ$8,$E32/12*(1+BJ$5)+$F32*('Sales &amp; Costs'!BH$49/2),0)</f>
        <v>3376.5264300000003</v>
      </c>
      <c r="BK32" s="2">
        <f>IF($D32&lt;=BK$8,$E32/12*(1+BK$5)+$F32*('Sales &amp; Costs'!BI$49/2),0)</f>
        <v>3376.5264300000003</v>
      </c>
      <c r="BL32" s="2">
        <f>IF($D32&lt;=BL$8,$E32/12*(1+BL$5)+$F32*('Sales &amp; Costs'!BJ$49/2),0)</f>
        <v>3376.5264300000003</v>
      </c>
      <c r="BM32" s="2">
        <f>IF($D32&lt;=BM$8,$E32/12*(1+BM$5)+$F32*('Sales &amp; Costs'!BK$49/2),0)</f>
        <v>3376.5264300000003</v>
      </c>
      <c r="BN32" s="2">
        <f>IF($D32&lt;=BN$8,$E32/12*(1+BN$5)+$F32*('Sales &amp; Costs'!BL$49/2),0)</f>
        <v>3376.5264300000003</v>
      </c>
      <c r="BO32" s="2">
        <f>IF($D32&lt;=BO$8,$E32/12*(1+BO$5)+$F32*('Sales &amp; Costs'!BM$49/2),0)</f>
        <v>3376.5264300000003</v>
      </c>
      <c r="BP32" s="2">
        <f>IF($D32&lt;=BP$8,$E32/12*(1+BP$5)+$F32*('Sales &amp; Costs'!BN$49/2),0)</f>
        <v>3376.5264300000003</v>
      </c>
      <c r="BQ32" s="2">
        <f>IF($D32&lt;=BQ$8,$E32/12*(1+BQ$5)+$F32*('Sales &amp; Costs'!BO$49/2),0)</f>
        <v>3376.5264300000003</v>
      </c>
      <c r="BR32" s="2">
        <f>IF($D32&lt;=BR$8,$E32/12*(1+BR$5)+$F32*('Sales &amp; Costs'!BP$49/2),0)</f>
        <v>3376.5264300000003</v>
      </c>
      <c r="BS32" s="2">
        <f>IF($D32&lt;=BS$8,$E32/12*(1+BS$5)+$F32*('Sales &amp; Costs'!BQ$49/2),0)</f>
        <v>3376.5264300000003</v>
      </c>
      <c r="BT32" s="2">
        <f>IF($D32&lt;=BT$8,$E32/12*(1+BT$5)+$F32*('Sales &amp; Costs'!BR$49/2),0)</f>
        <v>3376.5264300000003</v>
      </c>
      <c r="BU32" s="2">
        <f>IF($D32&lt;=BU$8,$E32/12*(1+BU$5)+$F32*('Sales &amp; Costs'!BS$49/2),0)</f>
        <v>3376.5264300000003</v>
      </c>
      <c r="BV32" s="2">
        <f>IF($D32&lt;=BV$8,$E32/12*(1+BV$5)+$F32*('Sales &amp; Costs'!BT$49/2),0)</f>
        <v>3477.8222229000003</v>
      </c>
      <c r="BW32" s="2">
        <f>IF($D32&lt;=BW$8,$E32/12*(1+BW$5)+$F32*('Sales &amp; Costs'!BU$49/2),0)</f>
        <v>3477.8222229000003</v>
      </c>
      <c r="BX32" s="2">
        <f>IF($D32&lt;=BX$8,$E32/12*(1+BX$5)+$F32*('Sales &amp; Costs'!BV$49/2),0)</f>
        <v>3477.8222229000003</v>
      </c>
      <c r="BY32" s="2">
        <f>IF($D32&lt;=BY$8,$E32/12*(1+BY$5)+$F32*('Sales &amp; Costs'!BW$49/2),0)</f>
        <v>3477.8222229000003</v>
      </c>
      <c r="BZ32" s="2">
        <f>IF($D32&lt;=BZ$8,$E32/12*(1+BZ$5)+$F32*('Sales &amp; Costs'!BX$49/2),0)</f>
        <v>3477.8222229000003</v>
      </c>
      <c r="CA32" s="2">
        <f>IF($D32&lt;=CA$8,$E32/12*(1+CA$5)+$F32*('Sales &amp; Costs'!BY$49/2),0)</f>
        <v>3477.8222229000003</v>
      </c>
      <c r="CC32" s="2">
        <f t="shared" si="13"/>
        <v>40518.317160000006</v>
      </c>
    </row>
    <row r="33" spans="1:81" ht="15.75" customHeight="1">
      <c r="C33" s="271" t="s">
        <v>390</v>
      </c>
      <c r="D33" s="96">
        <v>40725</v>
      </c>
      <c r="E33" s="95">
        <f>2900*12</f>
        <v>34800</v>
      </c>
      <c r="F33" s="183">
        <v>0</v>
      </c>
      <c r="H33" s="2">
        <f>IF($D33&lt;=H$8,$E33/12*(1+H$5)+$F33*('Sales &amp; Costs'!F$49/2),0)</f>
        <v>0</v>
      </c>
      <c r="I33" s="2">
        <f>IF($D33&lt;=I$8,$E33/12*(1+I$5)+$F33*('Sales &amp; Costs'!G$49/2),0)</f>
        <v>0</v>
      </c>
      <c r="J33" s="2">
        <f>IF($D33&lt;=J$8,$E33/12*(1+J$5)+$F33*('Sales &amp; Costs'!H$49/2),0)</f>
        <v>0</v>
      </c>
      <c r="K33" s="2">
        <f>IF($D33&lt;=K$8,$E33/12*(1+K$5)+$F33*('Sales &amp; Costs'!I$49/2),0)</f>
        <v>0</v>
      </c>
      <c r="L33" s="2">
        <f>IF($D33&lt;=L$8,$E33/12*(1+L$5)+$F33*('Sales &amp; Costs'!J$49/2),0)</f>
        <v>0</v>
      </c>
      <c r="M33" s="2">
        <f>IF($D33&lt;=M$8,$E33/12*(1+M$5)+$F33*('Sales &amp; Costs'!K$49/2),0)</f>
        <v>0</v>
      </c>
      <c r="N33" s="2">
        <f>IF($D33&lt;=N$8,$E33/12*(1+N$5)+$F33*('Sales &amp; Costs'!L$49/2),0)</f>
        <v>0</v>
      </c>
      <c r="O33" s="2">
        <f>IF($D33&lt;=O$8,$E33/12*(1+O$5)+$F33*('Sales &amp; Costs'!M$49/2),0)</f>
        <v>0</v>
      </c>
      <c r="P33" s="2">
        <f>IF($D33&lt;=P$8,$E33/12*(1+P$5)+$F33*('Sales &amp; Costs'!N$49/2),0)</f>
        <v>0</v>
      </c>
      <c r="Q33" s="2">
        <f>IF($D33&lt;=Q$8,$E33/12*(1+Q$5)+$F33*('Sales &amp; Costs'!O$49/2),0)</f>
        <v>0</v>
      </c>
      <c r="R33" s="2">
        <f>IF($D33&lt;=R$8,$E33/12*(1+R$5)+$F33*('Sales &amp; Costs'!P$49/2),0)</f>
        <v>0</v>
      </c>
      <c r="S33" s="2">
        <f>IF($D33&lt;=S$8,$E33/12*(1+S$5)+$F33*('Sales &amp; Costs'!Q$49/2),0)</f>
        <v>0</v>
      </c>
      <c r="T33" s="2">
        <f>IF($D33&lt;=T$8,$E33/12*(1+T$5)+$F33*('Sales &amp; Costs'!R$49/2),0)</f>
        <v>0</v>
      </c>
      <c r="U33" s="2">
        <f>IF($D33&lt;=U$8,$E33/12*(1+U$5)+$F33*('Sales &amp; Costs'!S$49/2),0)</f>
        <v>0</v>
      </c>
      <c r="V33" s="2">
        <f>IF($D33&lt;=V$8,$E33/12*(1+V$5)+$F33*('Sales &amp; Costs'!T$49/2),0)</f>
        <v>0</v>
      </c>
      <c r="W33" s="2">
        <f>IF($D33&lt;=W$8,$E33/12*(1+W$5)+$F33*('Sales &amp; Costs'!U$49/2),0)</f>
        <v>0</v>
      </c>
      <c r="X33" s="2">
        <f>IF($D33&lt;=X$8,$E33/12*(1+X$5)+$F33*('Sales &amp; Costs'!V$49/2),0)</f>
        <v>0</v>
      </c>
      <c r="Y33" s="2">
        <f>IF($D33&lt;=Y$8,$E33/12*(1+Y$5)+$F33*('Sales &amp; Costs'!W$49/2),0)</f>
        <v>0</v>
      </c>
      <c r="Z33" s="2">
        <f>IF($D33&lt;=Z$8,$E33/12*(1+Z$5)+$F33*('Sales &amp; Costs'!X$49/2),0)</f>
        <v>0</v>
      </c>
      <c r="AA33" s="2">
        <f>IF($D33&lt;=AA$8,$E33/12*(1+AA$5)+$F33*('Sales &amp; Costs'!Y$49/2),0)</f>
        <v>0</v>
      </c>
      <c r="AB33" s="2">
        <f>IF($D33&lt;=AB$8,$E33/12*(1+AB$5)+$F33*('Sales &amp; Costs'!Z$49/2),0)</f>
        <v>0</v>
      </c>
      <c r="AC33" s="2">
        <f>IF($D33&lt;=AC$8,$E33/12*(1+AC$5)+$F33*('Sales &amp; Costs'!AA$49/2),0)</f>
        <v>0</v>
      </c>
      <c r="AD33" s="2">
        <f>IF($D33&lt;=AD$8,$E33/12*(1+AD$5)+$F33*('Sales &amp; Costs'!AB$49/2),0)</f>
        <v>0</v>
      </c>
      <c r="AE33" s="2">
        <f>IF($D33&lt;=AE$8,$E33/12*(1+AE$5)+$F33*('Sales &amp; Costs'!AC$49/2),0)</f>
        <v>0</v>
      </c>
      <c r="AF33" s="2">
        <f>IF($D33&lt;=AF$8,$E33/12*(1+AF$5)+$F33*('Sales &amp; Costs'!AD$49/2),0)</f>
        <v>0</v>
      </c>
      <c r="AG33" s="2">
        <f>IF($D33&lt;=AG$8,$E33/12*(1+AG$5)+$F33*('Sales &amp; Costs'!AE$49/2),0)</f>
        <v>0</v>
      </c>
      <c r="AH33" s="2">
        <f>IF($D33&lt;=AH$8,$E33/12*(1+AH$5)+$F33*('Sales &amp; Costs'!AF$49/2),0)</f>
        <v>0</v>
      </c>
      <c r="AI33" s="2">
        <f>IF($D33&lt;=AI$8,$E33/12*(1+AI$5)+$F33*('Sales &amp; Costs'!AG$49/2),0)</f>
        <v>0</v>
      </c>
      <c r="AJ33" s="2">
        <f>IF($D33&lt;=AJ$8,$E33/12*(1+AJ$5)+$F33*('Sales &amp; Costs'!AH$49/2),0)</f>
        <v>0</v>
      </c>
      <c r="AK33" s="2">
        <f>IF($D33&lt;=AK$8,$E33/12*(1+AK$5)+$F33*('Sales &amp; Costs'!AI$49/2),0)</f>
        <v>0</v>
      </c>
      <c r="AL33" s="2">
        <f>IF($D33&lt;=AL$8,$E33/12*(1+AL$5)+$F33*('Sales &amp; Costs'!AJ$49/2),0)</f>
        <v>3076.6099999999997</v>
      </c>
      <c r="AM33" s="2">
        <f>IF($D33&lt;=AM$8,$E33/12*(1+AM$5)+$F33*('Sales &amp; Costs'!AK$49/2),0)</f>
        <v>3076.6099999999997</v>
      </c>
      <c r="AN33" s="2">
        <f>IF($D33&lt;=AN$8,$E33/12*(1+AN$5)+$F33*('Sales &amp; Costs'!AL$49/2),0)</f>
        <v>3076.6099999999997</v>
      </c>
      <c r="AO33" s="2">
        <f>IF($D33&lt;=AO$8,$E33/12*(1+AO$5)+$F33*('Sales &amp; Costs'!AM$49/2),0)</f>
        <v>3076.6099999999997</v>
      </c>
      <c r="AP33" s="2">
        <f>IF($D33&lt;=AP$8,$E33/12*(1+AP$5)+$F33*('Sales &amp; Costs'!AN$49/2),0)</f>
        <v>3076.6099999999997</v>
      </c>
      <c r="AQ33" s="2">
        <f>IF($D33&lt;=AQ$8,$E33/12*(1+AQ$5)+$F33*('Sales &amp; Costs'!AO$49/2),0)</f>
        <v>3076.6099999999997</v>
      </c>
      <c r="AR33" s="2">
        <f>IF($D33&lt;=AR$8,$E33/12*(1+AR$5)+$F33*('Sales &amp; Costs'!AP$49/2),0)</f>
        <v>3076.6099999999997</v>
      </c>
      <c r="AS33" s="2">
        <f>IF($D33&lt;=AS$8,$E33/12*(1+AS$5)+$F33*('Sales &amp; Costs'!AQ$49/2),0)</f>
        <v>3076.6099999999997</v>
      </c>
      <c r="AT33" s="2">
        <f>IF($D33&lt;=AT$8,$E33/12*(1+AT$5)+$F33*('Sales &amp; Costs'!AR$49/2),0)</f>
        <v>3076.6099999999997</v>
      </c>
      <c r="AU33" s="2">
        <f>IF($D33&lt;=AU$8,$E33/12*(1+AU$5)+$F33*('Sales &amp; Costs'!AS$49/2),0)</f>
        <v>3076.6099999999997</v>
      </c>
      <c r="AV33" s="2">
        <f>IF($D33&lt;=AV$8,$E33/12*(1+AV$5)+$F33*('Sales &amp; Costs'!AT$49/2),0)</f>
        <v>3076.6099999999997</v>
      </c>
      <c r="AW33" s="2">
        <f>IF($D33&lt;=AW$8,$E33/12*(1+AW$5)+$F33*('Sales &amp; Costs'!AU$49/2),0)</f>
        <v>3076.6099999999997</v>
      </c>
      <c r="AX33" s="2">
        <f>IF($D33&lt;=AX$8,$E33/12*(1+AX$5)+$F33*('Sales &amp; Costs'!AV$49/2),0)</f>
        <v>3168.9083000000001</v>
      </c>
      <c r="AY33" s="2">
        <f>IF($D33&lt;=AY$8,$E33/12*(1+AY$5)+$F33*('Sales &amp; Costs'!AW$49/2),0)</f>
        <v>3168.9083000000001</v>
      </c>
      <c r="AZ33" s="2">
        <f>IF($D33&lt;=AZ$8,$E33/12*(1+AZ$5)+$F33*('Sales &amp; Costs'!AX$49/2),0)</f>
        <v>3168.9083000000001</v>
      </c>
      <c r="BA33" s="2">
        <f>IF($D33&lt;=BA$8,$E33/12*(1+BA$5)+$F33*('Sales &amp; Costs'!AY$49/2),0)</f>
        <v>3168.9083000000001</v>
      </c>
      <c r="BB33" s="2">
        <f>IF($D33&lt;=BB$8,$E33/12*(1+BB$5)+$F33*('Sales &amp; Costs'!AZ$49/2),0)</f>
        <v>3168.9083000000001</v>
      </c>
      <c r="BC33" s="2">
        <f>IF($D33&lt;=BC$8,$E33/12*(1+BC$5)+$F33*('Sales &amp; Costs'!BA$49/2),0)</f>
        <v>3168.9083000000001</v>
      </c>
      <c r="BD33" s="2">
        <f>IF($D33&lt;=BD$8,$E33/12*(1+BD$5)+$F33*('Sales &amp; Costs'!BB$49/2),0)</f>
        <v>3168.9083000000001</v>
      </c>
      <c r="BE33" s="2">
        <f>IF($D33&lt;=BE$8,$E33/12*(1+BE$5)+$F33*('Sales &amp; Costs'!BC$49/2),0)</f>
        <v>3168.9083000000001</v>
      </c>
      <c r="BF33" s="2">
        <f>IF($D33&lt;=BF$8,$E33/12*(1+BF$5)+$F33*('Sales &amp; Costs'!BD$49/2),0)</f>
        <v>3168.9083000000001</v>
      </c>
      <c r="BG33" s="2">
        <f>IF($D33&lt;=BG$8,$E33/12*(1+BG$5)+$F33*('Sales &amp; Costs'!BE$49/2),0)</f>
        <v>3168.9083000000001</v>
      </c>
      <c r="BH33" s="2">
        <f>IF($D33&lt;=BH$8,$E33/12*(1+BH$5)+$F33*('Sales &amp; Costs'!BF$49/2),0)</f>
        <v>3168.9083000000001</v>
      </c>
      <c r="BI33" s="2">
        <f>IF($D33&lt;=BI$8,$E33/12*(1+BI$5)+$F33*('Sales &amp; Costs'!BG$49/2),0)</f>
        <v>3168.9083000000001</v>
      </c>
      <c r="BJ33" s="2">
        <f>IF($D33&lt;=BJ$8,$E33/12*(1+BJ$5)+$F33*('Sales &amp; Costs'!BH$49/2),0)</f>
        <v>3263.9755490000002</v>
      </c>
      <c r="BK33" s="2">
        <f>IF($D33&lt;=BK$8,$E33/12*(1+BK$5)+$F33*('Sales &amp; Costs'!BI$49/2),0)</f>
        <v>3263.9755490000002</v>
      </c>
      <c r="BL33" s="2">
        <f>IF($D33&lt;=BL$8,$E33/12*(1+BL$5)+$F33*('Sales &amp; Costs'!BJ$49/2),0)</f>
        <v>3263.9755490000002</v>
      </c>
      <c r="BM33" s="2">
        <f>IF($D33&lt;=BM$8,$E33/12*(1+BM$5)+$F33*('Sales &amp; Costs'!BK$49/2),0)</f>
        <v>3263.9755490000002</v>
      </c>
      <c r="BN33" s="2">
        <f>IF($D33&lt;=BN$8,$E33/12*(1+BN$5)+$F33*('Sales &amp; Costs'!BL$49/2),0)</f>
        <v>3263.9755490000002</v>
      </c>
      <c r="BO33" s="2">
        <f>IF($D33&lt;=BO$8,$E33/12*(1+BO$5)+$F33*('Sales &amp; Costs'!BM$49/2),0)</f>
        <v>3263.9755490000002</v>
      </c>
      <c r="BP33" s="2">
        <f>IF($D33&lt;=BP$8,$E33/12*(1+BP$5)+$F33*('Sales &amp; Costs'!BN$49/2),0)</f>
        <v>3263.9755490000002</v>
      </c>
      <c r="BQ33" s="2">
        <f>IF($D33&lt;=BQ$8,$E33/12*(1+BQ$5)+$F33*('Sales &amp; Costs'!BO$49/2),0)</f>
        <v>3263.9755490000002</v>
      </c>
      <c r="BR33" s="2">
        <f>IF($D33&lt;=BR$8,$E33/12*(1+BR$5)+$F33*('Sales &amp; Costs'!BP$49/2),0)</f>
        <v>3263.9755490000002</v>
      </c>
      <c r="BS33" s="2">
        <f>IF($D33&lt;=BS$8,$E33/12*(1+BS$5)+$F33*('Sales &amp; Costs'!BQ$49/2),0)</f>
        <v>3263.9755490000002</v>
      </c>
      <c r="BT33" s="2">
        <f>IF($D33&lt;=BT$8,$E33/12*(1+BT$5)+$F33*('Sales &amp; Costs'!BR$49/2),0)</f>
        <v>3263.9755490000002</v>
      </c>
      <c r="BU33" s="2">
        <f>IF($D33&lt;=BU$8,$E33/12*(1+BU$5)+$F33*('Sales &amp; Costs'!BS$49/2),0)</f>
        <v>3263.9755490000002</v>
      </c>
      <c r="BV33" s="2">
        <f>IF($D33&lt;=BV$8,$E33/12*(1+BV$5)+$F33*('Sales &amp; Costs'!BT$49/2),0)</f>
        <v>3361.8948154700001</v>
      </c>
      <c r="BW33" s="2">
        <f>IF($D33&lt;=BW$8,$E33/12*(1+BW$5)+$F33*('Sales &amp; Costs'!BU$49/2),0)</f>
        <v>3361.8948154700001</v>
      </c>
      <c r="BX33" s="2">
        <f>IF($D33&lt;=BX$8,$E33/12*(1+BX$5)+$F33*('Sales &amp; Costs'!BV$49/2),0)</f>
        <v>3361.8948154700001</v>
      </c>
      <c r="BY33" s="2">
        <f>IF($D33&lt;=BY$8,$E33/12*(1+BY$5)+$F33*('Sales &amp; Costs'!BW$49/2),0)</f>
        <v>3361.8948154700001</v>
      </c>
      <c r="BZ33" s="2">
        <f>IF($D33&lt;=BZ$8,$E33/12*(1+BZ$5)+$F33*('Sales &amp; Costs'!BX$49/2),0)</f>
        <v>3361.8948154700001</v>
      </c>
      <c r="CA33" s="2">
        <f>IF($D33&lt;=CA$8,$E33/12*(1+CA$5)+$F33*('Sales &amp; Costs'!BY$49/2),0)</f>
        <v>3361.8948154700001</v>
      </c>
      <c r="CC33" s="2">
        <f t="shared" si="13"/>
        <v>39167.706588000001</v>
      </c>
    </row>
    <row r="34" spans="1:81" ht="15.75" customHeight="1">
      <c r="C34" s="271" t="s">
        <v>374</v>
      </c>
      <c r="D34" s="96">
        <v>41030</v>
      </c>
      <c r="E34" s="95">
        <f>3600*12</f>
        <v>43200</v>
      </c>
      <c r="F34" s="183">
        <v>0</v>
      </c>
      <c r="H34" s="2">
        <f>IF($D34&lt;=H$8,$E34/12*(1+H$5)+$F34*('Sales &amp; Costs'!F$49/2),0)</f>
        <v>0</v>
      </c>
      <c r="I34" s="2">
        <f>IF($D34&lt;=I$8,$E34/12*(1+I$5)+$F34*('Sales &amp; Costs'!G$49/2),0)</f>
        <v>0</v>
      </c>
      <c r="J34" s="2">
        <f>IF($D34&lt;=J$8,$E34/12*(1+J$5)+$F34*('Sales &amp; Costs'!H$49/2),0)</f>
        <v>0</v>
      </c>
      <c r="K34" s="2">
        <f>IF($D34&lt;=K$8,$E34/12*(1+K$5)+$F34*('Sales &amp; Costs'!I$49/2),0)</f>
        <v>0</v>
      </c>
      <c r="L34" s="2">
        <f>IF($D34&lt;=L$8,$E34/12*(1+L$5)+$F34*('Sales &amp; Costs'!J$49/2),0)</f>
        <v>0</v>
      </c>
      <c r="M34" s="2">
        <f>IF($D34&lt;=M$8,$E34/12*(1+M$5)+$F34*('Sales &amp; Costs'!K$49/2),0)</f>
        <v>0</v>
      </c>
      <c r="N34" s="2">
        <f>IF($D34&lt;=N$8,$E34/12*(1+N$5)+$F34*('Sales &amp; Costs'!L$49/2),0)</f>
        <v>0</v>
      </c>
      <c r="O34" s="2">
        <f>IF($D34&lt;=O$8,$E34/12*(1+O$5)+$F34*('Sales &amp; Costs'!M$49/2),0)</f>
        <v>0</v>
      </c>
      <c r="P34" s="2">
        <f>IF($D34&lt;=P$8,$E34/12*(1+P$5)+$F34*('Sales &amp; Costs'!N$49/2),0)</f>
        <v>0</v>
      </c>
      <c r="Q34" s="2">
        <f>IF($D34&lt;=Q$8,$E34/12*(1+Q$5)+$F34*('Sales &amp; Costs'!O$49/2),0)</f>
        <v>0</v>
      </c>
      <c r="R34" s="2">
        <f>IF($D34&lt;=R$8,$E34/12*(1+R$5)+$F34*('Sales &amp; Costs'!P$49/2),0)</f>
        <v>0</v>
      </c>
      <c r="S34" s="2">
        <f>IF($D34&lt;=S$8,$E34/12*(1+S$5)+$F34*('Sales &amp; Costs'!Q$49/2),0)</f>
        <v>0</v>
      </c>
      <c r="T34" s="2">
        <f>IF($D34&lt;=T$8,$E34/12*(1+T$5)+$F34*('Sales &amp; Costs'!R$49/2),0)</f>
        <v>0</v>
      </c>
      <c r="U34" s="2">
        <f>IF($D34&lt;=U$8,$E34/12*(1+U$5)+$F34*('Sales &amp; Costs'!S$49/2),0)</f>
        <v>0</v>
      </c>
      <c r="V34" s="2">
        <f>IF($D34&lt;=V$8,$E34/12*(1+V$5)+$F34*('Sales &amp; Costs'!T$49/2),0)</f>
        <v>0</v>
      </c>
      <c r="W34" s="2">
        <f>IF($D34&lt;=W$8,$E34/12*(1+W$5)+$F34*('Sales &amp; Costs'!U$49/2),0)</f>
        <v>0</v>
      </c>
      <c r="X34" s="2">
        <f>IF($D34&lt;=X$8,$E34/12*(1+X$5)+$F34*('Sales &amp; Costs'!V$49/2),0)</f>
        <v>0</v>
      </c>
      <c r="Y34" s="2">
        <f>IF($D34&lt;=Y$8,$E34/12*(1+Y$5)+$F34*('Sales &amp; Costs'!W$49/2),0)</f>
        <v>0</v>
      </c>
      <c r="Z34" s="2">
        <f>IF($D34&lt;=Z$8,$E34/12*(1+Z$5)+$F34*('Sales &amp; Costs'!X$49/2),0)</f>
        <v>0</v>
      </c>
      <c r="AA34" s="2">
        <f>IF($D34&lt;=AA$8,$E34/12*(1+AA$5)+$F34*('Sales &amp; Costs'!Y$49/2),0)</f>
        <v>0</v>
      </c>
      <c r="AB34" s="2">
        <f>IF($D34&lt;=AB$8,$E34/12*(1+AB$5)+$F34*('Sales &amp; Costs'!Z$49/2),0)</f>
        <v>0</v>
      </c>
      <c r="AC34" s="2">
        <f>IF($D34&lt;=AC$8,$E34/12*(1+AC$5)+$F34*('Sales &amp; Costs'!AA$49/2),0)</f>
        <v>0</v>
      </c>
      <c r="AD34" s="2">
        <f>IF($D34&lt;=AD$8,$E34/12*(1+AD$5)+$F34*('Sales &amp; Costs'!AB$49/2),0)</f>
        <v>0</v>
      </c>
      <c r="AE34" s="2">
        <f>IF($D34&lt;=AE$8,$E34/12*(1+AE$5)+$F34*('Sales &amp; Costs'!AC$49/2),0)</f>
        <v>0</v>
      </c>
      <c r="AF34" s="2">
        <f>IF($D34&lt;=AF$8,$E34/12*(1+AF$5)+$F34*('Sales &amp; Costs'!AD$49/2),0)</f>
        <v>0</v>
      </c>
      <c r="AG34" s="2">
        <f>IF($D34&lt;=AG$8,$E34/12*(1+AG$5)+$F34*('Sales &amp; Costs'!AE$49/2),0)</f>
        <v>0</v>
      </c>
      <c r="AH34" s="2">
        <f>IF($D34&lt;=AH$8,$E34/12*(1+AH$5)+$F34*('Sales &amp; Costs'!AF$49/2),0)</f>
        <v>0</v>
      </c>
      <c r="AI34" s="2">
        <f>IF($D34&lt;=AI$8,$E34/12*(1+AI$5)+$F34*('Sales &amp; Costs'!AG$49/2),0)</f>
        <v>0</v>
      </c>
      <c r="AJ34" s="2">
        <f>IF($D34&lt;=AJ$8,$E34/12*(1+AJ$5)+$F34*('Sales &amp; Costs'!AH$49/2),0)</f>
        <v>0</v>
      </c>
      <c r="AK34" s="2">
        <f>IF($D34&lt;=AK$8,$E34/12*(1+AK$5)+$F34*('Sales &amp; Costs'!AI$49/2),0)</f>
        <v>0</v>
      </c>
      <c r="AL34" s="2">
        <f>IF($D34&lt;=AL$8,$E34/12*(1+AL$5)+$F34*('Sales &amp; Costs'!AJ$49/2),0)</f>
        <v>0</v>
      </c>
      <c r="AM34" s="2">
        <f>IF($D34&lt;=AM$8,$E34/12*(1+AM$5)+$F34*('Sales &amp; Costs'!AK$49/2),0)</f>
        <v>0</v>
      </c>
      <c r="AN34" s="2">
        <f>IF($D34&lt;=AN$8,$E34/12*(1+AN$5)+$F34*('Sales &amp; Costs'!AL$49/2),0)</f>
        <v>0</v>
      </c>
      <c r="AO34" s="2">
        <f>IF($D34&lt;=AO$8,$E34/12*(1+AO$5)+$F34*('Sales &amp; Costs'!AM$49/2),0)</f>
        <v>0</v>
      </c>
      <c r="AP34" s="2">
        <f>IF($D34&lt;=AP$8,$E34/12*(1+AP$5)+$F34*('Sales &amp; Costs'!AN$49/2),0)</f>
        <v>0</v>
      </c>
      <c r="AQ34" s="2">
        <f>IF($D34&lt;=AQ$8,$E34/12*(1+AQ$5)+$F34*('Sales &amp; Costs'!AO$49/2),0)</f>
        <v>0</v>
      </c>
      <c r="AR34" s="2">
        <f>IF($D34&lt;=AR$8,$E34/12*(1+AR$5)+$F34*('Sales &amp; Costs'!AP$49/2),0)</f>
        <v>0</v>
      </c>
      <c r="AS34" s="2">
        <f>IF($D34&lt;=AS$8,$E34/12*(1+AS$5)+$F34*('Sales &amp; Costs'!AQ$49/2),0)</f>
        <v>0</v>
      </c>
      <c r="AT34" s="2">
        <f>IF($D34&lt;=AT$8,$E34/12*(1+AT$5)+$F34*('Sales &amp; Costs'!AR$49/2),0)</f>
        <v>0</v>
      </c>
      <c r="AU34" s="2">
        <f>IF($D34&lt;=AU$8,$E34/12*(1+AU$5)+$F34*('Sales &amp; Costs'!AS$49/2),0)</f>
        <v>0</v>
      </c>
      <c r="AV34" s="2">
        <f>IF($D34&lt;=AV$8,$E34/12*(1+AV$5)+$F34*('Sales &amp; Costs'!AT$49/2),0)</f>
        <v>3819.24</v>
      </c>
      <c r="AW34" s="2">
        <f>IF($D34&lt;=AW$8,$E34/12*(1+AW$5)+$F34*('Sales &amp; Costs'!AU$49/2),0)</f>
        <v>3819.24</v>
      </c>
      <c r="AX34" s="2">
        <f>IF($D34&lt;=AX$8,$E34/12*(1+AX$5)+$F34*('Sales &amp; Costs'!AV$49/2),0)</f>
        <v>3933.8172</v>
      </c>
      <c r="AY34" s="2">
        <f>IF($D34&lt;=AY$8,$E34/12*(1+AY$5)+$F34*('Sales &amp; Costs'!AW$49/2),0)</f>
        <v>3933.8172</v>
      </c>
      <c r="AZ34" s="2">
        <f>IF($D34&lt;=AZ$8,$E34/12*(1+AZ$5)+$F34*('Sales &amp; Costs'!AX$49/2),0)</f>
        <v>3933.8172</v>
      </c>
      <c r="BA34" s="2">
        <f>IF($D34&lt;=BA$8,$E34/12*(1+BA$5)+$F34*('Sales &amp; Costs'!AY$49/2),0)</f>
        <v>3933.8172</v>
      </c>
      <c r="BB34" s="2">
        <f>IF($D34&lt;=BB$8,$E34/12*(1+BB$5)+$F34*('Sales &amp; Costs'!AZ$49/2),0)</f>
        <v>3933.8172</v>
      </c>
      <c r="BC34" s="2">
        <f>IF($D34&lt;=BC$8,$E34/12*(1+BC$5)+$F34*('Sales &amp; Costs'!BA$49/2),0)</f>
        <v>3933.8172</v>
      </c>
      <c r="BD34" s="2">
        <f>IF($D34&lt;=BD$8,$E34/12*(1+BD$5)+$F34*('Sales &amp; Costs'!BB$49/2),0)</f>
        <v>3933.8172</v>
      </c>
      <c r="BE34" s="2">
        <f>IF($D34&lt;=BE$8,$E34/12*(1+BE$5)+$F34*('Sales &amp; Costs'!BC$49/2),0)</f>
        <v>3933.8172</v>
      </c>
      <c r="BF34" s="2">
        <f>IF($D34&lt;=BF$8,$E34/12*(1+BF$5)+$F34*('Sales &amp; Costs'!BD$49/2),0)</f>
        <v>3933.8172</v>
      </c>
      <c r="BG34" s="2">
        <f>IF($D34&lt;=BG$8,$E34/12*(1+BG$5)+$F34*('Sales &amp; Costs'!BE$49/2),0)</f>
        <v>3933.8172</v>
      </c>
      <c r="BH34" s="2">
        <f>IF($D34&lt;=BH$8,$E34/12*(1+BH$5)+$F34*('Sales &amp; Costs'!BF$49/2),0)</f>
        <v>3933.8172</v>
      </c>
      <c r="BI34" s="2">
        <f>IF($D34&lt;=BI$8,$E34/12*(1+BI$5)+$F34*('Sales &amp; Costs'!BG$49/2),0)</f>
        <v>3933.8172</v>
      </c>
      <c r="BJ34" s="2">
        <f>IF($D34&lt;=BJ$8,$E34/12*(1+BJ$5)+$F34*('Sales &amp; Costs'!BH$49/2),0)</f>
        <v>4051.8317160000006</v>
      </c>
      <c r="BK34" s="2">
        <f>IF($D34&lt;=BK$8,$E34/12*(1+BK$5)+$F34*('Sales &amp; Costs'!BI$49/2),0)</f>
        <v>4051.8317160000006</v>
      </c>
      <c r="BL34" s="2">
        <f>IF($D34&lt;=BL$8,$E34/12*(1+BL$5)+$F34*('Sales &amp; Costs'!BJ$49/2),0)</f>
        <v>4051.8317160000006</v>
      </c>
      <c r="BM34" s="2">
        <f>IF($D34&lt;=BM$8,$E34/12*(1+BM$5)+$F34*('Sales &amp; Costs'!BK$49/2),0)</f>
        <v>4051.8317160000006</v>
      </c>
      <c r="BN34" s="2">
        <f>IF($D34&lt;=BN$8,$E34/12*(1+BN$5)+$F34*('Sales &amp; Costs'!BL$49/2),0)</f>
        <v>4051.8317160000006</v>
      </c>
      <c r="BO34" s="2">
        <f>IF($D34&lt;=BO$8,$E34/12*(1+BO$5)+$F34*('Sales &amp; Costs'!BM$49/2),0)</f>
        <v>4051.8317160000006</v>
      </c>
      <c r="BP34" s="2">
        <f>IF($D34&lt;=BP$8,$E34/12*(1+BP$5)+$F34*('Sales &amp; Costs'!BN$49/2),0)</f>
        <v>4051.8317160000006</v>
      </c>
      <c r="BQ34" s="2">
        <f>IF($D34&lt;=BQ$8,$E34/12*(1+BQ$5)+$F34*('Sales &amp; Costs'!BO$49/2),0)</f>
        <v>4051.8317160000006</v>
      </c>
      <c r="BR34" s="2">
        <f>IF($D34&lt;=BR$8,$E34/12*(1+BR$5)+$F34*('Sales &amp; Costs'!BP$49/2),0)</f>
        <v>4051.8317160000006</v>
      </c>
      <c r="BS34" s="2">
        <f>IF($D34&lt;=BS$8,$E34/12*(1+BS$5)+$F34*('Sales &amp; Costs'!BQ$49/2),0)</f>
        <v>4051.8317160000006</v>
      </c>
      <c r="BT34" s="2">
        <f>IF($D34&lt;=BT$8,$E34/12*(1+BT$5)+$F34*('Sales &amp; Costs'!BR$49/2),0)</f>
        <v>4051.8317160000006</v>
      </c>
      <c r="BU34" s="2">
        <f>IF($D34&lt;=BU$8,$E34/12*(1+BU$5)+$F34*('Sales &amp; Costs'!BS$49/2),0)</f>
        <v>4051.8317160000006</v>
      </c>
      <c r="BV34" s="2">
        <f>IF($D34&lt;=BV$8,$E34/12*(1+BV$5)+$F34*('Sales &amp; Costs'!BT$49/2),0)</f>
        <v>4173.3866674800001</v>
      </c>
      <c r="BW34" s="2">
        <f>IF($D34&lt;=BW$8,$E34/12*(1+BW$5)+$F34*('Sales &amp; Costs'!BU$49/2),0)</f>
        <v>4173.3866674800001</v>
      </c>
      <c r="BX34" s="2">
        <f>IF($D34&lt;=BX$8,$E34/12*(1+BX$5)+$F34*('Sales &amp; Costs'!BV$49/2),0)</f>
        <v>4173.3866674800001</v>
      </c>
      <c r="BY34" s="2">
        <f>IF($D34&lt;=BY$8,$E34/12*(1+BY$5)+$F34*('Sales &amp; Costs'!BW$49/2),0)</f>
        <v>4173.3866674800001</v>
      </c>
      <c r="BZ34" s="2">
        <f>IF($D34&lt;=BZ$8,$E34/12*(1+BZ$5)+$F34*('Sales &amp; Costs'!BX$49/2),0)</f>
        <v>4173.3866674800001</v>
      </c>
      <c r="CA34" s="2">
        <f>IF($D34&lt;=CA$8,$E34/12*(1+CA$5)+$F34*('Sales &amp; Costs'!BY$49/2),0)</f>
        <v>4173.3866674800001</v>
      </c>
      <c r="CC34" s="2">
        <f t="shared" si="13"/>
        <v>48621.980592000007</v>
      </c>
    </row>
    <row r="35" spans="1:81" ht="15.75" customHeight="1">
      <c r="C35" s="271" t="s">
        <v>391</v>
      </c>
      <c r="D35" s="96">
        <v>40909</v>
      </c>
      <c r="E35" s="95">
        <f>2800*12</f>
        <v>33600</v>
      </c>
      <c r="F35" s="183">
        <v>0</v>
      </c>
      <c r="H35" s="2">
        <f>IF($D35&lt;=H$8,$E35/12*(1+H$5)+$F35*('Sales &amp; Costs'!F$49/2),0)</f>
        <v>0</v>
      </c>
      <c r="I35" s="2">
        <f>IF($D35&lt;=I$8,$E35/12*(1+I$5)+$F35*('Sales &amp; Costs'!G$49/2),0)</f>
        <v>0</v>
      </c>
      <c r="J35" s="2">
        <f>IF($D35&lt;=J$8,$E35/12*(1+J$5)+$F35*('Sales &amp; Costs'!H$49/2),0)</f>
        <v>0</v>
      </c>
      <c r="K35" s="2">
        <f>IF($D35&lt;=K$8,$E35/12*(1+K$5)+$F35*('Sales &amp; Costs'!I$49/2),0)</f>
        <v>0</v>
      </c>
      <c r="L35" s="2">
        <f>IF($D35&lt;=L$8,$E35/12*(1+L$5)+$F35*('Sales &amp; Costs'!J$49/2),0)</f>
        <v>0</v>
      </c>
      <c r="M35" s="2">
        <f>IF($D35&lt;=M$8,$E35/12*(1+M$5)+$F35*('Sales &amp; Costs'!K$49/2),0)</f>
        <v>0</v>
      </c>
      <c r="N35" s="2">
        <f>IF($D35&lt;=N$8,$E35/12*(1+N$5)+$F35*('Sales &amp; Costs'!L$49/2),0)</f>
        <v>0</v>
      </c>
      <c r="O35" s="2">
        <f>IF($D35&lt;=O$8,$E35/12*(1+O$5)+$F35*('Sales &amp; Costs'!M$49/2),0)</f>
        <v>0</v>
      </c>
      <c r="P35" s="2">
        <f>IF($D35&lt;=P$8,$E35/12*(1+P$5)+$F35*('Sales &amp; Costs'!N$49/2),0)</f>
        <v>0</v>
      </c>
      <c r="Q35" s="2">
        <f>IF($D35&lt;=Q$8,$E35/12*(1+Q$5)+$F35*('Sales &amp; Costs'!O$49/2),0)</f>
        <v>0</v>
      </c>
      <c r="R35" s="2">
        <f>IF($D35&lt;=R$8,$E35/12*(1+R$5)+$F35*('Sales &amp; Costs'!P$49/2),0)</f>
        <v>0</v>
      </c>
      <c r="S35" s="2">
        <f>IF($D35&lt;=S$8,$E35/12*(1+S$5)+$F35*('Sales &amp; Costs'!Q$49/2),0)</f>
        <v>0</v>
      </c>
      <c r="T35" s="2">
        <f>IF($D35&lt;=T$8,$E35/12*(1+T$5)+$F35*('Sales &amp; Costs'!R$49/2),0)</f>
        <v>0</v>
      </c>
      <c r="U35" s="2">
        <f>IF($D35&lt;=U$8,$E35/12*(1+U$5)+$F35*('Sales &amp; Costs'!S$49/2),0)</f>
        <v>0</v>
      </c>
      <c r="V35" s="2">
        <f>IF($D35&lt;=V$8,$E35/12*(1+V$5)+$F35*('Sales &amp; Costs'!T$49/2),0)</f>
        <v>0</v>
      </c>
      <c r="W35" s="2">
        <f>IF($D35&lt;=W$8,$E35/12*(1+W$5)+$F35*('Sales &amp; Costs'!U$49/2),0)</f>
        <v>0</v>
      </c>
      <c r="X35" s="2">
        <f>IF($D35&lt;=X$8,$E35/12*(1+X$5)+$F35*('Sales &amp; Costs'!V$49/2),0)</f>
        <v>0</v>
      </c>
      <c r="Y35" s="2">
        <f>IF($D35&lt;=Y$8,$E35/12*(1+Y$5)+$F35*('Sales &amp; Costs'!W$49/2),0)</f>
        <v>0</v>
      </c>
      <c r="Z35" s="2">
        <f>IF($D35&lt;=Z$8,$E35/12*(1+Z$5)+$F35*('Sales &amp; Costs'!X$49/2),0)</f>
        <v>0</v>
      </c>
      <c r="AA35" s="2">
        <f>IF($D35&lt;=AA$8,$E35/12*(1+AA$5)+$F35*('Sales &amp; Costs'!Y$49/2),0)</f>
        <v>0</v>
      </c>
      <c r="AB35" s="2">
        <f>IF($D35&lt;=AB$8,$E35/12*(1+AB$5)+$F35*('Sales &amp; Costs'!Z$49/2),0)</f>
        <v>0</v>
      </c>
      <c r="AC35" s="2">
        <f>IF($D35&lt;=AC$8,$E35/12*(1+AC$5)+$F35*('Sales &amp; Costs'!AA$49/2),0)</f>
        <v>0</v>
      </c>
      <c r="AD35" s="2">
        <f>IF($D35&lt;=AD$8,$E35/12*(1+AD$5)+$F35*('Sales &amp; Costs'!AB$49/2),0)</f>
        <v>0</v>
      </c>
      <c r="AE35" s="2">
        <f>IF($D35&lt;=AE$8,$E35/12*(1+AE$5)+$F35*('Sales &amp; Costs'!AC$49/2),0)</f>
        <v>0</v>
      </c>
      <c r="AF35" s="2">
        <f>IF($D35&lt;=AF$8,$E35/12*(1+AF$5)+$F35*('Sales &amp; Costs'!AD$49/2),0)</f>
        <v>0</v>
      </c>
      <c r="AG35" s="2">
        <f>IF($D35&lt;=AG$8,$E35/12*(1+AG$5)+$F35*('Sales &amp; Costs'!AE$49/2),0)</f>
        <v>0</v>
      </c>
      <c r="AH35" s="2">
        <f>IF($D35&lt;=AH$8,$E35/12*(1+AH$5)+$F35*('Sales &amp; Costs'!AF$49/2),0)</f>
        <v>0</v>
      </c>
      <c r="AI35" s="2">
        <f>IF($D35&lt;=AI$8,$E35/12*(1+AI$5)+$F35*('Sales &amp; Costs'!AG$49/2),0)</f>
        <v>0</v>
      </c>
      <c r="AJ35" s="2">
        <f>IF($D35&lt;=AJ$8,$E35/12*(1+AJ$5)+$F35*('Sales &amp; Costs'!AH$49/2),0)</f>
        <v>0</v>
      </c>
      <c r="AK35" s="2">
        <f>IF($D35&lt;=AK$8,$E35/12*(1+AK$5)+$F35*('Sales &amp; Costs'!AI$49/2),0)</f>
        <v>0</v>
      </c>
      <c r="AL35" s="2">
        <f>IF($D35&lt;=AL$8,$E35/12*(1+AL$5)+$F35*('Sales &amp; Costs'!AJ$49/2),0)</f>
        <v>0</v>
      </c>
      <c r="AM35" s="2">
        <f>IF($D35&lt;=AM$8,$E35/12*(1+AM$5)+$F35*('Sales &amp; Costs'!AK$49/2),0)</f>
        <v>0</v>
      </c>
      <c r="AN35" s="2">
        <f>IF($D35&lt;=AN$8,$E35/12*(1+AN$5)+$F35*('Sales &amp; Costs'!AL$49/2),0)</f>
        <v>0</v>
      </c>
      <c r="AO35" s="2">
        <f>IF($D35&lt;=AO$8,$E35/12*(1+AO$5)+$F35*('Sales &amp; Costs'!AM$49/2),0)</f>
        <v>0</v>
      </c>
      <c r="AP35" s="2">
        <f>IF($D35&lt;=AP$8,$E35/12*(1+AP$5)+$F35*('Sales &amp; Costs'!AN$49/2),0)</f>
        <v>0</v>
      </c>
      <c r="AQ35" s="2">
        <f>IF($D35&lt;=AQ$8,$E35/12*(1+AQ$5)+$F35*('Sales &amp; Costs'!AO$49/2),0)</f>
        <v>0</v>
      </c>
      <c r="AR35" s="2">
        <f>IF($D35&lt;=AR$8,$E35/12*(1+AR$5)+$F35*('Sales &amp; Costs'!AP$49/2),0)</f>
        <v>2970.52</v>
      </c>
      <c r="AS35" s="2">
        <f>IF($D35&lt;=AS$8,$E35/12*(1+AS$5)+$F35*('Sales &amp; Costs'!AQ$49/2),0)</f>
        <v>2970.52</v>
      </c>
      <c r="AT35" s="2">
        <f>IF($D35&lt;=AT$8,$E35/12*(1+AT$5)+$F35*('Sales &amp; Costs'!AR$49/2),0)</f>
        <v>2970.52</v>
      </c>
      <c r="AU35" s="2">
        <f>IF($D35&lt;=AU$8,$E35/12*(1+AU$5)+$F35*('Sales &amp; Costs'!AS$49/2),0)</f>
        <v>2970.52</v>
      </c>
      <c r="AV35" s="2">
        <f>IF($D35&lt;=AV$8,$E35/12*(1+AV$5)+$F35*('Sales &amp; Costs'!AT$49/2),0)</f>
        <v>2970.52</v>
      </c>
      <c r="AW35" s="2">
        <f>IF($D35&lt;=AW$8,$E35/12*(1+AW$5)+$F35*('Sales &amp; Costs'!AU$49/2),0)</f>
        <v>2970.52</v>
      </c>
      <c r="AX35" s="2">
        <f>IF($D35&lt;=AX$8,$E35/12*(1+AX$5)+$F35*('Sales &amp; Costs'!AV$49/2),0)</f>
        <v>3059.6356000000001</v>
      </c>
      <c r="AY35" s="2">
        <f>IF($D35&lt;=AY$8,$E35/12*(1+AY$5)+$F35*('Sales &amp; Costs'!AW$49/2),0)</f>
        <v>3059.6356000000001</v>
      </c>
      <c r="AZ35" s="2">
        <f>IF($D35&lt;=AZ$8,$E35/12*(1+AZ$5)+$F35*('Sales &amp; Costs'!AX$49/2),0)</f>
        <v>3059.6356000000001</v>
      </c>
      <c r="BA35" s="2">
        <f>IF($D35&lt;=BA$8,$E35/12*(1+BA$5)+$F35*('Sales &amp; Costs'!AY$49/2),0)</f>
        <v>3059.6356000000001</v>
      </c>
      <c r="BB35" s="2">
        <f>IF($D35&lt;=BB$8,$E35/12*(1+BB$5)+$F35*('Sales &amp; Costs'!AZ$49/2),0)</f>
        <v>3059.6356000000001</v>
      </c>
      <c r="BC35" s="2">
        <f>IF($D35&lt;=BC$8,$E35/12*(1+BC$5)+$F35*('Sales &amp; Costs'!BA$49/2),0)</f>
        <v>3059.6356000000001</v>
      </c>
      <c r="BD35" s="2">
        <f>IF($D35&lt;=BD$8,$E35/12*(1+BD$5)+$F35*('Sales &amp; Costs'!BB$49/2),0)</f>
        <v>3059.6356000000001</v>
      </c>
      <c r="BE35" s="2">
        <f>IF($D35&lt;=BE$8,$E35/12*(1+BE$5)+$F35*('Sales &amp; Costs'!BC$49/2),0)</f>
        <v>3059.6356000000001</v>
      </c>
      <c r="BF35" s="2">
        <f>IF($D35&lt;=BF$8,$E35/12*(1+BF$5)+$F35*('Sales &amp; Costs'!BD$49/2),0)</f>
        <v>3059.6356000000001</v>
      </c>
      <c r="BG35" s="2">
        <f>IF($D35&lt;=BG$8,$E35/12*(1+BG$5)+$F35*('Sales &amp; Costs'!BE$49/2),0)</f>
        <v>3059.6356000000001</v>
      </c>
      <c r="BH35" s="2">
        <f>IF($D35&lt;=BH$8,$E35/12*(1+BH$5)+$F35*('Sales &amp; Costs'!BF$49/2),0)</f>
        <v>3059.6356000000001</v>
      </c>
      <c r="BI35" s="2">
        <f>IF($D35&lt;=BI$8,$E35/12*(1+BI$5)+$F35*('Sales &amp; Costs'!BG$49/2),0)</f>
        <v>3059.6356000000001</v>
      </c>
      <c r="BJ35" s="2">
        <f>IF($D35&lt;=BJ$8,$E35/12*(1+BJ$5)+$F35*('Sales &amp; Costs'!BH$49/2),0)</f>
        <v>3151.4246680000006</v>
      </c>
      <c r="BK35" s="2">
        <f>IF($D35&lt;=BK$8,$E35/12*(1+BK$5)+$F35*('Sales &amp; Costs'!BI$49/2),0)</f>
        <v>3151.4246680000006</v>
      </c>
      <c r="BL35" s="2">
        <f>IF($D35&lt;=BL$8,$E35/12*(1+BL$5)+$F35*('Sales &amp; Costs'!BJ$49/2),0)</f>
        <v>3151.4246680000006</v>
      </c>
      <c r="BM35" s="2">
        <f>IF($D35&lt;=BM$8,$E35/12*(1+BM$5)+$F35*('Sales &amp; Costs'!BK$49/2),0)</f>
        <v>3151.4246680000006</v>
      </c>
      <c r="BN35" s="2">
        <f>IF($D35&lt;=BN$8,$E35/12*(1+BN$5)+$F35*('Sales &amp; Costs'!BL$49/2),0)</f>
        <v>3151.4246680000006</v>
      </c>
      <c r="BO35" s="2">
        <f>IF($D35&lt;=BO$8,$E35/12*(1+BO$5)+$F35*('Sales &amp; Costs'!BM$49/2),0)</f>
        <v>3151.4246680000006</v>
      </c>
      <c r="BP35" s="2">
        <f>IF($D35&lt;=BP$8,$E35/12*(1+BP$5)+$F35*('Sales &amp; Costs'!BN$49/2),0)</f>
        <v>3151.4246680000006</v>
      </c>
      <c r="BQ35" s="2">
        <f>IF($D35&lt;=BQ$8,$E35/12*(1+BQ$5)+$F35*('Sales &amp; Costs'!BO$49/2),0)</f>
        <v>3151.4246680000006</v>
      </c>
      <c r="BR35" s="2">
        <f>IF($D35&lt;=BR$8,$E35/12*(1+BR$5)+$F35*('Sales &amp; Costs'!BP$49/2),0)</f>
        <v>3151.4246680000006</v>
      </c>
      <c r="BS35" s="2">
        <f>IF($D35&lt;=BS$8,$E35/12*(1+BS$5)+$F35*('Sales &amp; Costs'!BQ$49/2),0)</f>
        <v>3151.4246680000006</v>
      </c>
      <c r="BT35" s="2">
        <f>IF($D35&lt;=BT$8,$E35/12*(1+BT$5)+$F35*('Sales &amp; Costs'!BR$49/2),0)</f>
        <v>3151.4246680000006</v>
      </c>
      <c r="BU35" s="2">
        <f>IF($D35&lt;=BU$8,$E35/12*(1+BU$5)+$F35*('Sales &amp; Costs'!BS$49/2),0)</f>
        <v>3151.4246680000006</v>
      </c>
      <c r="BV35" s="2">
        <f>IF($D35&lt;=BV$8,$E35/12*(1+BV$5)+$F35*('Sales &amp; Costs'!BT$49/2),0)</f>
        <v>3245.96740804</v>
      </c>
      <c r="BW35" s="2">
        <f>IF($D35&lt;=BW$8,$E35/12*(1+BW$5)+$F35*('Sales &amp; Costs'!BU$49/2),0)</f>
        <v>3245.96740804</v>
      </c>
      <c r="BX35" s="2">
        <f>IF($D35&lt;=BX$8,$E35/12*(1+BX$5)+$F35*('Sales &amp; Costs'!BV$49/2),0)</f>
        <v>3245.96740804</v>
      </c>
      <c r="BY35" s="2">
        <f>IF($D35&lt;=BY$8,$E35/12*(1+BY$5)+$F35*('Sales &amp; Costs'!BW$49/2),0)</f>
        <v>3245.96740804</v>
      </c>
      <c r="BZ35" s="2">
        <f>IF($D35&lt;=BZ$8,$E35/12*(1+BZ$5)+$F35*('Sales &amp; Costs'!BX$49/2),0)</f>
        <v>3245.96740804</v>
      </c>
      <c r="CA35" s="2">
        <f>IF($D35&lt;=CA$8,$E35/12*(1+CA$5)+$F35*('Sales &amp; Costs'!BY$49/2),0)</f>
        <v>3245.96740804</v>
      </c>
      <c r="CC35" s="2">
        <f t="shared" si="13"/>
        <v>37817.09601600001</v>
      </c>
    </row>
    <row r="36" spans="1:81" ht="15.75" customHeight="1">
      <c r="C36" s="271" t="s">
        <v>405</v>
      </c>
      <c r="D36" s="96">
        <v>40909</v>
      </c>
      <c r="E36" s="95">
        <f>2800*12</f>
        <v>33600</v>
      </c>
      <c r="F36" s="183">
        <v>0</v>
      </c>
      <c r="H36" s="2">
        <f>IF($D36&lt;=H$8,$E36/12*(1+H$5)+$F36*('Sales &amp; Costs'!F$49/2),0)</f>
        <v>0</v>
      </c>
      <c r="I36" s="2">
        <f>IF($D36&lt;=I$8,$E36/12*(1+I$5)+$F36*('Sales &amp; Costs'!G$49/2),0)</f>
        <v>0</v>
      </c>
      <c r="J36" s="2">
        <f>IF($D36&lt;=J$8,$E36/12*(1+J$5)+$F36*('Sales &amp; Costs'!H$49/2),0)</f>
        <v>0</v>
      </c>
      <c r="K36" s="2">
        <f>IF($D36&lt;=K$8,$E36/12*(1+K$5)+$F36*('Sales &amp; Costs'!I$49/2),0)</f>
        <v>0</v>
      </c>
      <c r="L36" s="2">
        <f>IF($D36&lt;=L$8,$E36/12*(1+L$5)+$F36*('Sales &amp; Costs'!J$49/2),0)</f>
        <v>0</v>
      </c>
      <c r="M36" s="2">
        <f>IF($D36&lt;=M$8,$E36/12*(1+M$5)+$F36*('Sales &amp; Costs'!K$49/2),0)</f>
        <v>0</v>
      </c>
      <c r="N36" s="2">
        <f>IF($D36&lt;=N$8,$E36/12*(1+N$5)+$F36*('Sales &amp; Costs'!L$49/2),0)</f>
        <v>0</v>
      </c>
      <c r="O36" s="2">
        <f>IF($D36&lt;=O$8,$E36/12*(1+O$5)+$F36*('Sales &amp; Costs'!M$49/2),0)</f>
        <v>0</v>
      </c>
      <c r="P36" s="2">
        <f>IF($D36&lt;=P$8,$E36/12*(1+P$5)+$F36*('Sales &amp; Costs'!N$49/2),0)</f>
        <v>0</v>
      </c>
      <c r="Q36" s="2">
        <f>IF($D36&lt;=Q$8,$E36/12*(1+Q$5)+$F36*('Sales &amp; Costs'!O$49/2),0)</f>
        <v>0</v>
      </c>
      <c r="R36" s="2">
        <f>IF($D36&lt;=R$8,$E36/12*(1+R$5)+$F36*('Sales &amp; Costs'!P$49/2),0)</f>
        <v>0</v>
      </c>
      <c r="S36" s="2">
        <f>IF($D36&lt;=S$8,$E36/12*(1+S$5)+$F36*('Sales &amp; Costs'!Q$49/2),0)</f>
        <v>0</v>
      </c>
      <c r="T36" s="2">
        <f>IF($D36&lt;=T$8,$E36/12*(1+T$5)+$F36*('Sales &amp; Costs'!R$49/2),0)</f>
        <v>0</v>
      </c>
      <c r="U36" s="2">
        <f>IF($D36&lt;=U$8,$E36/12*(1+U$5)+$F36*('Sales &amp; Costs'!S$49/2),0)</f>
        <v>0</v>
      </c>
      <c r="V36" s="2">
        <f>IF($D36&lt;=V$8,$E36/12*(1+V$5)+$F36*('Sales &amp; Costs'!T$49/2),0)</f>
        <v>0</v>
      </c>
      <c r="W36" s="2">
        <f>IF($D36&lt;=W$8,$E36/12*(1+W$5)+$F36*('Sales &amp; Costs'!U$49/2),0)</f>
        <v>0</v>
      </c>
      <c r="X36" s="2">
        <f>IF($D36&lt;=X$8,$E36/12*(1+X$5)+$F36*('Sales &amp; Costs'!V$49/2),0)</f>
        <v>0</v>
      </c>
      <c r="Y36" s="2">
        <f>IF($D36&lt;=Y$8,$E36/12*(1+Y$5)+$F36*('Sales &amp; Costs'!W$49/2),0)</f>
        <v>0</v>
      </c>
      <c r="Z36" s="2">
        <f>IF($D36&lt;=Z$8,$E36/12*(1+Z$5)+$F36*('Sales &amp; Costs'!X$49/2),0)</f>
        <v>0</v>
      </c>
      <c r="AA36" s="2">
        <f>IF($D36&lt;=AA$8,$E36/12*(1+AA$5)+$F36*('Sales &amp; Costs'!Y$49/2),0)</f>
        <v>0</v>
      </c>
      <c r="AB36" s="2">
        <f>IF($D36&lt;=AB$8,$E36/12*(1+AB$5)+$F36*('Sales &amp; Costs'!Z$49/2),0)</f>
        <v>0</v>
      </c>
      <c r="AC36" s="2">
        <f>IF($D36&lt;=AC$8,$E36/12*(1+AC$5)+$F36*('Sales &amp; Costs'!AA$49/2),0)</f>
        <v>0</v>
      </c>
      <c r="AD36" s="2">
        <f>IF($D36&lt;=AD$8,$E36/12*(1+AD$5)+$F36*('Sales &amp; Costs'!AB$49/2),0)</f>
        <v>0</v>
      </c>
      <c r="AE36" s="2">
        <f>IF($D36&lt;=AE$8,$E36/12*(1+AE$5)+$F36*('Sales &amp; Costs'!AC$49/2),0)</f>
        <v>0</v>
      </c>
      <c r="AF36" s="2">
        <f>IF($D36&lt;=AF$8,$E36/12*(1+AF$5)+$F36*('Sales &amp; Costs'!AD$49/2),0)</f>
        <v>0</v>
      </c>
      <c r="AG36" s="2">
        <f>IF($D36&lt;=AG$8,$E36/12*(1+AG$5)+$F36*('Sales &amp; Costs'!AE$49/2),0)</f>
        <v>0</v>
      </c>
      <c r="AH36" s="2">
        <f>IF($D36&lt;=AH$8,$E36/12*(1+AH$5)+$F36*('Sales &amp; Costs'!AF$49/2),0)</f>
        <v>0</v>
      </c>
      <c r="AI36" s="2">
        <f>IF($D36&lt;=AI$8,$E36/12*(1+AI$5)+$F36*('Sales &amp; Costs'!AG$49/2),0)</f>
        <v>0</v>
      </c>
      <c r="AJ36" s="2">
        <f>IF($D36&lt;=AJ$8,$E36/12*(1+AJ$5)+$F36*('Sales &amp; Costs'!AH$49/2),0)</f>
        <v>0</v>
      </c>
      <c r="AK36" s="2">
        <f>IF($D36&lt;=AK$8,$E36/12*(1+AK$5)+$F36*('Sales &amp; Costs'!AI$49/2),0)</f>
        <v>0</v>
      </c>
      <c r="AL36" s="2">
        <f>IF($D36&lt;=AL$8,$E36/12*(1+AL$5)+$F36*('Sales &amp; Costs'!AJ$49/2),0)</f>
        <v>0</v>
      </c>
      <c r="AM36" s="2">
        <f>IF($D36&lt;=AM$8,$E36/12*(1+AM$5)+$F36*('Sales &amp; Costs'!AK$49/2),0)</f>
        <v>0</v>
      </c>
      <c r="AN36" s="2">
        <f>IF($D36&lt;=AN$8,$E36/12*(1+AN$5)+$F36*('Sales &amp; Costs'!AL$49/2),0)</f>
        <v>0</v>
      </c>
      <c r="AO36" s="2">
        <f>IF($D36&lt;=AO$8,$E36/12*(1+AO$5)+$F36*('Sales &amp; Costs'!AM$49/2),0)</f>
        <v>0</v>
      </c>
      <c r="AP36" s="2">
        <f>IF($D36&lt;=AP$8,$E36/12*(1+AP$5)+$F36*('Sales &amp; Costs'!AN$49/2),0)</f>
        <v>0</v>
      </c>
      <c r="AQ36" s="2">
        <f>IF($D36&lt;=AQ$8,$E36/12*(1+AQ$5)+$F36*('Sales &amp; Costs'!AO$49/2),0)</f>
        <v>0</v>
      </c>
      <c r="AR36" s="2">
        <f>IF($D36&lt;=AR$8,$E36/12*(1+AR$5)+$F36*('Sales &amp; Costs'!AP$49/2),0)</f>
        <v>2970.52</v>
      </c>
      <c r="AS36" s="2">
        <f>IF($D36&lt;=AS$8,$E36/12*(1+AS$5)+$F36*('Sales &amp; Costs'!AQ$49/2),0)</f>
        <v>2970.52</v>
      </c>
      <c r="AT36" s="2">
        <f>IF($D36&lt;=AT$8,$E36/12*(1+AT$5)+$F36*('Sales &amp; Costs'!AR$49/2),0)</f>
        <v>2970.52</v>
      </c>
      <c r="AU36" s="2">
        <f>IF($D36&lt;=AU$8,$E36/12*(1+AU$5)+$F36*('Sales &amp; Costs'!AS$49/2),0)</f>
        <v>2970.52</v>
      </c>
      <c r="AV36" s="2">
        <f>IF($D36&lt;=AV$8,$E36/12*(1+AV$5)+$F36*('Sales &amp; Costs'!AT$49/2),0)</f>
        <v>2970.52</v>
      </c>
      <c r="AW36" s="2">
        <f>IF($D36&lt;=AW$8,$E36/12*(1+AW$5)+$F36*('Sales &amp; Costs'!AU$49/2),0)</f>
        <v>2970.52</v>
      </c>
      <c r="AX36" s="2">
        <f>IF($D36&lt;=AX$8,$E36/12*(1+AX$5)+$F36*('Sales &amp; Costs'!AV$49/2),0)</f>
        <v>3059.6356000000001</v>
      </c>
      <c r="AY36" s="2">
        <f>IF($D36&lt;=AY$8,$E36/12*(1+AY$5)+$F36*('Sales &amp; Costs'!AW$49/2),0)</f>
        <v>3059.6356000000001</v>
      </c>
      <c r="AZ36" s="2">
        <f>IF($D36&lt;=AZ$8,$E36/12*(1+AZ$5)+$F36*('Sales &amp; Costs'!AX$49/2),0)</f>
        <v>3059.6356000000001</v>
      </c>
      <c r="BA36" s="2">
        <f>IF($D36&lt;=BA$8,$E36/12*(1+BA$5)+$F36*('Sales &amp; Costs'!AY$49/2),0)</f>
        <v>3059.6356000000001</v>
      </c>
      <c r="BB36" s="2">
        <f>IF($D36&lt;=BB$8,$E36/12*(1+BB$5)+$F36*('Sales &amp; Costs'!AZ$49/2),0)</f>
        <v>3059.6356000000001</v>
      </c>
      <c r="BC36" s="2">
        <f>IF($D36&lt;=BC$8,$E36/12*(1+BC$5)+$F36*('Sales &amp; Costs'!BA$49/2),0)</f>
        <v>3059.6356000000001</v>
      </c>
      <c r="BD36" s="2">
        <f>IF($D36&lt;=BD$8,$E36/12*(1+BD$5)+$F36*('Sales &amp; Costs'!BB$49/2),0)</f>
        <v>3059.6356000000001</v>
      </c>
      <c r="BE36" s="2">
        <f>IF($D36&lt;=BE$8,$E36/12*(1+BE$5)+$F36*('Sales &amp; Costs'!BC$49/2),0)</f>
        <v>3059.6356000000001</v>
      </c>
      <c r="BF36" s="2">
        <f>IF($D36&lt;=BF$8,$E36/12*(1+BF$5)+$F36*('Sales &amp; Costs'!BD$49/2),0)</f>
        <v>3059.6356000000001</v>
      </c>
      <c r="BG36" s="2">
        <f>IF($D36&lt;=BG$8,$E36/12*(1+BG$5)+$F36*('Sales &amp; Costs'!BE$49/2),0)</f>
        <v>3059.6356000000001</v>
      </c>
      <c r="BH36" s="2">
        <f>IF($D36&lt;=BH$8,$E36/12*(1+BH$5)+$F36*('Sales &amp; Costs'!BF$49/2),0)</f>
        <v>3059.6356000000001</v>
      </c>
      <c r="BI36" s="2">
        <f>IF($D36&lt;=BI$8,$E36/12*(1+BI$5)+$F36*('Sales &amp; Costs'!BG$49/2),0)</f>
        <v>3059.6356000000001</v>
      </c>
      <c r="BJ36" s="2">
        <f>IF($D36&lt;=BJ$8,$E36/12*(1+BJ$5)+$F36*('Sales &amp; Costs'!BH$49/2),0)</f>
        <v>3151.4246680000006</v>
      </c>
      <c r="BK36" s="2">
        <f>IF($D36&lt;=BK$8,$E36/12*(1+BK$5)+$F36*('Sales &amp; Costs'!BI$49/2),0)</f>
        <v>3151.4246680000006</v>
      </c>
      <c r="BL36" s="2">
        <f>IF($D36&lt;=BL$8,$E36/12*(1+BL$5)+$F36*('Sales &amp; Costs'!BJ$49/2),0)</f>
        <v>3151.4246680000006</v>
      </c>
      <c r="BM36" s="2">
        <f>IF($D36&lt;=BM$8,$E36/12*(1+BM$5)+$F36*('Sales &amp; Costs'!BK$49/2),0)</f>
        <v>3151.4246680000006</v>
      </c>
      <c r="BN36" s="2">
        <f>IF($D36&lt;=BN$8,$E36/12*(1+BN$5)+$F36*('Sales &amp; Costs'!BL$49/2),0)</f>
        <v>3151.4246680000006</v>
      </c>
      <c r="BO36" s="2">
        <f>IF($D36&lt;=BO$8,$E36/12*(1+BO$5)+$F36*('Sales &amp; Costs'!BM$49/2),0)</f>
        <v>3151.4246680000006</v>
      </c>
      <c r="BP36" s="2">
        <f>IF($D36&lt;=BP$8,$E36/12*(1+BP$5)+$F36*('Sales &amp; Costs'!BN$49/2),0)</f>
        <v>3151.4246680000006</v>
      </c>
      <c r="BQ36" s="2">
        <f>IF($D36&lt;=BQ$8,$E36/12*(1+BQ$5)+$F36*('Sales &amp; Costs'!BO$49/2),0)</f>
        <v>3151.4246680000006</v>
      </c>
      <c r="BR36" s="2">
        <f>IF($D36&lt;=BR$8,$E36/12*(1+BR$5)+$F36*('Sales &amp; Costs'!BP$49/2),0)</f>
        <v>3151.4246680000006</v>
      </c>
      <c r="BS36" s="2">
        <f>IF($D36&lt;=BS$8,$E36/12*(1+BS$5)+$F36*('Sales &amp; Costs'!BQ$49/2),0)</f>
        <v>3151.4246680000006</v>
      </c>
      <c r="BT36" s="2">
        <f>IF($D36&lt;=BT$8,$E36/12*(1+BT$5)+$F36*('Sales &amp; Costs'!BR$49/2),0)</f>
        <v>3151.4246680000006</v>
      </c>
      <c r="BU36" s="2">
        <f>IF($D36&lt;=BU$8,$E36/12*(1+BU$5)+$F36*('Sales &amp; Costs'!BS$49/2),0)</f>
        <v>3151.4246680000006</v>
      </c>
      <c r="BV36" s="2">
        <f>IF($D36&lt;=BV$8,$E36/12*(1+BV$5)+$F36*('Sales &amp; Costs'!BT$49/2),0)</f>
        <v>3245.96740804</v>
      </c>
      <c r="BW36" s="2">
        <f>IF($D36&lt;=BW$8,$E36/12*(1+BW$5)+$F36*('Sales &amp; Costs'!BU$49/2),0)</f>
        <v>3245.96740804</v>
      </c>
      <c r="BX36" s="2">
        <f>IF($D36&lt;=BX$8,$E36/12*(1+BX$5)+$F36*('Sales &amp; Costs'!BV$49/2),0)</f>
        <v>3245.96740804</v>
      </c>
      <c r="BY36" s="2">
        <f>IF($D36&lt;=BY$8,$E36/12*(1+BY$5)+$F36*('Sales &amp; Costs'!BW$49/2),0)</f>
        <v>3245.96740804</v>
      </c>
      <c r="BZ36" s="2">
        <f>IF($D36&lt;=BZ$8,$E36/12*(1+BZ$5)+$F36*('Sales &amp; Costs'!BX$49/2),0)</f>
        <v>3245.96740804</v>
      </c>
      <c r="CA36" s="2">
        <f>IF($D36&lt;=CA$8,$E36/12*(1+CA$5)+$F36*('Sales &amp; Costs'!BY$49/2),0)</f>
        <v>3245.96740804</v>
      </c>
      <c r="CC36" s="2">
        <f t="shared" si="13"/>
        <v>37817.09601600001</v>
      </c>
    </row>
    <row r="37" spans="1:81" ht="15.75" customHeight="1">
      <c r="C37" s="271" t="s">
        <v>388</v>
      </c>
      <c r="D37" s="96">
        <v>41091</v>
      </c>
      <c r="E37" s="95">
        <f>2800*12</f>
        <v>33600</v>
      </c>
      <c r="F37" s="183">
        <v>0</v>
      </c>
      <c r="H37" s="2">
        <f>IF($D37&lt;=H$8,$E37/12*(1+H$5)+$F37*('Sales &amp; Costs'!F$49/2),0)</f>
        <v>0</v>
      </c>
      <c r="I37" s="2">
        <f>IF($D37&lt;=I$8,$E37/12*(1+I$5)+$F37*('Sales &amp; Costs'!G$49/2),0)</f>
        <v>0</v>
      </c>
      <c r="J37" s="2">
        <f>IF($D37&lt;=J$8,$E37/12*(1+J$5)+$F37*('Sales &amp; Costs'!H$49/2),0)</f>
        <v>0</v>
      </c>
      <c r="K37" s="2">
        <f>IF($D37&lt;=K$8,$E37/12*(1+K$5)+$F37*('Sales &amp; Costs'!I$49/2),0)</f>
        <v>0</v>
      </c>
      <c r="L37" s="2">
        <f>IF($D37&lt;=L$8,$E37/12*(1+L$5)+$F37*('Sales &amp; Costs'!J$49/2),0)</f>
        <v>0</v>
      </c>
      <c r="M37" s="2">
        <f>IF($D37&lt;=M$8,$E37/12*(1+M$5)+$F37*('Sales &amp; Costs'!K$49/2),0)</f>
        <v>0</v>
      </c>
      <c r="N37" s="2">
        <f>IF($D37&lt;=N$8,$E37/12*(1+N$5)+$F37*('Sales &amp; Costs'!L$49/2),0)</f>
        <v>0</v>
      </c>
      <c r="O37" s="2">
        <f>IF($D37&lt;=O$8,$E37/12*(1+O$5)+$F37*('Sales &amp; Costs'!M$49/2),0)</f>
        <v>0</v>
      </c>
      <c r="P37" s="2">
        <f>IF($D37&lt;=P$8,$E37/12*(1+P$5)+$F37*('Sales &amp; Costs'!N$49/2),0)</f>
        <v>0</v>
      </c>
      <c r="Q37" s="2">
        <f>IF($D37&lt;=Q$8,$E37/12*(1+Q$5)+$F37*('Sales &amp; Costs'!O$49/2),0)</f>
        <v>0</v>
      </c>
      <c r="R37" s="2">
        <f>IF($D37&lt;=R$8,$E37/12*(1+R$5)+$F37*('Sales &amp; Costs'!P$49/2),0)</f>
        <v>0</v>
      </c>
      <c r="S37" s="2">
        <f>IF($D37&lt;=S$8,$E37/12*(1+S$5)+$F37*('Sales &amp; Costs'!Q$49/2),0)</f>
        <v>0</v>
      </c>
      <c r="T37" s="2">
        <f>IF($D37&lt;=T$8,$E37/12*(1+T$5)+$F37*('Sales &amp; Costs'!R$49/2),0)</f>
        <v>0</v>
      </c>
      <c r="U37" s="2">
        <f>IF($D37&lt;=U$8,$E37/12*(1+U$5)+$F37*('Sales &amp; Costs'!S$49/2),0)</f>
        <v>0</v>
      </c>
      <c r="V37" s="2">
        <f>IF($D37&lt;=V$8,$E37/12*(1+V$5)+$F37*('Sales &amp; Costs'!T$49/2),0)</f>
        <v>0</v>
      </c>
      <c r="W37" s="2">
        <f>IF($D37&lt;=W$8,$E37/12*(1+W$5)+$F37*('Sales &amp; Costs'!U$49/2),0)</f>
        <v>0</v>
      </c>
      <c r="X37" s="2">
        <f>IF($D37&lt;=X$8,$E37/12*(1+X$5)+$F37*('Sales &amp; Costs'!V$49/2),0)</f>
        <v>0</v>
      </c>
      <c r="Y37" s="2">
        <f>IF($D37&lt;=Y$8,$E37/12*(1+Y$5)+$F37*('Sales &amp; Costs'!W$49/2),0)</f>
        <v>0</v>
      </c>
      <c r="Z37" s="2">
        <f>IF($D37&lt;=Z$8,$E37/12*(1+Z$5)+$F37*('Sales &amp; Costs'!X$49/2),0)</f>
        <v>0</v>
      </c>
      <c r="AA37" s="2">
        <f>IF($D37&lt;=AA$8,$E37/12*(1+AA$5)+$F37*('Sales &amp; Costs'!Y$49/2),0)</f>
        <v>0</v>
      </c>
      <c r="AB37" s="2">
        <f>IF($D37&lt;=AB$8,$E37/12*(1+AB$5)+$F37*('Sales &amp; Costs'!Z$49/2),0)</f>
        <v>0</v>
      </c>
      <c r="AC37" s="2">
        <f>IF($D37&lt;=AC$8,$E37/12*(1+AC$5)+$F37*('Sales &amp; Costs'!AA$49/2),0)</f>
        <v>0</v>
      </c>
      <c r="AD37" s="2">
        <f>IF($D37&lt;=AD$8,$E37/12*(1+AD$5)+$F37*('Sales &amp; Costs'!AB$49/2),0)</f>
        <v>0</v>
      </c>
      <c r="AE37" s="2">
        <f>IF($D37&lt;=AE$8,$E37/12*(1+AE$5)+$F37*('Sales &amp; Costs'!AC$49/2),0)</f>
        <v>0</v>
      </c>
      <c r="AF37" s="2">
        <f>IF($D37&lt;=AF$8,$E37/12*(1+AF$5)+$F37*('Sales &amp; Costs'!AD$49/2),0)</f>
        <v>0</v>
      </c>
      <c r="AG37" s="2">
        <f>IF($D37&lt;=AG$8,$E37/12*(1+AG$5)+$F37*('Sales &amp; Costs'!AE$49/2),0)</f>
        <v>0</v>
      </c>
      <c r="AH37" s="2">
        <f>IF($D37&lt;=AH$8,$E37/12*(1+AH$5)+$F37*('Sales &amp; Costs'!AF$49/2),0)</f>
        <v>0</v>
      </c>
      <c r="AI37" s="2">
        <f>IF($D37&lt;=AI$8,$E37/12*(1+AI$5)+$F37*('Sales &amp; Costs'!AG$49/2),0)</f>
        <v>0</v>
      </c>
      <c r="AJ37" s="2">
        <f>IF($D37&lt;=AJ$8,$E37/12*(1+AJ$5)+$F37*('Sales &amp; Costs'!AH$49/2),0)</f>
        <v>0</v>
      </c>
      <c r="AK37" s="2">
        <f>IF($D37&lt;=AK$8,$E37/12*(1+AK$5)+$F37*('Sales &amp; Costs'!AI$49/2),0)</f>
        <v>0</v>
      </c>
      <c r="AL37" s="2">
        <f>IF($D37&lt;=AL$8,$E37/12*(1+AL$5)+$F37*('Sales &amp; Costs'!AJ$49/2),0)</f>
        <v>0</v>
      </c>
      <c r="AM37" s="2">
        <f>IF($D37&lt;=AM$8,$E37/12*(1+AM$5)+$F37*('Sales &amp; Costs'!AK$49/2),0)</f>
        <v>0</v>
      </c>
      <c r="AN37" s="2">
        <f>IF($D37&lt;=AN$8,$E37/12*(1+AN$5)+$F37*('Sales &amp; Costs'!AL$49/2),0)</f>
        <v>0</v>
      </c>
      <c r="AO37" s="2">
        <f>IF($D37&lt;=AO$8,$E37/12*(1+AO$5)+$F37*('Sales &amp; Costs'!AM$49/2),0)</f>
        <v>0</v>
      </c>
      <c r="AP37" s="2">
        <f>IF($D37&lt;=AP$8,$E37/12*(1+AP$5)+$F37*('Sales &amp; Costs'!AN$49/2),0)</f>
        <v>0</v>
      </c>
      <c r="AQ37" s="2">
        <f>IF($D37&lt;=AQ$8,$E37/12*(1+AQ$5)+$F37*('Sales &amp; Costs'!AO$49/2),0)</f>
        <v>0</v>
      </c>
      <c r="AR37" s="2">
        <f>IF($D37&lt;=AR$8,$E37/12*(1+AR$5)+$F37*('Sales &amp; Costs'!AP$49/2),0)</f>
        <v>0</v>
      </c>
      <c r="AS37" s="2">
        <f>IF($D37&lt;=AS$8,$E37/12*(1+AS$5)+$F37*('Sales &amp; Costs'!AQ$49/2),0)</f>
        <v>0</v>
      </c>
      <c r="AT37" s="2">
        <f>IF($D37&lt;=AT$8,$E37/12*(1+AT$5)+$F37*('Sales &amp; Costs'!AR$49/2),0)</f>
        <v>0</v>
      </c>
      <c r="AU37" s="2">
        <f>IF($D37&lt;=AU$8,$E37/12*(1+AU$5)+$F37*('Sales &amp; Costs'!AS$49/2),0)</f>
        <v>0</v>
      </c>
      <c r="AV37" s="2">
        <f>IF($D37&lt;=AV$8,$E37/12*(1+AV$5)+$F37*('Sales &amp; Costs'!AT$49/2),0)</f>
        <v>0</v>
      </c>
      <c r="AW37" s="2">
        <f>IF($D37&lt;=AW$8,$E37/12*(1+AW$5)+$F37*('Sales &amp; Costs'!AU$49/2),0)</f>
        <v>0</v>
      </c>
      <c r="AX37" s="2">
        <f>IF($D37&lt;=AX$8,$E37/12*(1+AX$5)+$F37*('Sales &amp; Costs'!AV$49/2),0)</f>
        <v>3059.6356000000001</v>
      </c>
      <c r="AY37" s="2">
        <f>IF($D37&lt;=AY$8,$E37/12*(1+AY$5)+$F37*('Sales &amp; Costs'!AW$49/2),0)</f>
        <v>3059.6356000000001</v>
      </c>
      <c r="AZ37" s="2">
        <f>IF($D37&lt;=AZ$8,$E37/12*(1+AZ$5)+$F37*('Sales &amp; Costs'!AX$49/2),0)</f>
        <v>3059.6356000000001</v>
      </c>
      <c r="BA37" s="2">
        <f>IF($D37&lt;=BA$8,$E37/12*(1+BA$5)+$F37*('Sales &amp; Costs'!AY$49/2),0)</f>
        <v>3059.6356000000001</v>
      </c>
      <c r="BB37" s="2">
        <f>IF($D37&lt;=BB$8,$E37/12*(1+BB$5)+$F37*('Sales &amp; Costs'!AZ$49/2),0)</f>
        <v>3059.6356000000001</v>
      </c>
      <c r="BC37" s="2">
        <f>IF($D37&lt;=BC$8,$E37/12*(1+BC$5)+$F37*('Sales &amp; Costs'!BA$49/2),0)</f>
        <v>3059.6356000000001</v>
      </c>
      <c r="BD37" s="2">
        <f>IF($D37&lt;=BD$8,$E37/12*(1+BD$5)+$F37*('Sales &amp; Costs'!BB$49/2),0)</f>
        <v>3059.6356000000001</v>
      </c>
      <c r="BE37" s="2">
        <f>IF($D37&lt;=BE$8,$E37/12*(1+BE$5)+$F37*('Sales &amp; Costs'!BC$49/2),0)</f>
        <v>3059.6356000000001</v>
      </c>
      <c r="BF37" s="2">
        <f>IF($D37&lt;=BF$8,$E37/12*(1+BF$5)+$F37*('Sales &amp; Costs'!BD$49/2),0)</f>
        <v>3059.6356000000001</v>
      </c>
      <c r="BG37" s="2">
        <f>IF($D37&lt;=BG$8,$E37/12*(1+BG$5)+$F37*('Sales &amp; Costs'!BE$49/2),0)</f>
        <v>3059.6356000000001</v>
      </c>
      <c r="BH37" s="2">
        <f>IF($D37&lt;=BH$8,$E37/12*(1+BH$5)+$F37*('Sales &amp; Costs'!BF$49/2),0)</f>
        <v>3059.6356000000001</v>
      </c>
      <c r="BI37" s="2">
        <f>IF($D37&lt;=BI$8,$E37/12*(1+BI$5)+$F37*('Sales &amp; Costs'!BG$49/2),0)</f>
        <v>3059.6356000000001</v>
      </c>
      <c r="BJ37" s="2">
        <f>IF($D37&lt;=BJ$8,$E37/12*(1+BJ$5)+$F37*('Sales &amp; Costs'!BH$49/2),0)</f>
        <v>3151.4246680000006</v>
      </c>
      <c r="BK37" s="2">
        <f>IF($D37&lt;=BK$8,$E37/12*(1+BK$5)+$F37*('Sales &amp; Costs'!BI$49/2),0)</f>
        <v>3151.4246680000006</v>
      </c>
      <c r="BL37" s="2">
        <f>IF($D37&lt;=BL$8,$E37/12*(1+BL$5)+$F37*('Sales &amp; Costs'!BJ$49/2),0)</f>
        <v>3151.4246680000006</v>
      </c>
      <c r="BM37" s="2">
        <f>IF($D37&lt;=BM$8,$E37/12*(1+BM$5)+$F37*('Sales &amp; Costs'!BK$49/2),0)</f>
        <v>3151.4246680000006</v>
      </c>
      <c r="BN37" s="2">
        <f>IF($D37&lt;=BN$8,$E37/12*(1+BN$5)+$F37*('Sales &amp; Costs'!BL$49/2),0)</f>
        <v>3151.4246680000006</v>
      </c>
      <c r="BO37" s="2">
        <f>IF($D37&lt;=BO$8,$E37/12*(1+BO$5)+$F37*('Sales &amp; Costs'!BM$49/2),0)</f>
        <v>3151.4246680000006</v>
      </c>
      <c r="BP37" s="2">
        <f>IF($D37&lt;=BP$8,$E37/12*(1+BP$5)+$F37*('Sales &amp; Costs'!BN$49/2),0)</f>
        <v>3151.4246680000006</v>
      </c>
      <c r="BQ37" s="2">
        <f>IF($D37&lt;=BQ$8,$E37/12*(1+BQ$5)+$F37*('Sales &amp; Costs'!BO$49/2),0)</f>
        <v>3151.4246680000006</v>
      </c>
      <c r="BR37" s="2">
        <f>IF($D37&lt;=BR$8,$E37/12*(1+BR$5)+$F37*('Sales &amp; Costs'!BP$49/2),0)</f>
        <v>3151.4246680000006</v>
      </c>
      <c r="BS37" s="2">
        <f>IF($D37&lt;=BS$8,$E37/12*(1+BS$5)+$F37*('Sales &amp; Costs'!BQ$49/2),0)</f>
        <v>3151.4246680000006</v>
      </c>
      <c r="BT37" s="2">
        <f>IF($D37&lt;=BT$8,$E37/12*(1+BT$5)+$F37*('Sales &amp; Costs'!BR$49/2),0)</f>
        <v>3151.4246680000006</v>
      </c>
      <c r="BU37" s="2">
        <f>IF($D37&lt;=BU$8,$E37/12*(1+BU$5)+$F37*('Sales &amp; Costs'!BS$49/2),0)</f>
        <v>3151.4246680000006</v>
      </c>
      <c r="BV37" s="2">
        <f>IF($D37&lt;=BV$8,$E37/12*(1+BV$5)+$F37*('Sales &amp; Costs'!BT$49/2),0)</f>
        <v>3245.96740804</v>
      </c>
      <c r="BW37" s="2">
        <f>IF($D37&lt;=BW$8,$E37/12*(1+BW$5)+$F37*('Sales &amp; Costs'!BU$49/2),0)</f>
        <v>3245.96740804</v>
      </c>
      <c r="BX37" s="2">
        <f>IF($D37&lt;=BX$8,$E37/12*(1+BX$5)+$F37*('Sales &amp; Costs'!BV$49/2),0)</f>
        <v>3245.96740804</v>
      </c>
      <c r="BY37" s="2">
        <f>IF($D37&lt;=BY$8,$E37/12*(1+BY$5)+$F37*('Sales &amp; Costs'!BW$49/2),0)</f>
        <v>3245.96740804</v>
      </c>
      <c r="BZ37" s="2">
        <f>IF($D37&lt;=BZ$8,$E37/12*(1+BZ$5)+$F37*('Sales &amp; Costs'!BX$49/2),0)</f>
        <v>3245.96740804</v>
      </c>
      <c r="CA37" s="2">
        <f>IF($D37&lt;=CA$8,$E37/12*(1+CA$5)+$F37*('Sales &amp; Costs'!BY$49/2),0)</f>
        <v>3245.96740804</v>
      </c>
      <c r="CC37" s="2">
        <f t="shared" si="13"/>
        <v>37817.09601600001</v>
      </c>
    </row>
    <row r="38" spans="1:81" ht="15.75" customHeight="1">
      <c r="C38" s="271" t="s">
        <v>373</v>
      </c>
      <c r="D38" s="96">
        <v>41153</v>
      </c>
      <c r="E38" s="95">
        <f>4000*12</f>
        <v>48000</v>
      </c>
      <c r="F38" s="183">
        <v>2.0000000000000001E-4</v>
      </c>
      <c r="H38" s="2">
        <f>IF($D38&lt;=H$8,$E38/12*(1+H$5)+$F38*('Sales &amp; Costs'!F$49/2),0)</f>
        <v>0</v>
      </c>
      <c r="I38" s="2">
        <f>IF($D38&lt;=I$8,$E38/12*(1+I$5)+$F38*('Sales &amp; Costs'!G$49/2),0)</f>
        <v>0</v>
      </c>
      <c r="J38" s="2">
        <f>IF($D38&lt;=J$8,$E38/12*(1+J$5)+$F38*('Sales &amp; Costs'!H$49/2),0)</f>
        <v>0</v>
      </c>
      <c r="K38" s="2">
        <f>IF($D38&lt;=K$8,$E38/12*(1+K$5)+$F38*('Sales &amp; Costs'!I$49/2),0)</f>
        <v>0</v>
      </c>
      <c r="L38" s="2">
        <f>IF($D38&lt;=L$8,$E38/12*(1+L$5)+$F38*('Sales &amp; Costs'!J$49/2),0)</f>
        <v>0</v>
      </c>
      <c r="M38" s="2">
        <f>IF($D38&lt;=M$8,$E38/12*(1+M$5)+$F38*('Sales &amp; Costs'!K$49/2),0)</f>
        <v>0</v>
      </c>
      <c r="N38" s="2">
        <f>IF($D38&lt;=N$8,$E38/12*(1+N$5)+$F38*('Sales &amp; Costs'!L$49/2),0)</f>
        <v>0</v>
      </c>
      <c r="O38" s="2">
        <f>IF($D38&lt;=O$8,$E38/12*(1+O$5)+$F38*('Sales &amp; Costs'!M$49/2),0)</f>
        <v>0</v>
      </c>
      <c r="P38" s="2">
        <f>IF($D38&lt;=P$8,$E38/12*(1+P$5)+$F38*('Sales &amp; Costs'!N$49/2),0)</f>
        <v>0</v>
      </c>
      <c r="Q38" s="2">
        <f>IF($D38&lt;=Q$8,$E38/12*(1+Q$5)+$F38*('Sales &amp; Costs'!O$49/2),0)</f>
        <v>0</v>
      </c>
      <c r="R38" s="2">
        <f>IF($D38&lt;=R$8,$E38/12*(1+R$5)+$F38*('Sales &amp; Costs'!P$49/2),0)</f>
        <v>0</v>
      </c>
      <c r="S38" s="2">
        <f>IF($D38&lt;=S$8,$E38/12*(1+S$5)+$F38*('Sales &amp; Costs'!Q$49/2),0)</f>
        <v>0</v>
      </c>
      <c r="T38" s="2">
        <f>IF($D38&lt;=T$8,$E38/12*(1+T$5)+$F38*('Sales &amp; Costs'!R$49/2),0)</f>
        <v>0</v>
      </c>
      <c r="U38" s="2">
        <f>IF($D38&lt;=U$8,$E38/12*(1+U$5)+$F38*('Sales &amp; Costs'!S$49/2),0)</f>
        <v>0</v>
      </c>
      <c r="V38" s="2">
        <f>IF($D38&lt;=V$8,$E38/12*(1+V$5)+$F38*('Sales &amp; Costs'!T$49/2),0)</f>
        <v>0</v>
      </c>
      <c r="W38" s="2">
        <f>IF($D38&lt;=W$8,$E38/12*(1+W$5)+$F38*('Sales &amp; Costs'!U$49/2),0)</f>
        <v>0</v>
      </c>
      <c r="X38" s="2">
        <f>IF($D38&lt;=X$8,$E38/12*(1+X$5)+$F38*('Sales &amp; Costs'!V$49/2),0)</f>
        <v>0</v>
      </c>
      <c r="Y38" s="2">
        <f>IF($D38&lt;=Y$8,$E38/12*(1+Y$5)+$F38*('Sales &amp; Costs'!W$49/2),0)</f>
        <v>0</v>
      </c>
      <c r="Z38" s="2">
        <f>IF($D38&lt;=Z$8,$E38/12*(1+Z$5)+$F38*('Sales &amp; Costs'!X$49/2),0)</f>
        <v>0</v>
      </c>
      <c r="AA38" s="2">
        <f>IF($D38&lt;=AA$8,$E38/12*(1+AA$5)+$F38*('Sales &amp; Costs'!Y$49/2),0)</f>
        <v>0</v>
      </c>
      <c r="AB38" s="2">
        <f>IF($D38&lt;=AB$8,$E38/12*(1+AB$5)+$F38*('Sales &amp; Costs'!Z$49/2),0)</f>
        <v>0</v>
      </c>
      <c r="AC38" s="2">
        <f>IF($D38&lt;=AC$8,$E38/12*(1+AC$5)+$F38*('Sales &amp; Costs'!AA$49/2),0)</f>
        <v>0</v>
      </c>
      <c r="AD38" s="2">
        <f>IF($D38&lt;=AD$8,$E38/12*(1+AD$5)+$F38*('Sales &amp; Costs'!AB$49/2),0)</f>
        <v>0</v>
      </c>
      <c r="AE38" s="2">
        <f>IF($D38&lt;=AE$8,$E38/12*(1+AE$5)+$F38*('Sales &amp; Costs'!AC$49/2),0)</f>
        <v>0</v>
      </c>
      <c r="AF38" s="2">
        <f>IF($D38&lt;=AF$8,$E38/12*(1+AF$5)+$F38*('Sales &amp; Costs'!AD$49/2),0)</f>
        <v>0</v>
      </c>
      <c r="AG38" s="2">
        <f>IF($D38&lt;=AG$8,$E38/12*(1+AG$5)+$F38*('Sales &amp; Costs'!AE$49/2),0)</f>
        <v>0</v>
      </c>
      <c r="AH38" s="2">
        <f>IF($D38&lt;=AH$8,$E38/12*(1+AH$5)+$F38*('Sales &amp; Costs'!AF$49/2),0)</f>
        <v>0</v>
      </c>
      <c r="AI38" s="2">
        <f>IF($D38&lt;=AI$8,$E38/12*(1+AI$5)+$F38*('Sales &amp; Costs'!AG$49/2),0)</f>
        <v>0</v>
      </c>
      <c r="AJ38" s="2">
        <f>IF($D38&lt;=AJ$8,$E38/12*(1+AJ$5)+$F38*('Sales &amp; Costs'!AH$49/2),0)</f>
        <v>0</v>
      </c>
      <c r="AK38" s="2">
        <f>IF($D38&lt;=AK$8,$E38/12*(1+AK$5)+$F38*('Sales &amp; Costs'!AI$49/2),0)</f>
        <v>0</v>
      </c>
      <c r="AL38" s="2">
        <f>IF($D38&lt;=AL$8,$E38/12*(1+AL$5)+$F38*('Sales &amp; Costs'!AJ$49/2),0)</f>
        <v>0</v>
      </c>
      <c r="AM38" s="2">
        <f>IF($D38&lt;=AM$8,$E38/12*(1+AM$5)+$F38*('Sales &amp; Costs'!AK$49/2),0)</f>
        <v>0</v>
      </c>
      <c r="AN38" s="2">
        <f>IF($D38&lt;=AN$8,$E38/12*(1+AN$5)+$F38*('Sales &amp; Costs'!AL$49/2),0)</f>
        <v>0</v>
      </c>
      <c r="AO38" s="2">
        <f>IF($D38&lt;=AO$8,$E38/12*(1+AO$5)+$F38*('Sales &amp; Costs'!AM$49/2),0)</f>
        <v>0</v>
      </c>
      <c r="AP38" s="2">
        <f>IF($D38&lt;=AP$8,$E38/12*(1+AP$5)+$F38*('Sales &amp; Costs'!AN$49/2),0)</f>
        <v>0</v>
      </c>
      <c r="AQ38" s="2">
        <f>IF($D38&lt;=AQ$8,$E38/12*(1+AQ$5)+$F38*('Sales &amp; Costs'!AO$49/2),0)</f>
        <v>0</v>
      </c>
      <c r="AR38" s="2">
        <f>IF($D38&lt;=AR$8,$E38/12*(1+AR$5)+$F38*('Sales &amp; Costs'!AP$49/2),0)</f>
        <v>0</v>
      </c>
      <c r="AS38" s="2">
        <f>IF($D38&lt;=AS$8,$E38/12*(1+AS$5)+$F38*('Sales &amp; Costs'!AQ$49/2),0)</f>
        <v>0</v>
      </c>
      <c r="AT38" s="2">
        <f>IF($D38&lt;=AT$8,$E38/12*(1+AT$5)+$F38*('Sales &amp; Costs'!AR$49/2),0)</f>
        <v>0</v>
      </c>
      <c r="AU38" s="2">
        <f>IF($D38&lt;=AU$8,$E38/12*(1+AU$5)+$F38*('Sales &amp; Costs'!AS$49/2),0)</f>
        <v>0</v>
      </c>
      <c r="AV38" s="2">
        <f>IF($D38&lt;=AV$8,$E38/12*(1+AV$5)+$F38*('Sales &amp; Costs'!AT$49/2),0)</f>
        <v>0</v>
      </c>
      <c r="AW38" s="2">
        <f>IF($D38&lt;=AW$8,$E38/12*(1+AW$5)+$F38*('Sales &amp; Costs'!AU$49/2),0)</f>
        <v>0</v>
      </c>
      <c r="AX38" s="2">
        <f>IF($D38&lt;=AX$8,$E38/12*(1+AX$5)+$F38*('Sales &amp; Costs'!AV$49/2),0)</f>
        <v>0</v>
      </c>
      <c r="AY38" s="2">
        <f>IF($D38&lt;=AY$8,$E38/12*(1+AY$5)+$F38*('Sales &amp; Costs'!AW$49/2),0)</f>
        <v>0</v>
      </c>
      <c r="AZ38" s="2">
        <f>IF($D38&lt;=AZ$8,$E38/12*(1+AZ$5)+$F38*('Sales &amp; Costs'!AX$49/2),0)</f>
        <v>4384.1695800000007</v>
      </c>
      <c r="BA38" s="2">
        <f>IF($D38&lt;=BA$8,$E38/12*(1+BA$5)+$F38*('Sales &amp; Costs'!AY$49/2),0)</f>
        <v>4386.1201900000005</v>
      </c>
      <c r="BB38" s="2">
        <f>IF($D38&lt;=BB$8,$E38/12*(1+BB$5)+$F38*('Sales &amp; Costs'!AZ$49/2),0)</f>
        <v>4388.4613500000005</v>
      </c>
      <c r="BC38" s="2">
        <f>IF($D38&lt;=BC$8,$E38/12*(1+BC$5)+$F38*('Sales &amp; Costs'!BA$49/2),0)</f>
        <v>4391.1930600000005</v>
      </c>
      <c r="BD38" s="2">
        <f>IF($D38&lt;=BD$8,$E38/12*(1+BD$5)+$F38*('Sales &amp; Costs'!BB$49/2),0)</f>
        <v>4393.1447400000006</v>
      </c>
      <c r="BE38" s="2">
        <f>IF($D38&lt;=BE$8,$E38/12*(1+BE$5)+$F38*('Sales &amp; Costs'!BC$49/2),0)</f>
        <v>4395.87752</v>
      </c>
      <c r="BF38" s="2">
        <f>IF($D38&lt;=BF$8,$E38/12*(1+BF$5)+$F38*('Sales &amp; Costs'!BD$49/2),0)</f>
        <v>4398.2197500000002</v>
      </c>
      <c r="BG38" s="2">
        <f>IF($D38&lt;=BG$8,$E38/12*(1+BG$5)+$F38*('Sales &amp; Costs'!BE$49/2),0)</f>
        <v>4402.5125900000003</v>
      </c>
      <c r="BH38" s="2">
        <f>IF($D38&lt;=BH$8,$E38/12*(1+BH$5)+$F38*('Sales &amp; Costs'!BF$49/2),0)</f>
        <v>4404.8537500000002</v>
      </c>
      <c r="BI38" s="2">
        <f>IF($D38&lt;=BI$8,$E38/12*(1+BI$5)+$F38*('Sales &amp; Costs'!BG$49/2),0)</f>
        <v>4407.1949100000002</v>
      </c>
      <c r="BJ38" s="2">
        <f>IF($D38&lt;=BJ$8,$E38/12*(1+BJ$5)+$F38*('Sales &amp; Costs'!BH$49/2),0)</f>
        <v>4540.6633099999999</v>
      </c>
      <c r="BK38" s="2">
        <f>IF($D38&lt;=BK$8,$E38/12*(1+BK$5)+$F38*('Sales &amp; Costs'!BI$49/2),0)</f>
        <v>4542.4191799999999</v>
      </c>
      <c r="BL38" s="2">
        <f>IF($D38&lt;=BL$8,$E38/12*(1+BL$5)+$F38*('Sales &amp; Costs'!BJ$49/2),0)</f>
        <v>4544.1750499999998</v>
      </c>
      <c r="BM38" s="2">
        <f>IF($D38&lt;=BM$8,$E38/12*(1+BM$5)+$F38*('Sales &amp; Costs'!BK$49/2),0)</f>
        <v>4545.9309199999998</v>
      </c>
      <c r="BN38" s="2">
        <f>IF($D38&lt;=BN$8,$E38/12*(1+BN$5)+$F38*('Sales &amp; Costs'!BL$49/2),0)</f>
        <v>4547.6867899999997</v>
      </c>
      <c r="BO38" s="2">
        <f>IF($D38&lt;=BO$8,$E38/12*(1+BO$5)+$F38*('Sales &amp; Costs'!BM$49/2),0)</f>
        <v>4548.8573699999997</v>
      </c>
      <c r="BP38" s="2">
        <f>IF($D38&lt;=BP$8,$E38/12*(1+BP$5)+$F38*('Sales &amp; Costs'!BN$49/2),0)</f>
        <v>4550.0279500000006</v>
      </c>
      <c r="BQ38" s="2">
        <f>IF($D38&lt;=BQ$8,$E38/12*(1+BQ$5)+$F38*('Sales &amp; Costs'!BO$49/2),0)</f>
        <v>4551.1985300000006</v>
      </c>
      <c r="BR38" s="2">
        <f>IF($D38&lt;=BR$8,$E38/12*(1+BR$5)+$F38*('Sales &amp; Costs'!BP$49/2),0)</f>
        <v>4552.3691100000005</v>
      </c>
      <c r="BS38" s="2">
        <f>IF($D38&lt;=BS$8,$E38/12*(1+BS$5)+$F38*('Sales &amp; Costs'!BQ$49/2),0)</f>
        <v>4553.5396900000005</v>
      </c>
      <c r="BT38" s="2">
        <f>IF($D38&lt;=BT$8,$E38/12*(1+BT$5)+$F38*('Sales &amp; Costs'!BR$49/2),0)</f>
        <v>4554.7102700000005</v>
      </c>
      <c r="BU38" s="2">
        <f>IF($D38&lt;=BU$8,$E38/12*(1+BU$5)+$F38*('Sales &amp; Costs'!BS$49/2),0)</f>
        <v>4555.8808500000005</v>
      </c>
      <c r="BV38" s="2">
        <f>IF($D38&lt;=BV$8,$E38/12*(1+BV$5)+$F38*('Sales &amp; Costs'!BT$49/2),0)</f>
        <v>4691.7613132000006</v>
      </c>
      <c r="BW38" s="2">
        <f>IF($D38&lt;=BW$8,$E38/12*(1+BW$5)+$F38*('Sales &amp; Costs'!BU$49/2),0)</f>
        <v>4692.6977772000009</v>
      </c>
      <c r="BX38" s="2">
        <f>IF($D38&lt;=BX$8,$E38/12*(1+BX$5)+$F38*('Sales &amp; Costs'!BV$49/2),0)</f>
        <v>4693.2830672000009</v>
      </c>
      <c r="BY38" s="2">
        <f>IF($D38&lt;=BY$8,$E38/12*(1+BY$5)+$F38*('Sales &amp; Costs'!BW$49/2),0)</f>
        <v>4693.8683572000009</v>
      </c>
      <c r="BZ38" s="2">
        <f>IF($D38&lt;=BZ$8,$E38/12*(1+BZ$5)+$F38*('Sales &amp; Costs'!BX$49/2),0)</f>
        <v>4694.4536472000009</v>
      </c>
      <c r="CA38" s="2">
        <f>IF($D38&lt;=CA$8,$E38/12*(1+CA$5)+$F38*('Sales &amp; Costs'!BY$49/2),0)</f>
        <v>4695.0389372000009</v>
      </c>
      <c r="CC38" s="2">
        <f t="shared" si="13"/>
        <v>54586.288439999997</v>
      </c>
    </row>
    <row r="39" spans="1:81" ht="15.75" customHeight="1">
      <c r="C39" s="271"/>
      <c r="D39" s="96"/>
      <c r="E39" s="95"/>
      <c r="F39" s="18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C39" s="2"/>
    </row>
    <row r="40" spans="1:81" ht="15.75" customHeight="1">
      <c r="C40" s="271"/>
      <c r="D40" s="96"/>
      <c r="E40" s="97"/>
      <c r="F40" s="95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C40" s="2"/>
    </row>
    <row r="41" spans="1:81" s="265" customFormat="1" ht="15.75" customHeight="1">
      <c r="A41" s="267"/>
      <c r="B41" s="275" t="s">
        <v>376</v>
      </c>
      <c r="C41" s="276"/>
      <c r="E41" s="266"/>
      <c r="F41" s="266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7"/>
      <c r="U41" s="277"/>
      <c r="V41" s="277"/>
      <c r="W41" s="277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77"/>
      <c r="AK41" s="277"/>
      <c r="AL41" s="277"/>
      <c r="AM41" s="277"/>
      <c r="AN41" s="277"/>
      <c r="AO41" s="277"/>
      <c r="AP41" s="277"/>
      <c r="AQ41" s="277"/>
      <c r="AR41" s="277"/>
      <c r="AS41" s="277"/>
      <c r="AT41" s="277"/>
      <c r="AU41" s="277"/>
      <c r="AV41" s="277"/>
      <c r="AW41" s="277"/>
      <c r="AX41" s="277"/>
      <c r="AY41" s="277"/>
      <c r="AZ41" s="277"/>
      <c r="BA41" s="277"/>
      <c r="BB41" s="277"/>
      <c r="BC41" s="277"/>
      <c r="BD41" s="277"/>
      <c r="BE41" s="277"/>
      <c r="BF41" s="277"/>
      <c r="BG41" s="277"/>
      <c r="BH41" s="277"/>
      <c r="BI41" s="277"/>
      <c r="BJ41" s="277"/>
      <c r="BK41" s="277"/>
      <c r="BL41" s="277"/>
      <c r="BM41" s="277"/>
      <c r="BN41" s="277"/>
      <c r="BO41" s="277"/>
      <c r="BP41" s="277"/>
      <c r="BQ41" s="277"/>
      <c r="BR41" s="277"/>
      <c r="BS41" s="277"/>
      <c r="BT41" s="277"/>
      <c r="BU41" s="277"/>
      <c r="BV41" s="277"/>
      <c r="BW41" s="277"/>
      <c r="BX41" s="277"/>
      <c r="BY41" s="277"/>
      <c r="BZ41" s="277"/>
      <c r="CA41" s="277"/>
      <c r="CC41" s="277"/>
    </row>
    <row r="42" spans="1:81" s="278" customFormat="1" ht="15.75" customHeight="1">
      <c r="A42" s="268"/>
      <c r="B42" s="275"/>
      <c r="C42" s="268" t="s">
        <v>367</v>
      </c>
      <c r="E42" s="279"/>
      <c r="F42" s="279"/>
      <c r="G42" s="280"/>
      <c r="H42" s="281">
        <f>COUNTIF(H45:H52,"&gt;0")</f>
        <v>0</v>
      </c>
      <c r="I42" s="281">
        <f t="shared" ref="I42:BO42" si="14">COUNTIF(I45:I52,"&gt;0")</f>
        <v>0</v>
      </c>
      <c r="J42" s="281">
        <f t="shared" si="14"/>
        <v>0</v>
      </c>
      <c r="K42" s="281">
        <f t="shared" si="14"/>
        <v>0</v>
      </c>
      <c r="L42" s="281">
        <f t="shared" si="14"/>
        <v>0</v>
      </c>
      <c r="M42" s="281">
        <f t="shared" si="14"/>
        <v>0</v>
      </c>
      <c r="N42" s="281">
        <f t="shared" si="14"/>
        <v>0</v>
      </c>
      <c r="O42" s="281">
        <f t="shared" si="14"/>
        <v>0</v>
      </c>
      <c r="P42" s="281">
        <f t="shared" si="14"/>
        <v>0</v>
      </c>
      <c r="Q42" s="281">
        <f t="shared" si="14"/>
        <v>0</v>
      </c>
      <c r="R42" s="281">
        <f t="shared" si="14"/>
        <v>0</v>
      </c>
      <c r="S42" s="281">
        <f t="shared" si="14"/>
        <v>0</v>
      </c>
      <c r="T42" s="281">
        <f t="shared" si="14"/>
        <v>0</v>
      </c>
      <c r="U42" s="281">
        <f t="shared" si="14"/>
        <v>0</v>
      </c>
      <c r="V42" s="281">
        <f t="shared" si="14"/>
        <v>0</v>
      </c>
      <c r="W42" s="281">
        <f t="shared" si="14"/>
        <v>0</v>
      </c>
      <c r="X42" s="281">
        <f t="shared" si="14"/>
        <v>0</v>
      </c>
      <c r="Y42" s="281">
        <f t="shared" si="14"/>
        <v>0</v>
      </c>
      <c r="Z42" s="281">
        <f t="shared" si="14"/>
        <v>0</v>
      </c>
      <c r="AA42" s="281">
        <f t="shared" si="14"/>
        <v>0</v>
      </c>
      <c r="AB42" s="281">
        <f t="shared" si="14"/>
        <v>1</v>
      </c>
      <c r="AC42" s="281">
        <f t="shared" si="14"/>
        <v>2</v>
      </c>
      <c r="AD42" s="281">
        <f t="shared" si="14"/>
        <v>2</v>
      </c>
      <c r="AE42" s="281">
        <f t="shared" si="14"/>
        <v>2</v>
      </c>
      <c r="AF42" s="281">
        <f t="shared" si="14"/>
        <v>3</v>
      </c>
      <c r="AG42" s="281">
        <f t="shared" si="14"/>
        <v>3</v>
      </c>
      <c r="AH42" s="281">
        <f t="shared" si="14"/>
        <v>3</v>
      </c>
      <c r="AI42" s="281">
        <f t="shared" si="14"/>
        <v>3</v>
      </c>
      <c r="AJ42" s="281">
        <f t="shared" si="14"/>
        <v>3</v>
      </c>
      <c r="AK42" s="281">
        <f t="shared" si="14"/>
        <v>4</v>
      </c>
      <c r="AL42" s="281">
        <f t="shared" si="14"/>
        <v>4</v>
      </c>
      <c r="AM42" s="281">
        <f t="shared" si="14"/>
        <v>4</v>
      </c>
      <c r="AN42" s="281">
        <f t="shared" si="14"/>
        <v>6</v>
      </c>
      <c r="AO42" s="281">
        <f t="shared" si="14"/>
        <v>6</v>
      </c>
      <c r="AP42" s="281">
        <f t="shared" si="14"/>
        <v>6</v>
      </c>
      <c r="AQ42" s="281">
        <f t="shared" si="14"/>
        <v>6</v>
      </c>
      <c r="AR42" s="281">
        <f t="shared" si="14"/>
        <v>6</v>
      </c>
      <c r="AS42" s="281">
        <f t="shared" si="14"/>
        <v>6</v>
      </c>
      <c r="AT42" s="281">
        <f t="shared" si="14"/>
        <v>6</v>
      </c>
      <c r="AU42" s="281">
        <f t="shared" si="14"/>
        <v>6</v>
      </c>
      <c r="AV42" s="281">
        <f t="shared" si="14"/>
        <v>6</v>
      </c>
      <c r="AW42" s="281">
        <f t="shared" si="14"/>
        <v>6</v>
      </c>
      <c r="AX42" s="281">
        <f t="shared" si="14"/>
        <v>6</v>
      </c>
      <c r="AY42" s="281">
        <f t="shared" si="14"/>
        <v>6</v>
      </c>
      <c r="AZ42" s="281">
        <f t="shared" si="14"/>
        <v>6</v>
      </c>
      <c r="BA42" s="281">
        <f t="shared" si="14"/>
        <v>6</v>
      </c>
      <c r="BB42" s="281">
        <f t="shared" si="14"/>
        <v>7</v>
      </c>
      <c r="BC42" s="281">
        <f t="shared" si="14"/>
        <v>7</v>
      </c>
      <c r="BD42" s="281">
        <f t="shared" si="14"/>
        <v>7</v>
      </c>
      <c r="BE42" s="281">
        <f t="shared" si="14"/>
        <v>7</v>
      </c>
      <c r="BF42" s="281">
        <f t="shared" si="14"/>
        <v>7</v>
      </c>
      <c r="BG42" s="281">
        <f t="shared" si="14"/>
        <v>7</v>
      </c>
      <c r="BH42" s="281">
        <f t="shared" si="14"/>
        <v>7</v>
      </c>
      <c r="BI42" s="281">
        <f t="shared" si="14"/>
        <v>7</v>
      </c>
      <c r="BJ42" s="281">
        <f t="shared" si="14"/>
        <v>7</v>
      </c>
      <c r="BK42" s="281">
        <f t="shared" si="14"/>
        <v>7</v>
      </c>
      <c r="BL42" s="281">
        <f t="shared" si="14"/>
        <v>7</v>
      </c>
      <c r="BM42" s="281">
        <f t="shared" si="14"/>
        <v>7</v>
      </c>
      <c r="BN42" s="281">
        <f t="shared" si="14"/>
        <v>7</v>
      </c>
      <c r="BO42" s="281">
        <f t="shared" si="14"/>
        <v>7</v>
      </c>
      <c r="BP42" s="281">
        <f t="shared" ref="BP42:CA42" si="15">COUNTIF(BP45:BP52,"&gt;0")</f>
        <v>7</v>
      </c>
      <c r="BQ42" s="281">
        <f t="shared" si="15"/>
        <v>7</v>
      </c>
      <c r="BR42" s="281">
        <f t="shared" si="15"/>
        <v>7</v>
      </c>
      <c r="BS42" s="281">
        <f t="shared" si="15"/>
        <v>7</v>
      </c>
      <c r="BT42" s="281">
        <f t="shared" si="15"/>
        <v>7</v>
      </c>
      <c r="BU42" s="281">
        <f t="shared" si="15"/>
        <v>7</v>
      </c>
      <c r="BV42" s="281">
        <f t="shared" si="15"/>
        <v>7</v>
      </c>
      <c r="BW42" s="281">
        <f t="shared" si="15"/>
        <v>7</v>
      </c>
      <c r="BX42" s="281">
        <f t="shared" si="15"/>
        <v>7</v>
      </c>
      <c r="BY42" s="281">
        <f t="shared" si="15"/>
        <v>7</v>
      </c>
      <c r="BZ42" s="281">
        <f t="shared" si="15"/>
        <v>7</v>
      </c>
      <c r="CA42" s="281">
        <f t="shared" si="15"/>
        <v>7</v>
      </c>
      <c r="CC42" s="280"/>
    </row>
    <row r="43" spans="1:81" s="278" customFormat="1" ht="15.75" customHeight="1">
      <c r="A43" s="268"/>
      <c r="B43" s="275"/>
      <c r="C43" s="268" t="s">
        <v>368</v>
      </c>
      <c r="E43" s="279"/>
      <c r="F43" s="279"/>
      <c r="G43" s="280"/>
      <c r="H43" s="281">
        <f>SUM(H45:H52)</f>
        <v>0</v>
      </c>
      <c r="I43" s="281">
        <f t="shared" ref="I43:BO43" si="16">SUM(I45:I52)</f>
        <v>0</v>
      </c>
      <c r="J43" s="281">
        <f t="shared" si="16"/>
        <v>0</v>
      </c>
      <c r="K43" s="281">
        <f t="shared" si="16"/>
        <v>0</v>
      </c>
      <c r="L43" s="281">
        <f t="shared" si="16"/>
        <v>0</v>
      </c>
      <c r="M43" s="281">
        <f t="shared" si="16"/>
        <v>0</v>
      </c>
      <c r="N43" s="281">
        <f t="shared" si="16"/>
        <v>0</v>
      </c>
      <c r="O43" s="281">
        <f t="shared" si="16"/>
        <v>0</v>
      </c>
      <c r="P43" s="281">
        <f t="shared" si="16"/>
        <v>0</v>
      </c>
      <c r="Q43" s="281">
        <f t="shared" si="16"/>
        <v>0</v>
      </c>
      <c r="R43" s="281">
        <f t="shared" si="16"/>
        <v>0</v>
      </c>
      <c r="S43" s="281">
        <f t="shared" si="16"/>
        <v>0</v>
      </c>
      <c r="T43" s="281">
        <f t="shared" si="16"/>
        <v>0</v>
      </c>
      <c r="U43" s="281">
        <f t="shared" si="16"/>
        <v>0</v>
      </c>
      <c r="V43" s="281">
        <f t="shared" si="16"/>
        <v>0</v>
      </c>
      <c r="W43" s="281">
        <f t="shared" si="16"/>
        <v>0</v>
      </c>
      <c r="X43" s="281">
        <f t="shared" si="16"/>
        <v>0</v>
      </c>
      <c r="Y43" s="281">
        <f t="shared" si="16"/>
        <v>0</v>
      </c>
      <c r="Z43" s="281">
        <f t="shared" si="16"/>
        <v>0</v>
      </c>
      <c r="AA43" s="281">
        <f t="shared" si="16"/>
        <v>0</v>
      </c>
      <c r="AB43" s="281">
        <f t="shared" si="16"/>
        <v>4120</v>
      </c>
      <c r="AC43" s="281">
        <f t="shared" si="16"/>
        <v>7725</v>
      </c>
      <c r="AD43" s="281">
        <f t="shared" si="16"/>
        <v>7725</v>
      </c>
      <c r="AE43" s="281">
        <f t="shared" si="16"/>
        <v>7725</v>
      </c>
      <c r="AF43" s="281">
        <f t="shared" si="16"/>
        <v>11330</v>
      </c>
      <c r="AG43" s="281">
        <f t="shared" si="16"/>
        <v>11330</v>
      </c>
      <c r="AH43" s="281">
        <f t="shared" si="16"/>
        <v>11330</v>
      </c>
      <c r="AI43" s="281">
        <f t="shared" si="16"/>
        <v>11330</v>
      </c>
      <c r="AJ43" s="281">
        <f t="shared" si="16"/>
        <v>11330</v>
      </c>
      <c r="AK43" s="281">
        <f t="shared" si="16"/>
        <v>14420</v>
      </c>
      <c r="AL43" s="281">
        <f t="shared" si="16"/>
        <v>14852.599999999999</v>
      </c>
      <c r="AM43" s="281">
        <f t="shared" si="16"/>
        <v>14852.599999999999</v>
      </c>
      <c r="AN43" s="281">
        <f t="shared" si="16"/>
        <v>21642.359999999997</v>
      </c>
      <c r="AO43" s="281">
        <f t="shared" si="16"/>
        <v>21642.359999999997</v>
      </c>
      <c r="AP43" s="281">
        <f t="shared" si="16"/>
        <v>21642.359999999997</v>
      </c>
      <c r="AQ43" s="281">
        <f t="shared" si="16"/>
        <v>21642.359999999997</v>
      </c>
      <c r="AR43" s="281">
        <f t="shared" si="16"/>
        <v>21642.359999999997</v>
      </c>
      <c r="AS43" s="281">
        <f t="shared" si="16"/>
        <v>21642.359999999997</v>
      </c>
      <c r="AT43" s="281">
        <f t="shared" si="16"/>
        <v>21642.359999999997</v>
      </c>
      <c r="AU43" s="281">
        <f t="shared" si="16"/>
        <v>21642.359999999997</v>
      </c>
      <c r="AV43" s="281">
        <f t="shared" si="16"/>
        <v>21642.359999999997</v>
      </c>
      <c r="AW43" s="281">
        <f t="shared" si="16"/>
        <v>21642.359999999997</v>
      </c>
      <c r="AX43" s="281">
        <f t="shared" si="16"/>
        <v>22291.630799999999</v>
      </c>
      <c r="AY43" s="281">
        <f t="shared" si="16"/>
        <v>22291.630799999999</v>
      </c>
      <c r="AZ43" s="281">
        <f t="shared" si="16"/>
        <v>22291.630799999999</v>
      </c>
      <c r="BA43" s="281">
        <f t="shared" si="16"/>
        <v>22291.630799999999</v>
      </c>
      <c r="BB43" s="281">
        <f t="shared" si="16"/>
        <v>25569.811799999999</v>
      </c>
      <c r="BC43" s="281">
        <f t="shared" si="16"/>
        <v>25569.811799999999</v>
      </c>
      <c r="BD43" s="281">
        <f t="shared" si="16"/>
        <v>25569.811799999999</v>
      </c>
      <c r="BE43" s="281">
        <f t="shared" si="16"/>
        <v>25569.811799999999</v>
      </c>
      <c r="BF43" s="281">
        <f t="shared" si="16"/>
        <v>25569.811799999999</v>
      </c>
      <c r="BG43" s="281">
        <f t="shared" si="16"/>
        <v>25569.811799999999</v>
      </c>
      <c r="BH43" s="281">
        <f t="shared" si="16"/>
        <v>25569.811799999999</v>
      </c>
      <c r="BI43" s="281">
        <f t="shared" si="16"/>
        <v>25569.811799999999</v>
      </c>
      <c r="BJ43" s="281">
        <f t="shared" si="16"/>
        <v>26336.906154000004</v>
      </c>
      <c r="BK43" s="281">
        <f t="shared" si="16"/>
        <v>26336.906154000004</v>
      </c>
      <c r="BL43" s="281">
        <f t="shared" si="16"/>
        <v>26336.906154000004</v>
      </c>
      <c r="BM43" s="281">
        <f t="shared" si="16"/>
        <v>26336.906154000004</v>
      </c>
      <c r="BN43" s="281">
        <f t="shared" si="16"/>
        <v>26336.906154000004</v>
      </c>
      <c r="BO43" s="281">
        <f t="shared" si="16"/>
        <v>26336.906154000004</v>
      </c>
      <c r="BP43" s="281">
        <f t="shared" ref="BP43:CA43" si="17">SUM(BP45:BP52)</f>
        <v>26336.906154000004</v>
      </c>
      <c r="BQ43" s="281">
        <f t="shared" si="17"/>
        <v>26336.906154000004</v>
      </c>
      <c r="BR43" s="281">
        <f t="shared" si="17"/>
        <v>26336.906154000004</v>
      </c>
      <c r="BS43" s="281">
        <f t="shared" si="17"/>
        <v>26336.906154000004</v>
      </c>
      <c r="BT43" s="281">
        <f t="shared" si="17"/>
        <v>26336.906154000004</v>
      </c>
      <c r="BU43" s="281">
        <f t="shared" si="17"/>
        <v>26336.906154000004</v>
      </c>
      <c r="BV43" s="281">
        <f t="shared" si="17"/>
        <v>27127.013338620007</v>
      </c>
      <c r="BW43" s="281">
        <f t="shared" si="17"/>
        <v>27127.013338620007</v>
      </c>
      <c r="BX43" s="281">
        <f t="shared" si="17"/>
        <v>27127.013338620007</v>
      </c>
      <c r="BY43" s="281">
        <f t="shared" si="17"/>
        <v>27127.013338620007</v>
      </c>
      <c r="BZ43" s="281">
        <f t="shared" si="17"/>
        <v>27127.013338620007</v>
      </c>
      <c r="CA43" s="281">
        <f t="shared" si="17"/>
        <v>27127.013338620007</v>
      </c>
      <c r="CC43" s="280"/>
    </row>
    <row r="44" spans="1:81" ht="15.75" customHeight="1">
      <c r="B44" s="202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C44" s="5"/>
    </row>
    <row r="45" spans="1:81" ht="15.75" customHeight="1">
      <c r="B45" s="263"/>
      <c r="C45" s="270" t="s">
        <v>407</v>
      </c>
      <c r="D45" s="96">
        <v>40452</v>
      </c>
      <c r="E45" s="95">
        <f>3500*12</f>
        <v>42000</v>
      </c>
      <c r="F45" s="183">
        <v>0</v>
      </c>
      <c r="G45" s="4"/>
      <c r="H45" s="2">
        <f>IF($D45&lt;=H$8,$E45/12*(1+H$5)+$F45*('Sales &amp; Costs'!F$49/2),0)</f>
        <v>0</v>
      </c>
      <c r="I45" s="2">
        <f>IF($D45&lt;=I$8,$E45/12*(1+I$5)+$F45*('Sales &amp; Costs'!G$49/2),0)</f>
        <v>0</v>
      </c>
      <c r="J45" s="2">
        <f>IF($D45&lt;=J$8,$E45/12*(1+J$5)+$F45*('Sales &amp; Costs'!H$49/2),0)</f>
        <v>0</v>
      </c>
      <c r="K45" s="2">
        <f>IF($D45&lt;=K$8,$E45/12*(1+K$5)+$F45*('Sales &amp; Costs'!I$49/2),0)</f>
        <v>0</v>
      </c>
      <c r="L45" s="2">
        <f>IF($D45&lt;=L$8,$E45/12*(1+L$5)+$F45*('Sales &amp; Costs'!J$49/2),0)</f>
        <v>0</v>
      </c>
      <c r="M45" s="2">
        <f>IF($D45&lt;=M$8,$E45/12*(1+M$5)+$F45*('Sales &amp; Costs'!K$49/2),0)</f>
        <v>0</v>
      </c>
      <c r="N45" s="2">
        <f>IF($D45&lt;=N$8,$E45/12*(1+N$5)+$F45*('Sales &amp; Costs'!L$49/2),0)</f>
        <v>0</v>
      </c>
      <c r="O45" s="2">
        <f>IF($D45&lt;=O$8,$E45/12*(1+O$5)+$F45*('Sales &amp; Costs'!M$49/2),0)</f>
        <v>0</v>
      </c>
      <c r="P45" s="2">
        <f>IF($D45&lt;=P$8,$E45/12*(1+P$5)+$F45*('Sales &amp; Costs'!N$49/2),0)</f>
        <v>0</v>
      </c>
      <c r="Q45" s="2">
        <f>IF($D45&lt;=Q$8,$E45/12*(1+Q$5)+$F45*('Sales &amp; Costs'!O$49/2),0)</f>
        <v>0</v>
      </c>
      <c r="R45" s="2">
        <f>IF($D45&lt;=R$8,$E45/12*(1+R$5)+$F45*('Sales &amp; Costs'!P$49/2),0)</f>
        <v>0</v>
      </c>
      <c r="S45" s="2">
        <f>IF($D45&lt;=S$8,$E45/12*(1+S$5)+$F45*('Sales &amp; Costs'!Q$49/2),0)</f>
        <v>0</v>
      </c>
      <c r="T45" s="2">
        <f>IF($D45&lt;=T$8,$E45/12*(1+T$5)+$F45*('Sales &amp; Costs'!R$49/2),0)</f>
        <v>0</v>
      </c>
      <c r="U45" s="2">
        <f>IF($D45&lt;=U$8,$E45/12*(1+U$5)+$F45*('Sales &amp; Costs'!S$49/2),0)</f>
        <v>0</v>
      </c>
      <c r="V45" s="2">
        <f>IF($D45&lt;=V$8,$E45/12*(1+V$5)+$F45*('Sales &amp; Costs'!T$49/2),0)</f>
        <v>0</v>
      </c>
      <c r="W45" s="2">
        <f>IF($D45&lt;=W$8,$E45/12*(1+W$5)+$F45*('Sales &amp; Costs'!U$49/2),0)</f>
        <v>0</v>
      </c>
      <c r="X45" s="2">
        <f>IF($D45&lt;=X$8,$E45/12*(1+X$5)+$F45*('Sales &amp; Costs'!V$49/2),0)</f>
        <v>0</v>
      </c>
      <c r="Y45" s="2">
        <f>IF($D45&lt;=Y$8,$E45/12*(1+Y$5)+$F45*('Sales &amp; Costs'!W$49/2),0)</f>
        <v>0</v>
      </c>
      <c r="Z45" s="2">
        <f>IF($D45&lt;=Z$8,$E45/12*(1+Z$5)+$F45*('Sales &amp; Costs'!X$49/2),0)</f>
        <v>0</v>
      </c>
      <c r="AA45" s="2">
        <f>IF($D45&lt;=AA$8,$E45/12*(1+AA$5)+$F45*('Sales &amp; Costs'!Y$49/2),0)</f>
        <v>0</v>
      </c>
      <c r="AB45" s="2">
        <f>IF($D45&lt;=AB$8,$E45/12*(1+AB$5)+$F45*('Sales &amp; Costs'!Z$49/2),0)</f>
        <v>0</v>
      </c>
      <c r="AC45" s="2">
        <f>IF($D45&lt;=AC$8,$E45/12*(1+AC$5)+$F45*('Sales &amp; Costs'!AA$49/2),0)</f>
        <v>3605</v>
      </c>
      <c r="AD45" s="2">
        <f>IF($D45&lt;=AD$8,$E45/12*(1+AD$5)+$F45*('Sales &amp; Costs'!AB$49/2),0)</f>
        <v>3605</v>
      </c>
      <c r="AE45" s="2">
        <f>IF($D45&lt;=AE$8,$E45/12*(1+AE$5)+$F45*('Sales &amp; Costs'!AC$49/2),0)</f>
        <v>3605</v>
      </c>
      <c r="AF45" s="2">
        <f>IF($D45&lt;=AF$8,$E45/12*(1+AF$5)+$F45*('Sales &amp; Costs'!AD$49/2),0)</f>
        <v>3605</v>
      </c>
      <c r="AG45" s="2">
        <f>IF($D45&lt;=AG$8,$E45/12*(1+AG$5)+$F45*('Sales &amp; Costs'!AE$49/2),0)</f>
        <v>3605</v>
      </c>
      <c r="AH45" s="2">
        <f>IF($D45&lt;=AH$8,$E45/12*(1+AH$5)+$F45*('Sales &amp; Costs'!AF$49/2),0)</f>
        <v>3605</v>
      </c>
      <c r="AI45" s="2">
        <f>IF($D45&lt;=AI$8,$E45/12*(1+AI$5)+$F45*('Sales &amp; Costs'!AG$49/2),0)</f>
        <v>3605</v>
      </c>
      <c r="AJ45" s="2">
        <f>IF($D45&lt;=AJ$8,$E45/12*(1+AJ$5)+$F45*('Sales &amp; Costs'!AH$49/2),0)</f>
        <v>3605</v>
      </c>
      <c r="AK45" s="2">
        <f>IF($D45&lt;=AK$8,$E45/12*(1+AK$5)+$F45*('Sales &amp; Costs'!AI$49/2),0)</f>
        <v>3605</v>
      </c>
      <c r="AL45" s="2">
        <f>IF($D45&lt;=AL$8,$E45/12*(1+AL$5)+$F45*('Sales &amp; Costs'!AJ$49/2),0)</f>
        <v>3713.1499999999996</v>
      </c>
      <c r="AM45" s="2">
        <f>IF($D45&lt;=AM$8,$E45/12*(1+AM$5)+$F45*('Sales &amp; Costs'!AK$49/2),0)</f>
        <v>3713.1499999999996</v>
      </c>
      <c r="AN45" s="2">
        <f>IF($D45&lt;=AN$8,$E45/12*(1+AN$5)+$F45*('Sales &amp; Costs'!AL$49/2),0)</f>
        <v>3713.1499999999996</v>
      </c>
      <c r="AO45" s="2">
        <f>IF($D45&lt;=AO$8,$E45/12*(1+AO$5)+$F45*('Sales &amp; Costs'!AM$49/2),0)</f>
        <v>3713.1499999999996</v>
      </c>
      <c r="AP45" s="2">
        <f>IF($D45&lt;=AP$8,$E45/12*(1+AP$5)+$F45*('Sales &amp; Costs'!AN$49/2),0)</f>
        <v>3713.1499999999996</v>
      </c>
      <c r="AQ45" s="2">
        <f>IF($D45&lt;=AQ$8,$E45/12*(1+AQ$5)+$F45*('Sales &amp; Costs'!AO$49/2),0)</f>
        <v>3713.1499999999996</v>
      </c>
      <c r="AR45" s="2">
        <f>IF($D45&lt;=AR$8,$E45/12*(1+AR$5)+$F45*('Sales &amp; Costs'!AP$49/2),0)</f>
        <v>3713.1499999999996</v>
      </c>
      <c r="AS45" s="2">
        <f>IF($D45&lt;=AS$8,$E45/12*(1+AS$5)+$F45*('Sales &amp; Costs'!AQ$49/2),0)</f>
        <v>3713.1499999999996</v>
      </c>
      <c r="AT45" s="2">
        <f>IF($D45&lt;=AT$8,$E45/12*(1+AT$5)+$F45*('Sales &amp; Costs'!AR$49/2),0)</f>
        <v>3713.1499999999996</v>
      </c>
      <c r="AU45" s="2">
        <f>IF($D45&lt;=AU$8,$E45/12*(1+AU$5)+$F45*('Sales &amp; Costs'!AS$49/2),0)</f>
        <v>3713.1499999999996</v>
      </c>
      <c r="AV45" s="2">
        <f>IF($D45&lt;=AV$8,$E45/12*(1+AV$5)+$F45*('Sales &amp; Costs'!AT$49/2),0)</f>
        <v>3713.1499999999996</v>
      </c>
      <c r="AW45" s="2">
        <f>IF($D45&lt;=AW$8,$E45/12*(1+AW$5)+$F45*('Sales &amp; Costs'!AU$49/2),0)</f>
        <v>3713.1499999999996</v>
      </c>
      <c r="AX45" s="2">
        <f>IF($D45&lt;=AX$8,$E45/12*(1+AX$5)+$F45*('Sales &amp; Costs'!AV$49/2),0)</f>
        <v>3824.5445</v>
      </c>
      <c r="AY45" s="2">
        <f>IF($D45&lt;=AY$8,$E45/12*(1+AY$5)+$F45*('Sales &amp; Costs'!AW$49/2),0)</f>
        <v>3824.5445</v>
      </c>
      <c r="AZ45" s="2">
        <f>IF($D45&lt;=AZ$8,$E45/12*(1+AZ$5)+$F45*('Sales &amp; Costs'!AX$49/2),0)</f>
        <v>3824.5445</v>
      </c>
      <c r="BA45" s="2">
        <f>IF($D45&lt;=BA$8,$E45/12*(1+BA$5)+$F45*('Sales &amp; Costs'!AY$49/2),0)</f>
        <v>3824.5445</v>
      </c>
      <c r="BB45" s="2">
        <f>IF($D45&lt;=BB$8,$E45/12*(1+BB$5)+$F45*('Sales &amp; Costs'!AZ$49/2),0)</f>
        <v>3824.5445</v>
      </c>
      <c r="BC45" s="2">
        <f>IF($D45&lt;=BC$8,$E45/12*(1+BC$5)+$F45*('Sales &amp; Costs'!BA$49/2),0)</f>
        <v>3824.5445</v>
      </c>
      <c r="BD45" s="2">
        <f>IF($D45&lt;=BD$8,$E45/12*(1+BD$5)+$F45*('Sales &amp; Costs'!BB$49/2),0)</f>
        <v>3824.5445</v>
      </c>
      <c r="BE45" s="2">
        <f>IF($D45&lt;=BE$8,$E45/12*(1+BE$5)+$F45*('Sales &amp; Costs'!BC$49/2),0)</f>
        <v>3824.5445</v>
      </c>
      <c r="BF45" s="2">
        <f>IF($D45&lt;=BF$8,$E45/12*(1+BF$5)+$F45*('Sales &amp; Costs'!BD$49/2),0)</f>
        <v>3824.5445</v>
      </c>
      <c r="BG45" s="2">
        <f>IF($D45&lt;=BG$8,$E45/12*(1+BG$5)+$F45*('Sales &amp; Costs'!BE$49/2),0)</f>
        <v>3824.5445</v>
      </c>
      <c r="BH45" s="2">
        <f>IF($D45&lt;=BH$8,$E45/12*(1+BH$5)+$F45*('Sales &amp; Costs'!BF$49/2),0)</f>
        <v>3824.5445</v>
      </c>
      <c r="BI45" s="2">
        <f>IF($D45&lt;=BI$8,$E45/12*(1+BI$5)+$F45*('Sales &amp; Costs'!BG$49/2),0)</f>
        <v>3824.5445</v>
      </c>
      <c r="BJ45" s="2">
        <f>IF($D45&lt;=BJ$8,$E45/12*(1+BJ$5)+$F45*('Sales &amp; Costs'!BH$49/2),0)</f>
        <v>3939.2808350000005</v>
      </c>
      <c r="BK45" s="2">
        <f>IF($D45&lt;=BK$8,$E45/12*(1+BK$5)+$F45*('Sales &amp; Costs'!BI$49/2),0)</f>
        <v>3939.2808350000005</v>
      </c>
      <c r="BL45" s="2">
        <f>IF($D45&lt;=BL$8,$E45/12*(1+BL$5)+$F45*('Sales &amp; Costs'!BJ$49/2),0)</f>
        <v>3939.2808350000005</v>
      </c>
      <c r="BM45" s="2">
        <f>IF($D45&lt;=BM$8,$E45/12*(1+BM$5)+$F45*('Sales &amp; Costs'!BK$49/2),0)</f>
        <v>3939.2808350000005</v>
      </c>
      <c r="BN45" s="2">
        <f>IF($D45&lt;=BN$8,$E45/12*(1+BN$5)+$F45*('Sales &amp; Costs'!BL$49/2),0)</f>
        <v>3939.2808350000005</v>
      </c>
      <c r="BO45" s="2">
        <f>IF($D45&lt;=BO$8,$E45/12*(1+BO$5)+$F45*('Sales &amp; Costs'!BM$49/2),0)</f>
        <v>3939.2808350000005</v>
      </c>
      <c r="BP45" s="2">
        <f>IF($D45&lt;=BP$8,$E45/12*(1+BP$5)+$F45*('Sales &amp; Costs'!BN$49/2),0)</f>
        <v>3939.2808350000005</v>
      </c>
      <c r="BQ45" s="2">
        <f>IF($D45&lt;=BQ$8,$E45/12*(1+BQ$5)+$F45*('Sales &amp; Costs'!BO$49/2),0)</f>
        <v>3939.2808350000005</v>
      </c>
      <c r="BR45" s="2">
        <f>IF($D45&lt;=BR$8,$E45/12*(1+BR$5)+$F45*('Sales &amp; Costs'!BP$49/2),0)</f>
        <v>3939.2808350000005</v>
      </c>
      <c r="BS45" s="2">
        <f>IF($D45&lt;=BS$8,$E45/12*(1+BS$5)+$F45*('Sales &amp; Costs'!BQ$49/2),0)</f>
        <v>3939.2808350000005</v>
      </c>
      <c r="BT45" s="2">
        <f>IF($D45&lt;=BT$8,$E45/12*(1+BT$5)+$F45*('Sales &amp; Costs'!BR$49/2),0)</f>
        <v>3939.2808350000005</v>
      </c>
      <c r="BU45" s="2">
        <f>IF($D45&lt;=BU$8,$E45/12*(1+BU$5)+$F45*('Sales &amp; Costs'!BS$49/2),0)</f>
        <v>3939.2808350000005</v>
      </c>
      <c r="BV45" s="2">
        <f>IF($D45&lt;=BV$8,$E45/12*(1+BV$5)+$F45*('Sales &amp; Costs'!BT$49/2),0)</f>
        <v>4057.45926005</v>
      </c>
      <c r="BW45" s="2">
        <f>IF($D45&lt;=BW$8,$E45/12*(1+BW$5)+$F45*('Sales &amp; Costs'!BU$49/2),0)</f>
        <v>4057.45926005</v>
      </c>
      <c r="BX45" s="2">
        <f>IF($D45&lt;=BX$8,$E45/12*(1+BX$5)+$F45*('Sales &amp; Costs'!BV$49/2),0)</f>
        <v>4057.45926005</v>
      </c>
      <c r="BY45" s="2">
        <f>IF($D45&lt;=BY$8,$E45/12*(1+BY$5)+$F45*('Sales &amp; Costs'!BW$49/2),0)</f>
        <v>4057.45926005</v>
      </c>
      <c r="BZ45" s="2">
        <f>IF($D45&lt;=BZ$8,$E45/12*(1+BZ$5)+$F45*('Sales &amp; Costs'!BX$49/2),0)</f>
        <v>4057.45926005</v>
      </c>
      <c r="CA45" s="2">
        <f>IF($D45&lt;=CA$8,$E45/12*(1+CA$5)+$F45*('Sales &amp; Costs'!BY$49/2),0)</f>
        <v>4057.45926005</v>
      </c>
      <c r="CC45" s="2">
        <f t="shared" ref="CC45:CC50" si="18">BO45*12</f>
        <v>47271.370020000002</v>
      </c>
    </row>
    <row r="46" spans="1:81" ht="15.75" customHeight="1">
      <c r="C46" s="271" t="s">
        <v>377</v>
      </c>
      <c r="D46" s="96">
        <v>40544</v>
      </c>
      <c r="E46" s="95">
        <f>3500*12</f>
        <v>42000</v>
      </c>
      <c r="F46" s="183">
        <v>0</v>
      </c>
      <c r="H46" s="2">
        <f>IF($D46&lt;=H$8,$E46/12*(1+H$5)+$F46*('Sales &amp; Costs'!F$49/2),0)</f>
        <v>0</v>
      </c>
      <c r="I46" s="2">
        <f>IF($D46&lt;=I$8,$E46/12*(1+I$5)+$F46*('Sales &amp; Costs'!G$49/2),0)</f>
        <v>0</v>
      </c>
      <c r="J46" s="2">
        <f>IF($D46&lt;=J$8,$E46/12*(1+J$5)+$F46*('Sales &amp; Costs'!H$49/2),0)</f>
        <v>0</v>
      </c>
      <c r="K46" s="2">
        <f>IF($D46&lt;=K$8,$E46/12*(1+K$5)+$F46*('Sales &amp; Costs'!I$49/2),0)</f>
        <v>0</v>
      </c>
      <c r="L46" s="2">
        <f>IF($D46&lt;=L$8,$E46/12*(1+L$5)+$F46*('Sales &amp; Costs'!J$49/2),0)</f>
        <v>0</v>
      </c>
      <c r="M46" s="2">
        <f>IF($D46&lt;=M$8,$E46/12*(1+M$5)+$F46*('Sales &amp; Costs'!K$49/2),0)</f>
        <v>0</v>
      </c>
      <c r="N46" s="2">
        <f>IF($D46&lt;=N$8,$E46/12*(1+N$5)+$F46*('Sales &amp; Costs'!L$49/2),0)</f>
        <v>0</v>
      </c>
      <c r="O46" s="2">
        <f>IF($D46&lt;=O$8,$E46/12*(1+O$5)+$F46*('Sales &amp; Costs'!M$49/2),0)</f>
        <v>0</v>
      </c>
      <c r="P46" s="2">
        <f>IF($D46&lt;=P$8,$E46/12*(1+P$5)+$F46*('Sales &amp; Costs'!N$49/2),0)</f>
        <v>0</v>
      </c>
      <c r="Q46" s="2">
        <f>IF($D46&lt;=Q$8,$E46/12*(1+Q$5)+$F46*('Sales &amp; Costs'!O$49/2),0)</f>
        <v>0</v>
      </c>
      <c r="R46" s="2">
        <f>IF($D46&lt;=R$8,$E46/12*(1+R$5)+$F46*('Sales &amp; Costs'!P$49/2),0)</f>
        <v>0</v>
      </c>
      <c r="S46" s="2">
        <f>IF($D46&lt;=S$8,$E46/12*(1+S$5)+$F46*('Sales &amp; Costs'!Q$49/2),0)</f>
        <v>0</v>
      </c>
      <c r="T46" s="2">
        <f>IF($D46&lt;=T$8,$E46/12*(1+T$5)+$F46*('Sales &amp; Costs'!R$49/2),0)</f>
        <v>0</v>
      </c>
      <c r="U46" s="2">
        <f>IF($D46&lt;=U$8,$E46/12*(1+U$5)+$F46*('Sales &amp; Costs'!S$49/2),0)</f>
        <v>0</v>
      </c>
      <c r="V46" s="2">
        <f>IF($D46&lt;=V$8,$E46/12*(1+V$5)+$F46*('Sales &amp; Costs'!T$49/2),0)</f>
        <v>0</v>
      </c>
      <c r="W46" s="2">
        <f>IF($D46&lt;=W$8,$E46/12*(1+W$5)+$F46*('Sales &amp; Costs'!U$49/2),0)</f>
        <v>0</v>
      </c>
      <c r="X46" s="2">
        <f>IF($D46&lt;=X$8,$E46/12*(1+X$5)+$F46*('Sales &amp; Costs'!V$49/2),0)</f>
        <v>0</v>
      </c>
      <c r="Y46" s="2">
        <f>IF($D46&lt;=Y$8,$E46/12*(1+Y$5)+$F46*('Sales &amp; Costs'!W$49/2),0)</f>
        <v>0</v>
      </c>
      <c r="Z46" s="2">
        <f>IF($D46&lt;=Z$8,$E46/12*(1+Z$5)+$F46*('Sales &amp; Costs'!X$49/2),0)</f>
        <v>0</v>
      </c>
      <c r="AA46" s="2">
        <f>IF($D46&lt;=AA$8,$E46/12*(1+AA$5)+$F46*('Sales &amp; Costs'!Y$49/2),0)</f>
        <v>0</v>
      </c>
      <c r="AB46" s="2">
        <f>IF($D46&lt;=AB$8,$E46/12*(1+AB$5)+$F46*('Sales &amp; Costs'!Z$49/2),0)</f>
        <v>0</v>
      </c>
      <c r="AC46" s="2">
        <f>IF($D46&lt;=AC$8,$E46/12*(1+AC$5)+$F46*('Sales &amp; Costs'!AA$49/2),0)</f>
        <v>0</v>
      </c>
      <c r="AD46" s="2">
        <f>IF($D46&lt;=AD$8,$E46/12*(1+AD$5)+$F46*('Sales &amp; Costs'!AB$49/2),0)</f>
        <v>0</v>
      </c>
      <c r="AE46" s="2">
        <f>IF($D46&lt;=AE$8,$E46/12*(1+AE$5)+$F46*('Sales &amp; Costs'!AC$49/2),0)</f>
        <v>0</v>
      </c>
      <c r="AF46" s="2">
        <f>IF($D46&lt;=AF$8,$E46/12*(1+AF$5)+$F46*('Sales &amp; Costs'!AD$49/2),0)</f>
        <v>3605</v>
      </c>
      <c r="AG46" s="2">
        <f>IF($D46&lt;=AG$8,$E46/12*(1+AG$5)+$F46*('Sales &amp; Costs'!AE$49/2),0)</f>
        <v>3605</v>
      </c>
      <c r="AH46" s="2">
        <f>IF($D46&lt;=AH$8,$E46/12*(1+AH$5)+$F46*('Sales &amp; Costs'!AF$49/2),0)</f>
        <v>3605</v>
      </c>
      <c r="AI46" s="2">
        <f>IF($D46&lt;=AI$8,$E46/12*(1+AI$5)+$F46*('Sales &amp; Costs'!AG$49/2),0)</f>
        <v>3605</v>
      </c>
      <c r="AJ46" s="2">
        <f>IF($D46&lt;=AJ$8,$E46/12*(1+AJ$5)+$F46*('Sales &amp; Costs'!AH$49/2),0)</f>
        <v>3605</v>
      </c>
      <c r="AK46" s="2">
        <f>IF($D46&lt;=AK$8,$E46/12*(1+AK$5)+$F46*('Sales &amp; Costs'!AI$49/2),0)</f>
        <v>3605</v>
      </c>
      <c r="AL46" s="2">
        <f>IF($D46&lt;=AL$8,$E46/12*(1+AL$5)+$F46*('Sales &amp; Costs'!AJ$49/2),0)</f>
        <v>3713.1499999999996</v>
      </c>
      <c r="AM46" s="2">
        <f>IF($D46&lt;=AM$8,$E46/12*(1+AM$5)+$F46*('Sales &amp; Costs'!AK$49/2),0)</f>
        <v>3713.1499999999996</v>
      </c>
      <c r="AN46" s="2">
        <f>IF($D46&lt;=AN$8,$E46/12*(1+AN$5)+$F46*('Sales &amp; Costs'!AL$49/2),0)</f>
        <v>3713.1499999999996</v>
      </c>
      <c r="AO46" s="2">
        <f>IF($D46&lt;=AO$8,$E46/12*(1+AO$5)+$F46*('Sales &amp; Costs'!AM$49/2),0)</f>
        <v>3713.1499999999996</v>
      </c>
      <c r="AP46" s="2">
        <f>IF($D46&lt;=AP$8,$E46/12*(1+AP$5)+$F46*('Sales &amp; Costs'!AN$49/2),0)</f>
        <v>3713.1499999999996</v>
      </c>
      <c r="AQ46" s="2">
        <f>IF($D46&lt;=AQ$8,$E46/12*(1+AQ$5)+$F46*('Sales &amp; Costs'!AO$49/2),0)</f>
        <v>3713.1499999999996</v>
      </c>
      <c r="AR46" s="2">
        <f>IF($D46&lt;=AR$8,$E46/12*(1+AR$5)+$F46*('Sales &amp; Costs'!AP$49/2),0)</f>
        <v>3713.1499999999996</v>
      </c>
      <c r="AS46" s="2">
        <f>IF($D46&lt;=AS$8,$E46/12*(1+AS$5)+$F46*('Sales &amp; Costs'!AQ$49/2),0)</f>
        <v>3713.1499999999996</v>
      </c>
      <c r="AT46" s="2">
        <f>IF($D46&lt;=AT$8,$E46/12*(1+AT$5)+$F46*('Sales &amp; Costs'!AR$49/2),0)</f>
        <v>3713.1499999999996</v>
      </c>
      <c r="AU46" s="2">
        <f>IF($D46&lt;=AU$8,$E46/12*(1+AU$5)+$F46*('Sales &amp; Costs'!AS$49/2),0)</f>
        <v>3713.1499999999996</v>
      </c>
      <c r="AV46" s="2">
        <f>IF($D46&lt;=AV$8,$E46/12*(1+AV$5)+$F46*('Sales &amp; Costs'!AT$49/2),0)</f>
        <v>3713.1499999999996</v>
      </c>
      <c r="AW46" s="2">
        <f>IF($D46&lt;=AW$8,$E46/12*(1+AW$5)+$F46*('Sales &amp; Costs'!AU$49/2),0)</f>
        <v>3713.1499999999996</v>
      </c>
      <c r="AX46" s="2">
        <f>IF($D46&lt;=AX$8,$E46/12*(1+AX$5)+$F46*('Sales &amp; Costs'!AV$49/2),0)</f>
        <v>3824.5445</v>
      </c>
      <c r="AY46" s="2">
        <f>IF($D46&lt;=AY$8,$E46/12*(1+AY$5)+$F46*('Sales &amp; Costs'!AW$49/2),0)</f>
        <v>3824.5445</v>
      </c>
      <c r="AZ46" s="2">
        <f>IF($D46&lt;=AZ$8,$E46/12*(1+AZ$5)+$F46*('Sales &amp; Costs'!AX$49/2),0)</f>
        <v>3824.5445</v>
      </c>
      <c r="BA46" s="2">
        <f>IF($D46&lt;=BA$8,$E46/12*(1+BA$5)+$F46*('Sales &amp; Costs'!AY$49/2),0)</f>
        <v>3824.5445</v>
      </c>
      <c r="BB46" s="2">
        <f>IF($D46&lt;=BB$8,$E46/12*(1+BB$5)+$F46*('Sales &amp; Costs'!AZ$49/2),0)</f>
        <v>3824.5445</v>
      </c>
      <c r="BC46" s="2">
        <f>IF($D46&lt;=BC$8,$E46/12*(1+BC$5)+$F46*('Sales &amp; Costs'!BA$49/2),0)</f>
        <v>3824.5445</v>
      </c>
      <c r="BD46" s="2">
        <f>IF($D46&lt;=BD$8,$E46/12*(1+BD$5)+$F46*('Sales &amp; Costs'!BB$49/2),0)</f>
        <v>3824.5445</v>
      </c>
      <c r="BE46" s="2">
        <f>IF($D46&lt;=BE$8,$E46/12*(1+BE$5)+$F46*('Sales &amp; Costs'!BC$49/2),0)</f>
        <v>3824.5445</v>
      </c>
      <c r="BF46" s="2">
        <f>IF($D46&lt;=BF$8,$E46/12*(1+BF$5)+$F46*('Sales &amp; Costs'!BD$49/2),0)</f>
        <v>3824.5445</v>
      </c>
      <c r="BG46" s="2">
        <f>IF($D46&lt;=BG$8,$E46/12*(1+BG$5)+$F46*('Sales &amp; Costs'!BE$49/2),0)</f>
        <v>3824.5445</v>
      </c>
      <c r="BH46" s="2">
        <f>IF($D46&lt;=BH$8,$E46/12*(1+BH$5)+$F46*('Sales &amp; Costs'!BF$49/2),0)</f>
        <v>3824.5445</v>
      </c>
      <c r="BI46" s="2">
        <f>IF($D46&lt;=BI$8,$E46/12*(1+BI$5)+$F46*('Sales &amp; Costs'!BG$49/2),0)</f>
        <v>3824.5445</v>
      </c>
      <c r="BJ46" s="2">
        <f>IF($D46&lt;=BJ$8,$E46/12*(1+BJ$5)+$F46*('Sales &amp; Costs'!BH$49/2),0)</f>
        <v>3939.2808350000005</v>
      </c>
      <c r="BK46" s="2">
        <f>IF($D46&lt;=BK$8,$E46/12*(1+BK$5)+$F46*('Sales &amp; Costs'!BI$49/2),0)</f>
        <v>3939.2808350000005</v>
      </c>
      <c r="BL46" s="2">
        <f>IF($D46&lt;=BL$8,$E46/12*(1+BL$5)+$F46*('Sales &amp; Costs'!BJ$49/2),0)</f>
        <v>3939.2808350000005</v>
      </c>
      <c r="BM46" s="2">
        <f>IF($D46&lt;=BM$8,$E46/12*(1+BM$5)+$F46*('Sales &amp; Costs'!BK$49/2),0)</f>
        <v>3939.2808350000005</v>
      </c>
      <c r="BN46" s="2">
        <f>IF($D46&lt;=BN$8,$E46/12*(1+BN$5)+$F46*('Sales &amp; Costs'!BL$49/2),0)</f>
        <v>3939.2808350000005</v>
      </c>
      <c r="BO46" s="2">
        <f>IF($D46&lt;=BO$8,$E46/12*(1+BO$5)+$F46*('Sales &amp; Costs'!BM$49/2),0)</f>
        <v>3939.2808350000005</v>
      </c>
      <c r="BP46" s="2">
        <f>IF($D46&lt;=BP$8,$E46/12*(1+BP$5)+$F46*('Sales &amp; Costs'!BN$49/2),0)</f>
        <v>3939.2808350000005</v>
      </c>
      <c r="BQ46" s="2">
        <f>IF($D46&lt;=BQ$8,$E46/12*(1+BQ$5)+$F46*('Sales &amp; Costs'!BO$49/2),0)</f>
        <v>3939.2808350000005</v>
      </c>
      <c r="BR46" s="2">
        <f>IF($D46&lt;=BR$8,$E46/12*(1+BR$5)+$F46*('Sales &amp; Costs'!BP$49/2),0)</f>
        <v>3939.2808350000005</v>
      </c>
      <c r="BS46" s="2">
        <f>IF($D46&lt;=BS$8,$E46/12*(1+BS$5)+$F46*('Sales &amp; Costs'!BQ$49/2),0)</f>
        <v>3939.2808350000005</v>
      </c>
      <c r="BT46" s="2">
        <f>IF($D46&lt;=BT$8,$E46/12*(1+BT$5)+$F46*('Sales &amp; Costs'!BR$49/2),0)</f>
        <v>3939.2808350000005</v>
      </c>
      <c r="BU46" s="2">
        <f>IF($D46&lt;=BU$8,$E46/12*(1+BU$5)+$F46*('Sales &amp; Costs'!BS$49/2),0)</f>
        <v>3939.2808350000005</v>
      </c>
      <c r="BV46" s="2">
        <f>IF($D46&lt;=BV$8,$E46/12*(1+BV$5)+$F46*('Sales &amp; Costs'!BT$49/2),0)</f>
        <v>4057.45926005</v>
      </c>
      <c r="BW46" s="2">
        <f>IF($D46&lt;=BW$8,$E46/12*(1+BW$5)+$F46*('Sales &amp; Costs'!BU$49/2),0)</f>
        <v>4057.45926005</v>
      </c>
      <c r="BX46" s="2">
        <f>IF($D46&lt;=BX$8,$E46/12*(1+BX$5)+$F46*('Sales &amp; Costs'!BV$49/2),0)</f>
        <v>4057.45926005</v>
      </c>
      <c r="BY46" s="2">
        <f>IF($D46&lt;=BY$8,$E46/12*(1+BY$5)+$F46*('Sales &amp; Costs'!BW$49/2),0)</f>
        <v>4057.45926005</v>
      </c>
      <c r="BZ46" s="2">
        <f>IF($D46&lt;=BZ$8,$E46/12*(1+BZ$5)+$F46*('Sales &amp; Costs'!BX$49/2),0)</f>
        <v>4057.45926005</v>
      </c>
      <c r="CA46" s="2">
        <f>IF($D46&lt;=CA$8,$E46/12*(1+CA$5)+$F46*('Sales &amp; Costs'!BY$49/2),0)</f>
        <v>4057.45926005</v>
      </c>
      <c r="CC46" s="2">
        <f t="shared" si="18"/>
        <v>47271.370020000002</v>
      </c>
    </row>
    <row r="47" spans="1:81" ht="15.75" customHeight="1">
      <c r="C47" s="270" t="s">
        <v>406</v>
      </c>
      <c r="D47" s="96">
        <v>40422</v>
      </c>
      <c r="E47" s="95">
        <f>4000*12</f>
        <v>48000</v>
      </c>
      <c r="F47" s="183">
        <v>0</v>
      </c>
      <c r="H47" s="2">
        <f>IF($D47&lt;=H$8,$E47/12*(1+H$5)+$F47*('Sales &amp; Costs'!F$49/2),0)</f>
        <v>0</v>
      </c>
      <c r="I47" s="2">
        <f>IF($D47&lt;=I$8,$E47/12*(1+I$5)+$F47*('Sales &amp; Costs'!G$49/2),0)</f>
        <v>0</v>
      </c>
      <c r="J47" s="2">
        <f>IF($D47&lt;=J$8,$E47/12*(1+J$5)+$F47*('Sales &amp; Costs'!H$49/2),0)</f>
        <v>0</v>
      </c>
      <c r="K47" s="2">
        <f>IF($D47&lt;=K$8,$E47/12*(1+K$5)+$F47*('Sales &amp; Costs'!I$49/2),0)</f>
        <v>0</v>
      </c>
      <c r="L47" s="2">
        <f>IF($D47&lt;=L$8,$E47/12*(1+L$5)+$F47*('Sales &amp; Costs'!J$49/2),0)</f>
        <v>0</v>
      </c>
      <c r="M47" s="2">
        <f>IF($D47&lt;=M$8,$E47/12*(1+M$5)+$F47*('Sales &amp; Costs'!K$49/2),0)</f>
        <v>0</v>
      </c>
      <c r="N47" s="2">
        <f>IF($D47&lt;=N$8,$E47/12*(1+N$5)+$F47*('Sales &amp; Costs'!L$49/2),0)</f>
        <v>0</v>
      </c>
      <c r="O47" s="2">
        <f>IF($D47&lt;=O$8,$E47/12*(1+O$5)+$F47*('Sales &amp; Costs'!M$49/2),0)</f>
        <v>0</v>
      </c>
      <c r="P47" s="2">
        <f>IF($D47&lt;=P$8,$E47/12*(1+P$5)+$F47*('Sales &amp; Costs'!N$49/2),0)</f>
        <v>0</v>
      </c>
      <c r="Q47" s="2">
        <f>IF($D47&lt;=Q$8,$E47/12*(1+Q$5)+$F47*('Sales &amp; Costs'!O$49/2),0)</f>
        <v>0</v>
      </c>
      <c r="R47" s="2">
        <f>IF($D47&lt;=R$8,$E47/12*(1+R$5)+$F47*('Sales &amp; Costs'!P$49/2),0)</f>
        <v>0</v>
      </c>
      <c r="S47" s="2">
        <f>IF($D47&lt;=S$8,$E47/12*(1+S$5)+$F47*('Sales &amp; Costs'!Q$49/2),0)</f>
        <v>0</v>
      </c>
      <c r="T47" s="2">
        <f>IF($D47&lt;=T$8,$E47/12*(1+T$5)+$F47*('Sales &amp; Costs'!R$49/2),0)</f>
        <v>0</v>
      </c>
      <c r="U47" s="2">
        <f>IF($D47&lt;=U$8,$E47/12*(1+U$5)+$F47*('Sales &amp; Costs'!S$49/2),0)</f>
        <v>0</v>
      </c>
      <c r="V47" s="2">
        <f>IF($D47&lt;=V$8,$E47/12*(1+V$5)+$F47*('Sales &amp; Costs'!T$49/2),0)</f>
        <v>0</v>
      </c>
      <c r="W47" s="2">
        <f>IF($D47&lt;=W$8,$E47/12*(1+W$5)+$F47*('Sales &amp; Costs'!U$49/2),0)</f>
        <v>0</v>
      </c>
      <c r="X47" s="2">
        <f>IF($D47&lt;=X$8,$E47/12*(1+X$5)+$F47*('Sales &amp; Costs'!V$49/2),0)</f>
        <v>0</v>
      </c>
      <c r="Y47" s="2">
        <f>IF($D47&lt;=Y$8,$E47/12*(1+Y$5)+$F47*('Sales &amp; Costs'!W$49/2),0)</f>
        <v>0</v>
      </c>
      <c r="Z47" s="2">
        <f>IF($D47&lt;=Z$8,$E47/12*(1+Z$5)+$F47*('Sales &amp; Costs'!X$49/2),0)</f>
        <v>0</v>
      </c>
      <c r="AA47" s="2">
        <f>IF($D47&lt;=AA$8,$E47/12*(1+AA$5)+$F47*('Sales &amp; Costs'!Y$49/2),0)</f>
        <v>0</v>
      </c>
      <c r="AB47" s="2">
        <f>IF($D47&lt;=AB$8,$E47/12*(1+AB$5)+$F47*('Sales &amp; Costs'!Z$49/2),0)</f>
        <v>4120</v>
      </c>
      <c r="AC47" s="2">
        <f>IF($D47&lt;=AC$8,$E47/12*(1+AC$5)+$F47*('Sales &amp; Costs'!AA$49/2),0)</f>
        <v>4120</v>
      </c>
      <c r="AD47" s="2">
        <f>IF($D47&lt;=AD$8,$E47/12*(1+AD$5)+$F47*('Sales &amp; Costs'!AB$49/2),0)</f>
        <v>4120</v>
      </c>
      <c r="AE47" s="2">
        <f>IF($D47&lt;=AE$8,$E47/12*(1+AE$5)+$F47*('Sales &amp; Costs'!AC$49/2),0)</f>
        <v>4120</v>
      </c>
      <c r="AF47" s="2">
        <f>IF($D47&lt;=AF$8,$E47/12*(1+AF$5)+$F47*('Sales &amp; Costs'!AD$49/2),0)</f>
        <v>4120</v>
      </c>
      <c r="AG47" s="2">
        <f>IF($D47&lt;=AG$8,$E47/12*(1+AG$5)+$F47*('Sales &amp; Costs'!AE$49/2),0)</f>
        <v>4120</v>
      </c>
      <c r="AH47" s="2">
        <f>IF($D47&lt;=AH$8,$E47/12*(1+AH$5)+$F47*('Sales &amp; Costs'!AF$49/2),0)</f>
        <v>4120</v>
      </c>
      <c r="AI47" s="2">
        <f>IF($D47&lt;=AI$8,$E47/12*(1+AI$5)+$F47*('Sales &amp; Costs'!AG$49/2),0)</f>
        <v>4120</v>
      </c>
      <c r="AJ47" s="2">
        <f>IF($D47&lt;=AJ$8,$E47/12*(1+AJ$5)+$F47*('Sales &amp; Costs'!AH$49/2),0)</f>
        <v>4120</v>
      </c>
      <c r="AK47" s="2">
        <f>IF($D47&lt;=AK$8,$E47/12*(1+AK$5)+$F47*('Sales &amp; Costs'!AI$49/2),0)</f>
        <v>4120</v>
      </c>
      <c r="AL47" s="2">
        <f>IF($D47&lt;=AL$8,$E47/12*(1+AL$5)+$F47*('Sales &amp; Costs'!AJ$49/2),0)</f>
        <v>4243.5999999999995</v>
      </c>
      <c r="AM47" s="2">
        <f>IF($D47&lt;=AM$8,$E47/12*(1+AM$5)+$F47*('Sales &amp; Costs'!AK$49/2),0)</f>
        <v>4243.5999999999995</v>
      </c>
      <c r="AN47" s="2">
        <f>IF($D47&lt;=AN$8,$E47/12*(1+AN$5)+$F47*('Sales &amp; Costs'!AL$49/2),0)</f>
        <v>4243.5999999999995</v>
      </c>
      <c r="AO47" s="2">
        <f>IF($D47&lt;=AO$8,$E47/12*(1+AO$5)+$F47*('Sales &amp; Costs'!AM$49/2),0)</f>
        <v>4243.5999999999995</v>
      </c>
      <c r="AP47" s="2">
        <f>IF($D47&lt;=AP$8,$E47/12*(1+AP$5)+$F47*('Sales &amp; Costs'!AN$49/2),0)</f>
        <v>4243.5999999999995</v>
      </c>
      <c r="AQ47" s="2">
        <f>IF($D47&lt;=AQ$8,$E47/12*(1+AQ$5)+$F47*('Sales &amp; Costs'!AO$49/2),0)</f>
        <v>4243.5999999999995</v>
      </c>
      <c r="AR47" s="2">
        <f>IF($D47&lt;=AR$8,$E47/12*(1+AR$5)+$F47*('Sales &amp; Costs'!AP$49/2),0)</f>
        <v>4243.5999999999995</v>
      </c>
      <c r="AS47" s="2">
        <f>IF($D47&lt;=AS$8,$E47/12*(1+AS$5)+$F47*('Sales &amp; Costs'!AQ$49/2),0)</f>
        <v>4243.5999999999995</v>
      </c>
      <c r="AT47" s="2">
        <f>IF($D47&lt;=AT$8,$E47/12*(1+AT$5)+$F47*('Sales &amp; Costs'!AR$49/2),0)</f>
        <v>4243.5999999999995</v>
      </c>
      <c r="AU47" s="2">
        <f>IF($D47&lt;=AU$8,$E47/12*(1+AU$5)+$F47*('Sales &amp; Costs'!AS$49/2),0)</f>
        <v>4243.5999999999995</v>
      </c>
      <c r="AV47" s="2">
        <f>IF($D47&lt;=AV$8,$E47/12*(1+AV$5)+$F47*('Sales &amp; Costs'!AT$49/2),0)</f>
        <v>4243.5999999999995</v>
      </c>
      <c r="AW47" s="2">
        <f>IF($D47&lt;=AW$8,$E47/12*(1+AW$5)+$F47*('Sales &amp; Costs'!AU$49/2),0)</f>
        <v>4243.5999999999995</v>
      </c>
      <c r="AX47" s="2">
        <f>IF($D47&lt;=AX$8,$E47/12*(1+AX$5)+$F47*('Sales &amp; Costs'!AV$49/2),0)</f>
        <v>4370.9080000000004</v>
      </c>
      <c r="AY47" s="2">
        <f>IF($D47&lt;=AY$8,$E47/12*(1+AY$5)+$F47*('Sales &amp; Costs'!AW$49/2),0)</f>
        <v>4370.9080000000004</v>
      </c>
      <c r="AZ47" s="2">
        <f>IF($D47&lt;=AZ$8,$E47/12*(1+AZ$5)+$F47*('Sales &amp; Costs'!AX$49/2),0)</f>
        <v>4370.9080000000004</v>
      </c>
      <c r="BA47" s="2">
        <f>IF($D47&lt;=BA$8,$E47/12*(1+BA$5)+$F47*('Sales &amp; Costs'!AY$49/2),0)</f>
        <v>4370.9080000000004</v>
      </c>
      <c r="BB47" s="2">
        <f>IF($D47&lt;=BB$8,$E47/12*(1+BB$5)+$F47*('Sales &amp; Costs'!AZ$49/2),0)</f>
        <v>4370.9080000000004</v>
      </c>
      <c r="BC47" s="2">
        <f>IF($D47&lt;=BC$8,$E47/12*(1+BC$5)+$F47*('Sales &amp; Costs'!BA$49/2),0)</f>
        <v>4370.9080000000004</v>
      </c>
      <c r="BD47" s="2">
        <f>IF($D47&lt;=BD$8,$E47/12*(1+BD$5)+$F47*('Sales &amp; Costs'!BB$49/2),0)</f>
        <v>4370.9080000000004</v>
      </c>
      <c r="BE47" s="2">
        <f>IF($D47&lt;=BE$8,$E47/12*(1+BE$5)+$F47*('Sales &amp; Costs'!BC$49/2),0)</f>
        <v>4370.9080000000004</v>
      </c>
      <c r="BF47" s="2">
        <f>IF($D47&lt;=BF$8,$E47/12*(1+BF$5)+$F47*('Sales &amp; Costs'!BD$49/2),0)</f>
        <v>4370.9080000000004</v>
      </c>
      <c r="BG47" s="2">
        <f>IF($D47&lt;=BG$8,$E47/12*(1+BG$5)+$F47*('Sales &amp; Costs'!BE$49/2),0)</f>
        <v>4370.9080000000004</v>
      </c>
      <c r="BH47" s="2">
        <f>IF($D47&lt;=BH$8,$E47/12*(1+BH$5)+$F47*('Sales &amp; Costs'!BF$49/2),0)</f>
        <v>4370.9080000000004</v>
      </c>
      <c r="BI47" s="2">
        <f>IF($D47&lt;=BI$8,$E47/12*(1+BI$5)+$F47*('Sales &amp; Costs'!BG$49/2),0)</f>
        <v>4370.9080000000004</v>
      </c>
      <c r="BJ47" s="2">
        <f>IF($D47&lt;=BJ$8,$E47/12*(1+BJ$5)+$F47*('Sales &amp; Costs'!BH$49/2),0)</f>
        <v>4502.0352400000002</v>
      </c>
      <c r="BK47" s="2">
        <f>IF($D47&lt;=BK$8,$E47/12*(1+BK$5)+$F47*('Sales &amp; Costs'!BI$49/2),0)</f>
        <v>4502.0352400000002</v>
      </c>
      <c r="BL47" s="2">
        <f>IF($D47&lt;=BL$8,$E47/12*(1+BL$5)+$F47*('Sales &amp; Costs'!BJ$49/2),0)</f>
        <v>4502.0352400000002</v>
      </c>
      <c r="BM47" s="2">
        <f>IF($D47&lt;=BM$8,$E47/12*(1+BM$5)+$F47*('Sales &amp; Costs'!BK$49/2),0)</f>
        <v>4502.0352400000002</v>
      </c>
      <c r="BN47" s="2">
        <f>IF($D47&lt;=BN$8,$E47/12*(1+BN$5)+$F47*('Sales &amp; Costs'!BL$49/2),0)</f>
        <v>4502.0352400000002</v>
      </c>
      <c r="BO47" s="2">
        <f>IF($D47&lt;=BO$8,$E47/12*(1+BO$5)+$F47*('Sales &amp; Costs'!BM$49/2),0)</f>
        <v>4502.0352400000002</v>
      </c>
      <c r="BP47" s="2">
        <f>IF($D47&lt;=BP$8,$E47/12*(1+BP$5)+$F47*('Sales &amp; Costs'!BN$49/2),0)</f>
        <v>4502.0352400000002</v>
      </c>
      <c r="BQ47" s="2">
        <f>IF($D47&lt;=BQ$8,$E47/12*(1+BQ$5)+$F47*('Sales &amp; Costs'!BO$49/2),0)</f>
        <v>4502.0352400000002</v>
      </c>
      <c r="BR47" s="2">
        <f>IF($D47&lt;=BR$8,$E47/12*(1+BR$5)+$F47*('Sales &amp; Costs'!BP$49/2),0)</f>
        <v>4502.0352400000002</v>
      </c>
      <c r="BS47" s="2">
        <f>IF($D47&lt;=BS$8,$E47/12*(1+BS$5)+$F47*('Sales &amp; Costs'!BQ$49/2),0)</f>
        <v>4502.0352400000002</v>
      </c>
      <c r="BT47" s="2">
        <f>IF($D47&lt;=BT$8,$E47/12*(1+BT$5)+$F47*('Sales &amp; Costs'!BR$49/2),0)</f>
        <v>4502.0352400000002</v>
      </c>
      <c r="BU47" s="2">
        <f>IF($D47&lt;=BU$8,$E47/12*(1+BU$5)+$F47*('Sales &amp; Costs'!BS$49/2),0)</f>
        <v>4502.0352400000002</v>
      </c>
      <c r="BV47" s="2">
        <f>IF($D47&lt;=BV$8,$E47/12*(1+BV$5)+$F47*('Sales &amp; Costs'!BT$49/2),0)</f>
        <v>4637.0962972000007</v>
      </c>
      <c r="BW47" s="2">
        <f>IF($D47&lt;=BW$8,$E47/12*(1+BW$5)+$F47*('Sales &amp; Costs'!BU$49/2),0)</f>
        <v>4637.0962972000007</v>
      </c>
      <c r="BX47" s="2">
        <f>IF($D47&lt;=BX$8,$E47/12*(1+BX$5)+$F47*('Sales &amp; Costs'!BV$49/2),0)</f>
        <v>4637.0962972000007</v>
      </c>
      <c r="BY47" s="2">
        <f>IF($D47&lt;=BY$8,$E47/12*(1+BY$5)+$F47*('Sales &amp; Costs'!BW$49/2),0)</f>
        <v>4637.0962972000007</v>
      </c>
      <c r="BZ47" s="2">
        <f>IF($D47&lt;=BZ$8,$E47/12*(1+BZ$5)+$F47*('Sales &amp; Costs'!BX$49/2),0)</f>
        <v>4637.0962972000007</v>
      </c>
      <c r="CA47" s="2">
        <f>IF($D47&lt;=CA$8,$E47/12*(1+CA$5)+$F47*('Sales &amp; Costs'!BY$49/2),0)</f>
        <v>4637.0962972000007</v>
      </c>
      <c r="CC47" s="2">
        <f t="shared" si="18"/>
        <v>54024.422879999998</v>
      </c>
    </row>
    <row r="48" spans="1:81" ht="15.75" customHeight="1">
      <c r="C48" s="270" t="s">
        <v>408</v>
      </c>
      <c r="D48" s="96">
        <v>40787</v>
      </c>
      <c r="E48" s="95">
        <f>4000*12</f>
        <v>48000</v>
      </c>
      <c r="F48" s="183">
        <v>0</v>
      </c>
      <c r="H48" s="2">
        <f>IF($D48&lt;=H$8,$E48/12*(1+H$5)+$F48*('Sales &amp; Costs'!F$49/2),0)</f>
        <v>0</v>
      </c>
      <c r="I48" s="2">
        <f>IF($D48&lt;=I$8,$E48/12*(1+I$5)+$F48*('Sales &amp; Costs'!G$49/2),0)</f>
        <v>0</v>
      </c>
      <c r="J48" s="2">
        <f>IF($D48&lt;=J$8,$E48/12*(1+J$5)+$F48*('Sales &amp; Costs'!H$49/2),0)</f>
        <v>0</v>
      </c>
      <c r="K48" s="2">
        <f>IF($D48&lt;=K$8,$E48/12*(1+K$5)+$F48*('Sales &amp; Costs'!I$49/2),0)</f>
        <v>0</v>
      </c>
      <c r="L48" s="2">
        <f>IF($D48&lt;=L$8,$E48/12*(1+L$5)+$F48*('Sales &amp; Costs'!J$49/2),0)</f>
        <v>0</v>
      </c>
      <c r="M48" s="2">
        <f>IF($D48&lt;=M$8,$E48/12*(1+M$5)+$F48*('Sales &amp; Costs'!K$49/2),0)</f>
        <v>0</v>
      </c>
      <c r="N48" s="2">
        <f>IF($D48&lt;=N$8,$E48/12*(1+N$5)+$F48*('Sales &amp; Costs'!L$49/2),0)</f>
        <v>0</v>
      </c>
      <c r="O48" s="2">
        <f>IF($D48&lt;=O$8,$E48/12*(1+O$5)+$F48*('Sales &amp; Costs'!M$49/2),0)</f>
        <v>0</v>
      </c>
      <c r="P48" s="2">
        <f>IF($D48&lt;=P$8,$E48/12*(1+P$5)+$F48*('Sales &amp; Costs'!N$49/2),0)</f>
        <v>0</v>
      </c>
      <c r="Q48" s="2">
        <f>IF($D48&lt;=Q$8,$E48/12*(1+Q$5)+$F48*('Sales &amp; Costs'!O$49/2),0)</f>
        <v>0</v>
      </c>
      <c r="R48" s="2">
        <f>IF($D48&lt;=R$8,$E48/12*(1+R$5)+$F48*('Sales &amp; Costs'!P$49/2),0)</f>
        <v>0</v>
      </c>
      <c r="S48" s="2">
        <f>IF($D48&lt;=S$8,$E48/12*(1+S$5)+$F48*('Sales &amp; Costs'!Q$49/2),0)</f>
        <v>0</v>
      </c>
      <c r="T48" s="2">
        <f>IF($D48&lt;=T$8,$E48/12*(1+T$5)+$F48*('Sales &amp; Costs'!R$49/2),0)</f>
        <v>0</v>
      </c>
      <c r="U48" s="2">
        <f>IF($D48&lt;=U$8,$E48/12*(1+U$5)+$F48*('Sales &amp; Costs'!S$49/2),0)</f>
        <v>0</v>
      </c>
      <c r="V48" s="2">
        <f>IF($D48&lt;=V$8,$E48/12*(1+V$5)+$F48*('Sales &amp; Costs'!T$49/2),0)</f>
        <v>0</v>
      </c>
      <c r="W48" s="2">
        <f>IF($D48&lt;=W$8,$E48/12*(1+W$5)+$F48*('Sales &amp; Costs'!U$49/2),0)</f>
        <v>0</v>
      </c>
      <c r="X48" s="2">
        <f>IF($D48&lt;=X$8,$E48/12*(1+X$5)+$F48*('Sales &amp; Costs'!V$49/2),0)</f>
        <v>0</v>
      </c>
      <c r="Y48" s="2">
        <f>IF($D48&lt;=Y$8,$E48/12*(1+Y$5)+$F48*('Sales &amp; Costs'!W$49/2),0)</f>
        <v>0</v>
      </c>
      <c r="Z48" s="2">
        <f>IF($D48&lt;=Z$8,$E48/12*(1+Z$5)+$F48*('Sales &amp; Costs'!X$49/2),0)</f>
        <v>0</v>
      </c>
      <c r="AA48" s="2">
        <f>IF($D48&lt;=AA$8,$E48/12*(1+AA$5)+$F48*('Sales &amp; Costs'!Y$49/2),0)</f>
        <v>0</v>
      </c>
      <c r="AB48" s="2">
        <f>IF($D48&lt;=AB$8,$E48/12*(1+AB$5)+$F48*('Sales &amp; Costs'!Z$49/2),0)</f>
        <v>0</v>
      </c>
      <c r="AC48" s="2">
        <f>IF($D48&lt;=AC$8,$E48/12*(1+AC$5)+$F48*('Sales &amp; Costs'!AA$49/2),0)</f>
        <v>0</v>
      </c>
      <c r="AD48" s="2">
        <f>IF($D48&lt;=AD$8,$E48/12*(1+AD$5)+$F48*('Sales &amp; Costs'!AB$49/2),0)</f>
        <v>0</v>
      </c>
      <c r="AE48" s="2">
        <f>IF($D48&lt;=AE$8,$E48/12*(1+AE$5)+$F48*('Sales &amp; Costs'!AC$49/2),0)</f>
        <v>0</v>
      </c>
      <c r="AF48" s="2">
        <f>IF($D48&lt;=AF$8,$E48/12*(1+AF$5)+$F48*('Sales &amp; Costs'!AD$49/2),0)</f>
        <v>0</v>
      </c>
      <c r="AG48" s="2">
        <f>IF($D48&lt;=AG$8,$E48/12*(1+AG$5)+$F48*('Sales &amp; Costs'!AE$49/2),0)</f>
        <v>0</v>
      </c>
      <c r="AH48" s="2">
        <f>IF($D48&lt;=AH$8,$E48/12*(1+AH$5)+$F48*('Sales &amp; Costs'!AF$49/2),0)</f>
        <v>0</v>
      </c>
      <c r="AI48" s="2">
        <f>IF($D48&lt;=AI$8,$E48/12*(1+AI$5)+$F48*('Sales &amp; Costs'!AG$49/2),0)</f>
        <v>0</v>
      </c>
      <c r="AJ48" s="2">
        <f>IF($D48&lt;=AJ$8,$E48/12*(1+AJ$5)+$F48*('Sales &amp; Costs'!AH$49/2),0)</f>
        <v>0</v>
      </c>
      <c r="AK48" s="2">
        <f>IF($D48&lt;=AK$8,$E48/12*(1+AK$5)+$F48*('Sales &amp; Costs'!AI$49/2),0)</f>
        <v>0</v>
      </c>
      <c r="AL48" s="2">
        <f>IF($D48&lt;=AL$8,$E48/12*(1+AL$5)+$F48*('Sales &amp; Costs'!AJ$49/2),0)</f>
        <v>0</v>
      </c>
      <c r="AM48" s="2">
        <f>IF($D48&lt;=AM$8,$E48/12*(1+AM$5)+$F48*('Sales &amp; Costs'!AK$49/2),0)</f>
        <v>0</v>
      </c>
      <c r="AN48" s="2">
        <f>IF($D48&lt;=AN$8,$E48/12*(1+AN$5)+$F48*('Sales &amp; Costs'!AL$49/2),0)</f>
        <v>4243.5999999999995</v>
      </c>
      <c r="AO48" s="2">
        <f>IF($D48&lt;=AO$8,$E48/12*(1+AO$5)+$F48*('Sales &amp; Costs'!AM$49/2),0)</f>
        <v>4243.5999999999995</v>
      </c>
      <c r="AP48" s="2">
        <f>IF($D48&lt;=AP$8,$E48/12*(1+AP$5)+$F48*('Sales &amp; Costs'!AN$49/2),0)</f>
        <v>4243.5999999999995</v>
      </c>
      <c r="AQ48" s="2">
        <f>IF($D48&lt;=AQ$8,$E48/12*(1+AQ$5)+$F48*('Sales &amp; Costs'!AO$49/2),0)</f>
        <v>4243.5999999999995</v>
      </c>
      <c r="AR48" s="2">
        <f>IF($D48&lt;=AR$8,$E48/12*(1+AR$5)+$F48*('Sales &amp; Costs'!AP$49/2),0)</f>
        <v>4243.5999999999995</v>
      </c>
      <c r="AS48" s="2">
        <f>IF($D48&lt;=AS$8,$E48/12*(1+AS$5)+$F48*('Sales &amp; Costs'!AQ$49/2),0)</f>
        <v>4243.5999999999995</v>
      </c>
      <c r="AT48" s="2">
        <f>IF($D48&lt;=AT$8,$E48/12*(1+AT$5)+$F48*('Sales &amp; Costs'!AR$49/2),0)</f>
        <v>4243.5999999999995</v>
      </c>
      <c r="AU48" s="2">
        <f>IF($D48&lt;=AU$8,$E48/12*(1+AU$5)+$F48*('Sales &amp; Costs'!AS$49/2),0)</f>
        <v>4243.5999999999995</v>
      </c>
      <c r="AV48" s="2">
        <f>IF($D48&lt;=AV$8,$E48/12*(1+AV$5)+$F48*('Sales &amp; Costs'!AT$49/2),0)</f>
        <v>4243.5999999999995</v>
      </c>
      <c r="AW48" s="2">
        <f>IF($D48&lt;=AW$8,$E48/12*(1+AW$5)+$F48*('Sales &amp; Costs'!AU$49/2),0)</f>
        <v>4243.5999999999995</v>
      </c>
      <c r="AX48" s="2">
        <f>IF($D48&lt;=AX$8,$E48/12*(1+AX$5)+$F48*('Sales &amp; Costs'!AV$49/2),0)</f>
        <v>4370.9080000000004</v>
      </c>
      <c r="AY48" s="2">
        <f>IF($D48&lt;=AY$8,$E48/12*(1+AY$5)+$F48*('Sales &amp; Costs'!AW$49/2),0)</f>
        <v>4370.9080000000004</v>
      </c>
      <c r="AZ48" s="2">
        <f>IF($D48&lt;=AZ$8,$E48/12*(1+AZ$5)+$F48*('Sales &amp; Costs'!AX$49/2),0)</f>
        <v>4370.9080000000004</v>
      </c>
      <c r="BA48" s="2">
        <f>IF($D48&lt;=BA$8,$E48/12*(1+BA$5)+$F48*('Sales &amp; Costs'!AY$49/2),0)</f>
        <v>4370.9080000000004</v>
      </c>
      <c r="BB48" s="2">
        <f>IF($D48&lt;=BB$8,$E48/12*(1+BB$5)+$F48*('Sales &amp; Costs'!AZ$49/2),0)</f>
        <v>4370.9080000000004</v>
      </c>
      <c r="BC48" s="2">
        <f>IF($D48&lt;=BC$8,$E48/12*(1+BC$5)+$F48*('Sales &amp; Costs'!BA$49/2),0)</f>
        <v>4370.9080000000004</v>
      </c>
      <c r="BD48" s="2">
        <f>IF($D48&lt;=BD$8,$E48/12*(1+BD$5)+$F48*('Sales &amp; Costs'!BB$49/2),0)</f>
        <v>4370.9080000000004</v>
      </c>
      <c r="BE48" s="2">
        <f>IF($D48&lt;=BE$8,$E48/12*(1+BE$5)+$F48*('Sales &amp; Costs'!BC$49/2),0)</f>
        <v>4370.9080000000004</v>
      </c>
      <c r="BF48" s="2">
        <f>IF($D48&lt;=BF$8,$E48/12*(1+BF$5)+$F48*('Sales &amp; Costs'!BD$49/2),0)</f>
        <v>4370.9080000000004</v>
      </c>
      <c r="BG48" s="2">
        <f>IF($D48&lt;=BG$8,$E48/12*(1+BG$5)+$F48*('Sales &amp; Costs'!BE$49/2),0)</f>
        <v>4370.9080000000004</v>
      </c>
      <c r="BH48" s="2">
        <f>IF($D48&lt;=BH$8,$E48/12*(1+BH$5)+$F48*('Sales &amp; Costs'!BF$49/2),0)</f>
        <v>4370.9080000000004</v>
      </c>
      <c r="BI48" s="2">
        <f>IF($D48&lt;=BI$8,$E48/12*(1+BI$5)+$F48*('Sales &amp; Costs'!BG$49/2),0)</f>
        <v>4370.9080000000004</v>
      </c>
      <c r="BJ48" s="2">
        <f>IF($D48&lt;=BJ$8,$E48/12*(1+BJ$5)+$F48*('Sales &amp; Costs'!BH$49/2),0)</f>
        <v>4502.0352400000002</v>
      </c>
      <c r="BK48" s="2">
        <f>IF($D48&lt;=BK$8,$E48/12*(1+BK$5)+$F48*('Sales &amp; Costs'!BI$49/2),0)</f>
        <v>4502.0352400000002</v>
      </c>
      <c r="BL48" s="2">
        <f>IF($D48&lt;=BL$8,$E48/12*(1+BL$5)+$F48*('Sales &amp; Costs'!BJ$49/2),0)</f>
        <v>4502.0352400000002</v>
      </c>
      <c r="BM48" s="2">
        <f>IF($D48&lt;=BM$8,$E48/12*(1+BM$5)+$F48*('Sales &amp; Costs'!BK$49/2),0)</f>
        <v>4502.0352400000002</v>
      </c>
      <c r="BN48" s="2">
        <f>IF($D48&lt;=BN$8,$E48/12*(1+BN$5)+$F48*('Sales &amp; Costs'!BL$49/2),0)</f>
        <v>4502.0352400000002</v>
      </c>
      <c r="BO48" s="2">
        <f>IF($D48&lt;=BO$8,$E48/12*(1+BO$5)+$F48*('Sales &amp; Costs'!BM$49/2),0)</f>
        <v>4502.0352400000002</v>
      </c>
      <c r="BP48" s="2">
        <f>IF($D48&lt;=BP$8,$E48/12*(1+BP$5)+$F48*('Sales &amp; Costs'!BN$49/2),0)</f>
        <v>4502.0352400000002</v>
      </c>
      <c r="BQ48" s="2">
        <f>IF($D48&lt;=BQ$8,$E48/12*(1+BQ$5)+$F48*('Sales &amp; Costs'!BO$49/2),0)</f>
        <v>4502.0352400000002</v>
      </c>
      <c r="BR48" s="2">
        <f>IF($D48&lt;=BR$8,$E48/12*(1+BR$5)+$F48*('Sales &amp; Costs'!BP$49/2),0)</f>
        <v>4502.0352400000002</v>
      </c>
      <c r="BS48" s="2">
        <f>IF($D48&lt;=BS$8,$E48/12*(1+BS$5)+$F48*('Sales &amp; Costs'!BQ$49/2),0)</f>
        <v>4502.0352400000002</v>
      </c>
      <c r="BT48" s="2">
        <f>IF($D48&lt;=BT$8,$E48/12*(1+BT$5)+$F48*('Sales &amp; Costs'!BR$49/2),0)</f>
        <v>4502.0352400000002</v>
      </c>
      <c r="BU48" s="2">
        <f>IF($D48&lt;=BU$8,$E48/12*(1+BU$5)+$F48*('Sales &amp; Costs'!BS$49/2),0)</f>
        <v>4502.0352400000002</v>
      </c>
      <c r="BV48" s="2">
        <f>IF($D48&lt;=BV$8,$E48/12*(1+BV$5)+$F48*('Sales &amp; Costs'!BT$49/2),0)</f>
        <v>4637.0962972000007</v>
      </c>
      <c r="BW48" s="2">
        <f>IF($D48&lt;=BW$8,$E48/12*(1+BW$5)+$F48*('Sales &amp; Costs'!BU$49/2),0)</f>
        <v>4637.0962972000007</v>
      </c>
      <c r="BX48" s="2">
        <f>IF($D48&lt;=BX$8,$E48/12*(1+BX$5)+$F48*('Sales &amp; Costs'!BV$49/2),0)</f>
        <v>4637.0962972000007</v>
      </c>
      <c r="BY48" s="2">
        <f>IF($D48&lt;=BY$8,$E48/12*(1+BY$5)+$F48*('Sales &amp; Costs'!BW$49/2),0)</f>
        <v>4637.0962972000007</v>
      </c>
      <c r="BZ48" s="2">
        <f>IF($D48&lt;=BZ$8,$E48/12*(1+BZ$5)+$F48*('Sales &amp; Costs'!BX$49/2),0)</f>
        <v>4637.0962972000007</v>
      </c>
      <c r="CA48" s="2">
        <f>IF($D48&lt;=CA$8,$E48/12*(1+CA$5)+$F48*('Sales &amp; Costs'!BY$49/2),0)</f>
        <v>4637.0962972000007</v>
      </c>
      <c r="CC48" s="2">
        <f t="shared" si="18"/>
        <v>54024.422879999998</v>
      </c>
    </row>
    <row r="49" spans="2:81" ht="15.75" customHeight="1">
      <c r="C49" s="271" t="s">
        <v>409</v>
      </c>
      <c r="D49" s="96">
        <v>41214</v>
      </c>
      <c r="E49" s="95">
        <v>36000</v>
      </c>
      <c r="F49" s="183">
        <v>0</v>
      </c>
      <c r="H49" s="2">
        <f>IF($D49&lt;=H$8,$E49/12*(1+H$5)+$F49*('Sales &amp; Costs'!F$49/2),0)</f>
        <v>0</v>
      </c>
      <c r="I49" s="2">
        <f>IF($D49&lt;=I$8,$E49/12*(1+I$5)+$F49*('Sales &amp; Costs'!G$49/2),0)</f>
        <v>0</v>
      </c>
      <c r="J49" s="2">
        <f>IF($D49&lt;=J$8,$E49/12*(1+J$5)+$F49*('Sales &amp; Costs'!H$49/2),0)</f>
        <v>0</v>
      </c>
      <c r="K49" s="2">
        <f>IF($D49&lt;=K$8,$E49/12*(1+K$5)+$F49*('Sales &amp; Costs'!I$49/2),0)</f>
        <v>0</v>
      </c>
      <c r="L49" s="2">
        <f>IF($D49&lt;=L$8,$E49/12*(1+L$5)+$F49*('Sales &amp; Costs'!J$49/2),0)</f>
        <v>0</v>
      </c>
      <c r="M49" s="2">
        <f>IF($D49&lt;=M$8,$E49/12*(1+M$5)+$F49*('Sales &amp; Costs'!K$49/2),0)</f>
        <v>0</v>
      </c>
      <c r="N49" s="2">
        <f>IF($D49&lt;=N$8,$E49/12*(1+N$5)+$F49*('Sales &amp; Costs'!L$49/2),0)</f>
        <v>0</v>
      </c>
      <c r="O49" s="2">
        <f>IF($D49&lt;=O$8,$E49/12*(1+O$5)+$F49*('Sales &amp; Costs'!M$49/2),0)</f>
        <v>0</v>
      </c>
      <c r="P49" s="2">
        <f>IF($D49&lt;=P$8,$E49/12*(1+P$5)+$F49*('Sales &amp; Costs'!N$49/2),0)</f>
        <v>0</v>
      </c>
      <c r="Q49" s="2">
        <f>IF($D49&lt;=Q$8,$E49/12*(1+Q$5)+$F49*('Sales &amp; Costs'!O$49/2),0)</f>
        <v>0</v>
      </c>
      <c r="R49" s="2">
        <f>IF($D49&lt;=R$8,$E49/12*(1+R$5)+$F49*('Sales &amp; Costs'!P$49/2),0)</f>
        <v>0</v>
      </c>
      <c r="S49" s="2">
        <f>IF($D49&lt;=S$8,$E49/12*(1+S$5)+$F49*('Sales &amp; Costs'!Q$49/2),0)</f>
        <v>0</v>
      </c>
      <c r="T49" s="2">
        <f>IF($D49&lt;=T$8,$E49/12*(1+T$5)+$F49*('Sales &amp; Costs'!R$49/2),0)</f>
        <v>0</v>
      </c>
      <c r="U49" s="2">
        <f>IF($D49&lt;=U$8,$E49/12*(1+U$5)+$F49*('Sales &amp; Costs'!S$49/2),0)</f>
        <v>0</v>
      </c>
      <c r="V49" s="2">
        <f>IF($D49&lt;=V$8,$E49/12*(1+V$5)+$F49*('Sales &amp; Costs'!T$49/2),0)</f>
        <v>0</v>
      </c>
      <c r="W49" s="2">
        <f>IF($D49&lt;=W$8,$E49/12*(1+W$5)+$F49*('Sales &amp; Costs'!U$49/2),0)</f>
        <v>0</v>
      </c>
      <c r="X49" s="2">
        <f>IF($D49&lt;=X$8,$E49/12*(1+X$5)+$F49*('Sales &amp; Costs'!V$49/2),0)</f>
        <v>0</v>
      </c>
      <c r="Y49" s="2">
        <f>IF($D49&lt;=Y$8,$E49/12*(1+Y$5)+$F49*('Sales &amp; Costs'!W$49/2),0)</f>
        <v>0</v>
      </c>
      <c r="Z49" s="2">
        <f>IF($D49&lt;=Z$8,$E49/12*(1+Z$5)+$F49*('Sales &amp; Costs'!X$49/2),0)</f>
        <v>0</v>
      </c>
      <c r="AA49" s="2">
        <f>IF($D49&lt;=AA$8,$E49/12*(1+AA$5)+$F49*('Sales &amp; Costs'!Y$49/2),0)</f>
        <v>0</v>
      </c>
      <c r="AB49" s="2">
        <f>IF($D49&lt;=AB$8,$E49/12*(1+AB$5)+$F49*('Sales &amp; Costs'!Z$49/2),0)</f>
        <v>0</v>
      </c>
      <c r="AC49" s="2">
        <f>IF($D49&lt;=AC$8,$E49/12*(1+AC$5)+$F49*('Sales &amp; Costs'!AA$49/2),0)</f>
        <v>0</v>
      </c>
      <c r="AD49" s="2">
        <f>IF($D49&lt;=AD$8,$E49/12*(1+AD$5)+$F49*('Sales &amp; Costs'!AB$49/2),0)</f>
        <v>0</v>
      </c>
      <c r="AE49" s="2">
        <f>IF($D49&lt;=AE$8,$E49/12*(1+AE$5)+$F49*('Sales &amp; Costs'!AC$49/2),0)</f>
        <v>0</v>
      </c>
      <c r="AF49" s="2">
        <f>IF($D49&lt;=AF$8,$E49/12*(1+AF$5)+$F49*('Sales &amp; Costs'!AD$49/2),0)</f>
        <v>0</v>
      </c>
      <c r="AG49" s="2">
        <f>IF($D49&lt;=AG$8,$E49/12*(1+AG$5)+$F49*('Sales &amp; Costs'!AE$49/2),0)</f>
        <v>0</v>
      </c>
      <c r="AH49" s="2">
        <f>IF($D49&lt;=AH$8,$E49/12*(1+AH$5)+$F49*('Sales &amp; Costs'!AF$49/2),0)</f>
        <v>0</v>
      </c>
      <c r="AI49" s="2">
        <f>IF($D49&lt;=AI$8,$E49/12*(1+AI$5)+$F49*('Sales &amp; Costs'!AG$49/2),0)</f>
        <v>0</v>
      </c>
      <c r="AJ49" s="2">
        <f>IF($D49&lt;=AJ$8,$E49/12*(1+AJ$5)+$F49*('Sales &amp; Costs'!AH$49/2),0)</f>
        <v>0</v>
      </c>
      <c r="AK49" s="2">
        <f>IF($D49&lt;=AK$8,$E49/12*(1+AK$5)+$F49*('Sales &amp; Costs'!AI$49/2),0)</f>
        <v>0</v>
      </c>
      <c r="AL49" s="2">
        <f>IF($D49&lt;=AL$8,$E49/12*(1+AL$5)+$F49*('Sales &amp; Costs'!AJ$49/2),0)</f>
        <v>0</v>
      </c>
      <c r="AM49" s="2">
        <f>IF($D49&lt;=AM$8,$E49/12*(1+AM$5)+$F49*('Sales &amp; Costs'!AK$49/2),0)</f>
        <v>0</v>
      </c>
      <c r="AN49" s="2">
        <f>IF($D49&lt;=AN$8,$E49/12*(1+AN$5)+$F49*('Sales &amp; Costs'!AL$49/2),0)</f>
        <v>0</v>
      </c>
      <c r="AO49" s="2">
        <f>IF($D49&lt;=AO$8,$E49/12*(1+AO$5)+$F49*('Sales &amp; Costs'!AM$49/2),0)</f>
        <v>0</v>
      </c>
      <c r="AP49" s="2">
        <f>IF($D49&lt;=AP$8,$E49/12*(1+AP$5)+$F49*('Sales &amp; Costs'!AN$49/2),0)</f>
        <v>0</v>
      </c>
      <c r="AQ49" s="2">
        <f>IF($D49&lt;=AQ$8,$E49/12*(1+AQ$5)+$F49*('Sales &amp; Costs'!AO$49/2),0)</f>
        <v>0</v>
      </c>
      <c r="AR49" s="2">
        <f>IF($D49&lt;=AR$8,$E49/12*(1+AR$5)+$F49*('Sales &amp; Costs'!AP$49/2),0)</f>
        <v>0</v>
      </c>
      <c r="AS49" s="2">
        <f>IF($D49&lt;=AS$8,$E49/12*(1+AS$5)+$F49*('Sales &amp; Costs'!AQ$49/2),0)</f>
        <v>0</v>
      </c>
      <c r="AT49" s="2">
        <f>IF($D49&lt;=AT$8,$E49/12*(1+AT$5)+$F49*('Sales &amp; Costs'!AR$49/2),0)</f>
        <v>0</v>
      </c>
      <c r="AU49" s="2">
        <f>IF($D49&lt;=AU$8,$E49/12*(1+AU$5)+$F49*('Sales &amp; Costs'!AS$49/2),0)</f>
        <v>0</v>
      </c>
      <c r="AV49" s="2">
        <f>IF($D49&lt;=AV$8,$E49/12*(1+AV$5)+$F49*('Sales &amp; Costs'!AT$49/2),0)</f>
        <v>0</v>
      </c>
      <c r="AW49" s="2">
        <f>IF($D49&lt;=AW$8,$E49/12*(1+AW$5)+$F49*('Sales &amp; Costs'!AU$49/2),0)</f>
        <v>0</v>
      </c>
      <c r="AX49" s="2">
        <f>IF($D49&lt;=AX$8,$E49/12*(1+AX$5)+$F49*('Sales &amp; Costs'!AV$49/2),0)</f>
        <v>0</v>
      </c>
      <c r="AY49" s="2">
        <f>IF($D49&lt;=AY$8,$E49/12*(1+AY$5)+$F49*('Sales &amp; Costs'!AW$49/2),0)</f>
        <v>0</v>
      </c>
      <c r="AZ49" s="2">
        <f>IF($D49&lt;=AZ$8,$E49/12*(1+AZ$5)+$F49*('Sales &amp; Costs'!AX$49/2),0)</f>
        <v>0</v>
      </c>
      <c r="BA49" s="2">
        <f>IF($D49&lt;=BA$8,$E49/12*(1+BA$5)+$F49*('Sales &amp; Costs'!AY$49/2),0)</f>
        <v>0</v>
      </c>
      <c r="BB49" s="2">
        <f>IF($D49&lt;=BB$8,$E49/12*(1+BB$5)+$F49*('Sales &amp; Costs'!AZ$49/2),0)</f>
        <v>3278.181</v>
      </c>
      <c r="BC49" s="2">
        <f>IF($D49&lt;=BC$8,$E49/12*(1+BC$5)+$F49*('Sales &amp; Costs'!BA$49/2),0)</f>
        <v>3278.181</v>
      </c>
      <c r="BD49" s="2">
        <f>IF($D49&lt;=BD$8,$E49/12*(1+BD$5)+$F49*('Sales &amp; Costs'!BB$49/2),0)</f>
        <v>3278.181</v>
      </c>
      <c r="BE49" s="2">
        <f>IF($D49&lt;=BE$8,$E49/12*(1+BE$5)+$F49*('Sales &amp; Costs'!BC$49/2),0)</f>
        <v>3278.181</v>
      </c>
      <c r="BF49" s="2">
        <f>IF($D49&lt;=BF$8,$E49/12*(1+BF$5)+$F49*('Sales &amp; Costs'!BD$49/2),0)</f>
        <v>3278.181</v>
      </c>
      <c r="BG49" s="2">
        <f>IF($D49&lt;=BG$8,$E49/12*(1+BG$5)+$F49*('Sales &amp; Costs'!BE$49/2),0)</f>
        <v>3278.181</v>
      </c>
      <c r="BH49" s="2">
        <f>IF($D49&lt;=BH$8,$E49/12*(1+BH$5)+$F49*('Sales &amp; Costs'!BF$49/2),0)</f>
        <v>3278.181</v>
      </c>
      <c r="BI49" s="2">
        <f>IF($D49&lt;=BI$8,$E49/12*(1+BI$5)+$F49*('Sales &amp; Costs'!BG$49/2),0)</f>
        <v>3278.181</v>
      </c>
      <c r="BJ49" s="2">
        <f>IF($D49&lt;=BJ$8,$E49/12*(1+BJ$5)+$F49*('Sales &amp; Costs'!BH$49/2),0)</f>
        <v>3376.5264300000003</v>
      </c>
      <c r="BK49" s="2">
        <f>IF($D49&lt;=BK$8,$E49/12*(1+BK$5)+$F49*('Sales &amp; Costs'!BI$49/2),0)</f>
        <v>3376.5264300000003</v>
      </c>
      <c r="BL49" s="2">
        <f>IF($D49&lt;=BL$8,$E49/12*(1+BL$5)+$F49*('Sales &amp; Costs'!BJ$49/2),0)</f>
        <v>3376.5264300000003</v>
      </c>
      <c r="BM49" s="2">
        <f>IF($D49&lt;=BM$8,$E49/12*(1+BM$5)+$F49*('Sales &amp; Costs'!BK$49/2),0)</f>
        <v>3376.5264300000003</v>
      </c>
      <c r="BN49" s="2">
        <f>IF($D49&lt;=BN$8,$E49/12*(1+BN$5)+$F49*('Sales &amp; Costs'!BL$49/2),0)</f>
        <v>3376.5264300000003</v>
      </c>
      <c r="BO49" s="2">
        <f>IF($D49&lt;=BO$8,$E49/12*(1+BO$5)+$F49*('Sales &amp; Costs'!BM$49/2),0)</f>
        <v>3376.5264300000003</v>
      </c>
      <c r="BP49" s="2">
        <f>IF($D49&lt;=BP$8,$E49/12*(1+BP$5)+$F49*('Sales &amp; Costs'!BN$49/2),0)</f>
        <v>3376.5264300000003</v>
      </c>
      <c r="BQ49" s="2">
        <f>IF($D49&lt;=BQ$8,$E49/12*(1+BQ$5)+$F49*('Sales &amp; Costs'!BO$49/2),0)</f>
        <v>3376.5264300000003</v>
      </c>
      <c r="BR49" s="2">
        <f>IF($D49&lt;=BR$8,$E49/12*(1+BR$5)+$F49*('Sales &amp; Costs'!BP$49/2),0)</f>
        <v>3376.5264300000003</v>
      </c>
      <c r="BS49" s="2">
        <f>IF($D49&lt;=BS$8,$E49/12*(1+BS$5)+$F49*('Sales &amp; Costs'!BQ$49/2),0)</f>
        <v>3376.5264300000003</v>
      </c>
      <c r="BT49" s="2">
        <f>IF($D49&lt;=BT$8,$E49/12*(1+BT$5)+$F49*('Sales &amp; Costs'!BR$49/2),0)</f>
        <v>3376.5264300000003</v>
      </c>
      <c r="BU49" s="2">
        <f>IF($D49&lt;=BU$8,$E49/12*(1+BU$5)+$F49*('Sales &amp; Costs'!BS$49/2),0)</f>
        <v>3376.5264300000003</v>
      </c>
      <c r="BV49" s="2">
        <f>IF($D49&lt;=BV$8,$E49/12*(1+BV$5)+$F49*('Sales &amp; Costs'!BT$49/2),0)</f>
        <v>3477.8222229000003</v>
      </c>
      <c r="BW49" s="2">
        <f>IF($D49&lt;=BW$8,$E49/12*(1+BW$5)+$F49*('Sales &amp; Costs'!BU$49/2),0)</f>
        <v>3477.8222229000003</v>
      </c>
      <c r="BX49" s="2">
        <f>IF($D49&lt;=BX$8,$E49/12*(1+BX$5)+$F49*('Sales &amp; Costs'!BV$49/2),0)</f>
        <v>3477.8222229000003</v>
      </c>
      <c r="BY49" s="2">
        <f>IF($D49&lt;=BY$8,$E49/12*(1+BY$5)+$F49*('Sales &amp; Costs'!BW$49/2),0)</f>
        <v>3477.8222229000003</v>
      </c>
      <c r="BZ49" s="2">
        <f>IF($D49&lt;=BZ$8,$E49/12*(1+BZ$5)+$F49*('Sales &amp; Costs'!BX$49/2),0)</f>
        <v>3477.8222229000003</v>
      </c>
      <c r="CA49" s="2">
        <f>IF($D49&lt;=CA$8,$E49/12*(1+CA$5)+$F49*('Sales &amp; Costs'!BY$49/2),0)</f>
        <v>3477.8222229000003</v>
      </c>
      <c r="CC49" s="2">
        <f t="shared" si="18"/>
        <v>40518.317160000006</v>
      </c>
    </row>
    <row r="50" spans="2:81" ht="15.75" customHeight="1">
      <c r="C50" s="271" t="s">
        <v>410</v>
      </c>
      <c r="D50" s="96">
        <v>40695</v>
      </c>
      <c r="E50" s="95">
        <v>36000</v>
      </c>
      <c r="F50" s="183">
        <v>0</v>
      </c>
      <c r="H50" s="2">
        <f>IF($D50&lt;=H$8,$E50/12*(1+H$5)+$F50*('Sales &amp; Costs'!F$49/2),0)</f>
        <v>0</v>
      </c>
      <c r="I50" s="2">
        <f>IF($D50&lt;=I$8,$E50/12*(1+I$5)+$F50*('Sales &amp; Costs'!G$49/2),0)</f>
        <v>0</v>
      </c>
      <c r="J50" s="2">
        <f>IF($D50&lt;=J$8,$E50/12*(1+J$5)+$F50*('Sales &amp; Costs'!H$49/2),0)</f>
        <v>0</v>
      </c>
      <c r="K50" s="2">
        <f>IF($D50&lt;=K$8,$E50/12*(1+K$5)+$F50*('Sales &amp; Costs'!I$49/2),0)</f>
        <v>0</v>
      </c>
      <c r="L50" s="2">
        <f>IF($D50&lt;=L$8,$E50/12*(1+L$5)+$F50*('Sales &amp; Costs'!J$49/2),0)</f>
        <v>0</v>
      </c>
      <c r="M50" s="2">
        <f>IF($D50&lt;=M$8,$E50/12*(1+M$5)+$F50*('Sales &amp; Costs'!K$49/2),0)</f>
        <v>0</v>
      </c>
      <c r="N50" s="2">
        <f>IF($D50&lt;=N$8,$E50/12*(1+N$5)+$F50*('Sales &amp; Costs'!L$49/2),0)</f>
        <v>0</v>
      </c>
      <c r="O50" s="2">
        <f>IF($D50&lt;=O$8,$E50/12*(1+O$5)+$F50*('Sales &amp; Costs'!M$49/2),0)</f>
        <v>0</v>
      </c>
      <c r="P50" s="2">
        <f>IF($D50&lt;=P$8,$E50/12*(1+P$5)+$F50*('Sales &amp; Costs'!N$49/2),0)</f>
        <v>0</v>
      </c>
      <c r="Q50" s="2">
        <f>IF($D50&lt;=Q$8,$E50/12*(1+Q$5)+$F50*('Sales &amp; Costs'!O$49/2),0)</f>
        <v>0</v>
      </c>
      <c r="R50" s="2">
        <f>IF($D50&lt;=R$8,$E50/12*(1+R$5)+$F50*('Sales &amp; Costs'!P$49/2),0)</f>
        <v>0</v>
      </c>
      <c r="S50" s="2">
        <f>IF($D50&lt;=S$8,$E50/12*(1+S$5)+$F50*('Sales &amp; Costs'!Q$49/2),0)</f>
        <v>0</v>
      </c>
      <c r="T50" s="2">
        <f>IF($D50&lt;=T$8,$E50/12*(1+T$5)+$F50*('Sales &amp; Costs'!R$49/2),0)</f>
        <v>0</v>
      </c>
      <c r="U50" s="2">
        <f>IF($D50&lt;=U$8,$E50/12*(1+U$5)+$F50*('Sales &amp; Costs'!S$49/2),0)</f>
        <v>0</v>
      </c>
      <c r="V50" s="2">
        <f>IF($D50&lt;=V$8,$E50/12*(1+V$5)+$F50*('Sales &amp; Costs'!T$49/2),0)</f>
        <v>0</v>
      </c>
      <c r="W50" s="2">
        <f>IF($D50&lt;=W$8,$E50/12*(1+W$5)+$F50*('Sales &amp; Costs'!U$49/2),0)</f>
        <v>0</v>
      </c>
      <c r="X50" s="2">
        <f>IF($D50&lt;=X$8,$E50/12*(1+X$5)+$F50*('Sales &amp; Costs'!V$49/2),0)</f>
        <v>0</v>
      </c>
      <c r="Y50" s="2">
        <f>IF($D50&lt;=Y$8,$E50/12*(1+Y$5)+$F50*('Sales &amp; Costs'!W$49/2),0)</f>
        <v>0</v>
      </c>
      <c r="Z50" s="2">
        <f>IF($D50&lt;=Z$8,$E50/12*(1+Z$5)+$F50*('Sales &amp; Costs'!X$49/2),0)</f>
        <v>0</v>
      </c>
      <c r="AA50" s="2">
        <f>IF($D50&lt;=AA$8,$E50/12*(1+AA$5)+$F50*('Sales &amp; Costs'!Y$49/2),0)</f>
        <v>0</v>
      </c>
      <c r="AB50" s="2">
        <f>IF($D50&lt;=AB$8,$E50/12*(1+AB$5)+$F50*('Sales &amp; Costs'!Z$49/2),0)</f>
        <v>0</v>
      </c>
      <c r="AC50" s="2">
        <f>IF($D50&lt;=AC$8,$E50/12*(1+AC$5)+$F50*('Sales &amp; Costs'!AA$49/2),0)</f>
        <v>0</v>
      </c>
      <c r="AD50" s="2">
        <f>IF($D50&lt;=AD$8,$E50/12*(1+AD$5)+$F50*('Sales &amp; Costs'!AB$49/2),0)</f>
        <v>0</v>
      </c>
      <c r="AE50" s="2">
        <f>IF($D50&lt;=AE$8,$E50/12*(1+AE$5)+$F50*('Sales &amp; Costs'!AC$49/2),0)</f>
        <v>0</v>
      </c>
      <c r="AF50" s="2">
        <f>IF($D50&lt;=AF$8,$E50/12*(1+AF$5)+$F50*('Sales &amp; Costs'!AD$49/2),0)</f>
        <v>0</v>
      </c>
      <c r="AG50" s="2">
        <f>IF($D50&lt;=AG$8,$E50/12*(1+AG$5)+$F50*('Sales &amp; Costs'!AE$49/2),0)</f>
        <v>0</v>
      </c>
      <c r="AH50" s="2">
        <f>IF($D50&lt;=AH$8,$E50/12*(1+AH$5)+$F50*('Sales &amp; Costs'!AF$49/2),0)</f>
        <v>0</v>
      </c>
      <c r="AI50" s="2">
        <f>IF($D50&lt;=AI$8,$E50/12*(1+AI$5)+$F50*('Sales &amp; Costs'!AG$49/2),0)</f>
        <v>0</v>
      </c>
      <c r="AJ50" s="2">
        <f>IF($D50&lt;=AJ$8,$E50/12*(1+AJ$5)+$F50*('Sales &amp; Costs'!AH$49/2),0)</f>
        <v>0</v>
      </c>
      <c r="AK50" s="2">
        <f>IF($D50&lt;=AK$8,$E50/12*(1+AK$5)+$F50*('Sales &amp; Costs'!AI$49/2),0)</f>
        <v>3090</v>
      </c>
      <c r="AL50" s="2">
        <f>IF($D50&lt;=AL$8,$E50/12*(1+AL$5)+$F50*('Sales &amp; Costs'!AJ$49/2),0)</f>
        <v>3182.7</v>
      </c>
      <c r="AM50" s="2">
        <f>IF($D50&lt;=AM$8,$E50/12*(1+AM$5)+$F50*('Sales &amp; Costs'!AK$49/2),0)</f>
        <v>3182.7</v>
      </c>
      <c r="AN50" s="2">
        <f>IF($D50&lt;=AN$8,$E50/12*(1+AN$5)+$F50*('Sales &amp; Costs'!AL$49/2),0)</f>
        <v>3182.7</v>
      </c>
      <c r="AO50" s="2">
        <f>IF($D50&lt;=AO$8,$E50/12*(1+AO$5)+$F50*('Sales &amp; Costs'!AM$49/2),0)</f>
        <v>3182.7</v>
      </c>
      <c r="AP50" s="2">
        <f>IF($D50&lt;=AP$8,$E50/12*(1+AP$5)+$F50*('Sales &amp; Costs'!AN$49/2),0)</f>
        <v>3182.7</v>
      </c>
      <c r="AQ50" s="2">
        <f>IF($D50&lt;=AQ$8,$E50/12*(1+AQ$5)+$F50*('Sales &amp; Costs'!AO$49/2),0)</f>
        <v>3182.7</v>
      </c>
      <c r="AR50" s="2">
        <f>IF($D50&lt;=AR$8,$E50/12*(1+AR$5)+$F50*('Sales &amp; Costs'!AP$49/2),0)</f>
        <v>3182.7</v>
      </c>
      <c r="AS50" s="2">
        <f>IF($D50&lt;=AS$8,$E50/12*(1+AS$5)+$F50*('Sales &amp; Costs'!AQ$49/2),0)</f>
        <v>3182.7</v>
      </c>
      <c r="AT50" s="2">
        <f>IF($D50&lt;=AT$8,$E50/12*(1+AT$5)+$F50*('Sales &amp; Costs'!AR$49/2),0)</f>
        <v>3182.7</v>
      </c>
      <c r="AU50" s="2">
        <f>IF($D50&lt;=AU$8,$E50/12*(1+AU$5)+$F50*('Sales &amp; Costs'!AS$49/2),0)</f>
        <v>3182.7</v>
      </c>
      <c r="AV50" s="2">
        <f>IF($D50&lt;=AV$8,$E50/12*(1+AV$5)+$F50*('Sales &amp; Costs'!AT$49/2),0)</f>
        <v>3182.7</v>
      </c>
      <c r="AW50" s="2">
        <f>IF($D50&lt;=AW$8,$E50/12*(1+AW$5)+$F50*('Sales &amp; Costs'!AU$49/2),0)</f>
        <v>3182.7</v>
      </c>
      <c r="AX50" s="2">
        <f>IF($D50&lt;=AX$8,$E50/12*(1+AX$5)+$F50*('Sales &amp; Costs'!AV$49/2),0)</f>
        <v>3278.181</v>
      </c>
      <c r="AY50" s="2">
        <f>IF($D50&lt;=AY$8,$E50/12*(1+AY$5)+$F50*('Sales &amp; Costs'!AW$49/2),0)</f>
        <v>3278.181</v>
      </c>
      <c r="AZ50" s="2">
        <f>IF($D50&lt;=AZ$8,$E50/12*(1+AZ$5)+$F50*('Sales &amp; Costs'!AX$49/2),0)</f>
        <v>3278.181</v>
      </c>
      <c r="BA50" s="2">
        <f>IF($D50&lt;=BA$8,$E50/12*(1+BA$5)+$F50*('Sales &amp; Costs'!AY$49/2),0)</f>
        <v>3278.181</v>
      </c>
      <c r="BB50" s="2">
        <f>IF($D50&lt;=BB$8,$E50/12*(1+BB$5)+$F50*('Sales &amp; Costs'!AZ$49/2),0)</f>
        <v>3278.181</v>
      </c>
      <c r="BC50" s="2">
        <f>IF($D50&lt;=BC$8,$E50/12*(1+BC$5)+$F50*('Sales &amp; Costs'!BA$49/2),0)</f>
        <v>3278.181</v>
      </c>
      <c r="BD50" s="2">
        <f>IF($D50&lt;=BD$8,$E50/12*(1+BD$5)+$F50*('Sales &amp; Costs'!BB$49/2),0)</f>
        <v>3278.181</v>
      </c>
      <c r="BE50" s="2">
        <f>IF($D50&lt;=BE$8,$E50/12*(1+BE$5)+$F50*('Sales &amp; Costs'!BC$49/2),0)</f>
        <v>3278.181</v>
      </c>
      <c r="BF50" s="2">
        <f>IF($D50&lt;=BF$8,$E50/12*(1+BF$5)+$F50*('Sales &amp; Costs'!BD$49/2),0)</f>
        <v>3278.181</v>
      </c>
      <c r="BG50" s="2">
        <f>IF($D50&lt;=BG$8,$E50/12*(1+BG$5)+$F50*('Sales &amp; Costs'!BE$49/2),0)</f>
        <v>3278.181</v>
      </c>
      <c r="BH50" s="2">
        <f>IF($D50&lt;=BH$8,$E50/12*(1+BH$5)+$F50*('Sales &amp; Costs'!BF$49/2),0)</f>
        <v>3278.181</v>
      </c>
      <c r="BI50" s="2">
        <f>IF($D50&lt;=BI$8,$E50/12*(1+BI$5)+$F50*('Sales &amp; Costs'!BG$49/2),0)</f>
        <v>3278.181</v>
      </c>
      <c r="BJ50" s="2">
        <f>IF($D50&lt;=BJ$8,$E50/12*(1+BJ$5)+$F50*('Sales &amp; Costs'!BH$49/2),0)</f>
        <v>3376.5264300000003</v>
      </c>
      <c r="BK50" s="2">
        <f>IF($D50&lt;=BK$8,$E50/12*(1+BK$5)+$F50*('Sales &amp; Costs'!BI$49/2),0)</f>
        <v>3376.5264300000003</v>
      </c>
      <c r="BL50" s="2">
        <f>IF($D50&lt;=BL$8,$E50/12*(1+BL$5)+$F50*('Sales &amp; Costs'!BJ$49/2),0)</f>
        <v>3376.5264300000003</v>
      </c>
      <c r="BM50" s="2">
        <f>IF($D50&lt;=BM$8,$E50/12*(1+BM$5)+$F50*('Sales &amp; Costs'!BK$49/2),0)</f>
        <v>3376.5264300000003</v>
      </c>
      <c r="BN50" s="2">
        <f>IF($D50&lt;=BN$8,$E50/12*(1+BN$5)+$F50*('Sales &amp; Costs'!BL$49/2),0)</f>
        <v>3376.5264300000003</v>
      </c>
      <c r="BO50" s="2">
        <f>IF($D50&lt;=BO$8,$E50/12*(1+BO$5)+$F50*('Sales &amp; Costs'!BM$49/2),0)</f>
        <v>3376.5264300000003</v>
      </c>
      <c r="BP50" s="2">
        <f>IF($D50&lt;=BP$8,$E50/12*(1+BP$5)+$F50*('Sales &amp; Costs'!BN$49/2),0)</f>
        <v>3376.5264300000003</v>
      </c>
      <c r="BQ50" s="2">
        <f>IF($D50&lt;=BQ$8,$E50/12*(1+BQ$5)+$F50*('Sales &amp; Costs'!BO$49/2),0)</f>
        <v>3376.5264300000003</v>
      </c>
      <c r="BR50" s="2">
        <f>IF($D50&lt;=BR$8,$E50/12*(1+BR$5)+$F50*('Sales &amp; Costs'!BP$49/2),0)</f>
        <v>3376.5264300000003</v>
      </c>
      <c r="BS50" s="2">
        <f>IF($D50&lt;=BS$8,$E50/12*(1+BS$5)+$F50*('Sales &amp; Costs'!BQ$49/2),0)</f>
        <v>3376.5264300000003</v>
      </c>
      <c r="BT50" s="2">
        <f>IF($D50&lt;=BT$8,$E50/12*(1+BT$5)+$F50*('Sales &amp; Costs'!BR$49/2),0)</f>
        <v>3376.5264300000003</v>
      </c>
      <c r="BU50" s="2">
        <f>IF($D50&lt;=BU$8,$E50/12*(1+BU$5)+$F50*('Sales &amp; Costs'!BS$49/2),0)</f>
        <v>3376.5264300000003</v>
      </c>
      <c r="BV50" s="2">
        <f>IF($D50&lt;=BV$8,$E50/12*(1+BV$5)+$F50*('Sales &amp; Costs'!BT$49/2),0)</f>
        <v>3477.8222229000003</v>
      </c>
      <c r="BW50" s="2">
        <f>IF($D50&lt;=BW$8,$E50/12*(1+BW$5)+$F50*('Sales &amp; Costs'!BU$49/2),0)</f>
        <v>3477.8222229000003</v>
      </c>
      <c r="BX50" s="2">
        <f>IF($D50&lt;=BX$8,$E50/12*(1+BX$5)+$F50*('Sales &amp; Costs'!BV$49/2),0)</f>
        <v>3477.8222229000003</v>
      </c>
      <c r="BY50" s="2">
        <f>IF($D50&lt;=BY$8,$E50/12*(1+BY$5)+$F50*('Sales &amp; Costs'!BW$49/2),0)</f>
        <v>3477.8222229000003</v>
      </c>
      <c r="BZ50" s="2">
        <f>IF($D50&lt;=BZ$8,$E50/12*(1+BZ$5)+$F50*('Sales &amp; Costs'!BX$49/2),0)</f>
        <v>3477.8222229000003</v>
      </c>
      <c r="CA50" s="2">
        <f>IF($D50&lt;=CA$8,$E50/12*(1+CA$5)+$F50*('Sales &amp; Costs'!BY$49/2),0)</f>
        <v>3477.8222229000003</v>
      </c>
      <c r="CC50" s="2">
        <f t="shared" si="18"/>
        <v>40518.317160000006</v>
      </c>
    </row>
    <row r="51" spans="2:81" ht="15.75" customHeight="1">
      <c r="C51" s="271" t="s">
        <v>389</v>
      </c>
      <c r="D51" s="96">
        <v>40787</v>
      </c>
      <c r="E51" s="95">
        <f>2400*12</f>
        <v>28800</v>
      </c>
      <c r="F51" s="183">
        <v>0</v>
      </c>
      <c r="H51" s="2">
        <f>IF($D51&lt;=H$8,$E51/12*(1+H$5)+$F51*('Sales &amp; Costs'!F$49/2),0)</f>
        <v>0</v>
      </c>
      <c r="I51" s="2">
        <f>IF($D51&lt;=I$8,$E51/12*(1+I$5)+$F51*('Sales &amp; Costs'!G$49/2),0)</f>
        <v>0</v>
      </c>
      <c r="J51" s="2">
        <f>IF($D51&lt;=J$8,$E51/12*(1+J$5)+$F51*('Sales &amp; Costs'!H$49/2),0)</f>
        <v>0</v>
      </c>
      <c r="K51" s="2">
        <f>IF($D51&lt;=K$8,$E51/12*(1+K$5)+$F51*('Sales &amp; Costs'!I$49/2),0)</f>
        <v>0</v>
      </c>
      <c r="L51" s="2">
        <f>IF($D51&lt;=L$8,$E51/12*(1+L$5)+$F51*('Sales &amp; Costs'!J$49/2),0)</f>
        <v>0</v>
      </c>
      <c r="M51" s="2">
        <f>IF($D51&lt;=M$8,$E51/12*(1+M$5)+$F51*('Sales &amp; Costs'!K$49/2),0)</f>
        <v>0</v>
      </c>
      <c r="N51" s="2">
        <f>IF($D51&lt;=N$8,$E51/12*(1+N$5)+$F51*('Sales &amp; Costs'!L$49/2),0)</f>
        <v>0</v>
      </c>
      <c r="O51" s="2">
        <f>IF($D51&lt;=O$8,$E51/12*(1+O$5)+$F51*('Sales &amp; Costs'!M$49/2),0)</f>
        <v>0</v>
      </c>
      <c r="P51" s="2">
        <f>IF($D51&lt;=P$8,$E51/12*(1+P$5)+$F51*('Sales &amp; Costs'!N$49/2),0)</f>
        <v>0</v>
      </c>
      <c r="Q51" s="2">
        <f>IF($D51&lt;=Q$8,$E51/12*(1+Q$5)+$F51*('Sales &amp; Costs'!O$49/2),0)</f>
        <v>0</v>
      </c>
      <c r="R51" s="2">
        <f>IF($D51&lt;=R$8,$E51/12*(1+R$5)+$F51*('Sales &amp; Costs'!P$49/2),0)</f>
        <v>0</v>
      </c>
      <c r="S51" s="2">
        <f>IF($D51&lt;=S$8,$E51/12*(1+S$5)+$F51*('Sales &amp; Costs'!Q$49/2),0)</f>
        <v>0</v>
      </c>
      <c r="T51" s="2">
        <f>IF($D51&lt;=T$8,$E51/12*(1+T$5)+$F51*('Sales &amp; Costs'!R$49/2),0)</f>
        <v>0</v>
      </c>
      <c r="U51" s="2">
        <f>IF($D51&lt;=U$8,$E51/12*(1+U$5)+$F51*('Sales &amp; Costs'!S$49/2),0)</f>
        <v>0</v>
      </c>
      <c r="V51" s="2">
        <f>IF($D51&lt;=V$8,$E51/12*(1+V$5)+$F51*('Sales &amp; Costs'!T$49/2),0)</f>
        <v>0</v>
      </c>
      <c r="W51" s="2">
        <f>IF($D51&lt;=W$8,$E51/12*(1+W$5)+$F51*('Sales &amp; Costs'!U$49/2),0)</f>
        <v>0</v>
      </c>
      <c r="X51" s="2">
        <f>IF($D51&lt;=X$8,$E51/12*(1+X$5)+$F51*('Sales &amp; Costs'!V$49/2),0)</f>
        <v>0</v>
      </c>
      <c r="Y51" s="2">
        <f>IF($D51&lt;=Y$8,$E51/12*(1+Y$5)+$F51*('Sales &amp; Costs'!W$49/2),0)</f>
        <v>0</v>
      </c>
      <c r="Z51" s="2">
        <f>IF($D51&lt;=Z$8,$E51/12*(1+Z$5)+$F51*('Sales &amp; Costs'!X$49/2),0)</f>
        <v>0</v>
      </c>
      <c r="AA51" s="2">
        <f>IF($D51&lt;=AA$8,$E51/12*(1+AA$5)+$F51*('Sales &amp; Costs'!Y$49/2),0)</f>
        <v>0</v>
      </c>
      <c r="AB51" s="2">
        <f>IF($D51&lt;=AB$8,$E51/12*(1+AB$5)+$F51*('Sales &amp; Costs'!Z$49/2),0)</f>
        <v>0</v>
      </c>
      <c r="AC51" s="2">
        <f>IF($D51&lt;=AC$8,$E51/12*(1+AC$5)+$F51*('Sales &amp; Costs'!AA$49/2),0)</f>
        <v>0</v>
      </c>
      <c r="AD51" s="2">
        <f>IF($D51&lt;=AD$8,$E51/12*(1+AD$5)+$F51*('Sales &amp; Costs'!AB$49/2),0)</f>
        <v>0</v>
      </c>
      <c r="AE51" s="2">
        <f>IF($D51&lt;=AE$8,$E51/12*(1+AE$5)+$F51*('Sales &amp; Costs'!AC$49/2),0)</f>
        <v>0</v>
      </c>
      <c r="AF51" s="2">
        <f>IF($D51&lt;=AF$8,$E51/12*(1+AF$5)+$F51*('Sales &amp; Costs'!AD$49/2),0)</f>
        <v>0</v>
      </c>
      <c r="AG51" s="2">
        <f>IF($D51&lt;=AG$8,$E51/12*(1+AG$5)+$F51*('Sales &amp; Costs'!AE$49/2),0)</f>
        <v>0</v>
      </c>
      <c r="AH51" s="2">
        <f>IF($D51&lt;=AH$8,$E51/12*(1+AH$5)+$F51*('Sales &amp; Costs'!AF$49/2),0)</f>
        <v>0</v>
      </c>
      <c r="AI51" s="2">
        <f>IF($D51&lt;=AI$8,$E51/12*(1+AI$5)+$F51*('Sales &amp; Costs'!AG$49/2),0)</f>
        <v>0</v>
      </c>
      <c r="AJ51" s="2">
        <f>IF($D51&lt;=AJ$8,$E51/12*(1+AJ$5)+$F51*('Sales &amp; Costs'!AH$49/2),0)</f>
        <v>0</v>
      </c>
      <c r="AK51" s="2">
        <f>IF($D51&lt;=AK$8,$E51/12*(1+AK$5)+$F51*('Sales &amp; Costs'!AI$49/2),0)</f>
        <v>0</v>
      </c>
      <c r="AL51" s="2">
        <f>IF($D51&lt;=AL$8,$E51/12*(1+AL$5)+$F51*('Sales &amp; Costs'!AJ$49/2),0)</f>
        <v>0</v>
      </c>
      <c r="AM51" s="2">
        <f>IF($D51&lt;=AM$8,$E51/12*(1+AM$5)+$F51*('Sales &amp; Costs'!AK$49/2),0)</f>
        <v>0</v>
      </c>
      <c r="AN51" s="2">
        <f>IF($D51&lt;=AN$8,$E51/12*(1+AN$5)+$F51*('Sales &amp; Costs'!AL$49/2),0)</f>
        <v>2546.16</v>
      </c>
      <c r="AO51" s="2">
        <f>IF($D51&lt;=AO$8,$E51/12*(1+AO$5)+$F51*('Sales &amp; Costs'!AM$49/2),0)</f>
        <v>2546.16</v>
      </c>
      <c r="AP51" s="2">
        <f>IF($D51&lt;=AP$8,$E51/12*(1+AP$5)+$F51*('Sales &amp; Costs'!AN$49/2),0)</f>
        <v>2546.16</v>
      </c>
      <c r="AQ51" s="2">
        <f>IF($D51&lt;=AQ$8,$E51/12*(1+AQ$5)+$F51*('Sales &amp; Costs'!AO$49/2),0)</f>
        <v>2546.16</v>
      </c>
      <c r="AR51" s="2">
        <f>IF($D51&lt;=AR$8,$E51/12*(1+AR$5)+$F51*('Sales &amp; Costs'!AP$49/2),0)</f>
        <v>2546.16</v>
      </c>
      <c r="AS51" s="2">
        <f>IF($D51&lt;=AS$8,$E51/12*(1+AS$5)+$F51*('Sales &amp; Costs'!AQ$49/2),0)</f>
        <v>2546.16</v>
      </c>
      <c r="AT51" s="2">
        <f>IF($D51&lt;=AT$8,$E51/12*(1+AT$5)+$F51*('Sales &amp; Costs'!AR$49/2),0)</f>
        <v>2546.16</v>
      </c>
      <c r="AU51" s="2">
        <f>IF($D51&lt;=AU$8,$E51/12*(1+AU$5)+$F51*('Sales &amp; Costs'!AS$49/2),0)</f>
        <v>2546.16</v>
      </c>
      <c r="AV51" s="2">
        <f>IF($D51&lt;=AV$8,$E51/12*(1+AV$5)+$F51*('Sales &amp; Costs'!AT$49/2),0)</f>
        <v>2546.16</v>
      </c>
      <c r="AW51" s="2">
        <f>IF($D51&lt;=AW$8,$E51/12*(1+AW$5)+$F51*('Sales &amp; Costs'!AU$49/2),0)</f>
        <v>2546.16</v>
      </c>
      <c r="AX51" s="2">
        <f>IF($D51&lt;=AX$8,$E51/12*(1+AX$5)+$F51*('Sales &amp; Costs'!AV$49/2),0)</f>
        <v>2622.5448000000001</v>
      </c>
      <c r="AY51" s="2">
        <f>IF($D51&lt;=AY$8,$E51/12*(1+AY$5)+$F51*('Sales &amp; Costs'!AW$49/2),0)</f>
        <v>2622.5448000000001</v>
      </c>
      <c r="AZ51" s="2">
        <f>IF($D51&lt;=AZ$8,$E51/12*(1+AZ$5)+$F51*('Sales &amp; Costs'!AX$49/2),0)</f>
        <v>2622.5448000000001</v>
      </c>
      <c r="BA51" s="2">
        <f>IF($D51&lt;=BA$8,$E51/12*(1+BA$5)+$F51*('Sales &amp; Costs'!AY$49/2),0)</f>
        <v>2622.5448000000001</v>
      </c>
      <c r="BB51" s="2">
        <f>IF($D51&lt;=BB$8,$E51/12*(1+BB$5)+$F51*('Sales &amp; Costs'!AZ$49/2),0)</f>
        <v>2622.5448000000001</v>
      </c>
      <c r="BC51" s="2">
        <f>IF($D51&lt;=BC$8,$E51/12*(1+BC$5)+$F51*('Sales &amp; Costs'!BA$49/2),0)</f>
        <v>2622.5448000000001</v>
      </c>
      <c r="BD51" s="2">
        <f>IF($D51&lt;=BD$8,$E51/12*(1+BD$5)+$F51*('Sales &amp; Costs'!BB$49/2),0)</f>
        <v>2622.5448000000001</v>
      </c>
      <c r="BE51" s="2">
        <f>IF($D51&lt;=BE$8,$E51/12*(1+BE$5)+$F51*('Sales &amp; Costs'!BC$49/2),0)</f>
        <v>2622.5448000000001</v>
      </c>
      <c r="BF51" s="2">
        <f>IF($D51&lt;=BF$8,$E51/12*(1+BF$5)+$F51*('Sales &amp; Costs'!BD$49/2),0)</f>
        <v>2622.5448000000001</v>
      </c>
      <c r="BG51" s="2">
        <f>IF($D51&lt;=BG$8,$E51/12*(1+BG$5)+$F51*('Sales &amp; Costs'!BE$49/2),0)</f>
        <v>2622.5448000000001</v>
      </c>
      <c r="BH51" s="2">
        <f>IF($D51&lt;=BH$8,$E51/12*(1+BH$5)+$F51*('Sales &amp; Costs'!BF$49/2),0)</f>
        <v>2622.5448000000001</v>
      </c>
      <c r="BI51" s="2">
        <f>IF($D51&lt;=BI$8,$E51/12*(1+BI$5)+$F51*('Sales &amp; Costs'!BG$49/2),0)</f>
        <v>2622.5448000000001</v>
      </c>
      <c r="BJ51" s="2">
        <f>IF($D51&lt;=BJ$8,$E51/12*(1+BJ$5)+$F51*('Sales &amp; Costs'!BH$49/2),0)</f>
        <v>2701.2211440000005</v>
      </c>
      <c r="BK51" s="2">
        <f>IF($D51&lt;=BK$8,$E51/12*(1+BK$5)+$F51*('Sales &amp; Costs'!BI$49/2),0)</f>
        <v>2701.2211440000005</v>
      </c>
      <c r="BL51" s="2">
        <f>IF($D51&lt;=BL$8,$E51/12*(1+BL$5)+$F51*('Sales &amp; Costs'!BJ$49/2),0)</f>
        <v>2701.2211440000005</v>
      </c>
      <c r="BM51" s="2">
        <f>IF($D51&lt;=BM$8,$E51/12*(1+BM$5)+$F51*('Sales &amp; Costs'!BK$49/2),0)</f>
        <v>2701.2211440000005</v>
      </c>
      <c r="BN51" s="2">
        <f>IF($D51&lt;=BN$8,$E51/12*(1+BN$5)+$F51*('Sales &amp; Costs'!BL$49/2),0)</f>
        <v>2701.2211440000005</v>
      </c>
      <c r="BO51" s="2">
        <f>IF($D51&lt;=BO$8,$E51/12*(1+BO$5)+$F51*('Sales &amp; Costs'!BM$49/2),0)</f>
        <v>2701.2211440000005</v>
      </c>
      <c r="BP51" s="2">
        <f>IF($D51&lt;=BP$8,$E51/12*(1+BP$5)+$F51*('Sales &amp; Costs'!BN$49/2),0)</f>
        <v>2701.2211440000005</v>
      </c>
      <c r="BQ51" s="2">
        <f>IF($D51&lt;=BQ$8,$E51/12*(1+BQ$5)+$F51*('Sales &amp; Costs'!BO$49/2),0)</f>
        <v>2701.2211440000005</v>
      </c>
      <c r="BR51" s="2">
        <f>IF($D51&lt;=BR$8,$E51/12*(1+BR$5)+$F51*('Sales &amp; Costs'!BP$49/2),0)</f>
        <v>2701.2211440000005</v>
      </c>
      <c r="BS51" s="2">
        <f>IF($D51&lt;=BS$8,$E51/12*(1+BS$5)+$F51*('Sales &amp; Costs'!BQ$49/2),0)</f>
        <v>2701.2211440000005</v>
      </c>
      <c r="BT51" s="2">
        <f>IF($D51&lt;=BT$8,$E51/12*(1+BT$5)+$F51*('Sales &amp; Costs'!BR$49/2),0)</f>
        <v>2701.2211440000005</v>
      </c>
      <c r="BU51" s="2">
        <f>IF($D51&lt;=BU$8,$E51/12*(1+BU$5)+$F51*('Sales &amp; Costs'!BS$49/2),0)</f>
        <v>2701.2211440000005</v>
      </c>
      <c r="BV51" s="2">
        <f>IF($D51&lt;=BV$8,$E51/12*(1+BV$5)+$F51*('Sales &amp; Costs'!BT$49/2),0)</f>
        <v>2782.2577783199999</v>
      </c>
      <c r="BW51" s="2">
        <f>IF($D51&lt;=BW$8,$E51/12*(1+BW$5)+$F51*('Sales &amp; Costs'!BU$49/2),0)</f>
        <v>2782.2577783199999</v>
      </c>
      <c r="BX51" s="2">
        <f>IF($D51&lt;=BX$8,$E51/12*(1+BX$5)+$F51*('Sales &amp; Costs'!BV$49/2),0)</f>
        <v>2782.2577783199999</v>
      </c>
      <c r="BY51" s="2">
        <f>IF($D51&lt;=BY$8,$E51/12*(1+BY$5)+$F51*('Sales &amp; Costs'!BW$49/2),0)</f>
        <v>2782.2577783199999</v>
      </c>
      <c r="BZ51" s="2">
        <f>IF($D51&lt;=BZ$8,$E51/12*(1+BZ$5)+$F51*('Sales &amp; Costs'!BX$49/2),0)</f>
        <v>2782.2577783199999</v>
      </c>
      <c r="CA51" s="2">
        <f>IF($D51&lt;=CA$8,$E51/12*(1+CA$5)+$F51*('Sales &amp; Costs'!BY$49/2),0)</f>
        <v>2782.2577783199999</v>
      </c>
      <c r="CC51" s="2"/>
    </row>
    <row r="52" spans="2:81" ht="15.75" customHeight="1"/>
    <row r="53" spans="2:81" ht="15.75" customHeight="1">
      <c r="K53" s="2"/>
      <c r="L53" s="2"/>
      <c r="M53" s="2"/>
      <c r="N53" s="2"/>
      <c r="O53" s="2"/>
      <c r="P53" s="2"/>
      <c r="Q53" s="2"/>
      <c r="R53" s="2"/>
      <c r="S53" s="2"/>
      <c r="T53" s="2"/>
      <c r="U53" s="2">
        <f>(U43*1.45+Missions!U13)+T53</f>
        <v>0</v>
      </c>
      <c r="V53" s="2">
        <f>(V43*1.45+Missions!V13)+U53</f>
        <v>0</v>
      </c>
      <c r="W53" s="2">
        <f>(W43*1.45+Missions!W13)+V53</f>
        <v>0</v>
      </c>
      <c r="X53" s="2">
        <f>(X43*1.45+Missions!X13)+W53</f>
        <v>0</v>
      </c>
      <c r="Y53" s="2">
        <f>(Y43*1.45+Missions!Y13)+X53</f>
        <v>0</v>
      </c>
      <c r="Z53" s="2">
        <f>(Z43*1.45+Missions!Z13)+Y53</f>
        <v>0</v>
      </c>
      <c r="AA53" s="2">
        <f>(AA43*1.45+Missions!AA13)+Z53</f>
        <v>0</v>
      </c>
      <c r="AB53" s="2">
        <f>(AB43*1.45+Missions!AB13)+AA53</f>
        <v>5974</v>
      </c>
      <c r="AC53" s="2">
        <f>(AC43*1.45+Missions!AC13)+AB53</f>
        <v>17175.25</v>
      </c>
      <c r="AD53" s="2">
        <f>(AD43*1.45+Missions!AD13)+AC53</f>
        <v>28376.5</v>
      </c>
      <c r="AE53" s="2">
        <f>(AE43*1.45+Missions!AE13)+AD53</f>
        <v>39577.75</v>
      </c>
      <c r="AF53" s="2">
        <f>(AF43*1.45+Missions!AF13)+AE53</f>
        <v>56006.25</v>
      </c>
      <c r="AG53" s="2">
        <f>(AG43*1.45+Missions!AG13)+AF53</f>
        <v>72434.75</v>
      </c>
      <c r="AH53" s="2">
        <f>(AH43*1.45+Missions!AH13)+AG53</f>
        <v>88863.25</v>
      </c>
      <c r="AI53" s="2">
        <f>(AI43*1.45+Missions!AI13)+AH53</f>
        <v>115291.75</v>
      </c>
      <c r="AJ53" s="2">
        <f>(AJ43*1.45+Missions!AJ13)+AI53</f>
        <v>157720.25</v>
      </c>
      <c r="AK53" s="2">
        <f>(AK43*1.45+Missions!AK13)+AJ53</f>
        <v>184629.25</v>
      </c>
      <c r="AL53" s="2">
        <f>(AL43*1.45+Missions!AL13)+AK53</f>
        <v>226165.52</v>
      </c>
      <c r="AM53" s="2">
        <f>(AM43*1.45+Missions!AM13)+AL53</f>
        <v>251701.78999999998</v>
      </c>
      <c r="AN53" s="2">
        <f>(AN43*1.45+Missions!AN13)+AM53</f>
        <v>291083.21199999994</v>
      </c>
      <c r="AO53" s="2">
        <f>(AO43*1.45+Missions!AO13)+AN53</f>
        <v>326464.63399999996</v>
      </c>
      <c r="AP53" s="2">
        <f>(AP43*1.45+Missions!AP13)+AO53</f>
        <v>371846.05599999998</v>
      </c>
      <c r="AQ53" s="2">
        <f>(AQ43*1.45+Missions!AQ13)+AP53</f>
        <v>403227.478</v>
      </c>
      <c r="AR53" s="2">
        <f>(AR43*1.45+Missions!AR13)+AQ53</f>
        <v>444608.9</v>
      </c>
    </row>
    <row r="57" spans="2:81" ht="15.75" customHeight="1">
      <c r="B57" s="263"/>
      <c r="C57" s="270"/>
      <c r="D57" s="96"/>
      <c r="E57" s="95"/>
      <c r="F57" s="183"/>
      <c r="G57" s="4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C57" s="2"/>
    </row>
    <row r="58" spans="2:81" ht="15.75" customHeight="1">
      <c r="C58" s="271"/>
      <c r="D58" s="96"/>
      <c r="E58" s="95"/>
      <c r="F58" s="18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C58" s="2"/>
    </row>
    <row r="59" spans="2:81" ht="15.75" customHeight="1">
      <c r="B59" s="263"/>
      <c r="C59" s="270"/>
      <c r="D59" s="96"/>
      <c r="E59" s="95"/>
      <c r="F59" s="183"/>
      <c r="G59" s="4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C59" s="2"/>
    </row>
    <row r="60" spans="2:81" ht="15.75" customHeight="1">
      <c r="C60" s="270"/>
      <c r="D60" s="96"/>
      <c r="E60" s="95"/>
      <c r="F60" s="18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C60" s="2"/>
    </row>
    <row r="61" spans="2:81" ht="15.75" customHeight="1">
      <c r="C61" s="270"/>
      <c r="D61" s="96"/>
      <c r="E61" s="95"/>
      <c r="F61" s="18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C61" s="2"/>
    </row>
    <row r="62" spans="2:81">
      <c r="AR62" s="2"/>
    </row>
    <row r="64" spans="2:81" ht="15.75" customHeight="1">
      <c r="C64" s="271"/>
      <c r="D64" s="96"/>
      <c r="E64" s="95"/>
      <c r="F64" s="18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C64" s="2"/>
    </row>
    <row r="65" spans="2:81" ht="15.75" customHeight="1">
      <c r="C65" s="271"/>
      <c r="D65" s="96"/>
      <c r="E65" s="95"/>
      <c r="F65" s="18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C65" s="2"/>
    </row>
    <row r="66" spans="2:81" ht="15.75" customHeight="1">
      <c r="C66" s="271"/>
      <c r="D66" s="96"/>
      <c r="E66" s="95"/>
      <c r="F66" s="18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C66" s="2"/>
    </row>
    <row r="67" spans="2:81" ht="15.75" customHeight="1">
      <c r="C67" s="271"/>
      <c r="D67" s="96"/>
      <c r="E67" s="95"/>
      <c r="F67" s="18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C67" s="2"/>
    </row>
    <row r="68" spans="2:81">
      <c r="AR68" s="2"/>
    </row>
    <row r="69" spans="2:81" ht="15.75" customHeight="1">
      <c r="C69" s="271"/>
      <c r="D69" s="96"/>
      <c r="E69" s="95"/>
      <c r="F69" s="18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C69" s="2"/>
    </row>
    <row r="77" spans="2:81" ht="15.75" customHeight="1">
      <c r="B77" s="263"/>
      <c r="C77" s="270"/>
      <c r="D77" s="96"/>
      <c r="E77" s="95"/>
      <c r="F77" s="183"/>
      <c r="G77" s="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C77" s="2"/>
    </row>
    <row r="78" spans="2:81" ht="15.75" customHeight="1">
      <c r="C78" s="271"/>
      <c r="D78" s="96"/>
      <c r="E78" s="95"/>
      <c r="F78" s="18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C78" s="2"/>
    </row>
    <row r="79" spans="2:81" ht="15.75" customHeight="1">
      <c r="B79" s="263"/>
      <c r="C79" s="270"/>
      <c r="D79" s="96"/>
      <c r="E79" s="95"/>
      <c r="F79" s="183"/>
      <c r="G79" s="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C79" s="2"/>
    </row>
    <row r="80" spans="2:81" ht="15.75" customHeight="1">
      <c r="C80" s="270"/>
      <c r="D80" s="96"/>
      <c r="E80" s="95"/>
      <c r="F80" s="18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C80" s="2"/>
    </row>
    <row r="81" spans="3:81" ht="15.75" customHeight="1">
      <c r="C81" s="270"/>
      <c r="D81" s="96"/>
      <c r="E81" s="95"/>
      <c r="F81" s="18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C81" s="2"/>
    </row>
    <row r="82" spans="3:81">
      <c r="AR82" s="2"/>
    </row>
    <row r="84" spans="3:81" ht="15.75" customHeight="1">
      <c r="C84" s="271"/>
      <c r="D84" s="96"/>
      <c r="E84" s="95"/>
      <c r="F84" s="18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C84" s="2"/>
    </row>
    <row r="85" spans="3:81" ht="15.75" customHeight="1">
      <c r="C85" s="271"/>
      <c r="D85" s="96"/>
      <c r="E85" s="95"/>
      <c r="F85" s="18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C85" s="2"/>
    </row>
    <row r="86" spans="3:81" ht="15.75" customHeight="1">
      <c r="C86" s="271"/>
      <c r="D86" s="96"/>
      <c r="E86" s="95"/>
      <c r="F86" s="18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C86" s="2"/>
    </row>
    <row r="87" spans="3:81" ht="15.75" customHeight="1">
      <c r="C87" s="271"/>
      <c r="D87" s="96"/>
      <c r="E87" s="95"/>
      <c r="F87" s="18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C87" s="2"/>
    </row>
    <row r="88" spans="3:81">
      <c r="AR88" s="2"/>
    </row>
    <row r="89" spans="3:81" ht="15.75" customHeight="1">
      <c r="C89" s="271"/>
      <c r="D89" s="96"/>
      <c r="E89" s="95"/>
      <c r="F89" s="18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C89" s="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2:BQ32"/>
  <sheetViews>
    <sheetView workbookViewId="0">
      <pane xSplit="6" ySplit="8" topLeftCell="AO18" activePane="bottomRight" state="frozen"/>
      <selection activeCell="E11" sqref="E11"/>
      <selection pane="topRight" activeCell="E11" sqref="E11"/>
      <selection pane="bottomLeft" activeCell="E11" sqref="E11"/>
      <selection pane="bottomRight" activeCell="AP29" sqref="AP29"/>
    </sheetView>
  </sheetViews>
  <sheetFormatPr baseColWidth="10" defaultRowHeight="12.75"/>
  <cols>
    <col min="1" max="1" width="4" style="93" customWidth="1"/>
    <col min="2" max="2" width="4.7109375" style="93" customWidth="1"/>
    <col min="3" max="3" width="25.7109375" style="184" customWidth="1"/>
    <col min="4" max="4" width="10.85546875" hidden="1" customWidth="1"/>
    <col min="5" max="5" width="11.5703125" style="1" hidden="1" customWidth="1"/>
    <col min="6" max="6" width="9.7109375" style="1" hidden="1" customWidth="1"/>
    <col min="7" max="7" width="2.140625" customWidth="1"/>
    <col min="8" max="67" width="7.7109375" customWidth="1"/>
  </cols>
  <sheetData>
    <row r="2" spans="1:69" ht="23.25">
      <c r="B2" s="274" t="s">
        <v>395</v>
      </c>
    </row>
    <row r="3" spans="1:69" ht="12.75" customHeight="1">
      <c r="B3" s="274"/>
    </row>
    <row r="4" spans="1:69">
      <c r="B4" s="208"/>
      <c r="C4" s="208"/>
      <c r="T4" s="209"/>
      <c r="Z4" s="209"/>
      <c r="AL4" s="209"/>
      <c r="AX4" s="209"/>
      <c r="BJ4" s="209"/>
      <c r="BK4" s="2"/>
      <c r="BQ4" s="2"/>
    </row>
    <row r="5" spans="1:69" s="72" customFormat="1">
      <c r="A5" s="262"/>
      <c r="B5" s="262"/>
      <c r="E5" s="81"/>
      <c r="F5" s="81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</row>
    <row r="7" spans="1:69">
      <c r="C7" s="269"/>
      <c r="D7" s="1"/>
      <c r="G7" s="1"/>
      <c r="Z7" s="10"/>
    </row>
    <row r="8" spans="1:69">
      <c r="B8" s="202"/>
      <c r="C8" s="202" t="s">
        <v>154</v>
      </c>
      <c r="G8" s="5"/>
      <c r="H8" s="5">
        <v>39814</v>
      </c>
      <c r="I8" s="5">
        <v>39845</v>
      </c>
      <c r="J8" s="5">
        <v>39873</v>
      </c>
      <c r="K8" s="5">
        <v>39904</v>
      </c>
      <c r="L8" s="5">
        <v>39934</v>
      </c>
      <c r="M8" s="5">
        <v>39965</v>
      </c>
      <c r="N8" s="5">
        <v>39995</v>
      </c>
      <c r="O8" s="5">
        <v>40026</v>
      </c>
      <c r="P8" s="5">
        <v>40057</v>
      </c>
      <c r="Q8" s="5">
        <v>40087</v>
      </c>
      <c r="R8" s="5">
        <v>40118</v>
      </c>
      <c r="S8" s="5">
        <v>40148</v>
      </c>
      <c r="T8" s="5">
        <v>40179</v>
      </c>
      <c r="U8" s="5">
        <v>40210</v>
      </c>
      <c r="V8" s="5">
        <v>40238</v>
      </c>
      <c r="W8" s="5">
        <v>40269</v>
      </c>
      <c r="X8" s="5">
        <v>40299</v>
      </c>
      <c r="Y8" s="5">
        <v>40330</v>
      </c>
      <c r="Z8" s="5">
        <v>40360</v>
      </c>
      <c r="AA8" s="5">
        <v>40391</v>
      </c>
      <c r="AB8" s="5">
        <v>40422</v>
      </c>
      <c r="AC8" s="5">
        <v>40452</v>
      </c>
      <c r="AD8" s="5">
        <v>40483</v>
      </c>
      <c r="AE8" s="5">
        <v>40513</v>
      </c>
      <c r="AF8" s="5">
        <v>40544</v>
      </c>
      <c r="AG8" s="5">
        <v>40575</v>
      </c>
      <c r="AH8" s="5">
        <v>40603</v>
      </c>
      <c r="AI8" s="5">
        <v>40634</v>
      </c>
      <c r="AJ8" s="5">
        <v>40664</v>
      </c>
      <c r="AK8" s="5">
        <v>40695</v>
      </c>
      <c r="AL8" s="5">
        <v>40725</v>
      </c>
      <c r="AM8" s="5">
        <v>40756</v>
      </c>
      <c r="AN8" s="5">
        <v>40787</v>
      </c>
      <c r="AO8" s="5">
        <v>40817</v>
      </c>
      <c r="AP8" s="5">
        <v>40848</v>
      </c>
      <c r="AQ8" s="5">
        <v>40878</v>
      </c>
      <c r="AR8" s="5">
        <v>40909</v>
      </c>
      <c r="AS8" s="5">
        <v>40940</v>
      </c>
      <c r="AT8" s="5">
        <v>40969</v>
      </c>
      <c r="AU8" s="5">
        <v>41000</v>
      </c>
      <c r="AV8" s="5">
        <v>41030</v>
      </c>
      <c r="AW8" s="5">
        <v>41061</v>
      </c>
      <c r="AX8" s="5">
        <v>41091</v>
      </c>
      <c r="AY8" s="5">
        <v>41122</v>
      </c>
      <c r="AZ8" s="5">
        <v>41153</v>
      </c>
      <c r="BA8" s="5">
        <v>41183</v>
      </c>
      <c r="BB8" s="5">
        <v>41214</v>
      </c>
      <c r="BC8" s="5">
        <v>41244</v>
      </c>
      <c r="BD8" s="5">
        <v>41275</v>
      </c>
      <c r="BE8" s="5">
        <v>41306</v>
      </c>
      <c r="BF8" s="5">
        <v>41334</v>
      </c>
      <c r="BG8" s="5">
        <v>41365</v>
      </c>
      <c r="BH8" s="5">
        <v>41395</v>
      </c>
      <c r="BI8" s="5">
        <v>41426</v>
      </c>
      <c r="BJ8" s="5">
        <v>41456</v>
      </c>
      <c r="BK8" s="5">
        <v>41487</v>
      </c>
      <c r="BL8" s="5">
        <v>41518</v>
      </c>
      <c r="BM8" s="5">
        <v>41548</v>
      </c>
      <c r="BN8" s="5">
        <v>41579</v>
      </c>
      <c r="BO8" s="5">
        <v>41609</v>
      </c>
      <c r="BQ8" s="5" t="s">
        <v>158</v>
      </c>
    </row>
    <row r="9" spans="1:69">
      <c r="B9" s="202"/>
      <c r="C9" s="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Q9" s="5"/>
    </row>
    <row r="10" spans="1:69">
      <c r="C10" s="11"/>
      <c r="D10" s="96"/>
      <c r="E10" s="97"/>
      <c r="F10" s="9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Q10" s="2"/>
    </row>
    <row r="11" spans="1:69" s="265" customFormat="1" ht="15">
      <c r="A11" s="267"/>
      <c r="B11" s="275" t="s">
        <v>376</v>
      </c>
      <c r="C11" s="276"/>
      <c r="E11" s="266"/>
      <c r="F11" s="266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7"/>
      <c r="BF11" s="277"/>
      <c r="BG11" s="277"/>
      <c r="BH11" s="277"/>
      <c r="BI11" s="277"/>
      <c r="BJ11" s="277"/>
      <c r="BK11" s="277"/>
      <c r="BL11" s="277"/>
      <c r="BM11" s="277"/>
      <c r="BN11" s="277"/>
      <c r="BO11" s="277"/>
      <c r="BQ11" s="277"/>
    </row>
    <row r="12" spans="1:69" s="278" customFormat="1" ht="15">
      <c r="A12" s="268"/>
      <c r="B12" s="275"/>
      <c r="C12" s="268"/>
      <c r="E12" s="279"/>
      <c r="F12" s="279"/>
      <c r="G12" s="280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Q12" s="280"/>
    </row>
    <row r="13" spans="1:69" s="278" customFormat="1" ht="15">
      <c r="A13" s="268"/>
      <c r="B13" s="275"/>
      <c r="C13" s="268" t="s">
        <v>396</v>
      </c>
      <c r="E13" s="279"/>
      <c r="F13" s="279"/>
      <c r="G13" s="280"/>
      <c r="H13" s="281">
        <f>SUM(H15:H32)</f>
        <v>0</v>
      </c>
      <c r="I13" s="281">
        <f t="shared" ref="I13:BO13" si="0">SUM(I15:I32)</f>
        <v>0</v>
      </c>
      <c r="J13" s="281">
        <f t="shared" si="0"/>
        <v>0</v>
      </c>
      <c r="K13" s="281">
        <f t="shared" si="0"/>
        <v>0</v>
      </c>
      <c r="L13" s="281">
        <f t="shared" si="0"/>
        <v>0</v>
      </c>
      <c r="M13" s="281">
        <f t="shared" si="0"/>
        <v>0</v>
      </c>
      <c r="N13" s="281">
        <f t="shared" si="0"/>
        <v>0</v>
      </c>
      <c r="O13" s="281">
        <f t="shared" si="0"/>
        <v>0</v>
      </c>
      <c r="P13" s="281">
        <f t="shared" si="0"/>
        <v>0</v>
      </c>
      <c r="Q13" s="281">
        <f t="shared" si="0"/>
        <v>0</v>
      </c>
      <c r="R13" s="281">
        <f t="shared" si="0"/>
        <v>0</v>
      </c>
      <c r="S13" s="281">
        <f t="shared" si="0"/>
        <v>0</v>
      </c>
      <c r="T13" s="281">
        <f t="shared" si="0"/>
        <v>0</v>
      </c>
      <c r="U13" s="281">
        <f t="shared" si="0"/>
        <v>0</v>
      </c>
      <c r="V13" s="281">
        <f t="shared" si="0"/>
        <v>0</v>
      </c>
      <c r="W13" s="281">
        <f t="shared" si="0"/>
        <v>0</v>
      </c>
      <c r="X13" s="281">
        <f t="shared" si="0"/>
        <v>0</v>
      </c>
      <c r="Y13" s="281">
        <f t="shared" si="0"/>
        <v>0</v>
      </c>
      <c r="Z13" s="281">
        <f t="shared" si="0"/>
        <v>0</v>
      </c>
      <c r="AA13" s="281">
        <f t="shared" si="0"/>
        <v>0</v>
      </c>
      <c r="AB13" s="281">
        <f t="shared" si="0"/>
        <v>0</v>
      </c>
      <c r="AC13" s="281">
        <f t="shared" si="0"/>
        <v>0</v>
      </c>
      <c r="AD13" s="281">
        <f t="shared" si="0"/>
        <v>0</v>
      </c>
      <c r="AE13" s="281">
        <f t="shared" si="0"/>
        <v>0</v>
      </c>
      <c r="AF13" s="281">
        <f t="shared" si="0"/>
        <v>0</v>
      </c>
      <c r="AG13" s="281">
        <f t="shared" si="0"/>
        <v>0</v>
      </c>
      <c r="AH13" s="281">
        <f t="shared" si="0"/>
        <v>0</v>
      </c>
      <c r="AI13" s="281">
        <f t="shared" si="0"/>
        <v>10000</v>
      </c>
      <c r="AJ13" s="281">
        <f t="shared" si="0"/>
        <v>26000</v>
      </c>
      <c r="AK13" s="281">
        <f t="shared" si="0"/>
        <v>6000</v>
      </c>
      <c r="AL13" s="281">
        <f t="shared" si="0"/>
        <v>20000</v>
      </c>
      <c r="AM13" s="281">
        <f t="shared" si="0"/>
        <v>4000</v>
      </c>
      <c r="AN13" s="281">
        <f t="shared" si="0"/>
        <v>8000</v>
      </c>
      <c r="AO13" s="281">
        <f t="shared" si="0"/>
        <v>4000</v>
      </c>
      <c r="AP13" s="281">
        <f t="shared" si="0"/>
        <v>14000</v>
      </c>
      <c r="AQ13" s="281">
        <f t="shared" si="0"/>
        <v>0</v>
      </c>
      <c r="AR13" s="281">
        <f t="shared" si="0"/>
        <v>10000</v>
      </c>
      <c r="AS13" s="281">
        <f t="shared" si="0"/>
        <v>8000</v>
      </c>
      <c r="AT13" s="281">
        <f t="shared" si="0"/>
        <v>11000</v>
      </c>
      <c r="AU13" s="281">
        <f t="shared" si="0"/>
        <v>11000</v>
      </c>
      <c r="AV13" s="281">
        <f t="shared" si="0"/>
        <v>6000</v>
      </c>
      <c r="AW13" s="281">
        <f t="shared" si="0"/>
        <v>5000</v>
      </c>
      <c r="AX13" s="281">
        <f t="shared" si="0"/>
        <v>5000</v>
      </c>
      <c r="AY13" s="281">
        <f t="shared" si="0"/>
        <v>0</v>
      </c>
      <c r="AZ13" s="281">
        <f t="shared" si="0"/>
        <v>0</v>
      </c>
      <c r="BA13" s="281">
        <f t="shared" si="0"/>
        <v>0</v>
      </c>
      <c r="BB13" s="281">
        <f t="shared" si="0"/>
        <v>0</v>
      </c>
      <c r="BC13" s="281">
        <f t="shared" si="0"/>
        <v>0</v>
      </c>
      <c r="BD13" s="281">
        <f t="shared" si="0"/>
        <v>0</v>
      </c>
      <c r="BE13" s="281">
        <f t="shared" si="0"/>
        <v>0</v>
      </c>
      <c r="BF13" s="281">
        <f t="shared" si="0"/>
        <v>0</v>
      </c>
      <c r="BG13" s="281">
        <f t="shared" si="0"/>
        <v>0</v>
      </c>
      <c r="BH13" s="281">
        <f t="shared" si="0"/>
        <v>0</v>
      </c>
      <c r="BI13" s="281">
        <f t="shared" si="0"/>
        <v>0</v>
      </c>
      <c r="BJ13" s="281">
        <f t="shared" si="0"/>
        <v>0</v>
      </c>
      <c r="BK13" s="281">
        <f t="shared" si="0"/>
        <v>0</v>
      </c>
      <c r="BL13" s="281">
        <f t="shared" si="0"/>
        <v>0</v>
      </c>
      <c r="BM13" s="281">
        <f t="shared" si="0"/>
        <v>0</v>
      </c>
      <c r="BN13" s="281">
        <f t="shared" si="0"/>
        <v>0</v>
      </c>
      <c r="BO13" s="281">
        <f t="shared" si="0"/>
        <v>0</v>
      </c>
      <c r="BQ13" s="280"/>
    </row>
    <row r="14" spans="1:69">
      <c r="B14" s="202"/>
      <c r="C14" s="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Q14" s="5"/>
    </row>
    <row r="15" spans="1:69">
      <c r="B15" s="263"/>
      <c r="C15" s="290" t="s">
        <v>397</v>
      </c>
      <c r="D15" s="96"/>
      <c r="E15" s="95"/>
      <c r="F15" s="183"/>
      <c r="G15" s="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>
        <v>10000</v>
      </c>
      <c r="AJ15" s="2">
        <v>10000</v>
      </c>
      <c r="AK15" s="2"/>
      <c r="AL15" s="2"/>
      <c r="AM15" s="2"/>
      <c r="AN15" s="303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Q15" s="2">
        <f>BO15*12</f>
        <v>0</v>
      </c>
    </row>
    <row r="16" spans="1:69" s="72" customFormat="1">
      <c r="A16" s="262"/>
      <c r="B16" s="264"/>
      <c r="C16" s="264"/>
      <c r="D16" s="75"/>
      <c r="E16" s="204"/>
      <c r="F16" s="205"/>
      <c r="G16" s="204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303"/>
      <c r="AO16" s="261"/>
      <c r="AP16" s="261"/>
      <c r="AQ16" s="261"/>
      <c r="AR16" s="261"/>
      <c r="AS16" s="261"/>
      <c r="AT16" s="261"/>
      <c r="AU16" s="261"/>
      <c r="AV16" s="261"/>
      <c r="AW16" s="261"/>
      <c r="AX16" s="261"/>
      <c r="AY16" s="261"/>
      <c r="AZ16" s="261"/>
      <c r="BA16" s="261"/>
      <c r="BB16" s="261"/>
      <c r="BC16" s="261"/>
      <c r="BD16" s="261"/>
      <c r="BE16" s="261"/>
      <c r="BF16" s="261"/>
      <c r="BG16" s="261"/>
      <c r="BH16" s="261"/>
      <c r="BI16" s="261"/>
      <c r="BJ16" s="261"/>
      <c r="BK16" s="261"/>
      <c r="BL16" s="261"/>
      <c r="BM16" s="261"/>
      <c r="BN16" s="261"/>
      <c r="BO16" s="261"/>
      <c r="BQ16" s="203"/>
    </row>
    <row r="17" spans="1:69">
      <c r="C17" s="290" t="s">
        <v>398</v>
      </c>
      <c r="D17" s="96"/>
      <c r="E17" s="95"/>
      <c r="F17" s="18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>
        <v>4000</v>
      </c>
      <c r="AN17" s="2">
        <v>8000</v>
      </c>
      <c r="AO17" s="2">
        <v>4000</v>
      </c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Q17" s="2">
        <f>BO17*12</f>
        <v>0</v>
      </c>
    </row>
    <row r="18" spans="1:69" s="72" customFormat="1">
      <c r="A18" s="262"/>
      <c r="B18" s="264"/>
      <c r="C18" s="264"/>
      <c r="D18" s="75"/>
      <c r="E18" s="204"/>
      <c r="F18" s="205"/>
      <c r="G18" s="204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303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Q18" s="203"/>
    </row>
    <row r="19" spans="1:69">
      <c r="C19" s="290" t="s">
        <v>399</v>
      </c>
      <c r="D19" s="96"/>
      <c r="E19" s="95"/>
      <c r="F19" s="18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>
        <v>6000</v>
      </c>
      <c r="AK19" s="2">
        <v>6000</v>
      </c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Q19" s="2">
        <f>BO19*12</f>
        <v>0</v>
      </c>
    </row>
    <row r="20" spans="1:69" s="72" customFormat="1">
      <c r="A20" s="262"/>
      <c r="B20" s="264"/>
      <c r="C20" s="264"/>
      <c r="D20" s="75"/>
      <c r="E20" s="204"/>
      <c r="F20" s="205"/>
      <c r="G20" s="204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Q20" s="203"/>
    </row>
    <row r="21" spans="1:69">
      <c r="C21" s="290" t="s">
        <v>403</v>
      </c>
      <c r="D21" s="96"/>
      <c r="E21" s="95"/>
      <c r="F21" s="18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>
        <v>3000</v>
      </c>
      <c r="AU21" s="2">
        <v>6000</v>
      </c>
      <c r="AV21" s="2">
        <v>6000</v>
      </c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Q21" s="2">
        <f>BO21*12</f>
        <v>0</v>
      </c>
    </row>
    <row r="23" spans="1:69">
      <c r="C23" s="11" t="s">
        <v>400</v>
      </c>
      <c r="D23" s="96"/>
      <c r="E23" s="95"/>
      <c r="F23" s="18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>
        <v>6000</v>
      </c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Q23" s="2">
        <f>BO23*12</f>
        <v>0</v>
      </c>
    </row>
    <row r="25" spans="1:69">
      <c r="C25" s="11" t="s">
        <v>401</v>
      </c>
      <c r="D25" s="96"/>
      <c r="E25" s="95"/>
      <c r="F25" s="18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>
        <v>8000</v>
      </c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Q25" s="2"/>
    </row>
    <row r="27" spans="1:69">
      <c r="C27" s="184" t="s">
        <v>411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>
        <v>20000</v>
      </c>
      <c r="AM27" s="2"/>
      <c r="AN27" s="2"/>
      <c r="AO27" s="2"/>
      <c r="AP27" s="2"/>
      <c r="AQ27" s="2"/>
      <c r="AR27" s="2">
        <v>10000</v>
      </c>
      <c r="AS27" s="2"/>
      <c r="AT27" s="2"/>
      <c r="AU27" s="2"/>
      <c r="AV27" s="2"/>
      <c r="AW27" s="2">
        <v>5000</v>
      </c>
      <c r="AX27" s="2">
        <v>5000</v>
      </c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9" spans="1:69">
      <c r="C29" s="184" t="s">
        <v>412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>
        <v>10000</v>
      </c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1" spans="1:69">
      <c r="C31" s="184" t="s">
        <v>402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>
        <v>8000</v>
      </c>
      <c r="AT31" s="2">
        <v>8000</v>
      </c>
      <c r="AU31" s="2">
        <v>5000</v>
      </c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9">
      <c r="AN32" s="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K31"/>
  <sheetViews>
    <sheetView zoomScaleNormal="100" zoomScaleSheetLayoutView="75" workbookViewId="0">
      <pane xSplit="5" ySplit="2" topLeftCell="BO3" activePane="bottomRight" state="frozen"/>
      <selection activeCell="E11" sqref="E11"/>
      <selection pane="topRight" activeCell="E11" sqref="E11"/>
      <selection pane="bottomLeft" activeCell="E11" sqref="E11"/>
      <selection pane="bottomRight" activeCell="BY5" sqref="BY5"/>
    </sheetView>
  </sheetViews>
  <sheetFormatPr baseColWidth="10" defaultRowHeight="12.75"/>
  <cols>
    <col min="1" max="2" width="2" customWidth="1"/>
    <col min="3" max="3" width="12.85546875" customWidth="1"/>
    <col min="4" max="4" width="17.7109375" customWidth="1"/>
    <col min="5" max="5" width="4.42578125" customWidth="1"/>
    <col min="6" max="6" width="7.85546875" bestFit="1" customWidth="1"/>
    <col min="7" max="10" width="8.42578125" bestFit="1" customWidth="1"/>
    <col min="11" max="11" width="6.42578125" customWidth="1"/>
    <col min="12" max="12" width="8" hidden="1" customWidth="1"/>
    <col min="13" max="17" width="7.140625" hidden="1" customWidth="1"/>
    <col min="18" max="89" width="8" customWidth="1"/>
  </cols>
  <sheetData>
    <row r="1" spans="1:89">
      <c r="A1" s="12" t="s">
        <v>276</v>
      </c>
      <c r="F1" s="185"/>
      <c r="G1" s="186"/>
      <c r="H1" s="186"/>
      <c r="I1" s="187"/>
      <c r="J1" s="187"/>
      <c r="L1" t="s">
        <v>277</v>
      </c>
      <c r="S1" t="s">
        <v>277</v>
      </c>
    </row>
    <row r="2" spans="1:89">
      <c r="F2" s="210"/>
      <c r="G2" s="4" t="s">
        <v>423</v>
      </c>
      <c r="H2" s="210">
        <v>2011</v>
      </c>
      <c r="I2" s="210">
        <v>2012</v>
      </c>
      <c r="J2" s="210">
        <v>2013</v>
      </c>
      <c r="L2" s="112">
        <v>39630</v>
      </c>
      <c r="M2" s="112">
        <v>39661</v>
      </c>
      <c r="N2" s="112">
        <v>39692</v>
      </c>
      <c r="O2" s="112">
        <v>39722</v>
      </c>
      <c r="P2" s="112">
        <v>39753</v>
      </c>
      <c r="Q2" s="112">
        <v>39783</v>
      </c>
      <c r="R2" s="112">
        <v>39814</v>
      </c>
      <c r="S2" s="112">
        <v>39845</v>
      </c>
      <c r="T2" s="112">
        <v>39873</v>
      </c>
      <c r="U2" s="112">
        <v>39904</v>
      </c>
      <c r="V2" s="112">
        <v>39934</v>
      </c>
      <c r="W2" s="112">
        <v>39965</v>
      </c>
      <c r="X2" s="112">
        <v>39995</v>
      </c>
      <c r="Y2" s="112">
        <v>40026</v>
      </c>
      <c r="Z2" s="112">
        <v>40057</v>
      </c>
      <c r="AA2" s="112">
        <v>40087</v>
      </c>
      <c r="AB2" s="112">
        <v>40118</v>
      </c>
      <c r="AC2" s="112">
        <v>40148</v>
      </c>
      <c r="AD2" s="112">
        <v>40179</v>
      </c>
      <c r="AE2" s="112">
        <v>40210</v>
      </c>
      <c r="AF2" s="112">
        <v>40238</v>
      </c>
      <c r="AG2" s="112">
        <v>40269</v>
      </c>
      <c r="AH2" s="112">
        <v>40299</v>
      </c>
      <c r="AI2" s="112">
        <v>40330</v>
      </c>
      <c r="AJ2" s="112">
        <v>40360</v>
      </c>
      <c r="AK2" s="112">
        <v>40391</v>
      </c>
      <c r="AL2" s="112">
        <v>40422</v>
      </c>
      <c r="AM2" s="112">
        <v>40452</v>
      </c>
      <c r="AN2" s="112">
        <v>40483</v>
      </c>
      <c r="AO2" s="112">
        <v>40513</v>
      </c>
      <c r="AP2" s="112">
        <v>40544</v>
      </c>
      <c r="AQ2" s="112">
        <v>40575</v>
      </c>
      <c r="AR2" s="112">
        <v>40603</v>
      </c>
      <c r="AS2" s="112">
        <v>40634</v>
      </c>
      <c r="AT2" s="112">
        <v>40664</v>
      </c>
      <c r="AU2" s="112">
        <v>40695</v>
      </c>
      <c r="AV2" s="112">
        <v>40725</v>
      </c>
      <c r="AW2" s="112">
        <v>40756</v>
      </c>
      <c r="AX2" s="112">
        <v>40787</v>
      </c>
      <c r="AY2" s="112">
        <v>40817</v>
      </c>
      <c r="AZ2" s="112">
        <v>40848</v>
      </c>
      <c r="BA2" s="112">
        <v>40878</v>
      </c>
      <c r="BB2" s="112">
        <v>40909</v>
      </c>
      <c r="BC2" s="112">
        <v>40940</v>
      </c>
      <c r="BD2" s="112">
        <v>40969</v>
      </c>
      <c r="BE2" s="112">
        <v>41000</v>
      </c>
      <c r="BF2" s="112">
        <v>41030</v>
      </c>
      <c r="BG2" s="112">
        <v>41061</v>
      </c>
      <c r="BH2" s="112">
        <v>41091</v>
      </c>
      <c r="BI2" s="112">
        <v>41122</v>
      </c>
      <c r="BJ2" s="112">
        <v>41153</v>
      </c>
      <c r="BK2" s="112">
        <v>41183</v>
      </c>
      <c r="BL2" s="112">
        <v>41214</v>
      </c>
      <c r="BM2" s="112">
        <v>41244</v>
      </c>
      <c r="BN2" s="112">
        <v>41275</v>
      </c>
      <c r="BO2" s="112">
        <v>41306</v>
      </c>
      <c r="BP2" s="112">
        <v>41334</v>
      </c>
      <c r="BQ2" s="112">
        <v>41365</v>
      </c>
      <c r="BR2" s="112">
        <v>41395</v>
      </c>
      <c r="BS2" s="112">
        <v>41426</v>
      </c>
      <c r="BT2" s="112">
        <v>41456</v>
      </c>
      <c r="BU2" s="112">
        <v>41487</v>
      </c>
      <c r="BV2" s="112">
        <v>41518</v>
      </c>
      <c r="BW2" s="112">
        <v>41548</v>
      </c>
      <c r="BX2" s="112">
        <v>41579</v>
      </c>
      <c r="BY2" s="112">
        <v>41609</v>
      </c>
      <c r="BZ2" s="112">
        <v>41640</v>
      </c>
      <c r="CA2" s="112">
        <v>41671</v>
      </c>
      <c r="CB2" s="112">
        <v>41699</v>
      </c>
      <c r="CC2" s="112">
        <v>41730</v>
      </c>
      <c r="CD2" s="112">
        <v>41760</v>
      </c>
      <c r="CE2" s="112">
        <v>41791</v>
      </c>
      <c r="CF2" s="112">
        <v>41821</v>
      </c>
      <c r="CG2" s="112">
        <v>41852</v>
      </c>
      <c r="CH2" s="112">
        <v>41883</v>
      </c>
      <c r="CI2" s="112">
        <v>41913</v>
      </c>
      <c r="CJ2" s="112">
        <v>41944</v>
      </c>
      <c r="CK2" s="112">
        <v>41974</v>
      </c>
    </row>
    <row r="3" spans="1:89">
      <c r="A3" s="12"/>
      <c r="B3" s="12"/>
    </row>
    <row r="4" spans="1:89">
      <c r="B4" s="57" t="s">
        <v>278</v>
      </c>
      <c r="F4" s="102"/>
      <c r="G4" s="102">
        <f>+Bilan!H30</f>
        <v>-178703.54203421038</v>
      </c>
      <c r="H4" s="102">
        <f>+Bilan!I30</f>
        <v>-1135764.4028253164</v>
      </c>
      <c r="I4" s="102">
        <f>+Bilan!J30</f>
        <v>-321667.43370954948</v>
      </c>
      <c r="J4" s="102">
        <f>+Bilan!K30</f>
        <v>1498954.6216769689</v>
      </c>
      <c r="L4" s="102">
        <f>+Bilan!M30</f>
        <v>0</v>
      </c>
      <c r="M4" s="102">
        <f>+Bilan!N30</f>
        <v>0</v>
      </c>
      <c r="N4" s="102">
        <f>+Bilan!O30</f>
        <v>0</v>
      </c>
      <c r="O4" s="102">
        <f>+Bilan!P30</f>
        <v>0</v>
      </c>
      <c r="P4" s="102">
        <f>+Bilan!Q30</f>
        <v>0</v>
      </c>
      <c r="Q4" s="102">
        <f>+Bilan!R30</f>
        <v>0</v>
      </c>
      <c r="R4" s="102">
        <f>+Bilan!S30</f>
        <v>0</v>
      </c>
      <c r="S4" s="102">
        <f>+Bilan!T30</f>
        <v>0</v>
      </c>
      <c r="T4" s="102">
        <f>+Bilan!U30</f>
        <v>0</v>
      </c>
      <c r="U4" s="102">
        <f>+Bilan!V30</f>
        <v>0</v>
      </c>
      <c r="V4" s="102">
        <f>+Bilan!W30</f>
        <v>0</v>
      </c>
      <c r="W4" s="102">
        <f>+Bilan!X30</f>
        <v>0</v>
      </c>
      <c r="X4" s="102">
        <f>+Bilan!Y30</f>
        <v>0</v>
      </c>
      <c r="Y4" s="102">
        <f>+Bilan!Z30</f>
        <v>-350</v>
      </c>
      <c r="Z4" s="102">
        <f>+Bilan!AA30</f>
        <v>-350</v>
      </c>
      <c r="AA4" s="102">
        <f>+Bilan!AB30</f>
        <v>-350</v>
      </c>
      <c r="AB4" s="102">
        <f>+Bilan!AC30</f>
        <v>-350</v>
      </c>
      <c r="AC4" s="102">
        <f>+Bilan!AD30</f>
        <v>-7066.666666666667</v>
      </c>
      <c r="AD4" s="102">
        <f>+Bilan!AE30</f>
        <v>-11363.076346184738</v>
      </c>
      <c r="AE4" s="102">
        <f>+Bilan!AF30</f>
        <v>-11342.239359036143</v>
      </c>
      <c r="AF4" s="102">
        <f>+Bilan!AG30</f>
        <v>-11371.402371887547</v>
      </c>
      <c r="AG4" s="102">
        <f>+Bilan!AH30</f>
        <v>-11440.115384738952</v>
      </c>
      <c r="AH4" s="102">
        <f>+Bilan!AI30</f>
        <v>-11619.278397590357</v>
      </c>
      <c r="AI4" s="102">
        <f>+Bilan!AJ30</f>
        <v>-11598.441410441761</v>
      </c>
      <c r="AJ4" s="102">
        <f>+Bilan!AK30</f>
        <v>-12422.376823293167</v>
      </c>
      <c r="AK4" s="102">
        <f>+Bilan!AL30</f>
        <v>-11733.739836144572</v>
      </c>
      <c r="AL4" s="102">
        <f>+Bilan!AM30</f>
        <v>-17071.686182329307</v>
      </c>
      <c r="AM4" s="102">
        <f>+Bilan!AN30</f>
        <v>-21752.19074492529</v>
      </c>
      <c r="AN4" s="102">
        <f>+Bilan!AO30</f>
        <v>-21830.686974187942</v>
      </c>
      <c r="AO4" s="102">
        <f>+Bilan!AP30</f>
        <v>-25158.308203450593</v>
      </c>
      <c r="AP4" s="102">
        <f>+Bilan!AQ30</f>
        <v>-54142.340032713248</v>
      </c>
      <c r="AQ4" s="102">
        <f>+Bilan!AR30</f>
        <v>-61290.586261975899</v>
      </c>
      <c r="AR4" s="102">
        <f>+Bilan!AS30</f>
        <v>-73125.882491238546</v>
      </c>
      <c r="AS4" s="102">
        <f>+Bilan!AT30</f>
        <v>-85588.378720501205</v>
      </c>
      <c r="AT4" s="102">
        <f>+Bilan!AU30</f>
        <v>-109734.45828309718</v>
      </c>
      <c r="AU4" s="102">
        <f>+Bilan!AV30</f>
        <v>-101868.45451235981</v>
      </c>
      <c r="AV4" s="102">
        <f>+Bilan!AW30</f>
        <v>-120423.00827537246</v>
      </c>
      <c r="AW4" s="102">
        <f>+Bilan!AX30</f>
        <v>-101350.74654761885</v>
      </c>
      <c r="AX4" s="102">
        <f>+Bilan!AY30</f>
        <v>-119521.35995111523</v>
      </c>
      <c r="AY4" s="102">
        <f>+Bilan!AZ30</f>
        <v>-109491.23626711161</v>
      </c>
      <c r="AZ4" s="102">
        <f>+Bilan!BA30</f>
        <v>-110861.112583108</v>
      </c>
      <c r="BA4" s="102">
        <f>+Bilan!BB30</f>
        <v>-88366.83889910439</v>
      </c>
      <c r="BB4" s="102">
        <f>+Bilan!BC30</f>
        <v>-106192.63310760079</v>
      </c>
      <c r="BC4" s="102">
        <f>+Bilan!BD30</f>
        <v>-90526.357948597157</v>
      </c>
      <c r="BD4" s="102">
        <f>+Bilan!BE30</f>
        <v>-79670.08278959358</v>
      </c>
      <c r="BE4" s="102">
        <f>+Bilan!BF30</f>
        <v>-66083.326111839939</v>
      </c>
      <c r="BF4" s="102">
        <f>+Bilan!BG30</f>
        <v>-50967.393229086301</v>
      </c>
      <c r="BG4" s="102">
        <f>+Bilan!BH30</f>
        <v>-30800.556551332673</v>
      </c>
      <c r="BH4" s="102">
        <f>+Bilan!BI30</f>
        <v>-29951.398949445749</v>
      </c>
      <c r="BI4" s="102">
        <f>+Bilan!BJ30</f>
        <v>-6318.1163023674162</v>
      </c>
      <c r="BJ4" s="102">
        <f>+Bilan!BK30</f>
        <v>2866.6146587108378</v>
      </c>
      <c r="BK4" s="102">
        <f>+Bilan!BL30</f>
        <v>32987.336921289214</v>
      </c>
      <c r="BL4" s="102">
        <f>+Bilan!BM30</f>
        <v>43608.92882886756</v>
      </c>
      <c r="BM4" s="102">
        <f>+Bilan!BN30</f>
        <v>59379.550871445856</v>
      </c>
      <c r="BN4" s="102">
        <f>+Bilan!BO30</f>
        <v>75262.773840024136</v>
      </c>
      <c r="BO4" s="102">
        <f>+Bilan!BP30</f>
        <v>86823.255668602476</v>
      </c>
      <c r="BP4" s="102">
        <f>+Bilan!BQ30</f>
        <v>98540.035607180791</v>
      </c>
      <c r="BQ4" s="102">
        <f>+Bilan!BR30</f>
        <v>109476.18142375903</v>
      </c>
      <c r="BR4" s="102">
        <f>+Bilan!BS30</f>
        <v>117200.12449467072</v>
      </c>
      <c r="BS4" s="102">
        <f>+Bilan!BT30</f>
        <v>124707.62064724904</v>
      </c>
      <c r="BT4" s="102">
        <f>+Bilan!BU30</f>
        <v>128430.74312980135</v>
      </c>
      <c r="BU4" s="102">
        <f>+Bilan!BV30</f>
        <v>136172.47234037967</v>
      </c>
      <c r="BV4" s="102">
        <f>+Bilan!BW30</f>
        <v>143914.20155095792</v>
      </c>
      <c r="BW4" s="102">
        <f>+Bilan!BX30</f>
        <v>151655.93076153629</v>
      </c>
      <c r="BX4" s="102">
        <f>+Bilan!BY30</f>
        <v>159397.65997211466</v>
      </c>
      <c r="BY4" s="102">
        <f>+Bilan!BZ30</f>
        <v>167373.62224069284</v>
      </c>
      <c r="BZ4" s="102">
        <f>+Bilan!CA30</f>
        <v>168673.46309535735</v>
      </c>
      <c r="CA4" s="102">
        <f>+Bilan!CB30</f>
        <v>152153.36168294126</v>
      </c>
      <c r="CB4" s="102">
        <f>+Bilan!CC30</f>
        <v>155333.42068434117</v>
      </c>
      <c r="CC4" s="102">
        <f>+Bilan!CD30</f>
        <v>158513.47968574124</v>
      </c>
      <c r="CD4" s="102">
        <f>+Bilan!CE30</f>
        <v>161693.5386871412</v>
      </c>
      <c r="CE4" s="102">
        <f>+Bilan!CF30</f>
        <v>164873.59768854122</v>
      </c>
      <c r="CF4" s="102">
        <f>+Bilan!CG30</f>
        <v>164859.89640141348</v>
      </c>
      <c r="CG4" s="102">
        <f>+Bilan!CH30</f>
        <v>168119.59464253346</v>
      </c>
      <c r="CH4" s="102">
        <f>+Bilan!CI30</f>
        <v>171498.75174323347</v>
      </c>
      <c r="CI4" s="102">
        <f>+Bilan!CJ30</f>
        <v>173446.60676393338</v>
      </c>
      <c r="CJ4" s="102">
        <f>+Bilan!CK30</f>
        <v>175394.4617846334</v>
      </c>
      <c r="CK4" s="102">
        <f>+Bilan!CL30</f>
        <v>178057.96784533345</v>
      </c>
    </row>
    <row r="5" spans="1:89">
      <c r="C5" t="s">
        <v>279</v>
      </c>
      <c r="F5" s="102"/>
      <c r="G5" s="102">
        <f>+'P&amp;L Year'!I62</f>
        <v>55500</v>
      </c>
      <c r="H5" s="102">
        <f>+'P&amp;L Year'!J62</f>
        <v>60000</v>
      </c>
      <c r="I5" s="102">
        <f>+'P&amp;L Year'!L62</f>
        <v>70500</v>
      </c>
      <c r="J5" s="102">
        <f>+'P&amp;L Year'!N62</f>
        <v>75000</v>
      </c>
      <c r="L5" s="102">
        <f>+'P&amp;L Month'!H62</f>
        <v>0</v>
      </c>
      <c r="M5" s="102">
        <f>+'P&amp;L Month'!I62</f>
        <v>0</v>
      </c>
      <c r="N5" s="102">
        <f>+'P&amp;L Month'!J62</f>
        <v>0</v>
      </c>
      <c r="O5" s="102">
        <f>+'P&amp;L Month'!K62</f>
        <v>0</v>
      </c>
      <c r="P5" s="102">
        <f>+'P&amp;L Month'!L62</f>
        <v>0</v>
      </c>
      <c r="Q5" s="102">
        <f>+'P&amp;L Month'!M62</f>
        <v>0</v>
      </c>
      <c r="R5" s="102">
        <f>+'P&amp;L Month'!N62</f>
        <v>0</v>
      </c>
      <c r="S5" s="102">
        <f>+'P&amp;L Month'!O62</f>
        <v>0</v>
      </c>
      <c r="T5" s="102">
        <f>+'P&amp;L Month'!P62</f>
        <v>0</v>
      </c>
      <c r="U5" s="102">
        <f>+'P&amp;L Month'!Q62</f>
        <v>0</v>
      </c>
      <c r="V5" s="102">
        <f>+'P&amp;L Month'!R62</f>
        <v>0</v>
      </c>
      <c r="W5" s="102">
        <f>+'P&amp;L Month'!S62</f>
        <v>0</v>
      </c>
      <c r="X5" s="102">
        <f>+'P&amp;L Month'!T62</f>
        <v>0</v>
      </c>
      <c r="Y5" s="102">
        <f>+'P&amp;L Month'!U62</f>
        <v>0</v>
      </c>
      <c r="Z5" s="102">
        <f>+'P&amp;L Month'!V62</f>
        <v>0</v>
      </c>
      <c r="AA5" s="102">
        <f>+'P&amp;L Month'!W62</f>
        <v>0</v>
      </c>
      <c r="AB5" s="102">
        <f>+'P&amp;L Month'!X62</f>
        <v>0</v>
      </c>
      <c r="AC5" s="102">
        <f>+'P&amp;L Month'!Y62</f>
        <v>4166.666666666667</v>
      </c>
      <c r="AD5" s="102">
        <f>+'P&amp;L Month'!Z62</f>
        <v>4166.666666666667</v>
      </c>
      <c r="AE5" s="102">
        <f>+'P&amp;L Month'!AA62</f>
        <v>4166.666666666667</v>
      </c>
      <c r="AF5" s="102">
        <f>+'P&amp;L Month'!AB62</f>
        <v>4166.666666666667</v>
      </c>
      <c r="AG5" s="102">
        <f>+'P&amp;L Month'!AC62</f>
        <v>4166.666666666667</v>
      </c>
      <c r="AH5" s="102">
        <f>+'P&amp;L Month'!AD62</f>
        <v>4166.666666666667</v>
      </c>
      <c r="AI5" s="102">
        <f>+'P&amp;L Month'!AE62</f>
        <v>4166.666666666667</v>
      </c>
      <c r="AJ5" s="102">
        <f>+'P&amp;L Month'!AF62</f>
        <v>4166.666666666667</v>
      </c>
      <c r="AK5" s="102">
        <f>+'P&amp;L Month'!AG62</f>
        <v>4166.666666666667</v>
      </c>
      <c r="AL5" s="102">
        <f>+'P&amp;L Month'!AH62</f>
        <v>4500</v>
      </c>
      <c r="AM5" s="102">
        <f>+'P&amp;L Month'!AI62</f>
        <v>4500</v>
      </c>
      <c r="AN5" s="102">
        <f>+'P&amp;L Month'!AJ62</f>
        <v>4500</v>
      </c>
      <c r="AO5" s="102">
        <f>+'P&amp;L Month'!AK62</f>
        <v>4500</v>
      </c>
      <c r="AP5" s="102">
        <f>+'P&amp;L Month'!AL62</f>
        <v>4500</v>
      </c>
      <c r="AQ5" s="102">
        <f>+'P&amp;L Month'!AM62</f>
        <v>4500</v>
      </c>
      <c r="AR5" s="102">
        <f>+'P&amp;L Month'!AN62</f>
        <v>4500</v>
      </c>
      <c r="AS5" s="102">
        <f>+'P&amp;L Month'!AO62</f>
        <v>4500</v>
      </c>
      <c r="AT5" s="102">
        <f>+'P&amp;L Month'!AP62</f>
        <v>4500</v>
      </c>
      <c r="AU5" s="102">
        <f>+'P&amp;L Month'!AQ62</f>
        <v>4500</v>
      </c>
      <c r="AV5" s="102">
        <f>+'P&amp;L Month'!AR62</f>
        <v>5500</v>
      </c>
      <c r="AW5" s="102">
        <f>+'P&amp;L Month'!AS62</f>
        <v>5500</v>
      </c>
      <c r="AX5" s="102">
        <f>+'P&amp;L Month'!AT62</f>
        <v>5500</v>
      </c>
      <c r="AY5" s="102">
        <f>+'P&amp;L Month'!AU62</f>
        <v>5500</v>
      </c>
      <c r="AZ5" s="102">
        <f>+'P&amp;L Month'!AV62</f>
        <v>5500</v>
      </c>
      <c r="BA5" s="102">
        <f>+'P&amp;L Month'!AW62</f>
        <v>5500</v>
      </c>
      <c r="BB5" s="102">
        <f>+'P&amp;L Month'!AX62</f>
        <v>5500</v>
      </c>
      <c r="BC5" s="102">
        <f>+'P&amp;L Month'!AY62</f>
        <v>5500</v>
      </c>
      <c r="BD5" s="102">
        <f>+'P&amp;L Month'!AZ62</f>
        <v>5500</v>
      </c>
      <c r="BE5" s="102">
        <f>+'P&amp;L Month'!BA62</f>
        <v>5500</v>
      </c>
      <c r="BF5" s="102">
        <f>+'P&amp;L Month'!BB62</f>
        <v>5500</v>
      </c>
      <c r="BG5" s="102">
        <f>+'P&amp;L Month'!BC62</f>
        <v>5500</v>
      </c>
      <c r="BH5" s="102">
        <f>+'P&amp;L Month'!BD62</f>
        <v>6250</v>
      </c>
      <c r="BI5" s="102">
        <f>+'P&amp;L Month'!BE62</f>
        <v>6250</v>
      </c>
      <c r="BJ5" s="102">
        <f>+'P&amp;L Month'!BF62</f>
        <v>6250</v>
      </c>
      <c r="BK5" s="102">
        <f>+'P&amp;L Month'!BG62</f>
        <v>6250</v>
      </c>
      <c r="BL5" s="102">
        <f>+'P&amp;L Month'!BH62</f>
        <v>6250</v>
      </c>
      <c r="BM5" s="102">
        <f>+'P&amp;L Month'!BI62</f>
        <v>6250</v>
      </c>
      <c r="BN5" s="102">
        <f>+'P&amp;L Month'!BJ62</f>
        <v>6250</v>
      </c>
      <c r="BO5" s="102">
        <f>+'P&amp;L Month'!BK62</f>
        <v>6250</v>
      </c>
      <c r="BP5" s="102">
        <f>+'P&amp;L Month'!BL62</f>
        <v>6250</v>
      </c>
      <c r="BQ5" s="102">
        <f>+'P&amp;L Month'!BM62</f>
        <v>6250</v>
      </c>
      <c r="BR5" s="102">
        <f>+'P&amp;L Month'!BN62</f>
        <v>6250</v>
      </c>
      <c r="BS5" s="102">
        <f>+'P&amp;L Month'!BO62</f>
        <v>6250</v>
      </c>
      <c r="BT5" s="102">
        <f>+'P&amp;L Month'!BP62</f>
        <v>6250</v>
      </c>
      <c r="BU5" s="102">
        <f>+'P&amp;L Month'!BQ62</f>
        <v>6250</v>
      </c>
      <c r="BV5" s="102">
        <f>+'P&amp;L Month'!BR62</f>
        <v>6250</v>
      </c>
      <c r="BW5" s="102">
        <f>+'P&amp;L Month'!BS62</f>
        <v>6250</v>
      </c>
      <c r="BX5" s="102">
        <f>+'P&amp;L Month'!BT62</f>
        <v>6250</v>
      </c>
      <c r="BY5" s="102">
        <f>+'P&amp;L Month'!BU62</f>
        <v>6250</v>
      </c>
      <c r="BZ5" s="102">
        <f>+'P&amp;L Month'!BV62</f>
        <v>6250</v>
      </c>
      <c r="CA5" s="102">
        <f>+'P&amp;L Month'!BW62</f>
        <v>6250</v>
      </c>
      <c r="CB5" s="102">
        <f>+'P&amp;L Month'!BX62</f>
        <v>6250</v>
      </c>
      <c r="CC5" s="102">
        <f>+'P&amp;L Month'!BY62</f>
        <v>6250</v>
      </c>
      <c r="CD5" s="102">
        <f>+'P&amp;L Month'!BZ62</f>
        <v>6250</v>
      </c>
      <c r="CE5" s="102">
        <f>+'P&amp;L Month'!CA62</f>
        <v>6250</v>
      </c>
      <c r="CF5" s="102">
        <f>+'P&amp;L Month'!CB62</f>
        <v>6250</v>
      </c>
      <c r="CG5" s="102">
        <f>+'P&amp;L Month'!CC62</f>
        <v>6250</v>
      </c>
      <c r="CH5" s="102">
        <f>+'P&amp;L Month'!CD62</f>
        <v>6250</v>
      </c>
      <c r="CI5" s="102">
        <f>+'P&amp;L Month'!CE62</f>
        <v>6250</v>
      </c>
      <c r="CJ5" s="102">
        <f>+'P&amp;L Month'!CF62</f>
        <v>6250</v>
      </c>
      <c r="CK5" s="102">
        <f>+'P&amp;L Month'!CG62</f>
        <v>6250</v>
      </c>
    </row>
    <row r="6" spans="1:89">
      <c r="C6" t="s">
        <v>280</v>
      </c>
      <c r="F6" s="102"/>
      <c r="G6" s="102">
        <f>+SUM('P&amp;L Year'!I63:I65)</f>
        <v>0</v>
      </c>
      <c r="H6" s="102">
        <f>+SUM('P&amp;L Year'!J63:J65)</f>
        <v>0</v>
      </c>
      <c r="I6" s="102">
        <f>+SUM('P&amp;L Year'!L63:L65)</f>
        <v>0</v>
      </c>
      <c r="J6" s="102">
        <f>+SUM('P&amp;L Year'!N63:N65)</f>
        <v>0</v>
      </c>
      <c r="L6" s="102">
        <f>+SUM('P&amp;L Month'!H63:H65)</f>
        <v>0</v>
      </c>
      <c r="M6" s="102">
        <f>+SUM('P&amp;L Month'!I63:I65)</f>
        <v>0</v>
      </c>
      <c r="N6" s="102">
        <f>+SUM('P&amp;L Month'!J63:J65)</f>
        <v>0</v>
      </c>
      <c r="O6" s="102">
        <f>+SUM('P&amp;L Month'!K63:K65)</f>
        <v>0</v>
      </c>
      <c r="P6" s="102">
        <f>+SUM('P&amp;L Month'!L63:L65)</f>
        <v>0</v>
      </c>
      <c r="Q6" s="102">
        <f>+SUM('P&amp;L Month'!M63:M65)</f>
        <v>0</v>
      </c>
      <c r="R6" s="102">
        <f>+SUM('P&amp;L Month'!N63:N65)</f>
        <v>0</v>
      </c>
      <c r="S6" s="102">
        <f>+SUM('P&amp;L Month'!O63:O65)</f>
        <v>0</v>
      </c>
      <c r="T6" s="102">
        <f>+SUM('P&amp;L Month'!P63:P65)</f>
        <v>0</v>
      </c>
      <c r="U6" s="102">
        <f>+SUM('P&amp;L Month'!Q63:Q65)</f>
        <v>0</v>
      </c>
      <c r="V6" s="102">
        <f>+SUM('P&amp;L Month'!R63:R65)</f>
        <v>0</v>
      </c>
      <c r="W6" s="102">
        <f>+SUM('P&amp;L Month'!S63:S65)</f>
        <v>0</v>
      </c>
      <c r="X6" s="102">
        <f>+SUM('P&amp;L Month'!T63:T65)</f>
        <v>0</v>
      </c>
      <c r="Y6" s="102">
        <f>+SUM('P&amp;L Month'!U63:U65)</f>
        <v>0</v>
      </c>
      <c r="Z6" s="102">
        <f>+SUM('P&amp;L Month'!V63:V65)</f>
        <v>0</v>
      </c>
      <c r="AA6" s="102">
        <f>+SUM('P&amp;L Month'!W63:W65)</f>
        <v>0</v>
      </c>
      <c r="AB6" s="102">
        <f>+SUM('P&amp;L Month'!X63:X65)</f>
        <v>0</v>
      </c>
      <c r="AC6" s="102">
        <f>+SUM('P&amp;L Month'!Y63:Y65)</f>
        <v>0</v>
      </c>
      <c r="AD6" s="102">
        <f>+SUM('P&amp;L Month'!Z63:Z65)</f>
        <v>0</v>
      </c>
      <c r="AE6" s="102">
        <f>+SUM('P&amp;L Month'!AA63:AA65)</f>
        <v>0</v>
      </c>
      <c r="AF6" s="102">
        <f>+SUM('P&amp;L Month'!AB63:AB65)</f>
        <v>0</v>
      </c>
      <c r="AG6" s="102">
        <f>+SUM('P&amp;L Month'!AC63:AC65)</f>
        <v>0</v>
      </c>
      <c r="AH6" s="102">
        <f>+SUM('P&amp;L Month'!AD63:AD65)</f>
        <v>0</v>
      </c>
      <c r="AI6" s="102">
        <f>+SUM('P&amp;L Month'!AE63:AE65)</f>
        <v>0</v>
      </c>
      <c r="AJ6" s="102">
        <f>+SUM('P&amp;L Month'!AF63:AF65)</f>
        <v>0</v>
      </c>
      <c r="AK6" s="102">
        <f>+SUM('P&amp;L Month'!AG63:AG65)</f>
        <v>0</v>
      </c>
      <c r="AL6" s="102">
        <f>+SUM('P&amp;L Month'!AH63:AH65)</f>
        <v>0</v>
      </c>
      <c r="AM6" s="102">
        <f>+SUM('P&amp;L Month'!AI63:AI65)</f>
        <v>0</v>
      </c>
      <c r="AN6" s="102">
        <f>+SUM('P&amp;L Month'!AJ63:AJ65)</f>
        <v>0</v>
      </c>
      <c r="AO6" s="102">
        <f>+SUM('P&amp;L Month'!AK63:AK65)</f>
        <v>0</v>
      </c>
      <c r="AP6" s="102">
        <f>+SUM('P&amp;L Month'!AL63:AL65)</f>
        <v>0</v>
      </c>
      <c r="AQ6" s="102">
        <f>+SUM('P&amp;L Month'!AM63:AM65)</f>
        <v>0</v>
      </c>
      <c r="AR6" s="102">
        <f>+SUM('P&amp;L Month'!AN63:AN65)</f>
        <v>0</v>
      </c>
      <c r="AS6" s="102">
        <f>+SUM('P&amp;L Month'!AO63:AO65)</f>
        <v>0</v>
      </c>
      <c r="AT6" s="102">
        <f>+SUM('P&amp;L Month'!AP63:AP65)</f>
        <v>0</v>
      </c>
      <c r="AU6" s="102">
        <f>+SUM('P&amp;L Month'!AQ63:AQ65)</f>
        <v>0</v>
      </c>
      <c r="AV6" s="102">
        <f>+SUM('P&amp;L Month'!AR63:AR65)</f>
        <v>0</v>
      </c>
      <c r="AW6" s="102">
        <f>+SUM('P&amp;L Month'!AS63:AS65)</f>
        <v>0</v>
      </c>
      <c r="AX6" s="102">
        <f>+SUM('P&amp;L Month'!AT63:AT65)</f>
        <v>0</v>
      </c>
      <c r="AY6" s="102">
        <f>+SUM('P&amp;L Month'!AU63:AU65)</f>
        <v>0</v>
      </c>
      <c r="AZ6" s="102">
        <f>+SUM('P&amp;L Month'!AV63:AV65)</f>
        <v>0</v>
      </c>
      <c r="BA6" s="102">
        <f>+SUM('P&amp;L Month'!AW63:AW65)</f>
        <v>0</v>
      </c>
      <c r="BB6" s="102">
        <f>+SUM('P&amp;L Month'!AX63:AX65)</f>
        <v>0</v>
      </c>
      <c r="BC6" s="102">
        <f>+SUM('P&amp;L Month'!AY63:AY65)</f>
        <v>0</v>
      </c>
      <c r="BD6" s="102">
        <f>+SUM('P&amp;L Month'!AZ63:AZ65)</f>
        <v>0</v>
      </c>
      <c r="BE6" s="102">
        <f>+SUM('P&amp;L Month'!BA63:BA65)</f>
        <v>0</v>
      </c>
      <c r="BF6" s="102">
        <f>+SUM('P&amp;L Month'!BB63:BB65)</f>
        <v>0</v>
      </c>
      <c r="BG6" s="102">
        <f>+SUM('P&amp;L Month'!BC63:BC65)</f>
        <v>0</v>
      </c>
      <c r="BH6" s="102">
        <f>+SUM('P&amp;L Month'!BD63:BD65)</f>
        <v>0</v>
      </c>
      <c r="BI6" s="102">
        <f>+SUM('P&amp;L Month'!BE63:BE65)</f>
        <v>0</v>
      </c>
      <c r="BJ6" s="102">
        <f>+SUM('P&amp;L Month'!BF63:BF65)</f>
        <v>0</v>
      </c>
      <c r="BK6" s="102">
        <f>+SUM('P&amp;L Month'!BG63:BG65)</f>
        <v>0</v>
      </c>
      <c r="BL6" s="102">
        <f>+SUM('P&amp;L Month'!BH63:BH65)</f>
        <v>0</v>
      </c>
      <c r="BM6" s="102">
        <f>+SUM('P&amp;L Month'!BI63:BI65)</f>
        <v>0</v>
      </c>
      <c r="BN6" s="102">
        <f>+SUM('P&amp;L Month'!BJ63:BJ65)</f>
        <v>0</v>
      </c>
      <c r="BO6" s="102">
        <f>+SUM('P&amp;L Month'!BK63:BK65)</f>
        <v>0</v>
      </c>
      <c r="BP6" s="102">
        <f>+SUM('P&amp;L Month'!BL63:BL65)</f>
        <v>0</v>
      </c>
      <c r="BQ6" s="102">
        <f>+SUM('P&amp;L Month'!BM63:BM65)</f>
        <v>0</v>
      </c>
      <c r="BR6" s="102">
        <f>+SUM('P&amp;L Month'!BN63:BN65)</f>
        <v>0</v>
      </c>
      <c r="BS6" s="102">
        <f>+SUM('P&amp;L Month'!BO63:BO65)</f>
        <v>0</v>
      </c>
      <c r="BT6" s="102">
        <f>+SUM('P&amp;L Month'!BP63:BP65)</f>
        <v>0</v>
      </c>
      <c r="BU6" s="102">
        <f>+SUM('P&amp;L Month'!BQ63:BQ65)</f>
        <v>0</v>
      </c>
      <c r="BV6" s="102">
        <f>+SUM('P&amp;L Month'!BR63:BR65)</f>
        <v>0</v>
      </c>
      <c r="BW6" s="102">
        <f>+SUM('P&amp;L Month'!BS63:BS65)</f>
        <v>0</v>
      </c>
      <c r="BX6" s="102">
        <f>+SUM('P&amp;L Month'!BT63:BT65)</f>
        <v>0</v>
      </c>
      <c r="BY6" s="102">
        <f>+SUM('P&amp;L Month'!BU63:BU65)</f>
        <v>0</v>
      </c>
      <c r="BZ6" s="102">
        <f>+SUM('P&amp;L Month'!BV63:BV65)</f>
        <v>0</v>
      </c>
      <c r="CA6" s="102">
        <f>+SUM('P&amp;L Month'!BW63:BW65)</f>
        <v>0</v>
      </c>
      <c r="CB6" s="102">
        <f>+SUM('P&amp;L Month'!BX63:BX65)</f>
        <v>0</v>
      </c>
      <c r="CC6" s="102">
        <f>+SUM('P&amp;L Month'!BY63:BY65)</f>
        <v>0</v>
      </c>
      <c r="CD6" s="102">
        <f>+SUM('P&amp;L Month'!BZ63:BZ65)</f>
        <v>0</v>
      </c>
      <c r="CE6" s="102">
        <f>+SUM('P&amp;L Month'!CA63:CA65)</f>
        <v>0</v>
      </c>
      <c r="CF6" s="102">
        <f>+SUM('P&amp;L Month'!CB63:CB65)</f>
        <v>0</v>
      </c>
      <c r="CG6" s="102">
        <f>+SUM('P&amp;L Month'!CC63:CC65)</f>
        <v>0</v>
      </c>
      <c r="CH6" s="102">
        <f>+SUM('P&amp;L Month'!CD63:CD65)</f>
        <v>0</v>
      </c>
      <c r="CI6" s="102">
        <f>+SUM('P&amp;L Month'!CE63:CE65)</f>
        <v>0</v>
      </c>
      <c r="CJ6" s="102">
        <f>+SUM('P&amp;L Month'!CF63:CF65)</f>
        <v>0</v>
      </c>
      <c r="CK6" s="102">
        <f>+SUM('P&amp;L Month'!CG63:CG65)</f>
        <v>0</v>
      </c>
    </row>
    <row r="7" spans="1:89" s="12" customFormat="1">
      <c r="B7" s="163" t="s">
        <v>281</v>
      </c>
      <c r="C7" s="163"/>
      <c r="D7" s="163"/>
      <c r="E7" s="163"/>
      <c r="F7" s="164"/>
      <c r="G7" s="164">
        <f>+SUM(G4:G6)</f>
        <v>-123203.54203421038</v>
      </c>
      <c r="H7" s="164">
        <f>+SUM(H4:H6)</f>
        <v>-1075764.4028253164</v>
      </c>
      <c r="I7" s="164">
        <f>+SUM(I4:I6)</f>
        <v>-251167.43370954948</v>
      </c>
      <c r="J7" s="164">
        <f>+SUM(J4:J6)</f>
        <v>1573954.6216769689</v>
      </c>
      <c r="L7" s="164">
        <f t="shared" ref="L7:BG7" si="0">+SUM(L4:L6)</f>
        <v>0</v>
      </c>
      <c r="M7" s="164">
        <f t="shared" si="0"/>
        <v>0</v>
      </c>
      <c r="N7" s="164">
        <f t="shared" si="0"/>
        <v>0</v>
      </c>
      <c r="O7" s="164">
        <f t="shared" si="0"/>
        <v>0</v>
      </c>
      <c r="P7" s="164">
        <f t="shared" si="0"/>
        <v>0</v>
      </c>
      <c r="Q7" s="164">
        <f t="shared" si="0"/>
        <v>0</v>
      </c>
      <c r="R7" s="164">
        <f t="shared" si="0"/>
        <v>0</v>
      </c>
      <c r="S7" s="164">
        <f t="shared" si="0"/>
        <v>0</v>
      </c>
      <c r="T7" s="164">
        <f t="shared" si="0"/>
        <v>0</v>
      </c>
      <c r="U7" s="164">
        <f t="shared" si="0"/>
        <v>0</v>
      </c>
      <c r="V7" s="164">
        <f t="shared" si="0"/>
        <v>0</v>
      </c>
      <c r="W7" s="164">
        <f t="shared" si="0"/>
        <v>0</v>
      </c>
      <c r="X7" s="164">
        <f t="shared" si="0"/>
        <v>0</v>
      </c>
      <c r="Y7" s="164">
        <f t="shared" si="0"/>
        <v>-350</v>
      </c>
      <c r="Z7" s="164">
        <f t="shared" si="0"/>
        <v>-350</v>
      </c>
      <c r="AA7" s="164">
        <f t="shared" si="0"/>
        <v>-350</v>
      </c>
      <c r="AB7" s="164">
        <f t="shared" si="0"/>
        <v>-350</v>
      </c>
      <c r="AC7" s="164">
        <f t="shared" si="0"/>
        <v>-2900</v>
      </c>
      <c r="AD7" s="164">
        <f t="shared" si="0"/>
        <v>-7196.4096795180712</v>
      </c>
      <c r="AE7" s="164">
        <f t="shared" si="0"/>
        <v>-7175.5726923694756</v>
      </c>
      <c r="AF7" s="164">
        <f t="shared" si="0"/>
        <v>-7204.7357052208799</v>
      </c>
      <c r="AG7" s="164">
        <f t="shared" si="0"/>
        <v>-7273.4487180722854</v>
      </c>
      <c r="AH7" s="164">
        <f t="shared" si="0"/>
        <v>-7452.6117309236897</v>
      </c>
      <c r="AI7" s="164">
        <f t="shared" si="0"/>
        <v>-7431.7747437750941</v>
      </c>
      <c r="AJ7" s="164">
        <f t="shared" si="0"/>
        <v>-8255.710156626501</v>
      </c>
      <c r="AK7" s="164">
        <f t="shared" si="0"/>
        <v>-7567.0731694779051</v>
      </c>
      <c r="AL7" s="164">
        <f t="shared" si="0"/>
        <v>-12571.686182329307</v>
      </c>
      <c r="AM7" s="164">
        <f t="shared" si="0"/>
        <v>-17252.19074492529</v>
      </c>
      <c r="AN7" s="164">
        <f t="shared" si="0"/>
        <v>-17330.686974187942</v>
      </c>
      <c r="AO7" s="164">
        <f t="shared" si="0"/>
        <v>-20658.308203450593</v>
      </c>
      <c r="AP7" s="164">
        <f t="shared" si="0"/>
        <v>-49642.340032713248</v>
      </c>
      <c r="AQ7" s="164">
        <f t="shared" si="0"/>
        <v>-56790.586261975899</v>
      </c>
      <c r="AR7" s="164">
        <f t="shared" si="0"/>
        <v>-68625.882491238546</v>
      </c>
      <c r="AS7" s="164">
        <f t="shared" si="0"/>
        <v>-81088.378720501205</v>
      </c>
      <c r="AT7" s="164">
        <f t="shared" si="0"/>
        <v>-105234.45828309718</v>
      </c>
      <c r="AU7" s="164">
        <f t="shared" si="0"/>
        <v>-97368.454512359807</v>
      </c>
      <c r="AV7" s="164">
        <f t="shared" si="0"/>
        <v>-114923.00827537246</v>
      </c>
      <c r="AW7" s="164">
        <f t="shared" si="0"/>
        <v>-95850.746547618852</v>
      </c>
      <c r="AX7" s="164">
        <f t="shared" si="0"/>
        <v>-114021.35995111523</v>
      </c>
      <c r="AY7" s="164">
        <f t="shared" si="0"/>
        <v>-103991.23626711161</v>
      </c>
      <c r="AZ7" s="164">
        <f t="shared" si="0"/>
        <v>-105361.112583108</v>
      </c>
      <c r="BA7" s="164">
        <f t="shared" si="0"/>
        <v>-82866.83889910439</v>
      </c>
      <c r="BB7" s="164">
        <f t="shared" si="0"/>
        <v>-100692.63310760079</v>
      </c>
      <c r="BC7" s="164">
        <f t="shared" si="0"/>
        <v>-85026.357948597157</v>
      </c>
      <c r="BD7" s="164">
        <f t="shared" si="0"/>
        <v>-74170.08278959358</v>
      </c>
      <c r="BE7" s="164">
        <f t="shared" si="0"/>
        <v>-60583.326111839939</v>
      </c>
      <c r="BF7" s="164">
        <f t="shared" si="0"/>
        <v>-45467.393229086301</v>
      </c>
      <c r="BG7" s="164">
        <f t="shared" si="0"/>
        <v>-25300.556551332673</v>
      </c>
      <c r="BH7" s="164">
        <f t="shared" ref="BH7:BS7" si="1">+SUM(BH4:BH6)</f>
        <v>-23701.398949445749</v>
      </c>
      <c r="BI7" s="164">
        <f t="shared" si="1"/>
        <v>-68.11630236741621</v>
      </c>
      <c r="BJ7" s="164">
        <f t="shared" si="1"/>
        <v>9116.6146587108378</v>
      </c>
      <c r="BK7" s="164">
        <f t="shared" si="1"/>
        <v>39237.336921289214</v>
      </c>
      <c r="BL7" s="164">
        <f t="shared" si="1"/>
        <v>49858.92882886756</v>
      </c>
      <c r="BM7" s="164">
        <f t="shared" si="1"/>
        <v>65629.550871445856</v>
      </c>
      <c r="BN7" s="164">
        <f t="shared" si="1"/>
        <v>81512.773840024136</v>
      </c>
      <c r="BO7" s="164">
        <f t="shared" si="1"/>
        <v>93073.255668602476</v>
      </c>
      <c r="BP7" s="164">
        <f t="shared" si="1"/>
        <v>104790.03560718079</v>
      </c>
      <c r="BQ7" s="164">
        <f t="shared" si="1"/>
        <v>115726.18142375903</v>
      </c>
      <c r="BR7" s="164">
        <f t="shared" si="1"/>
        <v>123450.12449467072</v>
      </c>
      <c r="BS7" s="164">
        <f t="shared" si="1"/>
        <v>130957.62064724904</v>
      </c>
      <c r="BT7" s="164">
        <f t="shared" ref="BT7:BY7" si="2">+SUM(BT4:BT6)</f>
        <v>134680.74312980135</v>
      </c>
      <c r="BU7" s="164">
        <f t="shared" si="2"/>
        <v>142422.47234037967</v>
      </c>
      <c r="BV7" s="164">
        <f t="shared" si="2"/>
        <v>150164.20155095792</v>
      </c>
      <c r="BW7" s="164">
        <f t="shared" si="2"/>
        <v>157905.93076153629</v>
      </c>
      <c r="BX7" s="164">
        <f t="shared" si="2"/>
        <v>165647.65997211466</v>
      </c>
      <c r="BY7" s="164">
        <f t="shared" si="2"/>
        <v>173623.62224069284</v>
      </c>
      <c r="BZ7" s="164">
        <f t="shared" ref="BZ7:CJ7" si="3">+SUM(BZ4:BZ6)</f>
        <v>174923.46309535735</v>
      </c>
      <c r="CA7" s="164">
        <f t="shared" si="3"/>
        <v>158403.36168294126</v>
      </c>
      <c r="CB7" s="164">
        <f t="shared" si="3"/>
        <v>161583.42068434117</v>
      </c>
      <c r="CC7" s="164">
        <f t="shared" si="3"/>
        <v>164763.47968574124</v>
      </c>
      <c r="CD7" s="164">
        <f t="shared" si="3"/>
        <v>167943.5386871412</v>
      </c>
      <c r="CE7" s="164">
        <f t="shared" si="3"/>
        <v>171123.59768854122</v>
      </c>
      <c r="CF7" s="164">
        <f t="shared" si="3"/>
        <v>171109.89640141348</v>
      </c>
      <c r="CG7" s="164">
        <f t="shared" si="3"/>
        <v>174369.59464253346</v>
      </c>
      <c r="CH7" s="164">
        <f t="shared" si="3"/>
        <v>177748.75174323347</v>
      </c>
      <c r="CI7" s="164">
        <f t="shared" si="3"/>
        <v>179696.60676393338</v>
      </c>
      <c r="CJ7" s="164">
        <f t="shared" si="3"/>
        <v>181644.4617846334</v>
      </c>
      <c r="CK7" s="164">
        <f>+SUM(CK4:CK6)</f>
        <v>184307.96784533345</v>
      </c>
    </row>
    <row r="8" spans="1:89">
      <c r="F8" s="15"/>
      <c r="G8" s="15"/>
      <c r="H8" s="15"/>
      <c r="I8" s="15"/>
      <c r="J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>
      <c r="B9" s="57" t="s">
        <v>282</v>
      </c>
      <c r="F9" s="15"/>
      <c r="G9" s="15"/>
      <c r="H9" s="15"/>
      <c r="I9" s="15"/>
      <c r="J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>
      <c r="C10" t="s">
        <v>323</v>
      </c>
      <c r="E10" s="166"/>
      <c r="F10" s="102"/>
      <c r="G10" s="102">
        <f>+Bilan!F16-Bilan!H16</f>
        <v>-277.3261999999595</v>
      </c>
      <c r="H10" s="102">
        <f>+Bilan!H16-Bilan!I16</f>
        <v>-38675.18700000002</v>
      </c>
      <c r="I10" s="102">
        <f>+Bilan!I16-Bilan!J16</f>
        <v>88226.913199999981</v>
      </c>
      <c r="J10" s="102">
        <f>+Bilan!J16-Bilan!K16</f>
        <v>0</v>
      </c>
      <c r="L10" s="102">
        <f>+Bilan!L16-Bilan!M16</f>
        <v>0</v>
      </c>
      <c r="M10" s="102">
        <f>+Bilan!M16-Bilan!N16</f>
        <v>0</v>
      </c>
      <c r="N10" s="102">
        <f>+Bilan!N16-Bilan!O16</f>
        <v>0</v>
      </c>
      <c r="O10" s="102">
        <f>+Bilan!O16-Bilan!P16</f>
        <v>0</v>
      </c>
      <c r="P10" s="102">
        <f>+Bilan!P16-Bilan!Q16</f>
        <v>0</v>
      </c>
      <c r="Q10" s="102">
        <f>+Bilan!Q16-Bilan!R16</f>
        <v>0</v>
      </c>
      <c r="R10" s="102">
        <f>+Bilan!R16-Bilan!S16</f>
        <v>0</v>
      </c>
      <c r="S10" s="102">
        <f>+Bilan!S16-Bilan!T16</f>
        <v>0</v>
      </c>
      <c r="T10" s="102">
        <f>+Bilan!T16-Bilan!U16</f>
        <v>0</v>
      </c>
      <c r="U10" s="102">
        <f>+Bilan!U16-Bilan!V16</f>
        <v>0</v>
      </c>
      <c r="V10" s="102">
        <f>+Bilan!V16-Bilan!W16</f>
        <v>0</v>
      </c>
      <c r="W10" s="102">
        <f>+Bilan!W16-Bilan!X16</f>
        <v>0</v>
      </c>
      <c r="X10" s="102">
        <f>+Bilan!X16-Bilan!Y16</f>
        <v>0</v>
      </c>
      <c r="Y10" s="102">
        <f>+Bilan!Y16-Bilan!Z16</f>
        <v>0</v>
      </c>
      <c r="Z10" s="102">
        <f>+Bilan!Z16-Bilan!AA16</f>
        <v>-68.599999999999966</v>
      </c>
      <c r="AA10" s="102">
        <f>+Bilan!AA16-Bilan!AB16</f>
        <v>-68.599999999999966</v>
      </c>
      <c r="AB10" s="102">
        <f>+Bilan!AB16-Bilan!AC16</f>
        <v>-68.599999999999966</v>
      </c>
      <c r="AC10" s="102">
        <f>+Bilan!AC16-Bilan!AD16</f>
        <v>-49068.6</v>
      </c>
      <c r="AD10" s="102">
        <f>+Bilan!AD16-Bilan!AE16</f>
        <v>-578.98399999996764</v>
      </c>
      <c r="AE10" s="102">
        <f>+Bilan!AE16-Bilan!AF16</f>
        <v>183.6160000000018</v>
      </c>
      <c r="AF10" s="102">
        <f>+Bilan!AF16-Bilan!AG16</f>
        <v>183.6160000000018</v>
      </c>
      <c r="AG10" s="102">
        <f>+Bilan!AG16-Bilan!AH16</f>
        <v>168.12219999999797</v>
      </c>
      <c r="AH10" s="102">
        <f>+Bilan!AH16-Bilan!AI16</f>
        <v>156.2641999999978</v>
      </c>
      <c r="AI10" s="102">
        <f>+Bilan!AI16-Bilan!AJ16</f>
        <v>117.06420000000071</v>
      </c>
      <c r="AJ10" s="102">
        <f>+Bilan!AJ16-Bilan!AK16</f>
        <v>108.93020000000251</v>
      </c>
      <c r="AK10" s="102">
        <f>+Bilan!AK16-Bilan!AL16</f>
        <v>-11.648999999997613</v>
      </c>
      <c r="AL10" s="102">
        <f>+Bilan!AL16-Bilan!AM16</f>
        <v>-1467.8799999999974</v>
      </c>
      <c r="AM10" s="102">
        <f>+Bilan!AM16-Bilan!AN16</f>
        <v>230.4910000000018</v>
      </c>
      <c r="AN10" s="102">
        <f>+Bilan!AN16-Bilan!AO16</f>
        <v>331.02100000000064</v>
      </c>
      <c r="AO10" s="102">
        <f>+Bilan!AO16-Bilan!AP16</f>
        <v>302.06199999999808</v>
      </c>
      <c r="AP10" s="102">
        <f>+Bilan!AP16-Bilan!AQ16</f>
        <v>423.07400000000052</v>
      </c>
      <c r="AQ10" s="102">
        <f>+Bilan!AQ16-Bilan!AR16</f>
        <v>-1675.288999999997</v>
      </c>
      <c r="AR10" s="102">
        <f>+Bilan!AR16-Bilan!AS16</f>
        <v>-1972.5410000000047</v>
      </c>
      <c r="AS10" s="102">
        <f>+Bilan!AS16-Bilan!AT16</f>
        <v>-2101.5449999999983</v>
      </c>
      <c r="AT10" s="102">
        <f>+Bilan!AT16-Bilan!AU16</f>
        <v>-4557.7680000000109</v>
      </c>
      <c r="AU10" s="102">
        <f>+Bilan!AU16-Bilan!AV16</f>
        <v>-8089.0199999999968</v>
      </c>
      <c r="AV10" s="102">
        <f>+Bilan!AV16-Bilan!AW16</f>
        <v>-9011.3830000000016</v>
      </c>
      <c r="AW10" s="102">
        <f>+Bilan!AW16-Bilan!AX16</f>
        <v>-6258.580999999991</v>
      </c>
      <c r="AX10" s="102">
        <f>+Bilan!AX16-Bilan!AY16</f>
        <v>-2507.3859999999986</v>
      </c>
      <c r="AY10" s="102">
        <f>+Bilan!AY16-Bilan!AZ16</f>
        <v>-2219.1240000000107</v>
      </c>
      <c r="AZ10" s="102">
        <f>+Bilan!AZ16-Bilan!BA16</f>
        <v>-230.11599999999453</v>
      </c>
      <c r="BA10" s="102">
        <f>+Bilan!BA16-Bilan!BB16</f>
        <v>-475.50800000001618</v>
      </c>
      <c r="BB10" s="102">
        <f>+Bilan!BB16-Bilan!BC16</f>
        <v>3952.7048099999956</v>
      </c>
      <c r="BC10" s="102">
        <f>+Bilan!BC16-Bilan!BD16</f>
        <v>4097.7349100000138</v>
      </c>
      <c r="BD10" s="102">
        <f>+Bilan!BD16-Bilan!BE16</f>
        <v>7348.1989099999773</v>
      </c>
      <c r="BE10" s="102">
        <f>+Bilan!BE16-Bilan!BF16</f>
        <v>9618.6629100000064</v>
      </c>
      <c r="BF10" s="102">
        <f>+Bilan!BF16-Bilan!BG16</f>
        <v>12467.645899999981</v>
      </c>
      <c r="BG10" s="102">
        <f>+Bilan!BG16-Bilan!BH16</f>
        <v>17016.645799999991</v>
      </c>
      <c r="BH10" s="102">
        <f>+Bilan!BH16-Bilan!BI16</f>
        <v>17668.787779999977</v>
      </c>
      <c r="BI10" s="102">
        <f>+Bilan!BI16-Bilan!BJ16</f>
        <v>16056.532180000038</v>
      </c>
      <c r="BJ10" s="102">
        <f>+Bilan!BJ16-Bilan!BK16</f>
        <v>0</v>
      </c>
      <c r="BK10" s="102">
        <f>+Bilan!BK16-Bilan!BL16</f>
        <v>0</v>
      </c>
      <c r="BL10" s="102">
        <f>+Bilan!BL16-Bilan!BM16</f>
        <v>0</v>
      </c>
      <c r="BM10" s="102">
        <f>+Bilan!BM16-Bilan!BN16</f>
        <v>0</v>
      </c>
      <c r="BN10" s="102">
        <f>+Bilan!BN16-Bilan!BO16</f>
        <v>0</v>
      </c>
      <c r="BO10" s="102">
        <f>+Bilan!BO16-Bilan!BP16</f>
        <v>0</v>
      </c>
      <c r="BP10" s="102">
        <f>+Bilan!BP16-Bilan!BQ16</f>
        <v>0</v>
      </c>
      <c r="BQ10" s="102">
        <f>+Bilan!BQ16-Bilan!BR16</f>
        <v>0</v>
      </c>
      <c r="BR10" s="102">
        <f>+Bilan!BR16-Bilan!BS16</f>
        <v>0</v>
      </c>
      <c r="BS10" s="102">
        <f>+Bilan!BS16-Bilan!BT16</f>
        <v>0</v>
      </c>
      <c r="BT10" s="102">
        <f>+Bilan!BT16-Bilan!BU16</f>
        <v>0</v>
      </c>
      <c r="BU10" s="102">
        <f>+Bilan!BU16-Bilan!BV16</f>
        <v>0</v>
      </c>
      <c r="BV10" s="102">
        <f>+Bilan!BV16-Bilan!BW16</f>
        <v>0</v>
      </c>
      <c r="BW10" s="102">
        <f>+Bilan!BW16-Bilan!BX16</f>
        <v>0</v>
      </c>
      <c r="BX10" s="102">
        <f>+Bilan!BX16-Bilan!BY16</f>
        <v>0</v>
      </c>
      <c r="BY10" s="102">
        <f>+Bilan!BY16-Bilan!BZ16</f>
        <v>0</v>
      </c>
      <c r="BZ10" s="102">
        <f>+Bilan!BZ16-Bilan!CM16</f>
        <v>0</v>
      </c>
      <c r="CA10" s="102">
        <f>+Bilan!CM16-Bilan!CN16</f>
        <v>0</v>
      </c>
      <c r="CB10" s="102">
        <f>+Bilan!CN16-Bilan!CO16</f>
        <v>0</v>
      </c>
      <c r="CC10" s="102">
        <f>+Bilan!CO16-Bilan!CP16</f>
        <v>0</v>
      </c>
      <c r="CD10" s="102">
        <f>+Bilan!CP16-Bilan!CQ16</f>
        <v>0</v>
      </c>
      <c r="CE10" s="102">
        <f>+Bilan!CQ16-Bilan!CR16</f>
        <v>0</v>
      </c>
      <c r="CF10" s="102">
        <f>+Bilan!CR16-Bilan!CS16</f>
        <v>0</v>
      </c>
      <c r="CG10" s="102">
        <f>+Bilan!CS16-Bilan!CT16</f>
        <v>0</v>
      </c>
      <c r="CH10" s="102">
        <f>+Bilan!CT16-Bilan!CU16</f>
        <v>0</v>
      </c>
      <c r="CI10" s="102">
        <f>+Bilan!CU16-Bilan!CV16</f>
        <v>0</v>
      </c>
      <c r="CJ10" s="102">
        <f>+Bilan!CV16-Bilan!CW16</f>
        <v>0</v>
      </c>
      <c r="CK10" s="102">
        <f>+Bilan!CW16-Bilan!CX16</f>
        <v>0</v>
      </c>
    </row>
    <row r="11" spans="1:89">
      <c r="C11" t="s">
        <v>324</v>
      </c>
      <c r="E11" s="166"/>
      <c r="F11" s="102"/>
      <c r="G11" s="102">
        <f>+Bilan!F19-Bilan!H19-G10</f>
        <v>-15958.758199999989</v>
      </c>
      <c r="H11" s="102">
        <f>+Bilan!H19-Bilan!I19-H10</f>
        <v>-65294.113017875308</v>
      </c>
      <c r="I11" s="102">
        <f>+Bilan!I19-Bilan!J19-I10</f>
        <v>-94246.896701571095</v>
      </c>
      <c r="J11" s="102">
        <f>+Bilan!J19-Bilan!K19-J10</f>
        <v>-50036.859837741707</v>
      </c>
      <c r="L11" s="102">
        <f>+Bilan!L19-Bilan!M19-L10</f>
        <v>0</v>
      </c>
      <c r="M11" s="102">
        <f>+Bilan!M19-Bilan!N19-M10</f>
        <v>0</v>
      </c>
      <c r="N11" s="102">
        <f>+Bilan!N19-Bilan!O19-N10</f>
        <v>0</v>
      </c>
      <c r="O11" s="102">
        <f>+Bilan!O19-Bilan!P19-O10</f>
        <v>0</v>
      </c>
      <c r="P11" s="102">
        <f>+Bilan!P19-Bilan!Q19-P10</f>
        <v>0</v>
      </c>
      <c r="Q11" s="102">
        <f>+Bilan!Q19-Bilan!R19-Q10</f>
        <v>0</v>
      </c>
      <c r="R11" s="102">
        <f>+Bilan!R19-Bilan!S19-R10</f>
        <v>0</v>
      </c>
      <c r="S11" s="102">
        <f>+Bilan!S19-Bilan!T19-S10</f>
        <v>0</v>
      </c>
      <c r="T11" s="102">
        <f>+Bilan!T19-Bilan!U19-T10</f>
        <v>0</v>
      </c>
      <c r="U11" s="102">
        <f>+Bilan!U19-Bilan!V19-U10</f>
        <v>0</v>
      </c>
      <c r="V11" s="102">
        <f>+Bilan!V19-Bilan!W19-V10</f>
        <v>0</v>
      </c>
      <c r="W11" s="102">
        <f>+Bilan!W19-Bilan!X19-W10</f>
        <v>0</v>
      </c>
      <c r="X11" s="102">
        <f>+Bilan!X19-Bilan!Y19-X10</f>
        <v>0</v>
      </c>
      <c r="Y11" s="102">
        <f>+Bilan!Y19-Bilan!Z19-Y10</f>
        <v>0</v>
      </c>
      <c r="Z11" s="102">
        <f>+Bilan!Z19-Bilan!AA19-Z10</f>
        <v>0</v>
      </c>
      <c r="AA11" s="102">
        <f>+Bilan!AA19-Bilan!AB19-AA10</f>
        <v>0</v>
      </c>
      <c r="AB11" s="102">
        <f>+Bilan!AB19-Bilan!AC19-AB10</f>
        <v>0</v>
      </c>
      <c r="AC11" s="102">
        <f>+Bilan!AC19-Bilan!AD19-AC10</f>
        <v>0</v>
      </c>
      <c r="AD11" s="102">
        <f>+Bilan!AD19-Bilan!AE19-AD10</f>
        <v>-3270.9599999999991</v>
      </c>
      <c r="AE11" s="102">
        <f>+Bilan!AE19-Bilan!AF19-AE10</f>
        <v>-817.73999999999796</v>
      </c>
      <c r="AF11" s="102">
        <f>+Bilan!AF19-Bilan!AG19-AF10</f>
        <v>-817.73999999999796</v>
      </c>
      <c r="AG11" s="102">
        <f>+Bilan!AG19-Bilan!AH19-AG10</f>
        <v>1635.4799999999959</v>
      </c>
      <c r="AH11" s="102">
        <f>+Bilan!AH19-Bilan!AI19-AH10</f>
        <v>-817.73999999999796</v>
      </c>
      <c r="AI11" s="102">
        <f>+Bilan!AI19-Bilan!AJ19-AI10</f>
        <v>-817.73999999999796</v>
      </c>
      <c r="AJ11" s="102">
        <f>+Bilan!AJ19-Bilan!AK19-AJ10</f>
        <v>1537.3511999999973</v>
      </c>
      <c r="AK11" s="102">
        <f>+Bilan!AK19-Bilan!AL19-AK10</f>
        <v>-842.27219999999943</v>
      </c>
      <c r="AL11" s="102">
        <f>+Bilan!AL19-Bilan!AM19-AL10</f>
        <v>-4014.6722000000009</v>
      </c>
      <c r="AM11" s="102">
        <f>+Bilan!AM19-Bilan!AN19-AM10</f>
        <v>-1091.3055999999924</v>
      </c>
      <c r="AN11" s="102">
        <f>+Bilan!AN19-Bilan!AO19-AN10</f>
        <v>-2329.3347000000067</v>
      </c>
      <c r="AO11" s="102">
        <f>+Bilan!AO19-Bilan!AP19-AO10</f>
        <v>-4312.0846999999922</v>
      </c>
      <c r="AP11" s="102">
        <f>+Bilan!AP19-Bilan!AQ19-AP10</f>
        <v>-1670.4605000000447</v>
      </c>
      <c r="AQ11" s="102">
        <f>+Bilan!AQ19-Bilan!AR19-AQ10</f>
        <v>-7369.6771000000081</v>
      </c>
      <c r="AR11" s="102">
        <f>+Bilan!AR19-Bilan!AS19-AR10</f>
        <v>-10185.182099999984</v>
      </c>
      <c r="AS11" s="102">
        <f>+Bilan!AS19-Bilan!AT19-AS10</f>
        <v>8243.2895000000717</v>
      </c>
      <c r="AT11" s="102">
        <f>+Bilan!AT19-Bilan!AU19-AT10</f>
        <v>-9378.8637666666327</v>
      </c>
      <c r="AU11" s="102">
        <f>+Bilan!AU19-Bilan!AV19-AU10</f>
        <v>-12154.71376666666</v>
      </c>
      <c r="AV11" s="102">
        <f>+Bilan!AV19-Bilan!AW19-AV10</f>
        <v>7648.0314039166697</v>
      </c>
      <c r="AW11" s="102">
        <f>+Bilan!AW19-Bilan!AX19-AW10</f>
        <v>-10274.153731104248</v>
      </c>
      <c r="AX11" s="102">
        <f>+Bilan!AX19-Bilan!AY19-AX10</f>
        <v>-18645.878222041938</v>
      </c>
      <c r="AY11" s="102">
        <f>+Bilan!AY19-Bilan!AZ19-AY10</f>
        <v>14912.972601895861</v>
      </c>
      <c r="AZ11" s="102">
        <f>+Bilan!AZ19-Bilan!BA19-AZ10</f>
        <v>-13200.353932666752</v>
      </c>
      <c r="BA11" s="102">
        <f>+Bilan!BA19-Bilan!BB19-BA10</f>
        <v>-13219.12340454165</v>
      </c>
      <c r="BB11" s="102">
        <f>+Bilan!BB19-Bilan!BC19-BB10</f>
        <v>11383.440177208337</v>
      </c>
      <c r="BC11" s="102">
        <f>+Bilan!BC19-Bilan!BD19-BC10</f>
        <v>-16856.165645999645</v>
      </c>
      <c r="BD11" s="102">
        <f>+Bilan!BD19-Bilan!BE19-BD10</f>
        <v>-16897.458484124974</v>
      </c>
      <c r="BE11" s="102">
        <f>+Bilan!BE19-Bilan!BF19-BE10</f>
        <v>21510.876596375027</v>
      </c>
      <c r="BF11" s="102">
        <f>+Bilan!BF19-Bilan!BG19-BF10</f>
        <v>-20802.587389020809</v>
      </c>
      <c r="BG11" s="102">
        <f>+Bilan!BG19-Bilan!BH19-BG10</f>
        <v>-19437.411879541636</v>
      </c>
      <c r="BH11" s="102">
        <f>+Bilan!BH19-Bilan!BI19-BH10</f>
        <v>16769.954140392605</v>
      </c>
      <c r="BI11" s="102">
        <f>+Bilan!BI19-Bilan!BJ19-BI10</f>
        <v>-21174.630293146751</v>
      </c>
      <c r="BJ11" s="102">
        <f>+Bilan!BJ19-Bilan!BK19-BJ10</f>
        <v>-23875.204953288383</v>
      </c>
      <c r="BK11" s="102">
        <f>+Bilan!BK19-Bilan!BL19-BK10</f>
        <v>21760.150030968347</v>
      </c>
      <c r="BL11" s="102">
        <f>+Bilan!BL19-Bilan!BM19-BL10</f>
        <v>-24156.811506046637</v>
      </c>
      <c r="BM11" s="102">
        <f>+Bilan!BM19-Bilan!BN19-BM10</f>
        <v>-22471.047495346575</v>
      </c>
      <c r="BN11" s="102">
        <f>+Bilan!BN19-Bilan!BO19-BN10</f>
        <v>28610.66546539322</v>
      </c>
      <c r="BO11" s="102">
        <f>+Bilan!BO19-Bilan!BP19-BO10</f>
        <v>-21553.425335780019</v>
      </c>
      <c r="BP11" s="102">
        <f>+Bilan!BP19-Bilan!BQ19-BP10</f>
        <v>-21615.618251179752</v>
      </c>
      <c r="BQ11" s="102">
        <f>+Bilan!BQ19-Bilan!BR19-BQ10</f>
        <v>30678.085504959658</v>
      </c>
      <c r="BR11" s="102">
        <f>+Bilan!BR19-Bilan!BS19-BR10</f>
        <v>-23790.945002213295</v>
      </c>
      <c r="BS11" s="102">
        <f>+Bilan!BS19-Bilan!BT19-BS10</f>
        <v>-21381.378107596509</v>
      </c>
      <c r="BT11" s="102">
        <f>+Bilan!BT19-Bilan!BU19-BT10</f>
        <v>31680.280880782288</v>
      </c>
      <c r="BU11" s="102">
        <f>+Bilan!BU19-Bilan!BV19-BU10</f>
        <v>-22008.17216700365</v>
      </c>
      <c r="BV11" s="102">
        <f>+Bilan!BV19-Bilan!BW19-BV10</f>
        <v>-22101.461540103337</v>
      </c>
      <c r="BW11" s="102">
        <f>+Bilan!BW19-Bilan!BX19-BW10</f>
        <v>35990.092829907109</v>
      </c>
      <c r="BX11" s="102">
        <f>+Bilan!BX19-Bilan!BY19-BX10</f>
        <v>-22288.040286303643</v>
      </c>
      <c r="BY11" s="102">
        <f>+Bilan!BY19-Bilan!BZ19-BY10</f>
        <v>-22256.943828603777</v>
      </c>
      <c r="BZ11" s="102">
        <f>+Bilan!BZ19-Bilan!CA19-BZ10</f>
        <v>37374.221739307221</v>
      </c>
      <c r="CA11" s="102">
        <f>+Bilan!CM19-Bilan!CN19-CA10</f>
        <v>0</v>
      </c>
      <c r="CB11" s="102">
        <f>+Bilan!CN19-Bilan!CO19-CB10</f>
        <v>0</v>
      </c>
      <c r="CC11" s="102">
        <f>+Bilan!CO19-Bilan!CP19-CC10</f>
        <v>0</v>
      </c>
      <c r="CD11" s="102">
        <f>+Bilan!CP19-Bilan!CQ19-CD10</f>
        <v>0</v>
      </c>
      <c r="CE11" s="102">
        <f>+Bilan!CQ19-Bilan!CR19-CE10</f>
        <v>0</v>
      </c>
      <c r="CF11" s="102">
        <f>+Bilan!CR19-Bilan!CS19-CF10</f>
        <v>0</v>
      </c>
      <c r="CG11" s="102">
        <f>+Bilan!CS19-Bilan!CT19-CG10</f>
        <v>0</v>
      </c>
      <c r="CH11" s="102">
        <f>+Bilan!CT19-Bilan!CU19-CH10</f>
        <v>0</v>
      </c>
      <c r="CI11" s="102">
        <f>+Bilan!CU19-Bilan!CV19-CI10</f>
        <v>0</v>
      </c>
      <c r="CJ11" s="102">
        <f>+Bilan!CV19-Bilan!CW19-CJ10</f>
        <v>0</v>
      </c>
      <c r="CK11" s="102">
        <f>+Bilan!CW19-Bilan!CX19-CK10</f>
        <v>0</v>
      </c>
    </row>
    <row r="12" spans="1:89">
      <c r="C12" t="s">
        <v>283</v>
      </c>
      <c r="F12" s="102"/>
      <c r="G12" s="102">
        <f>+SUM(Bilan!H38:H41)-SUM(Bilan!F38:F41)</f>
        <v>-300475.86399999994</v>
      </c>
      <c r="H12" s="102">
        <f>+SUM(Bilan!I38:I41)-SUM(Bilan!H38:H41)</f>
        <v>167692.17659999995</v>
      </c>
      <c r="I12" s="102">
        <f>+SUM(Bilan!J38:J41)-SUM(Bilan!I38:I41)</f>
        <v>209720.47460000002</v>
      </c>
      <c r="J12" s="102">
        <f>+SUM(Bilan!K38:K41)-SUM(Bilan!J38:J41)</f>
        <v>137173.20019999926</v>
      </c>
      <c r="L12" s="102">
        <f>+SUM(Bilan!M38:M41)-SUM(Bilan!L38:L41)</f>
        <v>0</v>
      </c>
      <c r="M12" s="102">
        <f>+SUM(Bilan!N38:N41)-SUM(Bilan!M38:M41)</f>
        <v>0</v>
      </c>
      <c r="N12" s="102">
        <f>+SUM(Bilan!O38:O41)-SUM(Bilan!N38:N41)</f>
        <v>0</v>
      </c>
      <c r="O12" s="102">
        <f>+SUM(Bilan!P38:P41)-SUM(Bilan!O38:O41)</f>
        <v>0</v>
      </c>
      <c r="P12" s="102">
        <f>+SUM(Bilan!Q38:Q41)-SUM(Bilan!P38:P41)</f>
        <v>0</v>
      </c>
      <c r="Q12" s="102">
        <f>+SUM(Bilan!R38:R41)-SUM(Bilan!Q38:Q41)</f>
        <v>0</v>
      </c>
      <c r="R12" s="102">
        <f>+SUM(Bilan!S38:S41)-SUM(Bilan!R38:R41)</f>
        <v>0</v>
      </c>
      <c r="S12" s="102">
        <f>+SUM(Bilan!T38:T41)-SUM(Bilan!S38:S41)</f>
        <v>0</v>
      </c>
      <c r="T12" s="102">
        <f>+SUM(Bilan!U38:U41)-SUM(Bilan!T38:T41)</f>
        <v>0</v>
      </c>
      <c r="U12" s="102">
        <f>+SUM(Bilan!V38:V41)-SUM(Bilan!U38:U41)</f>
        <v>0</v>
      </c>
      <c r="V12" s="102">
        <f>+SUM(Bilan!W38:W41)-SUM(Bilan!V38:V41)</f>
        <v>0</v>
      </c>
      <c r="W12" s="102">
        <f>+SUM(Bilan!X38:X41)-SUM(Bilan!W38:W41)</f>
        <v>0</v>
      </c>
      <c r="X12" s="102">
        <f>+SUM(Bilan!Y38:Y41)-SUM(Bilan!X38:X41)</f>
        <v>0</v>
      </c>
      <c r="Y12" s="102">
        <f>+SUM(Bilan!Z38:Z41)-SUM(Bilan!Y38:Y41)</f>
        <v>0</v>
      </c>
      <c r="Z12" s="102">
        <f>+SUM(Bilan!AA38:AA41)-SUM(Bilan!Z38:Z41)</f>
        <v>0</v>
      </c>
      <c r="AA12" s="102">
        <f>+SUM(Bilan!AB38:AB41)-SUM(Bilan!AA38:AA41)</f>
        <v>0</v>
      </c>
      <c r="AB12" s="102">
        <f>+SUM(Bilan!AC38:AC41)-SUM(Bilan!AB38:AB41)</f>
        <v>0</v>
      </c>
      <c r="AC12" s="102">
        <f>+SUM(Bilan!AD38:AD41)-SUM(Bilan!AC38:AC41)</f>
        <v>302049.8</v>
      </c>
      <c r="AD12" s="102">
        <f>+SUM(Bilan!AE38:AE41)-SUM(Bilan!AD38:AD41)</f>
        <v>-301387.21599999996</v>
      </c>
      <c r="AE12" s="102">
        <f>+SUM(Bilan!AF38:AF41)-SUM(Bilan!AE38:AE41)</f>
        <v>28.703999999968687</v>
      </c>
      <c r="AF12" s="102">
        <f>+SUM(Bilan!AG38:AG41)-SUM(Bilan!AF38:AF41)</f>
        <v>59.799999999988472</v>
      </c>
      <c r="AG12" s="102">
        <f>+SUM(Bilan!AH38:AH41)-SUM(Bilan!AG38:AG41)</f>
        <v>73.61380000000338</v>
      </c>
      <c r="AH12" s="102">
        <f>+SUM(Bilan!AI38:AI41)-SUM(Bilan!AH38:AH41)</f>
        <v>119.59999999997694</v>
      </c>
      <c r="AI12" s="102">
        <f>+SUM(Bilan!AJ38:AJ41)-SUM(Bilan!AI38:AI41)</f>
        <v>5.8093974075745791E-11</v>
      </c>
      <c r="AJ12" s="102">
        <f>+SUM(Bilan!AK38:AK41)-SUM(Bilan!AJ38:AJ41)</f>
        <v>199.13399999997353</v>
      </c>
      <c r="AK12" s="102">
        <f>+SUM(Bilan!AL38:AL41)-SUM(Bilan!AK38:AK41)</f>
        <v>-23.680799999972805</v>
      </c>
      <c r="AL12" s="102">
        <f>+SUM(Bilan!AM38:AM41)-SUM(Bilan!AL38:AL41)</f>
        <v>9669.9589999999171</v>
      </c>
      <c r="AM12" s="102">
        <f>+SUM(Bilan!AN38:AN41)-SUM(Bilan!AM38:AM41)</f>
        <v>-9451.6890000000149</v>
      </c>
      <c r="AN12" s="102">
        <f>+SUM(Bilan!AO38:AO41)-SUM(Bilan!AN38:AN41)</f>
        <v>133.9520000000598</v>
      </c>
      <c r="AO12" s="102">
        <f>+SUM(Bilan!AP38:AP41)-SUM(Bilan!AO38:AO41)</f>
        <v>101.95900000003144</v>
      </c>
      <c r="AP12" s="102">
        <f>+SUM(Bilan!AQ38:AQ41)-SUM(Bilan!AP38:AP41)</f>
        <v>19335.313399999926</v>
      </c>
      <c r="AQ12" s="102">
        <f>+SUM(Bilan!AR38:AR41)-SUM(Bilan!AQ38:AQ41)</f>
        <v>26464.549800000041</v>
      </c>
      <c r="AR12" s="102">
        <f>+SUM(Bilan!AS38:AS41)-SUM(Bilan!AR38:AR41)</f>
        <v>14532.356800000009</v>
      </c>
      <c r="AS12" s="102">
        <f>+SUM(Bilan!AT38:AT41)-SUM(Bilan!AS38:AS41)</f>
        <v>26781.19079999996</v>
      </c>
      <c r="AT12" s="102">
        <f>+SUM(Bilan!AU38:AU41)-SUM(Bilan!AT38:AT41)</f>
        <v>33611.845800000185</v>
      </c>
      <c r="AU12" s="102">
        <f>+SUM(Bilan!AV38:AV41)-SUM(Bilan!AU38:AU41)</f>
        <v>-9387.643200000166</v>
      </c>
      <c r="AV12" s="102">
        <f>+SUM(Bilan!AW38:AW41)-SUM(Bilan!AV38:AV41)</f>
        <v>58079.793200000218</v>
      </c>
      <c r="AW12" s="102">
        <f>+SUM(Bilan!AX38:AX41)-SUM(Bilan!AW38:AW41)</f>
        <v>-37077.674400000658</v>
      </c>
      <c r="AX12" s="102">
        <f>+SUM(Bilan!AY38:AY41)-SUM(Bilan!AX38:AX41)</f>
        <v>15778.050600000221</v>
      </c>
      <c r="AY12" s="102">
        <f>+SUM(Bilan!AZ38:AZ41)-SUM(Bilan!AY38:AY41)</f>
        <v>7243.8730000003998</v>
      </c>
      <c r="AZ12" s="102">
        <f>+SUM(Bilan!BA38:BA41)-SUM(Bilan!AZ38:AZ41)</f>
        <v>22012.260399999912</v>
      </c>
      <c r="BA12" s="102">
        <f>+SUM(Bilan!BB38:BB41)-SUM(Bilan!BA38:BA41)</f>
        <v>-9681.7396000000881</v>
      </c>
      <c r="BB12" s="102">
        <f>+SUM(Bilan!BC38:BC41)-SUM(Bilan!BB38:BB41)</f>
        <v>19386.625195000001</v>
      </c>
      <c r="BC12" s="102">
        <f>+SUM(Bilan!BD38:BD41)-SUM(Bilan!BC38:BC41)</f>
        <v>7752.0734049999155</v>
      </c>
      <c r="BD12" s="102">
        <f>+SUM(Bilan!BE38:BE41)-SUM(Bilan!BD38:BD41)</f>
        <v>16484.910804999963</v>
      </c>
      <c r="BE12" s="102">
        <f>+SUM(Bilan!BF38:BF41)-SUM(Bilan!BE38:BE41)</f>
        <v>13451.102804998081</v>
      </c>
      <c r="BF12" s="102">
        <f>+SUM(Bilan!BG38:BG41)-SUM(Bilan!BF38:BF41)</f>
        <v>9595.5361099998408</v>
      </c>
      <c r="BG12" s="102">
        <f>+SUM(Bilan!BH38:BH41)-SUM(Bilan!BG38:BG41)</f>
        <v>8070.4228800022975</v>
      </c>
      <c r="BH12" s="102">
        <f>+SUM(Bilan!BI38:BI41)-SUM(Bilan!BH38:BH41)</f>
        <v>39733.022910000058</v>
      </c>
      <c r="BI12" s="102">
        <f>+SUM(Bilan!BJ38:BJ41)-SUM(Bilan!BI38:BI41)</f>
        <v>-232.41851000004681</v>
      </c>
      <c r="BJ12" s="102">
        <f>+SUM(Bilan!BK38:BK41)-SUM(Bilan!BJ38:BJ41)</f>
        <v>41936.618565000361</v>
      </c>
      <c r="BK12" s="102">
        <f>+SUM(Bilan!BL38:BL41)-SUM(Bilan!BK38:BK41)</f>
        <v>30315.381884998758</v>
      </c>
      <c r="BL12" s="102">
        <f>+SUM(Bilan!BM38:BM41)-SUM(Bilan!BL38:BL41)</f>
        <v>33764.343079997925</v>
      </c>
      <c r="BM12" s="102">
        <f>+SUM(Bilan!BN38:BN41)-SUM(Bilan!BM38:BM41)</f>
        <v>-10537.144529997138</v>
      </c>
      <c r="BN12" s="102">
        <f>+SUM(Bilan!BO38:BO41)-SUM(Bilan!BN38:BN41)</f>
        <v>26255.183359999734</v>
      </c>
      <c r="BO12" s="102">
        <f>+SUM(Bilan!BP38:BP41)-SUM(Bilan!BO38:BO41)</f>
        <v>24947.160560001619</v>
      </c>
      <c r="BP12" s="102">
        <f>+SUM(Bilan!BQ38:BQ41)-SUM(Bilan!BP38:BP41)</f>
        <v>22858.294559999951</v>
      </c>
      <c r="BQ12" s="102">
        <f>+SUM(Bilan!BR38:BR41)-SUM(Bilan!BQ38:BQ41)</f>
        <v>23357.158559999196</v>
      </c>
      <c r="BR12" s="102">
        <f>+SUM(Bilan!BS38:BS41)-SUM(Bilan!BR38:BR41)</f>
        <v>23937.306649998762</v>
      </c>
      <c r="BS12" s="102">
        <f>+SUM(Bilan!BT38:BT41)-SUM(Bilan!BS38:BS41)</f>
        <v>-36867.193090000364</v>
      </c>
      <c r="BT12" s="102">
        <f>+SUM(Bilan!BU38:BU41)-SUM(Bilan!BT38:BT41)</f>
        <v>20119.069850000436</v>
      </c>
      <c r="BU12" s="102">
        <f>+SUM(Bilan!BV38:BV41)-SUM(Bilan!BU38:BU41)</f>
        <v>20451.645850000961</v>
      </c>
      <c r="BV12" s="102">
        <f>+SUM(Bilan!BW38:BW41)-SUM(Bilan!BV38:BV41)</f>
        <v>20784.221849999041</v>
      </c>
      <c r="BW12" s="102">
        <f>+SUM(Bilan!BX38:BX41)-SUM(Bilan!BW38:BW41)</f>
        <v>21116.797850000439</v>
      </c>
      <c r="BX12" s="102">
        <f>+SUM(Bilan!BY38:BY41)-SUM(Bilan!BX38:BX41)</f>
        <v>21449.373849999509</v>
      </c>
      <c r="BY12" s="102">
        <f>+SUM(Bilan!BZ38:BZ41)-SUM(Bilan!BY38:BY41)</f>
        <v>-51235.819650000019</v>
      </c>
      <c r="BZ12" s="102">
        <f>+SUM(Bilan!CM38:CM41)-SUM(Bilan!BZ38:BZ41)</f>
        <v>-516159.78739999927</v>
      </c>
      <c r="CA12" s="102">
        <f>+SUM(Bilan!CN38:CN41)-SUM(Bilan!CM38:CM41)</f>
        <v>0</v>
      </c>
      <c r="CB12" s="102">
        <f>+SUM(Bilan!CO38:CO41)-SUM(Bilan!CN38:CN41)</f>
        <v>0</v>
      </c>
      <c r="CC12" s="102">
        <f>+SUM(Bilan!CP38:CP41)-SUM(Bilan!CO38:CO41)</f>
        <v>0</v>
      </c>
      <c r="CD12" s="102">
        <f>+SUM(Bilan!CQ38:CQ41)-SUM(Bilan!CP38:CP41)</f>
        <v>0</v>
      </c>
      <c r="CE12" s="102">
        <f>+SUM(Bilan!CR38:CR41)-SUM(Bilan!CQ38:CQ41)</f>
        <v>0</v>
      </c>
      <c r="CF12" s="102">
        <f>+SUM(Bilan!CS38:CS41)-SUM(Bilan!CR38:CR41)</f>
        <v>0</v>
      </c>
      <c r="CG12" s="102">
        <f>+SUM(Bilan!CT38:CT41)-SUM(Bilan!CS38:CS41)</f>
        <v>0</v>
      </c>
      <c r="CH12" s="102">
        <f>+SUM(Bilan!CU38:CU41)-SUM(Bilan!CT38:CT41)</f>
        <v>0</v>
      </c>
      <c r="CI12" s="102">
        <f>+SUM(Bilan!CV38:CV41)-SUM(Bilan!CU38:CU41)</f>
        <v>0</v>
      </c>
      <c r="CJ12" s="102">
        <f>+SUM(Bilan!CW38:CW41)-SUM(Bilan!CV38:CV41)</f>
        <v>0</v>
      </c>
      <c r="CK12" s="102">
        <f>+SUM(Bilan!CX38:CX41)-SUM(Bilan!CW38:CW41)</f>
        <v>0</v>
      </c>
    </row>
    <row r="13" spans="1:89">
      <c r="B13" s="163" t="s">
        <v>284</v>
      </c>
      <c r="C13" s="161"/>
      <c r="D13" s="161"/>
      <c r="E13" s="161"/>
      <c r="F13" s="164"/>
      <c r="G13" s="164">
        <f>SUM(G10:G12)</f>
        <v>-316711.94839999988</v>
      </c>
      <c r="H13" s="164">
        <f>SUM(H10:H12)</f>
        <v>63722.87658212462</v>
      </c>
      <c r="I13" s="164">
        <f>SUM(I10:I12)</f>
        <v>203700.4910984289</v>
      </c>
      <c r="J13" s="164">
        <f>SUM(J10:J12)</f>
        <v>87136.340362257557</v>
      </c>
      <c r="L13" s="164">
        <f t="shared" ref="L13:BG13" si="4">SUM(L10:L12)</f>
        <v>0</v>
      </c>
      <c r="M13" s="164">
        <f t="shared" si="4"/>
        <v>0</v>
      </c>
      <c r="N13" s="164">
        <f t="shared" si="4"/>
        <v>0</v>
      </c>
      <c r="O13" s="164">
        <f t="shared" si="4"/>
        <v>0</v>
      </c>
      <c r="P13" s="164">
        <f t="shared" si="4"/>
        <v>0</v>
      </c>
      <c r="Q13" s="164">
        <f t="shared" si="4"/>
        <v>0</v>
      </c>
      <c r="R13" s="164">
        <f t="shared" si="4"/>
        <v>0</v>
      </c>
      <c r="S13" s="164">
        <f t="shared" si="4"/>
        <v>0</v>
      </c>
      <c r="T13" s="164">
        <f t="shared" si="4"/>
        <v>0</v>
      </c>
      <c r="U13" s="164">
        <f t="shared" si="4"/>
        <v>0</v>
      </c>
      <c r="V13" s="164">
        <f t="shared" si="4"/>
        <v>0</v>
      </c>
      <c r="W13" s="164">
        <f t="shared" si="4"/>
        <v>0</v>
      </c>
      <c r="X13" s="164">
        <f t="shared" si="4"/>
        <v>0</v>
      </c>
      <c r="Y13" s="164">
        <f t="shared" si="4"/>
        <v>0</v>
      </c>
      <c r="Z13" s="164">
        <f t="shared" si="4"/>
        <v>-68.599999999999966</v>
      </c>
      <c r="AA13" s="164">
        <f t="shared" si="4"/>
        <v>-68.599999999999966</v>
      </c>
      <c r="AB13" s="164">
        <f t="shared" si="4"/>
        <v>-68.599999999999966</v>
      </c>
      <c r="AC13" s="164">
        <f t="shared" si="4"/>
        <v>252981.19999999998</v>
      </c>
      <c r="AD13" s="164">
        <f t="shared" si="4"/>
        <v>-305237.15999999992</v>
      </c>
      <c r="AE13" s="164">
        <f t="shared" si="4"/>
        <v>-605.42000000002747</v>
      </c>
      <c r="AF13" s="164">
        <f t="shared" si="4"/>
        <v>-574.32400000000769</v>
      </c>
      <c r="AG13" s="164">
        <f t="shared" si="4"/>
        <v>1877.2159999999972</v>
      </c>
      <c r="AH13" s="164">
        <f t="shared" si="4"/>
        <v>-541.87580000002322</v>
      </c>
      <c r="AI13" s="164">
        <f t="shared" si="4"/>
        <v>-700.67579999993916</v>
      </c>
      <c r="AJ13" s="164">
        <f t="shared" si="4"/>
        <v>1845.4153999999735</v>
      </c>
      <c r="AK13" s="164">
        <f t="shared" si="4"/>
        <v>-877.60199999996985</v>
      </c>
      <c r="AL13" s="164">
        <f t="shared" si="4"/>
        <v>4187.4067999999188</v>
      </c>
      <c r="AM13" s="164">
        <f t="shared" si="4"/>
        <v>-10312.503600000005</v>
      </c>
      <c r="AN13" s="164">
        <f t="shared" si="4"/>
        <v>-1864.3616999999463</v>
      </c>
      <c r="AO13" s="164">
        <f t="shared" si="4"/>
        <v>-3908.0636999999624</v>
      </c>
      <c r="AP13" s="164">
        <f t="shared" si="4"/>
        <v>18087.926899999882</v>
      </c>
      <c r="AQ13" s="164">
        <f t="shared" si="4"/>
        <v>17419.583700000036</v>
      </c>
      <c r="AR13" s="164">
        <f t="shared" si="4"/>
        <v>2374.6337000000203</v>
      </c>
      <c r="AS13" s="164">
        <f t="shared" si="4"/>
        <v>32922.935300000034</v>
      </c>
      <c r="AT13" s="164">
        <f t="shared" si="4"/>
        <v>19675.214033333541</v>
      </c>
      <c r="AU13" s="164">
        <f t="shared" si="4"/>
        <v>-29631.376966666823</v>
      </c>
      <c r="AV13" s="164">
        <f t="shared" si="4"/>
        <v>56716.441603916886</v>
      </c>
      <c r="AW13" s="164">
        <f t="shared" si="4"/>
        <v>-53610.409131104898</v>
      </c>
      <c r="AX13" s="164">
        <f t="shared" si="4"/>
        <v>-5375.213622041716</v>
      </c>
      <c r="AY13" s="164">
        <f t="shared" si="4"/>
        <v>19937.72160189625</v>
      </c>
      <c r="AZ13" s="164">
        <f t="shared" si="4"/>
        <v>8581.790467333165</v>
      </c>
      <c r="BA13" s="164">
        <f t="shared" si="4"/>
        <v>-23376.371004541754</v>
      </c>
      <c r="BB13" s="164">
        <f t="shared" si="4"/>
        <v>34722.770182208333</v>
      </c>
      <c r="BC13" s="164">
        <f t="shared" si="4"/>
        <v>-5006.3573309997155</v>
      </c>
      <c r="BD13" s="164">
        <f t="shared" si="4"/>
        <v>6935.6512308749661</v>
      </c>
      <c r="BE13" s="164">
        <f t="shared" si="4"/>
        <v>44580.642311373114</v>
      </c>
      <c r="BF13" s="164">
        <f t="shared" si="4"/>
        <v>1260.5946209790127</v>
      </c>
      <c r="BG13" s="164">
        <f t="shared" si="4"/>
        <v>5649.6568004606524</v>
      </c>
      <c r="BH13" s="164">
        <f t="shared" ref="BH13:BS13" si="5">SUM(BH10:BH12)</f>
        <v>74171.76483039264</v>
      </c>
      <c r="BI13" s="164">
        <f t="shared" si="5"/>
        <v>-5350.5166231467592</v>
      </c>
      <c r="BJ13" s="164">
        <f t="shared" si="5"/>
        <v>18061.413611711978</v>
      </c>
      <c r="BK13" s="164">
        <f t="shared" si="5"/>
        <v>52075.531915967105</v>
      </c>
      <c r="BL13" s="164">
        <f t="shared" si="5"/>
        <v>9607.531573951288</v>
      </c>
      <c r="BM13" s="164">
        <f t="shared" si="5"/>
        <v>-33008.192025343713</v>
      </c>
      <c r="BN13" s="164">
        <f t="shared" si="5"/>
        <v>54865.848825392954</v>
      </c>
      <c r="BO13" s="164">
        <f t="shared" si="5"/>
        <v>3393.7352242216002</v>
      </c>
      <c r="BP13" s="164">
        <f t="shared" si="5"/>
        <v>1242.6763088201988</v>
      </c>
      <c r="BQ13" s="164">
        <f t="shared" si="5"/>
        <v>54035.244064958853</v>
      </c>
      <c r="BR13" s="164">
        <f t="shared" si="5"/>
        <v>146.36164778546663</v>
      </c>
      <c r="BS13" s="164">
        <f t="shared" si="5"/>
        <v>-58248.571197596873</v>
      </c>
      <c r="BT13" s="164">
        <f t="shared" ref="BT13:BY13" si="6">SUM(BT10:BT12)</f>
        <v>51799.350730782724</v>
      </c>
      <c r="BU13" s="164">
        <f t="shared" si="6"/>
        <v>-1556.5263170026883</v>
      </c>
      <c r="BV13" s="164">
        <f t="shared" si="6"/>
        <v>-1317.2396901042957</v>
      </c>
      <c r="BW13" s="164">
        <f t="shared" si="6"/>
        <v>57106.890679907548</v>
      </c>
      <c r="BX13" s="164">
        <f t="shared" si="6"/>
        <v>-838.66643630413455</v>
      </c>
      <c r="BY13" s="164">
        <f t="shared" si="6"/>
        <v>-73492.763478603796</v>
      </c>
      <c r="BZ13" s="164">
        <f t="shared" ref="BZ13:CJ13" si="7">SUM(BZ10:BZ12)</f>
        <v>-478785.56566069205</v>
      </c>
      <c r="CA13" s="164">
        <f t="shared" si="7"/>
        <v>0</v>
      </c>
      <c r="CB13" s="164">
        <f t="shared" si="7"/>
        <v>0</v>
      </c>
      <c r="CC13" s="164">
        <f t="shared" si="7"/>
        <v>0</v>
      </c>
      <c r="CD13" s="164">
        <f t="shared" si="7"/>
        <v>0</v>
      </c>
      <c r="CE13" s="164">
        <f t="shared" si="7"/>
        <v>0</v>
      </c>
      <c r="CF13" s="164">
        <f t="shared" si="7"/>
        <v>0</v>
      </c>
      <c r="CG13" s="164">
        <f t="shared" si="7"/>
        <v>0</v>
      </c>
      <c r="CH13" s="164">
        <f t="shared" si="7"/>
        <v>0</v>
      </c>
      <c r="CI13" s="164">
        <f t="shared" si="7"/>
        <v>0</v>
      </c>
      <c r="CJ13" s="164">
        <f t="shared" si="7"/>
        <v>0</v>
      </c>
      <c r="CK13" s="164">
        <f>SUM(CK10:CK12)</f>
        <v>0</v>
      </c>
    </row>
    <row r="14" spans="1:89">
      <c r="F14" s="15"/>
      <c r="G14" s="15"/>
      <c r="H14" s="15"/>
      <c r="I14" s="15"/>
      <c r="J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s="12" customFormat="1">
      <c r="B15" s="12" t="s">
        <v>191</v>
      </c>
      <c r="F15" s="160"/>
      <c r="G15" s="160">
        <f>+Bilan!H7-Bilan!E7</f>
        <v>258000</v>
      </c>
      <c r="H15" s="160">
        <f>+Bilan!I7-Bilan!H7</f>
        <v>24000</v>
      </c>
      <c r="I15" s="160">
        <f>+Bilan!J7-Bilan!I7</f>
        <v>18000</v>
      </c>
      <c r="J15" s="160">
        <f>+Bilan!K7-Bilan!J7</f>
        <v>0</v>
      </c>
      <c r="L15" s="160">
        <f>+Bilan!M7-Bilan!L7</f>
        <v>0</v>
      </c>
      <c r="M15" s="160">
        <f>+Bilan!N7-Bilan!M7</f>
        <v>0</v>
      </c>
      <c r="N15" s="160">
        <f>+Bilan!O7-Bilan!N7</f>
        <v>0</v>
      </c>
      <c r="O15" s="160">
        <f>+Bilan!P7-Bilan!O7</f>
        <v>0</v>
      </c>
      <c r="P15" s="160">
        <f>+Bilan!Q7-Bilan!P7</f>
        <v>0</v>
      </c>
      <c r="Q15" s="160">
        <f>+Bilan!R7-Bilan!Q7</f>
        <v>0</v>
      </c>
      <c r="R15" s="160">
        <f>+Bilan!S7-Bilan!R7</f>
        <v>0</v>
      </c>
      <c r="S15" s="160">
        <f>+Bilan!T7-Bilan!S7</f>
        <v>0</v>
      </c>
      <c r="T15" s="160">
        <f>+Bilan!U7-Bilan!T7</f>
        <v>0</v>
      </c>
      <c r="U15" s="160">
        <f>+Bilan!V7-Bilan!U7</f>
        <v>0</v>
      </c>
      <c r="V15" s="160">
        <f>+Bilan!W7-Bilan!V7</f>
        <v>0</v>
      </c>
      <c r="W15" s="160">
        <f>+Bilan!X7-Bilan!W7</f>
        <v>0</v>
      </c>
      <c r="X15" s="160">
        <f>+Bilan!Y7-Bilan!X7</f>
        <v>0</v>
      </c>
      <c r="Y15" s="160">
        <f>+Bilan!Z7-Bilan!Y7</f>
        <v>0</v>
      </c>
      <c r="Z15" s="160">
        <f>+Bilan!AA7-Bilan!Z7</f>
        <v>0</v>
      </c>
      <c r="AA15" s="160">
        <f>+Bilan!AB7-Bilan!AA7</f>
        <v>0</v>
      </c>
      <c r="AB15" s="160">
        <f>+Bilan!AC7-Bilan!AB7</f>
        <v>0</v>
      </c>
      <c r="AC15" s="160">
        <f>+Bilan!AD7-Bilan!AC7</f>
        <v>250000</v>
      </c>
      <c r="AD15" s="160">
        <f>+Bilan!AE7-Bilan!AD7</f>
        <v>0</v>
      </c>
      <c r="AE15" s="160">
        <f>+Bilan!AF7-Bilan!AE7</f>
        <v>0</v>
      </c>
      <c r="AF15" s="160">
        <f>+Bilan!AG7-Bilan!AF7</f>
        <v>0</v>
      </c>
      <c r="AG15" s="160">
        <f>+Bilan!AH7-Bilan!AG7</f>
        <v>0</v>
      </c>
      <c r="AH15" s="160">
        <f>+Bilan!AI7-Bilan!AH7</f>
        <v>0</v>
      </c>
      <c r="AI15" s="160">
        <f>+Bilan!AJ7-Bilan!AI7</f>
        <v>0</v>
      </c>
      <c r="AJ15" s="160">
        <f>+Bilan!AK7-Bilan!AJ7</f>
        <v>0</v>
      </c>
      <c r="AK15" s="160">
        <f>+Bilan!AL7-Bilan!AK7</f>
        <v>0</v>
      </c>
      <c r="AL15" s="160">
        <f>+Bilan!AM7-Bilan!AL7</f>
        <v>8000</v>
      </c>
      <c r="AM15" s="160">
        <f>+Bilan!AN7-Bilan!AM7</f>
        <v>0</v>
      </c>
      <c r="AN15" s="160">
        <f>+Bilan!AO7-Bilan!AN7</f>
        <v>0</v>
      </c>
      <c r="AO15" s="160">
        <f>+Bilan!AP7-Bilan!AO7</f>
        <v>0</v>
      </c>
      <c r="AP15" s="160">
        <f>+Bilan!AQ7-Bilan!AP7</f>
        <v>0</v>
      </c>
      <c r="AQ15" s="160">
        <f>+Bilan!AR7-Bilan!AQ7</f>
        <v>0</v>
      </c>
      <c r="AR15" s="160">
        <f>+Bilan!AS7-Bilan!AR7</f>
        <v>0</v>
      </c>
      <c r="AS15" s="160">
        <f>+Bilan!AT7-Bilan!AS7</f>
        <v>0</v>
      </c>
      <c r="AT15" s="160">
        <f>+Bilan!AU7-Bilan!AT7</f>
        <v>0</v>
      </c>
      <c r="AU15" s="160">
        <f>+Bilan!AV7-Bilan!AU7</f>
        <v>0</v>
      </c>
      <c r="AV15" s="160">
        <f>+Bilan!AW7-Bilan!AV7</f>
        <v>24000</v>
      </c>
      <c r="AW15" s="160">
        <f>+Bilan!AX7-Bilan!AW7</f>
        <v>0</v>
      </c>
      <c r="AX15" s="160">
        <f>+Bilan!AY7-Bilan!AX7</f>
        <v>0</v>
      </c>
      <c r="AY15" s="160">
        <f>+Bilan!AZ7-Bilan!AY7</f>
        <v>0</v>
      </c>
      <c r="AZ15" s="160">
        <f>+Bilan!BA7-Bilan!AZ7</f>
        <v>0</v>
      </c>
      <c r="BA15" s="160">
        <f>+Bilan!BB7-Bilan!BA7</f>
        <v>0</v>
      </c>
      <c r="BB15" s="160">
        <f>+Bilan!BC7-Bilan!BB7</f>
        <v>0</v>
      </c>
      <c r="BC15" s="160">
        <f>+Bilan!BD7-Bilan!BC7</f>
        <v>0</v>
      </c>
      <c r="BD15" s="160">
        <f>+Bilan!BE7-Bilan!BD7</f>
        <v>0</v>
      </c>
      <c r="BE15" s="160">
        <f>+Bilan!BF7-Bilan!BE7</f>
        <v>0</v>
      </c>
      <c r="BF15" s="160">
        <f>+Bilan!BG7-Bilan!BF7</f>
        <v>0</v>
      </c>
      <c r="BG15" s="160">
        <f>+Bilan!BH7-Bilan!BG7</f>
        <v>0</v>
      </c>
      <c r="BH15" s="160">
        <f>+Bilan!BI7-Bilan!BH7</f>
        <v>18000</v>
      </c>
      <c r="BI15" s="160">
        <f>+Bilan!BJ7-Bilan!BI7</f>
        <v>0</v>
      </c>
      <c r="BJ15" s="160">
        <f>+Bilan!BK7-Bilan!BJ7</f>
        <v>0</v>
      </c>
      <c r="BK15" s="160">
        <f>+Bilan!BL7-Bilan!BK7</f>
        <v>0</v>
      </c>
      <c r="BL15" s="160">
        <f>+Bilan!BM7-Bilan!BL7</f>
        <v>0</v>
      </c>
      <c r="BM15" s="160">
        <f>+Bilan!BN7-Bilan!BM7</f>
        <v>0</v>
      </c>
      <c r="BN15" s="160">
        <f>+Bilan!BO7-Bilan!BN7</f>
        <v>0</v>
      </c>
      <c r="BO15" s="160">
        <f>+Bilan!BP7-Bilan!BO7</f>
        <v>0</v>
      </c>
      <c r="BP15" s="160">
        <f>+Bilan!BQ7-Bilan!BP7</f>
        <v>0</v>
      </c>
      <c r="BQ15" s="160">
        <f>+Bilan!BR7-Bilan!BQ7</f>
        <v>0</v>
      </c>
      <c r="BR15" s="160">
        <f>+Bilan!BS7-Bilan!BR7</f>
        <v>0</v>
      </c>
      <c r="BS15" s="160">
        <f>+Bilan!BT7-Bilan!BS7</f>
        <v>0</v>
      </c>
      <c r="BT15" s="160">
        <f>+Bilan!BU7-Bilan!BT7</f>
        <v>0</v>
      </c>
      <c r="BU15" s="160">
        <f>+Bilan!BV7-Bilan!BU7</f>
        <v>0</v>
      </c>
      <c r="BV15" s="160">
        <f>+Bilan!BW7-Bilan!BV7</f>
        <v>0</v>
      </c>
      <c r="BW15" s="160">
        <f>+Bilan!BX7-Bilan!BW7</f>
        <v>0</v>
      </c>
      <c r="BX15" s="160">
        <f>+Bilan!BY7-Bilan!BX7</f>
        <v>0</v>
      </c>
      <c r="BY15" s="160">
        <f>+Bilan!BZ7-Bilan!BY7</f>
        <v>0</v>
      </c>
      <c r="BZ15" s="160">
        <f>+Bilan!CM7-Bilan!BZ7</f>
        <v>-300000</v>
      </c>
      <c r="CA15" s="160">
        <f>+Bilan!CN7-Bilan!CM7</f>
        <v>0</v>
      </c>
      <c r="CB15" s="160">
        <f>+Bilan!CO7-Bilan!CN7</f>
        <v>0</v>
      </c>
      <c r="CC15" s="160">
        <f>+Bilan!CP7-Bilan!CO7</f>
        <v>0</v>
      </c>
      <c r="CD15" s="160">
        <f>+Bilan!CQ7-Bilan!CP7</f>
        <v>0</v>
      </c>
      <c r="CE15" s="160">
        <f>+Bilan!CR7-Bilan!CQ7</f>
        <v>0</v>
      </c>
      <c r="CF15" s="160">
        <f>+Bilan!CS7-Bilan!CR7</f>
        <v>0</v>
      </c>
      <c r="CG15" s="160">
        <f>+Bilan!CT7-Bilan!CS7</f>
        <v>0</v>
      </c>
      <c r="CH15" s="160">
        <f>+Bilan!CU7-Bilan!CT7</f>
        <v>0</v>
      </c>
      <c r="CI15" s="160">
        <f>+Bilan!CV7-Bilan!CU7</f>
        <v>0</v>
      </c>
      <c r="CJ15" s="160">
        <f>+Bilan!CW7-Bilan!CV7</f>
        <v>0</v>
      </c>
      <c r="CK15" s="160">
        <f>+Bilan!CX7-Bilan!CW7</f>
        <v>0</v>
      </c>
    </row>
    <row r="16" spans="1:89">
      <c r="B16" s="12"/>
      <c r="F16" s="102"/>
      <c r="G16" s="102"/>
      <c r="H16" s="102"/>
      <c r="I16" s="102"/>
      <c r="J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</row>
    <row r="17" spans="1:89">
      <c r="B17" t="s">
        <v>285</v>
      </c>
      <c r="F17" s="160"/>
      <c r="G17" s="160"/>
      <c r="H17" s="160"/>
      <c r="I17" s="160"/>
      <c r="J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</row>
    <row r="18" spans="1:89">
      <c r="B18" s="12"/>
      <c r="C18" t="s">
        <v>225</v>
      </c>
      <c r="F18" s="160"/>
      <c r="G18" s="160">
        <f>+Bilan!H27-Bilan!E27</f>
        <v>1200000</v>
      </c>
      <c r="H18" s="160">
        <f>+Bilan!I27-Bilan!H27</f>
        <v>0</v>
      </c>
      <c r="I18" s="160">
        <f>+Bilan!J27-Bilan!I27</f>
        <v>0</v>
      </c>
      <c r="J18" s="160">
        <f>+Bilan!K27-Bilan!J27</f>
        <v>0</v>
      </c>
      <c r="L18" s="160">
        <f>+Bilan!M27-Bilan!L27</f>
        <v>0</v>
      </c>
      <c r="M18" s="160">
        <f>+Bilan!N27-Bilan!M27</f>
        <v>0</v>
      </c>
      <c r="N18" s="160">
        <f>+Bilan!O27-Bilan!N27</f>
        <v>0</v>
      </c>
      <c r="O18" s="160">
        <f>+Bilan!P27-Bilan!O27</f>
        <v>0</v>
      </c>
      <c r="P18" s="160">
        <f>+Bilan!Q27-Bilan!P27</f>
        <v>0</v>
      </c>
      <c r="Q18" s="160">
        <f>+Bilan!R27-Bilan!Q27</f>
        <v>0</v>
      </c>
      <c r="R18" s="160">
        <f>+Bilan!S27-Bilan!R27</f>
        <v>0</v>
      </c>
      <c r="S18" s="160">
        <f>+Bilan!T27-Bilan!S27</f>
        <v>0</v>
      </c>
      <c r="T18" s="160">
        <f>+Bilan!U27-Bilan!T27</f>
        <v>0</v>
      </c>
      <c r="U18" s="160">
        <f>+Bilan!V27-Bilan!U27</f>
        <v>0</v>
      </c>
      <c r="V18" s="160">
        <f>+Bilan!W27-Bilan!V27</f>
        <v>0</v>
      </c>
      <c r="W18" s="160">
        <f>+Bilan!X27-Bilan!W27</f>
        <v>0</v>
      </c>
      <c r="X18" s="160">
        <f>+Bilan!Y27-Bilan!X27</f>
        <v>0</v>
      </c>
      <c r="Y18" s="160">
        <f>+Bilan!Z27-Bilan!Y27</f>
        <v>0</v>
      </c>
      <c r="Z18" s="160">
        <f>+Bilan!AA27-Bilan!Z27</f>
        <v>0</v>
      </c>
      <c r="AA18" s="160">
        <f>+Bilan!AB27-Bilan!AA27</f>
        <v>0</v>
      </c>
      <c r="AB18" s="160">
        <f>+Bilan!AC27-Bilan!AB27</f>
        <v>0</v>
      </c>
      <c r="AC18" s="160">
        <f>+Bilan!AD27-Bilan!AC27</f>
        <v>400000</v>
      </c>
      <c r="AD18" s="160">
        <f>+Bilan!AE27-Bilan!AD27</f>
        <v>0</v>
      </c>
      <c r="AE18" s="160">
        <f>+Bilan!AF27-Bilan!AE27</f>
        <v>0</v>
      </c>
      <c r="AF18" s="160">
        <f>+Bilan!AG27-Bilan!AF27</f>
        <v>0</v>
      </c>
      <c r="AG18" s="160">
        <f>+Bilan!AH27-Bilan!AG27</f>
        <v>400000</v>
      </c>
      <c r="AH18" s="160">
        <f>+Bilan!AI27-Bilan!AH27</f>
        <v>0</v>
      </c>
      <c r="AI18" s="160">
        <f>+Bilan!AJ27-Bilan!AI27</f>
        <v>0</v>
      </c>
      <c r="AJ18" s="160">
        <f>+Bilan!AK27-Bilan!AJ27</f>
        <v>0</v>
      </c>
      <c r="AK18" s="160">
        <f>+Bilan!AL27-Bilan!AK27</f>
        <v>0</v>
      </c>
      <c r="AL18" s="160">
        <f>+Bilan!AM27-Bilan!AL27</f>
        <v>400000</v>
      </c>
      <c r="AM18" s="160">
        <f>+Bilan!AN27-Bilan!AM27</f>
        <v>0</v>
      </c>
      <c r="AN18" s="160">
        <f>+Bilan!AO27-Bilan!AN27</f>
        <v>0</v>
      </c>
      <c r="AO18" s="160">
        <f>+Bilan!AP27-Bilan!AO27</f>
        <v>0</v>
      </c>
      <c r="AP18" s="160">
        <f>+Bilan!AQ27-Bilan!AP27</f>
        <v>0</v>
      </c>
      <c r="AQ18" s="160">
        <f>+Bilan!AR27-Bilan!AQ27</f>
        <v>0</v>
      </c>
      <c r="AR18" s="160">
        <f>+Bilan!AS27-Bilan!AR27</f>
        <v>0</v>
      </c>
      <c r="AS18" s="160">
        <f>+Bilan!AT27-Bilan!AS27</f>
        <v>0</v>
      </c>
      <c r="AT18" s="160">
        <f>+Bilan!AU27-Bilan!AT27</f>
        <v>0</v>
      </c>
      <c r="AU18" s="160">
        <f>+Bilan!AV27-Bilan!AU27</f>
        <v>0</v>
      </c>
      <c r="AV18" s="160">
        <f>+Bilan!AW27-Bilan!AV27</f>
        <v>0</v>
      </c>
      <c r="AW18" s="160">
        <f>+Bilan!AX27-Bilan!AW27</f>
        <v>0</v>
      </c>
      <c r="AX18" s="160">
        <f>+Bilan!AY27-Bilan!AX27</f>
        <v>0</v>
      </c>
      <c r="AY18" s="160">
        <f>+Bilan!AZ27-Bilan!AY27</f>
        <v>0</v>
      </c>
      <c r="AZ18" s="160">
        <f>+Bilan!BA27-Bilan!AZ27</f>
        <v>0</v>
      </c>
      <c r="BA18" s="160">
        <f>+Bilan!BB27-Bilan!BA27</f>
        <v>0</v>
      </c>
      <c r="BB18" s="160">
        <f>+Bilan!BC27-Bilan!BB27</f>
        <v>0</v>
      </c>
      <c r="BC18" s="160">
        <f>+Bilan!BD27-Bilan!BC27</f>
        <v>0</v>
      </c>
      <c r="BD18" s="160">
        <f>+Bilan!BE27-Bilan!BD27</f>
        <v>0</v>
      </c>
      <c r="BE18" s="160">
        <f>+Bilan!BF27-Bilan!BE27</f>
        <v>0</v>
      </c>
      <c r="BF18" s="160">
        <f>+Bilan!BG27-Bilan!BF27</f>
        <v>0</v>
      </c>
      <c r="BG18" s="160">
        <f>+Bilan!BH27-Bilan!BG27</f>
        <v>0</v>
      </c>
      <c r="BH18" s="160">
        <f>+Bilan!BI27-Bilan!BH27</f>
        <v>0</v>
      </c>
      <c r="BI18" s="160">
        <f>+Bilan!BJ27-Bilan!BI27</f>
        <v>0</v>
      </c>
      <c r="BJ18" s="160">
        <f>+Bilan!BK27-Bilan!BJ27</f>
        <v>0</v>
      </c>
      <c r="BK18" s="160">
        <f>+Bilan!BL27-Bilan!BK27</f>
        <v>0</v>
      </c>
      <c r="BL18" s="160">
        <f>+Bilan!BM27-Bilan!BL27</f>
        <v>0</v>
      </c>
      <c r="BM18" s="160">
        <f>+Bilan!BN27-Bilan!BM27</f>
        <v>0</v>
      </c>
      <c r="BN18" s="160">
        <f>+Bilan!BO27-Bilan!BN27</f>
        <v>0</v>
      </c>
      <c r="BO18" s="160">
        <f>+Bilan!BP27-Bilan!BO27</f>
        <v>0</v>
      </c>
      <c r="BP18" s="160">
        <f>+Bilan!BQ27-Bilan!BP27</f>
        <v>0</v>
      </c>
      <c r="BQ18" s="160">
        <f>+Bilan!BR27-Bilan!BQ27</f>
        <v>0</v>
      </c>
      <c r="BR18" s="160">
        <f>+Bilan!BS27-Bilan!BR27</f>
        <v>0</v>
      </c>
      <c r="BS18" s="160">
        <f>+Bilan!BT27-Bilan!BS27</f>
        <v>0</v>
      </c>
      <c r="BT18" s="160">
        <f>+Bilan!BU27-Bilan!BT27</f>
        <v>0</v>
      </c>
      <c r="BU18" s="160">
        <f>+Bilan!BV27-Bilan!BU27</f>
        <v>0</v>
      </c>
      <c r="BV18" s="160">
        <f>+Bilan!BW27-Bilan!BV27</f>
        <v>0</v>
      </c>
      <c r="BW18" s="160">
        <f>+Bilan!BX27-Bilan!BW27</f>
        <v>0</v>
      </c>
      <c r="BX18" s="160">
        <f>+Bilan!BY27-Bilan!BX27</f>
        <v>0</v>
      </c>
      <c r="BY18" s="160">
        <f>+Bilan!BZ27-Bilan!BY27</f>
        <v>0</v>
      </c>
      <c r="BZ18" s="160">
        <f>+Bilan!CM27-Bilan!BZ27</f>
        <v>-1200000</v>
      </c>
      <c r="CA18" s="160">
        <f>+Bilan!CN27-Bilan!CM27</f>
        <v>0</v>
      </c>
      <c r="CB18" s="160">
        <f>+Bilan!CO27-Bilan!CN27</f>
        <v>0</v>
      </c>
      <c r="CC18" s="160">
        <f>+Bilan!CP27-Bilan!CO27</f>
        <v>0</v>
      </c>
      <c r="CD18" s="160">
        <f>+Bilan!CQ27-Bilan!CP27</f>
        <v>0</v>
      </c>
      <c r="CE18" s="160">
        <f>+Bilan!CR27-Bilan!CQ27</f>
        <v>0</v>
      </c>
      <c r="CF18" s="160">
        <f>+Bilan!CS27-Bilan!CR27</f>
        <v>0</v>
      </c>
      <c r="CG18" s="160">
        <f>+Bilan!CT27-Bilan!CS27</f>
        <v>0</v>
      </c>
      <c r="CH18" s="160">
        <f>+Bilan!CU27-Bilan!CT27</f>
        <v>0</v>
      </c>
      <c r="CI18" s="160">
        <f>+Bilan!CV27-Bilan!CU27</f>
        <v>0</v>
      </c>
      <c r="CJ18" s="160">
        <f>+Bilan!CW27-Bilan!CV27</f>
        <v>0</v>
      </c>
      <c r="CK18" s="160">
        <f>+Bilan!CX27-Bilan!CW27</f>
        <v>0</v>
      </c>
    </row>
    <row r="19" spans="1:89">
      <c r="B19" s="12"/>
      <c r="C19" t="s">
        <v>225</v>
      </c>
      <c r="F19" s="160"/>
      <c r="G19" s="160">
        <f>+Bilan!H28-Bilan!F28</f>
        <v>0</v>
      </c>
      <c r="H19" s="160">
        <f>+Bilan!I28-Bilan!H28</f>
        <v>0</v>
      </c>
      <c r="I19" s="160">
        <f>+Bilan!J28-Bilan!I28</f>
        <v>0</v>
      </c>
      <c r="J19" s="160">
        <f>+Bilan!K28-Bilan!J28</f>
        <v>0</v>
      </c>
      <c r="L19" s="160">
        <f>+Bilan!M28-Bilan!L28</f>
        <v>0</v>
      </c>
      <c r="M19" s="160">
        <f>+Bilan!N28-Bilan!M28</f>
        <v>0</v>
      </c>
      <c r="N19" s="160">
        <f>+Bilan!O28-Bilan!N28</f>
        <v>0</v>
      </c>
      <c r="O19" s="160">
        <f>+Bilan!P28-Bilan!O28</f>
        <v>0</v>
      </c>
      <c r="P19" s="160">
        <f>+Bilan!Q28-Bilan!P28</f>
        <v>0</v>
      </c>
      <c r="Q19" s="160">
        <f>+Bilan!R28-Bilan!Q28</f>
        <v>0</v>
      </c>
      <c r="R19" s="160">
        <f>+Bilan!S28-Bilan!R28</f>
        <v>0</v>
      </c>
      <c r="S19" s="160">
        <f>+Bilan!T28-Bilan!S28</f>
        <v>0</v>
      </c>
      <c r="T19" s="160">
        <f>+Bilan!U28-Bilan!T28</f>
        <v>0</v>
      </c>
      <c r="U19" s="160">
        <f>+Bilan!V28-Bilan!U28</f>
        <v>0</v>
      </c>
      <c r="V19" s="160">
        <f>+Bilan!W28-Bilan!V28</f>
        <v>0</v>
      </c>
      <c r="W19" s="160">
        <f>+Bilan!X28-Bilan!W28</f>
        <v>0</v>
      </c>
      <c r="X19" s="160">
        <f>+Bilan!Y28-Bilan!X28</f>
        <v>0</v>
      </c>
      <c r="Y19" s="160">
        <f>+Bilan!Z28-Bilan!Y28</f>
        <v>0</v>
      </c>
      <c r="Z19" s="160">
        <f>+Bilan!AA28-Bilan!Z28</f>
        <v>0</v>
      </c>
      <c r="AA19" s="160">
        <f>+Bilan!AB28-Bilan!AA28</f>
        <v>0</v>
      </c>
      <c r="AB19" s="160">
        <f>+Bilan!AC28-Bilan!AB28</f>
        <v>0</v>
      </c>
      <c r="AC19" s="160">
        <f>+Bilan!AD28-Bilan!AC28</f>
        <v>0</v>
      </c>
      <c r="AD19" s="160">
        <f>+Bilan!AE28-Bilan!AD28</f>
        <v>0</v>
      </c>
      <c r="AE19" s="160">
        <f>+Bilan!AF28-Bilan!AE28</f>
        <v>0</v>
      </c>
      <c r="AF19" s="160">
        <f>+Bilan!AG28-Bilan!AF28</f>
        <v>0</v>
      </c>
      <c r="AG19" s="160">
        <f>+Bilan!AH28-Bilan!AG28</f>
        <v>0</v>
      </c>
      <c r="AH19" s="160">
        <f>+Bilan!AI28-Bilan!AH28</f>
        <v>0</v>
      </c>
      <c r="AI19" s="160">
        <f>+Bilan!AJ28-Bilan!AI28</f>
        <v>0</v>
      </c>
      <c r="AJ19" s="160">
        <f>+Bilan!AK28-Bilan!AJ28</f>
        <v>0</v>
      </c>
      <c r="AK19" s="160">
        <f>+Bilan!AL28-Bilan!AK28</f>
        <v>0</v>
      </c>
      <c r="AL19" s="160">
        <f>+Bilan!AM28-Bilan!AL28</f>
        <v>0</v>
      </c>
      <c r="AM19" s="160">
        <f>+Bilan!AN28-Bilan!AM28</f>
        <v>0</v>
      </c>
      <c r="AN19" s="160">
        <f>+Bilan!AO28-Bilan!AN28</f>
        <v>0</v>
      </c>
      <c r="AO19" s="160">
        <f>+Bilan!AP28-Bilan!AO28</f>
        <v>0</v>
      </c>
      <c r="AP19" s="160">
        <f>+Bilan!AQ28-Bilan!AP28</f>
        <v>0</v>
      </c>
      <c r="AQ19" s="160">
        <f>+Bilan!AR28-Bilan!AQ28</f>
        <v>0</v>
      </c>
      <c r="AR19" s="160">
        <f>+Bilan!AS28-Bilan!AR28</f>
        <v>0</v>
      </c>
      <c r="AS19" s="160">
        <f>+Bilan!AT28-Bilan!AS28</f>
        <v>0</v>
      </c>
      <c r="AT19" s="160">
        <f>+Bilan!AU28-Bilan!AT28</f>
        <v>0</v>
      </c>
      <c r="AU19" s="160">
        <f>+Bilan!AV28-Bilan!AU28</f>
        <v>0</v>
      </c>
      <c r="AV19" s="160">
        <f>+Bilan!AW28-Bilan!AV28</f>
        <v>0</v>
      </c>
      <c r="AW19" s="160">
        <f>+Bilan!AX28-Bilan!AW28</f>
        <v>0</v>
      </c>
      <c r="AX19" s="160">
        <f>+Bilan!AY28-Bilan!AX28</f>
        <v>0</v>
      </c>
      <c r="AY19" s="160">
        <f>+Bilan!AZ28-Bilan!AY28</f>
        <v>0</v>
      </c>
      <c r="AZ19" s="160">
        <f>+Bilan!BA28-Bilan!AZ28</f>
        <v>0</v>
      </c>
      <c r="BA19" s="160">
        <f>+Bilan!BB28-Bilan!BA28</f>
        <v>0</v>
      </c>
      <c r="BB19" s="160">
        <f>+Bilan!BC28-Bilan!BB28</f>
        <v>0</v>
      </c>
      <c r="BC19" s="160">
        <f>+Bilan!BD28-Bilan!BC28</f>
        <v>0</v>
      </c>
      <c r="BD19" s="160">
        <f>+Bilan!BE28-Bilan!BD28</f>
        <v>0</v>
      </c>
      <c r="BE19" s="160">
        <f>+Bilan!BF28-Bilan!BE28</f>
        <v>0</v>
      </c>
      <c r="BF19" s="160">
        <f>+Bilan!BG28-Bilan!BF28</f>
        <v>0</v>
      </c>
      <c r="BG19" s="160">
        <f>+Bilan!BH28-Bilan!BG28</f>
        <v>0</v>
      </c>
      <c r="BH19" s="160">
        <f>+Bilan!BI28-Bilan!BH28</f>
        <v>0</v>
      </c>
      <c r="BI19" s="160">
        <f>+Bilan!BJ28-Bilan!BI28</f>
        <v>0</v>
      </c>
      <c r="BJ19" s="160">
        <f>+Bilan!BK28-Bilan!BJ28</f>
        <v>0</v>
      </c>
      <c r="BK19" s="160">
        <f>+Bilan!BL28-Bilan!BK28</f>
        <v>0</v>
      </c>
      <c r="BL19" s="160">
        <f>+Bilan!BM28-Bilan!BL28</f>
        <v>0</v>
      </c>
      <c r="BM19" s="160">
        <f>+Bilan!BN28-Bilan!BM28</f>
        <v>0</v>
      </c>
      <c r="BN19" s="160">
        <f>+Bilan!BO28-Bilan!BN28</f>
        <v>0</v>
      </c>
      <c r="BO19" s="160">
        <f>+Bilan!BP28-Bilan!BO28</f>
        <v>0</v>
      </c>
      <c r="BP19" s="160">
        <f>+Bilan!BQ28-Bilan!BP28</f>
        <v>0</v>
      </c>
      <c r="BQ19" s="160">
        <f>+Bilan!BR28-Bilan!BQ28</f>
        <v>0</v>
      </c>
      <c r="BR19" s="160">
        <f>+Bilan!BS28-Bilan!BR28</f>
        <v>0</v>
      </c>
      <c r="BS19" s="160">
        <f>+Bilan!BT28-Bilan!BS28</f>
        <v>0</v>
      </c>
      <c r="BT19" s="160">
        <f>+Bilan!BU28-Bilan!BT28</f>
        <v>0</v>
      </c>
      <c r="BU19" s="160">
        <f>+Bilan!BV28-Bilan!BU28</f>
        <v>0</v>
      </c>
      <c r="BV19" s="160">
        <f>+Bilan!BW28-Bilan!BV28</f>
        <v>0</v>
      </c>
      <c r="BW19" s="160">
        <f>+Bilan!BX28-Bilan!BW28</f>
        <v>0</v>
      </c>
      <c r="BX19" s="160">
        <f>+Bilan!BY28-Bilan!BX28</f>
        <v>0</v>
      </c>
      <c r="BY19" s="160">
        <f>+Bilan!BZ28-Bilan!BY28</f>
        <v>0</v>
      </c>
      <c r="BZ19" s="160">
        <f>+Bilan!CM28-Bilan!BZ28</f>
        <v>0</v>
      </c>
      <c r="CA19" s="160">
        <f>+Bilan!CN28-Bilan!CM28</f>
        <v>0</v>
      </c>
      <c r="CB19" s="160">
        <f>+Bilan!CO28-Bilan!CN28</f>
        <v>0</v>
      </c>
      <c r="CC19" s="160">
        <f>+Bilan!CP28-Bilan!CO28</f>
        <v>0</v>
      </c>
      <c r="CD19" s="160">
        <f>+Bilan!CQ28-Bilan!CP28</f>
        <v>0</v>
      </c>
      <c r="CE19" s="160">
        <f>+Bilan!CR28-Bilan!CQ28</f>
        <v>0</v>
      </c>
      <c r="CF19" s="160">
        <f>+Bilan!CS28-Bilan!CR28</f>
        <v>0</v>
      </c>
      <c r="CG19" s="160">
        <f>+Bilan!CT28-Bilan!CS28</f>
        <v>0</v>
      </c>
      <c r="CH19" s="160">
        <f>+Bilan!CU28-Bilan!CT28</f>
        <v>0</v>
      </c>
      <c r="CI19" s="160">
        <f>+Bilan!CV28-Bilan!CU28</f>
        <v>0</v>
      </c>
      <c r="CJ19" s="160">
        <f>+Bilan!CW28-Bilan!CV28</f>
        <v>0</v>
      </c>
      <c r="CK19" s="160">
        <f>+Bilan!CX28-Bilan!CW28</f>
        <v>0</v>
      </c>
    </row>
    <row r="20" spans="1:89">
      <c r="B20" s="12"/>
      <c r="C20" t="s">
        <v>286</v>
      </c>
      <c r="F20" s="160"/>
      <c r="G20" s="160">
        <f>+fincmt!AG13-'Cash Flow'!F20</f>
        <v>258000</v>
      </c>
      <c r="H20" s="160">
        <f>+fincmt!AS13-'Cash Flow'!G20-'Cash Flow'!F20</f>
        <v>24000</v>
      </c>
      <c r="I20" s="160">
        <f>+fincmt!BE13-'Cash Flow'!H20-'Cash Flow'!G20-'Cash Flow'!F20</f>
        <v>18000</v>
      </c>
      <c r="J20" s="160">
        <f>+fincmt!BQ13-'Cash Flow'!I20-'Cash Flow'!H20-'Cash Flow'!G20-F20</f>
        <v>0</v>
      </c>
      <c r="L20" s="160">
        <f>+fincmt!D13-fincmt!C13</f>
        <v>0</v>
      </c>
      <c r="M20" s="160">
        <f>+fincmt!E13-fincmt!D13</f>
        <v>0</v>
      </c>
      <c r="N20" s="160">
        <f>+fincmt!F13-fincmt!E13</f>
        <v>0</v>
      </c>
      <c r="O20" s="160">
        <f>+fincmt!G13-fincmt!F13</f>
        <v>0</v>
      </c>
      <c r="P20" s="160">
        <f>+fincmt!H13-fincmt!G13</f>
        <v>0</v>
      </c>
      <c r="Q20" s="160">
        <f>+fincmt!I13-fincmt!H13</f>
        <v>0</v>
      </c>
      <c r="R20" s="160">
        <f>+fincmt!J13-fincmt!I13</f>
        <v>0</v>
      </c>
      <c r="S20" s="160">
        <f>+fincmt!K13-fincmt!J13</f>
        <v>0</v>
      </c>
      <c r="T20" s="160">
        <f>+fincmt!L13-fincmt!K13</f>
        <v>0</v>
      </c>
      <c r="U20" s="160">
        <f>+fincmt!M13-fincmt!L13</f>
        <v>0</v>
      </c>
      <c r="V20" s="160">
        <f>+fincmt!N13-fincmt!M13</f>
        <v>0</v>
      </c>
      <c r="W20" s="160">
        <f>+fincmt!O13-fincmt!N13</f>
        <v>0</v>
      </c>
      <c r="X20" s="160">
        <f>+fincmt!P13-fincmt!O13</f>
        <v>0</v>
      </c>
      <c r="Y20" s="160">
        <f>+fincmt!Q13-fincmt!P13</f>
        <v>0</v>
      </c>
      <c r="Z20" s="160">
        <f>+fincmt!R13-fincmt!Q13</f>
        <v>0</v>
      </c>
      <c r="AA20" s="160">
        <f>+fincmt!S13-fincmt!R13</f>
        <v>0</v>
      </c>
      <c r="AB20" s="160">
        <f>+fincmt!T13-fincmt!S13</f>
        <v>0</v>
      </c>
      <c r="AC20" s="160">
        <f>+fincmt!U13-fincmt!T13</f>
        <v>0</v>
      </c>
      <c r="AD20" s="160">
        <f>+fincmt!V13-fincmt!U13</f>
        <v>250000</v>
      </c>
      <c r="AE20" s="160">
        <f>+fincmt!W13-fincmt!V13</f>
        <v>0</v>
      </c>
      <c r="AF20" s="160">
        <f>+fincmt!X13-fincmt!W13</f>
        <v>0</v>
      </c>
      <c r="AG20" s="160">
        <f>+fincmt!Y13-fincmt!X13</f>
        <v>0</v>
      </c>
      <c r="AH20" s="160">
        <f>+fincmt!Z13-fincmt!Y13</f>
        <v>0</v>
      </c>
      <c r="AI20" s="160">
        <f>+fincmt!AA13-fincmt!Z13</f>
        <v>0</v>
      </c>
      <c r="AJ20" s="160">
        <f>+fincmt!AB13-fincmt!AA13</f>
        <v>0</v>
      </c>
      <c r="AK20" s="160">
        <f>+fincmt!AC13-fincmt!AB13</f>
        <v>0</v>
      </c>
      <c r="AL20" s="160">
        <f>+fincmt!AD13-fincmt!AC13</f>
        <v>0</v>
      </c>
      <c r="AM20" s="160">
        <f>+fincmt!AE13-fincmt!AD13</f>
        <v>8000</v>
      </c>
      <c r="AN20" s="160">
        <f>+fincmt!AF13-fincmt!AE13</f>
        <v>0</v>
      </c>
      <c r="AO20" s="160">
        <f>+fincmt!AG13-fincmt!AF13</f>
        <v>0</v>
      </c>
      <c r="AP20" s="160">
        <f>+fincmt!AH13-fincmt!AG13</f>
        <v>0</v>
      </c>
      <c r="AQ20" s="160">
        <f>+fincmt!AI13-fincmt!AH13</f>
        <v>0</v>
      </c>
      <c r="AR20" s="160">
        <f>+fincmt!AJ13-fincmt!AI13</f>
        <v>0</v>
      </c>
      <c r="AS20" s="160">
        <f>+fincmt!AK13-fincmt!AJ13</f>
        <v>0</v>
      </c>
      <c r="AT20" s="160">
        <f>+fincmt!AL13-fincmt!AK13</f>
        <v>0</v>
      </c>
      <c r="AU20" s="160">
        <f>+fincmt!AM13-fincmt!AL13</f>
        <v>0</v>
      </c>
      <c r="AV20" s="160">
        <f>+fincmt!AN13-fincmt!AM13</f>
        <v>0</v>
      </c>
      <c r="AW20" s="160">
        <f>+fincmt!AO13-fincmt!AN13</f>
        <v>24000</v>
      </c>
      <c r="AX20" s="160">
        <f>+fincmt!AP13-fincmt!AO13</f>
        <v>0</v>
      </c>
      <c r="AY20" s="160">
        <f>+fincmt!AQ13-fincmt!AP13</f>
        <v>0</v>
      </c>
      <c r="AZ20" s="160">
        <f>+fincmt!AR13-fincmt!AQ13</f>
        <v>0</v>
      </c>
      <c r="BA20" s="160">
        <f>+fincmt!AS13-fincmt!AR13</f>
        <v>0</v>
      </c>
      <c r="BB20" s="160">
        <f>+fincmt!AT13-fincmt!AS13</f>
        <v>0</v>
      </c>
      <c r="BC20" s="160">
        <f>+fincmt!AU13-fincmt!AT13</f>
        <v>0</v>
      </c>
      <c r="BD20" s="160">
        <f>+fincmt!AV13-fincmt!AU13</f>
        <v>0</v>
      </c>
      <c r="BE20" s="160">
        <f>+fincmt!AW13-fincmt!AV13</f>
        <v>0</v>
      </c>
      <c r="BF20" s="160">
        <f>+fincmt!AX13-fincmt!AW13</f>
        <v>0</v>
      </c>
      <c r="BG20" s="160">
        <f>+fincmt!AY13-fincmt!AX13</f>
        <v>0</v>
      </c>
      <c r="BH20" s="160">
        <f>+fincmt!AZ13-fincmt!AY13</f>
        <v>0</v>
      </c>
      <c r="BI20" s="160">
        <f>+fincmt!BA13-fincmt!AZ13</f>
        <v>18000</v>
      </c>
      <c r="BJ20" s="160">
        <f>+fincmt!BB13-fincmt!BA13</f>
        <v>0</v>
      </c>
      <c r="BK20" s="160">
        <f>+fincmt!BC13-fincmt!BB13</f>
        <v>0</v>
      </c>
      <c r="BL20" s="160">
        <f>+fincmt!BD13-fincmt!BC13</f>
        <v>0</v>
      </c>
      <c r="BM20" s="160">
        <f>+fincmt!BE13-fincmt!BD13</f>
        <v>0</v>
      </c>
      <c r="BN20" s="160">
        <f>+fincmt!BF13-fincmt!BE13</f>
        <v>0</v>
      </c>
      <c r="BO20" s="160">
        <f>+fincmt!BG13-fincmt!BF13</f>
        <v>0</v>
      </c>
      <c r="BP20" s="160">
        <f>+fincmt!BH13-fincmt!BG13</f>
        <v>0</v>
      </c>
      <c r="BQ20" s="160">
        <f>+fincmt!BI13-fincmt!BH13</f>
        <v>0</v>
      </c>
      <c r="BR20" s="160">
        <f>+fincmt!BJ13-fincmt!BI13</f>
        <v>0</v>
      </c>
      <c r="BS20" s="160">
        <f>+fincmt!BK13-fincmt!BJ13</f>
        <v>0</v>
      </c>
      <c r="BT20" s="160">
        <f>+fincmt!BL13-fincmt!BK13</f>
        <v>0</v>
      </c>
      <c r="BU20" s="160">
        <f>+fincmt!BM13-fincmt!BL13</f>
        <v>0</v>
      </c>
      <c r="BV20" s="160">
        <f>+fincmt!BN13-fincmt!BM13</f>
        <v>0</v>
      </c>
      <c r="BW20" s="160">
        <f>+fincmt!BO13-fincmt!BN13</f>
        <v>0</v>
      </c>
      <c r="BX20" s="160">
        <f>+fincmt!BP13-fincmt!BO13</f>
        <v>0</v>
      </c>
      <c r="BY20" s="160">
        <f>+fincmt!BQ13-fincmt!BP13</f>
        <v>0</v>
      </c>
      <c r="BZ20" s="160">
        <f>+fincmt!CD13-fincmt!BQ13</f>
        <v>-300000</v>
      </c>
      <c r="CA20" s="160">
        <f>+fincmt!CE13-fincmt!CD13</f>
        <v>0</v>
      </c>
      <c r="CB20" s="160">
        <f>+fincmt!CF13-fincmt!CE13</f>
        <v>0</v>
      </c>
      <c r="CC20" s="160">
        <f>+fincmt!CG13-fincmt!CF13</f>
        <v>0</v>
      </c>
      <c r="CD20" s="160">
        <f>+fincmt!CH13-fincmt!CG13</f>
        <v>0</v>
      </c>
      <c r="CE20" s="160">
        <f>+fincmt!CI13-fincmt!CH13</f>
        <v>0</v>
      </c>
      <c r="CF20" s="160">
        <f>+fincmt!CJ13-fincmt!CI13</f>
        <v>0</v>
      </c>
      <c r="CG20" s="160">
        <f>+fincmt!CK13-fincmt!CJ13</f>
        <v>0</v>
      </c>
      <c r="CH20" s="160">
        <f>+fincmt!CL13-fincmt!CK13</f>
        <v>0</v>
      </c>
      <c r="CI20" s="160">
        <f>+fincmt!CM13-fincmt!CL13</f>
        <v>0</v>
      </c>
      <c r="CJ20" s="160">
        <f>+fincmt!CN13-fincmt!CM13</f>
        <v>0</v>
      </c>
      <c r="CK20" s="160">
        <f>+fincmt!CO13-fincmt!CN13</f>
        <v>0</v>
      </c>
    </row>
    <row r="21" spans="1:89">
      <c r="B21" s="12"/>
      <c r="C21" t="s">
        <v>287</v>
      </c>
      <c r="F21" s="160"/>
      <c r="G21" s="160">
        <f>+Bilan!H35-SUM($F20:G20)-SUM($F21:F21)</f>
        <v>-57066.610539488873</v>
      </c>
      <c r="H21" s="160">
        <f>+Bilan!I35-SUM($F20:H20)-SUM($F21:G21)</f>
        <v>-60689.88739913897</v>
      </c>
      <c r="I21" s="160">
        <f>+Bilan!J35-SUM($F20:I20)-SUM($F21:H21)</f>
        <v>-65558.66567929383</v>
      </c>
      <c r="J21" s="160">
        <f>+Bilan!K35-SUM($F20:J20)-SUM($F21:I21)</f>
        <v>-67936.441118439194</v>
      </c>
      <c r="L21" s="160">
        <f>+Bilan!M35-SUM($L20:L20)-SUM($K21:K21)</f>
        <v>0</v>
      </c>
      <c r="M21" s="160">
        <f>+Bilan!N35-SUM($L20:M20)-SUM($K21:L21)</f>
        <v>0</v>
      </c>
      <c r="N21" s="160">
        <f>+Bilan!O35-SUM($L20:N20)-SUM($K21:M21)</f>
        <v>0</v>
      </c>
      <c r="O21" s="160">
        <f>+Bilan!P35-SUM($L20:O20)-SUM($K21:N21)</f>
        <v>0</v>
      </c>
      <c r="P21" s="160">
        <f>+Bilan!Q35-SUM($L20:P20)-SUM($K21:O21)</f>
        <v>0</v>
      </c>
      <c r="Q21" s="160">
        <f>+Bilan!R35-SUM($L20:Q20)-SUM($K21:P21)</f>
        <v>0</v>
      </c>
      <c r="R21" s="160">
        <f>+Bilan!S35-SUM($L20:R20)-SUM($K21:Q21)</f>
        <v>0</v>
      </c>
      <c r="S21" s="160">
        <f>+Bilan!T35-SUM($L20:S20)-SUM($K21:R21)</f>
        <v>0</v>
      </c>
      <c r="T21" s="160">
        <f>+Bilan!U35-SUM($L20:T20)-SUM($K21:S21)</f>
        <v>0</v>
      </c>
      <c r="U21" s="160">
        <f>+Bilan!V35-SUM($L20:U20)-SUM($K21:T21)</f>
        <v>0</v>
      </c>
      <c r="V21" s="160">
        <f>+Bilan!W35-SUM($L20:V20)-SUM($K21:U21)</f>
        <v>0</v>
      </c>
      <c r="W21" s="160">
        <f>+Bilan!X35-SUM($L20:W20)-SUM($K21:V21)</f>
        <v>0</v>
      </c>
      <c r="X21" s="160">
        <f>+Bilan!Y35-SUM($L20:X20)-SUM($K21:W21)</f>
        <v>0</v>
      </c>
      <c r="Y21" s="160">
        <f>+Bilan!Z35-SUM($L20:Y20)-SUM($K21:X21)</f>
        <v>0</v>
      </c>
      <c r="Z21" s="160">
        <f>+Bilan!AA35-SUM($L20:Z20)-SUM($K21:Y21)</f>
        <v>0</v>
      </c>
      <c r="AA21" s="160">
        <f>+Bilan!AB35-SUM($L20:AA20)-SUM($K21:Z21)</f>
        <v>0</v>
      </c>
      <c r="AB21" s="160">
        <f>+Bilan!AC35-SUM($L20:AB20)-SUM($K21:AA21)</f>
        <v>0</v>
      </c>
      <c r="AC21" s="160">
        <f>+Bilan!AD35-SUM($L20:AC20)-SUM($K21:AB21)</f>
        <v>0</v>
      </c>
      <c r="AD21" s="160">
        <f>+Bilan!AE35-SUM($L20:AD20)-SUM($K21:AC21)</f>
        <v>-4717.8084110027121</v>
      </c>
      <c r="AE21" s="160">
        <f>+Bilan!AF35-SUM($L20:AE20)-SUM($K21:AD21)</f>
        <v>-4717.8084110027121</v>
      </c>
      <c r="AF21" s="160">
        <f>+Bilan!AG35-SUM($L20:AF20)-SUM($K21:AE21)</f>
        <v>-4717.8084110027412</v>
      </c>
      <c r="AG21" s="160">
        <f>+Bilan!AH35-SUM($L20:AG20)-SUM($K21:AF21)</f>
        <v>-4717.8084110027121</v>
      </c>
      <c r="AH21" s="160">
        <f>+Bilan!AI35-SUM($L20:AH20)-SUM($K21:AG21)</f>
        <v>-4717.8084110027121</v>
      </c>
      <c r="AI21" s="160">
        <f>+Bilan!AJ35-SUM($L20:AI20)-SUM($K21:AH21)</f>
        <v>-4717.8084110027121</v>
      </c>
      <c r="AJ21" s="160">
        <f>+Bilan!AK35-SUM($L20:AJ20)-SUM($K21:AI21)</f>
        <v>-4717.8084110027121</v>
      </c>
      <c r="AK21" s="160">
        <f>+Bilan!AL35-SUM($L20:AK20)-SUM($K21:AJ21)</f>
        <v>-4717.8084110027412</v>
      </c>
      <c r="AL21" s="160">
        <f>+Bilan!AM35-SUM($L20:AL20)-SUM($K21:AK21)</f>
        <v>-4717.8084110027121</v>
      </c>
      <c r="AM21" s="160">
        <f>+Bilan!AN35-SUM($L20:AM20)-SUM($K21:AL21)</f>
        <v>-4868.7782801548019</v>
      </c>
      <c r="AN21" s="160">
        <f>+Bilan!AO35-SUM($L20:AN20)-SUM($K21:AM21)</f>
        <v>-4868.7782801548019</v>
      </c>
      <c r="AO21" s="160">
        <f>+Bilan!AP35-SUM($L20:AO20)-SUM($K21:AN21)</f>
        <v>-4868.7782801548019</v>
      </c>
      <c r="AP21" s="160">
        <f>+Bilan!AQ35-SUM($L20:AP20)-SUM($K21:AO21)</f>
        <v>-4868.7782801548019</v>
      </c>
      <c r="AQ21" s="160">
        <f>+Bilan!AR35-SUM($L20:AQ20)-SUM($K21:AP21)</f>
        <v>-4868.7782801548019</v>
      </c>
      <c r="AR21" s="160">
        <f>+Bilan!AS35-SUM($L20:AR20)-SUM($K21:AQ21)</f>
        <v>-4868.7782801548019</v>
      </c>
      <c r="AS21" s="160">
        <f>+Bilan!AT35-SUM($L20:AS20)-SUM($K21:AR21)</f>
        <v>-4868.7782801548019</v>
      </c>
      <c r="AT21" s="160">
        <f>+Bilan!AU35-SUM($L20:AT20)-SUM($K21:AS21)</f>
        <v>-4868.7782801548019</v>
      </c>
      <c r="AU21" s="160">
        <f>+Bilan!AV35-SUM($L20:AU20)-SUM($K21:AT21)</f>
        <v>-4868.7782801548019</v>
      </c>
      <c r="AV21" s="160">
        <f>+Bilan!AW35-SUM($L20:AV20)-SUM($K21:AU21)</f>
        <v>-4868.7782801548019</v>
      </c>
      <c r="AW21" s="160">
        <f>+Bilan!AX35-SUM($L20:AW20)-SUM($K21:AV21)</f>
        <v>-5321.6878876110713</v>
      </c>
      <c r="AX21" s="160">
        <f>+Bilan!AY35-SUM($L20:AX20)-SUM($K21:AW21)</f>
        <v>-5321.6878876110713</v>
      </c>
      <c r="AY21" s="160">
        <f>+Bilan!AZ35-SUM($L20:AY20)-SUM($K21:AX21)</f>
        <v>-5321.6878876110713</v>
      </c>
      <c r="AZ21" s="160">
        <f>+Bilan!BA35-SUM($L20:AZ20)-SUM($K21:AY21)</f>
        <v>-5321.6878876110713</v>
      </c>
      <c r="BA21" s="160">
        <f>+Bilan!BB35-SUM($L20:BA20)-SUM($K21:AZ21)</f>
        <v>-5321.6878876110713</v>
      </c>
      <c r="BB21" s="160">
        <f>+Bilan!BC35-SUM($L20:BB20)-SUM($K21:BA21)</f>
        <v>-5321.6878876110713</v>
      </c>
      <c r="BC21" s="160">
        <f>+Bilan!BD35-SUM($L20:BC20)-SUM($K21:BB21)</f>
        <v>-5321.6878876110713</v>
      </c>
      <c r="BD21" s="160">
        <f>+Bilan!BE35-SUM($L20:BD20)-SUM($K21:BC21)</f>
        <v>-5321.6878876110713</v>
      </c>
      <c r="BE21" s="160">
        <f>+Bilan!BF35-SUM($L20:BE20)-SUM($K21:BD21)</f>
        <v>-5321.6878876110713</v>
      </c>
      <c r="BF21" s="160">
        <f>+Bilan!BG35-SUM($L20:BF20)-SUM($K21:BE21)</f>
        <v>-5321.6878876110713</v>
      </c>
      <c r="BG21" s="160">
        <f>+Bilan!BH35-SUM($L20:BG20)-SUM($K21:BF21)</f>
        <v>-5321.6878876110713</v>
      </c>
      <c r="BH21" s="160">
        <f>+Bilan!BI35-SUM($L20:BH20)-SUM($K21:BG21)</f>
        <v>-5321.6878876110713</v>
      </c>
      <c r="BI21" s="160">
        <f>+Bilan!BJ35-SUM($L20:BI20)-SUM($K21:BH21)</f>
        <v>-5661.3700932032662</v>
      </c>
      <c r="BJ21" s="160">
        <f>+Bilan!BK35-SUM($L20:BJ20)-SUM($K21:BI21)</f>
        <v>-5661.3700932032662</v>
      </c>
      <c r="BK21" s="160">
        <f>+Bilan!BL35-SUM($L20:BK20)-SUM($K21:BJ21)</f>
        <v>-5661.3700932032662</v>
      </c>
      <c r="BL21" s="160">
        <f>+Bilan!BM35-SUM($L20:BL20)-SUM($K21:BK21)</f>
        <v>-5661.3700932032662</v>
      </c>
      <c r="BM21" s="160">
        <f>+Bilan!BN35-SUM($L20:BM20)-SUM($K21:BL21)</f>
        <v>-5661.3700932032662</v>
      </c>
      <c r="BN21" s="160">
        <f>+Bilan!BO35-SUM($L20:BN20)-SUM($K21:BM21)</f>
        <v>-5661.3700932032662</v>
      </c>
      <c r="BO21" s="160">
        <f>+Bilan!BP35-SUM($L20:BO20)-SUM($K21:BN21)</f>
        <v>-5661.3700932032662</v>
      </c>
      <c r="BP21" s="160">
        <f>+Bilan!BQ35-SUM($L20:BP20)-SUM($K21:BO21)</f>
        <v>-5661.3700932032662</v>
      </c>
      <c r="BQ21" s="160">
        <f>+Bilan!BR35-SUM($L20:BQ20)-SUM($K21:BP21)</f>
        <v>-5661.3700932032662</v>
      </c>
      <c r="BR21" s="160">
        <f>+Bilan!BS35-SUM($L20:BR20)-SUM($K21:BQ21)</f>
        <v>-5661.3700932032662</v>
      </c>
      <c r="BS21" s="160">
        <f>+Bilan!BT35-SUM($L20:BS20)-SUM($K21:BR21)</f>
        <v>-5661.3700932032662</v>
      </c>
      <c r="BT21" s="160">
        <f>+Bilan!BU35-SUM($L20:BT20)-SUM($K21:BS21)</f>
        <v>-5661.3700932032662</v>
      </c>
      <c r="BU21" s="160">
        <f>+Bilan!BV35-SUM($L20:BU20)-SUM($K21:BT21)</f>
        <v>-5661.3700932032662</v>
      </c>
      <c r="BV21" s="160">
        <f>+Bilan!BW35-SUM($L20:BV20)-SUM($K21:BU21)</f>
        <v>-5661.3700932032662</v>
      </c>
      <c r="BW21" s="160">
        <f>+Bilan!BX35-SUM($L20:BW20)-SUM($K21:BV21)</f>
        <v>-5661.3700932032662</v>
      </c>
      <c r="BX21" s="160">
        <f>+Bilan!BY35-SUM($L20:BX20)-SUM($K21:BW21)</f>
        <v>-5661.3700932032662</v>
      </c>
      <c r="BY21" s="160">
        <f>+Bilan!BZ35-SUM($L20:BY20)-SUM($K21:BX21)</f>
        <v>-5661.3700932032662</v>
      </c>
      <c r="BZ21" s="160">
        <f>+Bilan!CM35-SUM($L20:BZ20)-SUM($K21:BY21)</f>
        <v>251251.60473636087</v>
      </c>
      <c r="CA21" s="160">
        <f>+Bilan!CN35-SUM($L20:CA20)-SUM($K21:BZ21)</f>
        <v>0</v>
      </c>
      <c r="CB21" s="160">
        <f>+Bilan!CO35-SUM($L20:CB20)-SUM($K21:CA21)</f>
        <v>0</v>
      </c>
      <c r="CC21" s="160">
        <f>+Bilan!CP35-SUM($L20:CC20)-SUM($K21:CB21)</f>
        <v>0</v>
      </c>
      <c r="CD21" s="160">
        <f>+Bilan!CQ35-SUM($L20:CD20)-SUM($K21:CC21)</f>
        <v>0</v>
      </c>
      <c r="CE21" s="160">
        <f>+Bilan!CR35-SUM($L20:CE20)-SUM($K21:CD21)</f>
        <v>0</v>
      </c>
      <c r="CF21" s="160">
        <f>+Bilan!CS35-SUM($L20:CF20)-SUM($K21:CE21)</f>
        <v>0</v>
      </c>
      <c r="CG21" s="160">
        <f>+Bilan!CT35-SUM($L20:CG20)-SUM($K21:CF21)</f>
        <v>0</v>
      </c>
      <c r="CH21" s="160">
        <f>+Bilan!CU35-SUM($L20:CH20)-SUM($K21:CG21)</f>
        <v>0</v>
      </c>
      <c r="CI21" s="160">
        <f>+Bilan!CV35-SUM($L20:CI20)-SUM($K21:CH21)</f>
        <v>0</v>
      </c>
      <c r="CJ21" s="160">
        <f>+Bilan!CW35-SUM($L20:CJ20)-SUM($K21:CI21)</f>
        <v>0</v>
      </c>
      <c r="CK21" s="160">
        <f>+Bilan!CX35-SUM($L20:CK20)-SUM($K21:CJ21)</f>
        <v>0</v>
      </c>
    </row>
    <row r="22" spans="1:89">
      <c r="B22" s="163" t="s">
        <v>285</v>
      </c>
      <c r="C22" s="161"/>
      <c r="D22" s="161"/>
      <c r="E22" s="161"/>
      <c r="F22" s="164"/>
      <c r="G22" s="164">
        <f>SUM(G18:G21)</f>
        <v>1400933.389460511</v>
      </c>
      <c r="H22" s="164">
        <f>SUM(H18:H21)</f>
        <v>-36689.88739913897</v>
      </c>
      <c r="I22" s="164">
        <f>SUM(I18:I21)</f>
        <v>-47558.66567929383</v>
      </c>
      <c r="J22" s="164">
        <f>SUM(J18:J21)</f>
        <v>-67936.441118439194</v>
      </c>
      <c r="L22" s="164">
        <f t="shared" ref="L22:BG22" si="8">SUM(L18:L21)</f>
        <v>0</v>
      </c>
      <c r="M22" s="164">
        <f t="shared" si="8"/>
        <v>0</v>
      </c>
      <c r="N22" s="164">
        <f t="shared" si="8"/>
        <v>0</v>
      </c>
      <c r="O22" s="164">
        <f t="shared" si="8"/>
        <v>0</v>
      </c>
      <c r="P22" s="164">
        <f t="shared" si="8"/>
        <v>0</v>
      </c>
      <c r="Q22" s="164">
        <f t="shared" si="8"/>
        <v>0</v>
      </c>
      <c r="R22" s="164">
        <f t="shared" si="8"/>
        <v>0</v>
      </c>
      <c r="S22" s="164">
        <f t="shared" si="8"/>
        <v>0</v>
      </c>
      <c r="T22" s="164">
        <f t="shared" si="8"/>
        <v>0</v>
      </c>
      <c r="U22" s="164">
        <f t="shared" si="8"/>
        <v>0</v>
      </c>
      <c r="V22" s="164">
        <f t="shared" si="8"/>
        <v>0</v>
      </c>
      <c r="W22" s="164">
        <f t="shared" si="8"/>
        <v>0</v>
      </c>
      <c r="X22" s="164">
        <f t="shared" si="8"/>
        <v>0</v>
      </c>
      <c r="Y22" s="164">
        <f t="shared" si="8"/>
        <v>0</v>
      </c>
      <c r="Z22" s="164">
        <f t="shared" si="8"/>
        <v>0</v>
      </c>
      <c r="AA22" s="164">
        <f t="shared" si="8"/>
        <v>0</v>
      </c>
      <c r="AB22" s="164">
        <f t="shared" si="8"/>
        <v>0</v>
      </c>
      <c r="AC22" s="164">
        <f t="shared" si="8"/>
        <v>400000</v>
      </c>
      <c r="AD22" s="164">
        <f t="shared" si="8"/>
        <v>245282.19158899729</v>
      </c>
      <c r="AE22" s="164">
        <f t="shared" si="8"/>
        <v>-4717.8084110027121</v>
      </c>
      <c r="AF22" s="164">
        <f t="shared" si="8"/>
        <v>-4717.8084110027412</v>
      </c>
      <c r="AG22" s="164">
        <f t="shared" si="8"/>
        <v>395282.19158899726</v>
      </c>
      <c r="AH22" s="164">
        <f t="shared" si="8"/>
        <v>-4717.8084110027121</v>
      </c>
      <c r="AI22" s="164">
        <f t="shared" si="8"/>
        <v>-4717.8084110027121</v>
      </c>
      <c r="AJ22" s="164">
        <f t="shared" si="8"/>
        <v>-4717.8084110027121</v>
      </c>
      <c r="AK22" s="164">
        <f t="shared" si="8"/>
        <v>-4717.8084110027412</v>
      </c>
      <c r="AL22" s="164">
        <f t="shared" si="8"/>
        <v>395282.19158899726</v>
      </c>
      <c r="AM22" s="164">
        <f t="shared" si="8"/>
        <v>3131.2217198451981</v>
      </c>
      <c r="AN22" s="164">
        <f t="shared" si="8"/>
        <v>-4868.7782801548019</v>
      </c>
      <c r="AO22" s="164">
        <f t="shared" si="8"/>
        <v>-4868.7782801548019</v>
      </c>
      <c r="AP22" s="164">
        <f t="shared" si="8"/>
        <v>-4868.7782801548019</v>
      </c>
      <c r="AQ22" s="164">
        <f t="shared" si="8"/>
        <v>-4868.7782801548019</v>
      </c>
      <c r="AR22" s="164">
        <f t="shared" si="8"/>
        <v>-4868.7782801548019</v>
      </c>
      <c r="AS22" s="164">
        <f t="shared" si="8"/>
        <v>-4868.7782801548019</v>
      </c>
      <c r="AT22" s="164">
        <f t="shared" si="8"/>
        <v>-4868.7782801548019</v>
      </c>
      <c r="AU22" s="164">
        <f t="shared" si="8"/>
        <v>-4868.7782801548019</v>
      </c>
      <c r="AV22" s="164">
        <f t="shared" si="8"/>
        <v>-4868.7782801548019</v>
      </c>
      <c r="AW22" s="164">
        <f t="shared" si="8"/>
        <v>18678.312112388929</v>
      </c>
      <c r="AX22" s="164">
        <f t="shared" si="8"/>
        <v>-5321.6878876110713</v>
      </c>
      <c r="AY22" s="164">
        <f t="shared" si="8"/>
        <v>-5321.6878876110713</v>
      </c>
      <c r="AZ22" s="164">
        <f t="shared" si="8"/>
        <v>-5321.6878876110713</v>
      </c>
      <c r="BA22" s="164">
        <f t="shared" si="8"/>
        <v>-5321.6878876110713</v>
      </c>
      <c r="BB22" s="164">
        <f t="shared" si="8"/>
        <v>-5321.6878876110713</v>
      </c>
      <c r="BC22" s="164">
        <f t="shared" si="8"/>
        <v>-5321.6878876110713</v>
      </c>
      <c r="BD22" s="164">
        <f t="shared" si="8"/>
        <v>-5321.6878876110713</v>
      </c>
      <c r="BE22" s="164">
        <f t="shared" si="8"/>
        <v>-5321.6878876110713</v>
      </c>
      <c r="BF22" s="164">
        <f t="shared" si="8"/>
        <v>-5321.6878876110713</v>
      </c>
      <c r="BG22" s="164">
        <f t="shared" si="8"/>
        <v>-5321.6878876110713</v>
      </c>
      <c r="BH22" s="164">
        <f t="shared" ref="BH22:BS22" si="9">SUM(BH18:BH21)</f>
        <v>-5321.6878876110713</v>
      </c>
      <c r="BI22" s="164">
        <f t="shared" si="9"/>
        <v>12338.629906796734</v>
      </c>
      <c r="BJ22" s="164">
        <f t="shared" si="9"/>
        <v>-5661.3700932032662</v>
      </c>
      <c r="BK22" s="164">
        <f t="shared" si="9"/>
        <v>-5661.3700932032662</v>
      </c>
      <c r="BL22" s="164">
        <f t="shared" si="9"/>
        <v>-5661.3700932032662</v>
      </c>
      <c r="BM22" s="164">
        <f t="shared" si="9"/>
        <v>-5661.3700932032662</v>
      </c>
      <c r="BN22" s="164">
        <f t="shared" si="9"/>
        <v>-5661.3700932032662</v>
      </c>
      <c r="BO22" s="164">
        <f t="shared" si="9"/>
        <v>-5661.3700932032662</v>
      </c>
      <c r="BP22" s="164">
        <f t="shared" si="9"/>
        <v>-5661.3700932032662</v>
      </c>
      <c r="BQ22" s="164">
        <f t="shared" si="9"/>
        <v>-5661.3700932032662</v>
      </c>
      <c r="BR22" s="164">
        <f t="shared" si="9"/>
        <v>-5661.3700932032662</v>
      </c>
      <c r="BS22" s="164">
        <f t="shared" si="9"/>
        <v>-5661.3700932032662</v>
      </c>
      <c r="BT22" s="164">
        <f t="shared" ref="BT22:BY22" si="10">SUM(BT18:BT21)</f>
        <v>-5661.3700932032662</v>
      </c>
      <c r="BU22" s="164">
        <f t="shared" si="10"/>
        <v>-5661.3700932032662</v>
      </c>
      <c r="BV22" s="164">
        <f t="shared" si="10"/>
        <v>-5661.3700932032662</v>
      </c>
      <c r="BW22" s="164">
        <f t="shared" si="10"/>
        <v>-5661.3700932032662</v>
      </c>
      <c r="BX22" s="164">
        <f t="shared" si="10"/>
        <v>-5661.3700932032662</v>
      </c>
      <c r="BY22" s="164">
        <f t="shared" si="10"/>
        <v>-5661.3700932032662</v>
      </c>
      <c r="BZ22" s="164">
        <f t="shared" ref="BZ22:CJ22" si="11">SUM(BZ18:BZ21)</f>
        <v>-1248748.395263639</v>
      </c>
      <c r="CA22" s="164">
        <f t="shared" si="11"/>
        <v>0</v>
      </c>
      <c r="CB22" s="164">
        <f t="shared" si="11"/>
        <v>0</v>
      </c>
      <c r="CC22" s="164">
        <f t="shared" si="11"/>
        <v>0</v>
      </c>
      <c r="CD22" s="164">
        <f t="shared" si="11"/>
        <v>0</v>
      </c>
      <c r="CE22" s="164">
        <f t="shared" si="11"/>
        <v>0</v>
      </c>
      <c r="CF22" s="164">
        <f t="shared" si="11"/>
        <v>0</v>
      </c>
      <c r="CG22" s="164">
        <f t="shared" si="11"/>
        <v>0</v>
      </c>
      <c r="CH22" s="164">
        <f t="shared" si="11"/>
        <v>0</v>
      </c>
      <c r="CI22" s="164">
        <f t="shared" si="11"/>
        <v>0</v>
      </c>
      <c r="CJ22" s="164">
        <f t="shared" si="11"/>
        <v>0</v>
      </c>
      <c r="CK22" s="164">
        <f>SUM(CK18:CK21)</f>
        <v>0</v>
      </c>
    </row>
    <row r="23" spans="1:89">
      <c r="F23" s="102"/>
      <c r="G23" s="102"/>
      <c r="H23" s="102"/>
      <c r="I23" s="102"/>
      <c r="J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</row>
    <row r="24" spans="1:89">
      <c r="A24" s="111" t="s">
        <v>288</v>
      </c>
      <c r="B24" s="120"/>
      <c r="C24" s="120"/>
      <c r="D24" s="120"/>
      <c r="E24" s="120"/>
      <c r="F24" s="165"/>
      <c r="G24" s="165">
        <f>+G7+G13-G15+G22</f>
        <v>703017.89902630076</v>
      </c>
      <c r="H24" s="165">
        <f>+H7+H13-H15+H22</f>
        <v>-1072731.4136423308</v>
      </c>
      <c r="I24" s="165">
        <f>+I7+I13-I15+I22</f>
        <v>-113025.60829041441</v>
      </c>
      <c r="J24" s="165">
        <f>+J7+J13-J15+J22</f>
        <v>1593154.5209207872</v>
      </c>
      <c r="L24" s="165">
        <f t="shared" ref="L24:BG24" si="12">+L7+L13-L15+L22</f>
        <v>0</v>
      </c>
      <c r="M24" s="165">
        <f t="shared" si="12"/>
        <v>0</v>
      </c>
      <c r="N24" s="165">
        <f t="shared" si="12"/>
        <v>0</v>
      </c>
      <c r="O24" s="165">
        <f t="shared" si="12"/>
        <v>0</v>
      </c>
      <c r="P24" s="165">
        <f t="shared" si="12"/>
        <v>0</v>
      </c>
      <c r="Q24" s="165">
        <f t="shared" si="12"/>
        <v>0</v>
      </c>
      <c r="R24" s="165">
        <f t="shared" si="12"/>
        <v>0</v>
      </c>
      <c r="S24" s="165">
        <f>+S7+S13-S15+S22</f>
        <v>0</v>
      </c>
      <c r="T24" s="165">
        <f t="shared" si="12"/>
        <v>0</v>
      </c>
      <c r="U24" s="165">
        <f t="shared" si="12"/>
        <v>0</v>
      </c>
      <c r="V24" s="165">
        <f t="shared" si="12"/>
        <v>0</v>
      </c>
      <c r="W24" s="165">
        <f t="shared" si="12"/>
        <v>0</v>
      </c>
      <c r="X24" s="165">
        <f t="shared" si="12"/>
        <v>0</v>
      </c>
      <c r="Y24" s="165">
        <f t="shared" si="12"/>
        <v>-350</v>
      </c>
      <c r="Z24" s="165">
        <f t="shared" si="12"/>
        <v>-418.59999999999997</v>
      </c>
      <c r="AA24" s="165">
        <f t="shared" si="12"/>
        <v>-418.59999999999997</v>
      </c>
      <c r="AB24" s="165">
        <f t="shared" si="12"/>
        <v>-418.59999999999997</v>
      </c>
      <c r="AC24" s="165">
        <f t="shared" si="12"/>
        <v>400081.19999999995</v>
      </c>
      <c r="AD24" s="165">
        <f t="shared" si="12"/>
        <v>-67151.37809052071</v>
      </c>
      <c r="AE24" s="165">
        <f t="shared" si="12"/>
        <v>-12498.801103372214</v>
      </c>
      <c r="AF24" s="165">
        <f t="shared" si="12"/>
        <v>-12496.868116223628</v>
      </c>
      <c r="AG24" s="165">
        <f t="shared" si="12"/>
        <v>389885.95887092495</v>
      </c>
      <c r="AH24" s="165">
        <f t="shared" si="12"/>
        <v>-12712.295941926426</v>
      </c>
      <c r="AI24" s="165">
        <f t="shared" si="12"/>
        <v>-12850.258954777746</v>
      </c>
      <c r="AJ24" s="165">
        <f t="shared" si="12"/>
        <v>-11128.10316762924</v>
      </c>
      <c r="AK24" s="165">
        <f t="shared" si="12"/>
        <v>-13162.483580480617</v>
      </c>
      <c r="AL24" s="165">
        <f t="shared" si="12"/>
        <v>378897.91220666788</v>
      </c>
      <c r="AM24" s="165">
        <f t="shared" si="12"/>
        <v>-24433.472625080096</v>
      </c>
      <c r="AN24" s="165">
        <f t="shared" si="12"/>
        <v>-24063.82695434269</v>
      </c>
      <c r="AO24" s="165">
        <f t="shared" si="12"/>
        <v>-29435.150183605358</v>
      </c>
      <c r="AP24" s="165">
        <f t="shared" si="12"/>
        <v>-36423.191412868167</v>
      </c>
      <c r="AQ24" s="165">
        <f t="shared" si="12"/>
        <v>-44239.780842130669</v>
      </c>
      <c r="AR24" s="165">
        <f t="shared" si="12"/>
        <v>-71120.027071393328</v>
      </c>
      <c r="AS24" s="165">
        <f t="shared" si="12"/>
        <v>-53034.221700655973</v>
      </c>
      <c r="AT24" s="165">
        <f t="shared" si="12"/>
        <v>-90428.022529918439</v>
      </c>
      <c r="AU24" s="165">
        <f t="shared" si="12"/>
        <v>-131868.60975918145</v>
      </c>
      <c r="AV24" s="165">
        <f t="shared" si="12"/>
        <v>-87075.344951610372</v>
      </c>
      <c r="AW24" s="165">
        <f t="shared" si="12"/>
        <v>-130782.84356633484</v>
      </c>
      <c r="AX24" s="165">
        <f t="shared" si="12"/>
        <v>-124718.26146076802</v>
      </c>
      <c r="AY24" s="165">
        <f t="shared" si="12"/>
        <v>-89375.202552826435</v>
      </c>
      <c r="AZ24" s="165">
        <f t="shared" si="12"/>
        <v>-102101.01000338591</v>
      </c>
      <c r="BA24" s="165">
        <f t="shared" si="12"/>
        <v>-111564.89779125722</v>
      </c>
      <c r="BB24" s="165">
        <f t="shared" si="12"/>
        <v>-71291.55081300353</v>
      </c>
      <c r="BC24" s="165">
        <f t="shared" si="12"/>
        <v>-95354.403167207944</v>
      </c>
      <c r="BD24" s="165">
        <f t="shared" si="12"/>
        <v>-72556.119446329685</v>
      </c>
      <c r="BE24" s="165">
        <f t="shared" si="12"/>
        <v>-21324.371688077896</v>
      </c>
      <c r="BF24" s="165">
        <f t="shared" si="12"/>
        <v>-49528.48649571836</v>
      </c>
      <c r="BG24" s="165">
        <f t="shared" si="12"/>
        <v>-24972.587638483092</v>
      </c>
      <c r="BH24" s="165">
        <f t="shared" ref="BH24:BS24" si="13">+BH7+BH13-BH15+BH22</f>
        <v>27148.677993335819</v>
      </c>
      <c r="BI24" s="165">
        <f t="shared" si="13"/>
        <v>6919.9969812825584</v>
      </c>
      <c r="BJ24" s="165">
        <f t="shared" si="13"/>
        <v>21516.65817721955</v>
      </c>
      <c r="BK24" s="165">
        <f t="shared" si="13"/>
        <v>85651.498744053053</v>
      </c>
      <c r="BL24" s="165">
        <f t="shared" si="13"/>
        <v>53805.090309615582</v>
      </c>
      <c r="BM24" s="165">
        <f t="shared" si="13"/>
        <v>26959.988752898877</v>
      </c>
      <c r="BN24" s="165">
        <f t="shared" si="13"/>
        <v>130717.25257221382</v>
      </c>
      <c r="BO24" s="165">
        <f t="shared" si="13"/>
        <v>90805.62079962081</v>
      </c>
      <c r="BP24" s="165">
        <f t="shared" si="13"/>
        <v>100371.34182279772</v>
      </c>
      <c r="BQ24" s="165">
        <f t="shared" si="13"/>
        <v>164100.05539551462</v>
      </c>
      <c r="BR24" s="165">
        <f t="shared" si="13"/>
        <v>117935.11604925292</v>
      </c>
      <c r="BS24" s="165">
        <f t="shared" si="13"/>
        <v>67047.679356448905</v>
      </c>
      <c r="BT24" s="165">
        <f t="shared" ref="BT24:BY24" si="14">+BT7+BT13-BT15+BT22</f>
        <v>180818.72376738081</v>
      </c>
      <c r="BU24" s="165">
        <f t="shared" si="14"/>
        <v>135204.57593017371</v>
      </c>
      <c r="BV24" s="165">
        <f t="shared" si="14"/>
        <v>143185.59176765036</v>
      </c>
      <c r="BW24" s="165">
        <f t="shared" si="14"/>
        <v>209351.45134824057</v>
      </c>
      <c r="BX24" s="165">
        <f t="shared" si="14"/>
        <v>159147.62344260726</v>
      </c>
      <c r="BY24" s="165">
        <f t="shared" si="14"/>
        <v>94469.48866888578</v>
      </c>
      <c r="BZ24" s="165">
        <f t="shared" ref="BZ24:CJ24" si="15">+BZ7+BZ13-BZ15+BZ22</f>
        <v>-1252610.4978289737</v>
      </c>
      <c r="CA24" s="165">
        <f t="shared" si="15"/>
        <v>158403.36168294126</v>
      </c>
      <c r="CB24" s="165">
        <f t="shared" si="15"/>
        <v>161583.42068434117</v>
      </c>
      <c r="CC24" s="165">
        <f t="shared" si="15"/>
        <v>164763.47968574124</v>
      </c>
      <c r="CD24" s="165">
        <f t="shared" si="15"/>
        <v>167943.5386871412</v>
      </c>
      <c r="CE24" s="165">
        <f t="shared" si="15"/>
        <v>171123.59768854122</v>
      </c>
      <c r="CF24" s="165">
        <f t="shared" si="15"/>
        <v>171109.89640141348</v>
      </c>
      <c r="CG24" s="165">
        <f t="shared" si="15"/>
        <v>174369.59464253346</v>
      </c>
      <c r="CH24" s="165">
        <f t="shared" si="15"/>
        <v>177748.75174323347</v>
      </c>
      <c r="CI24" s="165">
        <f t="shared" si="15"/>
        <v>179696.60676393338</v>
      </c>
      <c r="CJ24" s="165">
        <f t="shared" si="15"/>
        <v>181644.4617846334</v>
      </c>
      <c r="CK24" s="165">
        <f>+CK7+CK13-CK15+CK22</f>
        <v>184307.96784533345</v>
      </c>
    </row>
    <row r="25" spans="1:89">
      <c r="F25" s="102"/>
      <c r="G25" s="102"/>
      <c r="H25" s="102"/>
      <c r="I25" s="102"/>
      <c r="J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</row>
    <row r="26" spans="1:89">
      <c r="B26" t="s">
        <v>289</v>
      </c>
      <c r="F26" s="102"/>
      <c r="G26" s="102">
        <f>+F27</f>
        <v>0</v>
      </c>
      <c r="H26" s="102">
        <f>+G27</f>
        <v>703017.89902630076</v>
      </c>
      <c r="I26" s="102">
        <f>+H27</f>
        <v>-369713.51461603004</v>
      </c>
      <c r="J26" s="102">
        <f>+I27</f>
        <v>-482739.12290644448</v>
      </c>
      <c r="L26" s="102">
        <f t="shared" ref="L26:BG26" si="16">+K27</f>
        <v>0</v>
      </c>
      <c r="M26" s="102">
        <f t="shared" si="16"/>
        <v>0</v>
      </c>
      <c r="N26" s="102">
        <f t="shared" si="16"/>
        <v>0</v>
      </c>
      <c r="O26" s="102">
        <f t="shared" si="16"/>
        <v>0</v>
      </c>
      <c r="P26" s="102">
        <f t="shared" si="16"/>
        <v>0</v>
      </c>
      <c r="Q26" s="102">
        <f t="shared" si="16"/>
        <v>0</v>
      </c>
      <c r="R26" s="102">
        <f t="shared" si="16"/>
        <v>0</v>
      </c>
      <c r="S26" s="102">
        <f t="shared" si="16"/>
        <v>0</v>
      </c>
      <c r="T26" s="102">
        <f t="shared" si="16"/>
        <v>0</v>
      </c>
      <c r="U26" s="102">
        <f t="shared" si="16"/>
        <v>0</v>
      </c>
      <c r="V26" s="102">
        <f t="shared" si="16"/>
        <v>0</v>
      </c>
      <c r="W26" s="102">
        <f t="shared" si="16"/>
        <v>0</v>
      </c>
      <c r="X26" s="102">
        <f t="shared" si="16"/>
        <v>0</v>
      </c>
      <c r="Y26" s="102">
        <f t="shared" si="16"/>
        <v>0</v>
      </c>
      <c r="Z26" s="102">
        <f t="shared" si="16"/>
        <v>-350</v>
      </c>
      <c r="AA26" s="102">
        <f t="shared" si="16"/>
        <v>-768.59999999999991</v>
      </c>
      <c r="AB26" s="102">
        <f t="shared" si="16"/>
        <v>-1187.1999999999998</v>
      </c>
      <c r="AC26" s="102">
        <f t="shared" si="16"/>
        <v>-1605.7999999999997</v>
      </c>
      <c r="AD26" s="102">
        <f t="shared" si="16"/>
        <v>398475.39999999997</v>
      </c>
      <c r="AE26" s="102">
        <f t="shared" si="16"/>
        <v>331324.02190947928</v>
      </c>
      <c r="AF26" s="102">
        <f t="shared" si="16"/>
        <v>318825.22080610704</v>
      </c>
      <c r="AG26" s="102">
        <f t="shared" si="16"/>
        <v>306328.35268988344</v>
      </c>
      <c r="AH26" s="102">
        <f t="shared" si="16"/>
        <v>696214.31156080845</v>
      </c>
      <c r="AI26" s="102">
        <f t="shared" si="16"/>
        <v>683502.01561888203</v>
      </c>
      <c r="AJ26" s="102">
        <f t="shared" si="16"/>
        <v>670651.75666410429</v>
      </c>
      <c r="AK26" s="102">
        <f t="shared" si="16"/>
        <v>659523.65349647508</v>
      </c>
      <c r="AL26" s="102">
        <f t="shared" si="16"/>
        <v>646361.16991599451</v>
      </c>
      <c r="AM26" s="102">
        <f t="shared" si="16"/>
        <v>1025259.0821226623</v>
      </c>
      <c r="AN26" s="102">
        <f t="shared" si="16"/>
        <v>1000825.6094975822</v>
      </c>
      <c r="AO26" s="102">
        <f t="shared" si="16"/>
        <v>976761.78254323953</v>
      </c>
      <c r="AP26" s="102">
        <f t="shared" si="16"/>
        <v>947326.63235963415</v>
      </c>
      <c r="AQ26" s="102">
        <f t="shared" si="16"/>
        <v>910903.44094676594</v>
      </c>
      <c r="AR26" s="102">
        <f t="shared" si="16"/>
        <v>866663.66010463529</v>
      </c>
      <c r="AS26" s="102">
        <f t="shared" si="16"/>
        <v>795543.63303324196</v>
      </c>
      <c r="AT26" s="102">
        <f t="shared" si="16"/>
        <v>742509.41133258597</v>
      </c>
      <c r="AU26" s="102">
        <f t="shared" si="16"/>
        <v>652081.3888026675</v>
      </c>
      <c r="AV26" s="102">
        <f t="shared" si="16"/>
        <v>520212.77904348605</v>
      </c>
      <c r="AW26" s="102">
        <f t="shared" si="16"/>
        <v>433137.43409187568</v>
      </c>
      <c r="AX26" s="102">
        <f t="shared" si="16"/>
        <v>302354.59052554087</v>
      </c>
      <c r="AY26" s="102">
        <f t="shared" si="16"/>
        <v>177636.32906477287</v>
      </c>
      <c r="AZ26" s="102">
        <f t="shared" si="16"/>
        <v>88261.126511946437</v>
      </c>
      <c r="BA26" s="102">
        <f t="shared" si="16"/>
        <v>-13839.883491439468</v>
      </c>
      <c r="BB26" s="102">
        <f t="shared" si="16"/>
        <v>-125404.78128269668</v>
      </c>
      <c r="BC26" s="102">
        <f t="shared" si="16"/>
        <v>-196696.3320957002</v>
      </c>
      <c r="BD26" s="102">
        <f t="shared" si="16"/>
        <v>-292050.73526290816</v>
      </c>
      <c r="BE26" s="102">
        <f t="shared" si="16"/>
        <v>-364606.85470923781</v>
      </c>
      <c r="BF26" s="102">
        <f t="shared" si="16"/>
        <v>-385931.22639731574</v>
      </c>
      <c r="BG26" s="102">
        <f t="shared" si="16"/>
        <v>-435459.7128930341</v>
      </c>
      <c r="BH26" s="102">
        <f t="shared" ref="BH26:BS26" si="17">+BG27</f>
        <v>-460432.30053151719</v>
      </c>
      <c r="BI26" s="102">
        <f t="shared" si="17"/>
        <v>-433283.62253818137</v>
      </c>
      <c r="BJ26" s="102">
        <f t="shared" si="17"/>
        <v>-426363.62555689883</v>
      </c>
      <c r="BK26" s="102">
        <f t="shared" si="17"/>
        <v>-404846.96737967926</v>
      </c>
      <c r="BL26" s="102">
        <f t="shared" si="17"/>
        <v>-319195.4686356262</v>
      </c>
      <c r="BM26" s="102">
        <f t="shared" si="17"/>
        <v>-265390.3783260106</v>
      </c>
      <c r="BN26" s="102">
        <f t="shared" si="17"/>
        <v>-238430.38957311172</v>
      </c>
      <c r="BO26" s="102">
        <f t="shared" si="17"/>
        <v>-107713.1370008979</v>
      </c>
      <c r="BP26" s="102">
        <f t="shared" si="17"/>
        <v>-16907.516201277089</v>
      </c>
      <c r="BQ26" s="102">
        <f t="shared" si="17"/>
        <v>83463.825621520635</v>
      </c>
      <c r="BR26" s="102">
        <f t="shared" si="17"/>
        <v>247563.88101703525</v>
      </c>
      <c r="BS26" s="102">
        <f t="shared" si="17"/>
        <v>365498.99706628814</v>
      </c>
      <c r="BT26" s="102">
        <f t="shared" ref="BT26:BY26" si="18">+BS27</f>
        <v>432546.67642273707</v>
      </c>
      <c r="BU26" s="102">
        <f t="shared" si="18"/>
        <v>613365.40019011789</v>
      </c>
      <c r="BV26" s="102">
        <f t="shared" si="18"/>
        <v>748569.97612029163</v>
      </c>
      <c r="BW26" s="102">
        <f t="shared" si="18"/>
        <v>891755.56788794196</v>
      </c>
      <c r="BX26" s="102">
        <f t="shared" si="18"/>
        <v>1101107.0192361826</v>
      </c>
      <c r="BY26" s="102">
        <f t="shared" si="18"/>
        <v>1260254.6426787898</v>
      </c>
      <c r="BZ26" s="102">
        <f t="shared" ref="BZ26:CK26" si="19">+BY27</f>
        <v>1354724.1313476756</v>
      </c>
      <c r="CA26" s="102">
        <f t="shared" si="19"/>
        <v>102113.63351870188</v>
      </c>
      <c r="CB26" s="102">
        <f t="shared" si="19"/>
        <v>260516.99520164315</v>
      </c>
      <c r="CC26" s="102">
        <f t="shared" si="19"/>
        <v>422100.41588598432</v>
      </c>
      <c r="CD26" s="102">
        <f t="shared" si="19"/>
        <v>586863.89557172556</v>
      </c>
      <c r="CE26" s="102">
        <f t="shared" si="19"/>
        <v>754807.43425886682</v>
      </c>
      <c r="CF26" s="102">
        <f t="shared" si="19"/>
        <v>925931.0319474081</v>
      </c>
      <c r="CG26" s="102">
        <f t="shared" si="19"/>
        <v>1097040.9283488216</v>
      </c>
      <c r="CH26" s="102">
        <f t="shared" si="19"/>
        <v>1271410.522991355</v>
      </c>
      <c r="CI26" s="102">
        <f t="shared" si="19"/>
        <v>1449159.2747345886</v>
      </c>
      <c r="CJ26" s="102">
        <f t="shared" si="19"/>
        <v>1628855.8814985219</v>
      </c>
      <c r="CK26" s="102">
        <f t="shared" si="19"/>
        <v>1810500.3432831552</v>
      </c>
    </row>
    <row r="27" spans="1:89">
      <c r="A27" s="111" t="s">
        <v>290</v>
      </c>
      <c r="B27" s="120"/>
      <c r="C27" s="120"/>
      <c r="D27" s="120"/>
      <c r="E27" s="120"/>
      <c r="F27" s="165"/>
      <c r="G27" s="165">
        <f>SUM(G24:G26)</f>
        <v>703017.89902630076</v>
      </c>
      <c r="H27" s="165">
        <f>SUM(H24:H26)</f>
        <v>-369713.51461603004</v>
      </c>
      <c r="I27" s="165">
        <f>SUM(I24:I26)</f>
        <v>-482739.12290644448</v>
      </c>
      <c r="J27" s="165">
        <f>SUM(J24:J26)</f>
        <v>1110415.3980143429</v>
      </c>
      <c r="L27" s="165">
        <f t="shared" ref="L27:BG27" si="20">SUM(L24:L26)</f>
        <v>0</v>
      </c>
      <c r="M27" s="165">
        <f t="shared" si="20"/>
        <v>0</v>
      </c>
      <c r="N27" s="165">
        <f t="shared" si="20"/>
        <v>0</v>
      </c>
      <c r="O27" s="165">
        <f t="shared" si="20"/>
        <v>0</v>
      </c>
      <c r="P27" s="165">
        <f t="shared" si="20"/>
        <v>0</v>
      </c>
      <c r="Q27" s="165">
        <f t="shared" si="20"/>
        <v>0</v>
      </c>
      <c r="R27" s="165">
        <f t="shared" si="20"/>
        <v>0</v>
      </c>
      <c r="S27" s="165">
        <f t="shared" si="20"/>
        <v>0</v>
      </c>
      <c r="T27" s="165">
        <f t="shared" si="20"/>
        <v>0</v>
      </c>
      <c r="U27" s="165">
        <f t="shared" si="20"/>
        <v>0</v>
      </c>
      <c r="V27" s="165">
        <f t="shared" si="20"/>
        <v>0</v>
      </c>
      <c r="W27" s="165">
        <f t="shared" si="20"/>
        <v>0</v>
      </c>
      <c r="X27" s="165">
        <f t="shared" si="20"/>
        <v>0</v>
      </c>
      <c r="Y27" s="165">
        <f t="shared" si="20"/>
        <v>-350</v>
      </c>
      <c r="Z27" s="165">
        <f t="shared" si="20"/>
        <v>-768.59999999999991</v>
      </c>
      <c r="AA27" s="165">
        <f t="shared" si="20"/>
        <v>-1187.1999999999998</v>
      </c>
      <c r="AB27" s="165">
        <f t="shared" si="20"/>
        <v>-1605.7999999999997</v>
      </c>
      <c r="AC27" s="165">
        <f t="shared" si="20"/>
        <v>398475.39999999997</v>
      </c>
      <c r="AD27" s="165">
        <f t="shared" si="20"/>
        <v>331324.02190947928</v>
      </c>
      <c r="AE27" s="165">
        <f t="shared" si="20"/>
        <v>318825.22080610704</v>
      </c>
      <c r="AF27" s="165">
        <f t="shared" si="20"/>
        <v>306328.35268988344</v>
      </c>
      <c r="AG27" s="165">
        <f t="shared" si="20"/>
        <v>696214.31156080845</v>
      </c>
      <c r="AH27" s="165">
        <f t="shared" si="20"/>
        <v>683502.01561888203</v>
      </c>
      <c r="AI27" s="165">
        <f t="shared" si="20"/>
        <v>670651.75666410429</v>
      </c>
      <c r="AJ27" s="165">
        <f t="shared" si="20"/>
        <v>659523.65349647508</v>
      </c>
      <c r="AK27" s="165">
        <f t="shared" si="20"/>
        <v>646361.16991599451</v>
      </c>
      <c r="AL27" s="165">
        <f t="shared" si="20"/>
        <v>1025259.0821226623</v>
      </c>
      <c r="AM27" s="165">
        <f t="shared" si="20"/>
        <v>1000825.6094975822</v>
      </c>
      <c r="AN27" s="165">
        <f t="shared" si="20"/>
        <v>976761.78254323953</v>
      </c>
      <c r="AO27" s="165">
        <f t="shared" si="20"/>
        <v>947326.63235963415</v>
      </c>
      <c r="AP27" s="165">
        <f t="shared" si="20"/>
        <v>910903.44094676594</v>
      </c>
      <c r="AQ27" s="165">
        <f t="shared" si="20"/>
        <v>866663.66010463529</v>
      </c>
      <c r="AR27" s="165">
        <f t="shared" si="20"/>
        <v>795543.63303324196</v>
      </c>
      <c r="AS27" s="165">
        <f t="shared" si="20"/>
        <v>742509.41133258597</v>
      </c>
      <c r="AT27" s="165">
        <f t="shared" si="20"/>
        <v>652081.3888026675</v>
      </c>
      <c r="AU27" s="165">
        <f t="shared" si="20"/>
        <v>520212.77904348605</v>
      </c>
      <c r="AV27" s="165">
        <f t="shared" si="20"/>
        <v>433137.43409187568</v>
      </c>
      <c r="AW27" s="165">
        <f t="shared" si="20"/>
        <v>302354.59052554087</v>
      </c>
      <c r="AX27" s="165">
        <f t="shared" si="20"/>
        <v>177636.32906477287</v>
      </c>
      <c r="AY27" s="165">
        <f t="shared" si="20"/>
        <v>88261.126511946437</v>
      </c>
      <c r="AZ27" s="165">
        <f t="shared" si="20"/>
        <v>-13839.883491439468</v>
      </c>
      <c r="BA27" s="165">
        <f t="shared" si="20"/>
        <v>-125404.78128269668</v>
      </c>
      <c r="BB27" s="165">
        <f t="shared" si="20"/>
        <v>-196696.3320957002</v>
      </c>
      <c r="BC27" s="165">
        <f t="shared" si="20"/>
        <v>-292050.73526290816</v>
      </c>
      <c r="BD27" s="165">
        <f t="shared" si="20"/>
        <v>-364606.85470923781</v>
      </c>
      <c r="BE27" s="165">
        <f t="shared" si="20"/>
        <v>-385931.22639731574</v>
      </c>
      <c r="BF27" s="165">
        <f t="shared" si="20"/>
        <v>-435459.7128930341</v>
      </c>
      <c r="BG27" s="165">
        <f t="shared" si="20"/>
        <v>-460432.30053151719</v>
      </c>
      <c r="BH27" s="165">
        <f t="shared" ref="BH27:BS27" si="21">SUM(BH24:BH26)</f>
        <v>-433283.62253818137</v>
      </c>
      <c r="BI27" s="165">
        <f t="shared" si="21"/>
        <v>-426363.62555689883</v>
      </c>
      <c r="BJ27" s="165">
        <f t="shared" si="21"/>
        <v>-404846.96737967926</v>
      </c>
      <c r="BK27" s="165">
        <f t="shared" si="21"/>
        <v>-319195.4686356262</v>
      </c>
      <c r="BL27" s="165">
        <f t="shared" si="21"/>
        <v>-265390.3783260106</v>
      </c>
      <c r="BM27" s="165">
        <f t="shared" si="21"/>
        <v>-238430.38957311172</v>
      </c>
      <c r="BN27" s="165">
        <f t="shared" si="21"/>
        <v>-107713.1370008979</v>
      </c>
      <c r="BO27" s="165">
        <f t="shared" si="21"/>
        <v>-16907.516201277089</v>
      </c>
      <c r="BP27" s="165">
        <f t="shared" si="21"/>
        <v>83463.825621520635</v>
      </c>
      <c r="BQ27" s="165">
        <f t="shared" si="21"/>
        <v>247563.88101703525</v>
      </c>
      <c r="BR27" s="165">
        <f t="shared" si="21"/>
        <v>365498.99706628814</v>
      </c>
      <c r="BS27" s="165">
        <f t="shared" si="21"/>
        <v>432546.67642273707</v>
      </c>
      <c r="BT27" s="165">
        <f t="shared" ref="BT27:BY27" si="22">SUM(BT24:BT26)</f>
        <v>613365.40019011789</v>
      </c>
      <c r="BU27" s="165">
        <f t="shared" si="22"/>
        <v>748569.97612029163</v>
      </c>
      <c r="BV27" s="165">
        <f t="shared" si="22"/>
        <v>891755.56788794196</v>
      </c>
      <c r="BW27" s="165">
        <f t="shared" si="22"/>
        <v>1101107.0192361826</v>
      </c>
      <c r="BX27" s="165">
        <f t="shared" si="22"/>
        <v>1260254.6426787898</v>
      </c>
      <c r="BY27" s="165">
        <f t="shared" si="22"/>
        <v>1354724.1313476756</v>
      </c>
      <c r="BZ27" s="165">
        <f t="shared" ref="BZ27:CJ27" si="23">SUM(BZ24:BZ26)</f>
        <v>102113.63351870188</v>
      </c>
      <c r="CA27" s="165">
        <f t="shared" si="23"/>
        <v>260516.99520164315</v>
      </c>
      <c r="CB27" s="165">
        <f t="shared" si="23"/>
        <v>422100.41588598432</v>
      </c>
      <c r="CC27" s="165">
        <f t="shared" si="23"/>
        <v>586863.89557172556</v>
      </c>
      <c r="CD27" s="165">
        <f t="shared" si="23"/>
        <v>754807.43425886682</v>
      </c>
      <c r="CE27" s="165">
        <f t="shared" si="23"/>
        <v>925931.0319474081</v>
      </c>
      <c r="CF27" s="165">
        <f t="shared" si="23"/>
        <v>1097040.9283488216</v>
      </c>
      <c r="CG27" s="165">
        <f t="shared" si="23"/>
        <v>1271410.522991355</v>
      </c>
      <c r="CH27" s="165">
        <f t="shared" si="23"/>
        <v>1449159.2747345886</v>
      </c>
      <c r="CI27" s="165">
        <f t="shared" si="23"/>
        <v>1628855.8814985219</v>
      </c>
      <c r="CJ27" s="165">
        <f t="shared" si="23"/>
        <v>1810500.3432831552</v>
      </c>
      <c r="CK27" s="165">
        <f>SUM(CK24:CK26)</f>
        <v>1994808.3111284887</v>
      </c>
    </row>
    <row r="28" spans="1:89">
      <c r="A28" s="15" t="s">
        <v>291</v>
      </c>
      <c r="F28" s="102"/>
      <c r="G28" s="102">
        <f>+G27-Bilan!H21+Bilan!H36</f>
        <v>-244308.7333333334</v>
      </c>
      <c r="H28" s="102">
        <f>+H27-Bilan!I21+Bilan!I36</f>
        <v>-244308.73333333357</v>
      </c>
      <c r="I28" s="102">
        <f>+I27-Bilan!J21+Bilan!J36</f>
        <v>-244308.73333333369</v>
      </c>
      <c r="J28" s="102">
        <f>+J27-Bilan!K21+Bilan!K36</f>
        <v>-244308.7333333334</v>
      </c>
      <c r="L28" s="102">
        <f>+L27-Bilan!M21+Bilan!M36</f>
        <v>0</v>
      </c>
      <c r="M28" s="102">
        <f>+M27-Bilan!N21+Bilan!N36</f>
        <v>0</v>
      </c>
      <c r="N28" s="102">
        <f>+N27-Bilan!O21+Bilan!O36</f>
        <v>0</v>
      </c>
      <c r="O28" s="102">
        <f>+O27-Bilan!P21+Bilan!P36</f>
        <v>0</v>
      </c>
      <c r="P28" s="102">
        <f>+P27-Bilan!Q21+Bilan!Q36</f>
        <v>0</v>
      </c>
      <c r="Q28" s="102">
        <f>+Q27-Bilan!R21+Bilan!R36</f>
        <v>0</v>
      </c>
      <c r="R28" s="102">
        <f>+R27-Bilan!S21+Bilan!S36</f>
        <v>0</v>
      </c>
      <c r="S28" s="102">
        <f>+S27-Bilan!T21+Bilan!T36</f>
        <v>0</v>
      </c>
      <c r="T28" s="102">
        <f>+T27-Bilan!U21+Bilan!U36</f>
        <v>0</v>
      </c>
      <c r="U28" s="102">
        <f>+U27-Bilan!V21+Bilan!V36</f>
        <v>0</v>
      </c>
      <c r="V28" s="102">
        <f>+V27-Bilan!W21+Bilan!W36</f>
        <v>0</v>
      </c>
      <c r="W28" s="102">
        <f>+W27-Bilan!X21+Bilan!X36</f>
        <v>0</v>
      </c>
      <c r="X28" s="102">
        <f>+X27-Bilan!Y21+Bilan!Y36</f>
        <v>0</v>
      </c>
      <c r="Y28" s="102">
        <f>+Y27-Bilan!Z21+Bilan!Z36</f>
        <v>0</v>
      </c>
      <c r="Z28" s="102">
        <f>+Z27-Bilan!AA21+Bilan!AA36</f>
        <v>0</v>
      </c>
      <c r="AA28" s="102">
        <f>+AA27-Bilan!AB21+Bilan!AB36</f>
        <v>0</v>
      </c>
      <c r="AB28" s="102">
        <f>+AB27-Bilan!AC21+Bilan!AC36</f>
        <v>0</v>
      </c>
      <c r="AC28" s="102">
        <f>+AC27-Bilan!AD21+Bilan!AD36</f>
        <v>0</v>
      </c>
      <c r="AD28" s="102">
        <f>+AD27-Bilan!AE21+Bilan!AE36</f>
        <v>0</v>
      </c>
      <c r="AE28" s="102">
        <f>+AE27-Bilan!AF21+Bilan!AF36</f>
        <v>0</v>
      </c>
      <c r="AF28" s="102">
        <f>+AF27-Bilan!AG21+Bilan!AG36</f>
        <v>5.8207660913467407E-11</v>
      </c>
      <c r="AG28" s="102">
        <f>+AG27-Bilan!AH21+Bilan!AH36</f>
        <v>-1.1641532182693481E-10</v>
      </c>
      <c r="AH28" s="102">
        <f>+AH27-Bilan!AI21+Bilan!AI36</f>
        <v>0</v>
      </c>
      <c r="AI28" s="102">
        <f>+AI27-Bilan!AJ21+Bilan!AJ36</f>
        <v>0</v>
      </c>
      <c r="AJ28" s="102">
        <f>+AJ27-Bilan!AK21+Bilan!AK36</f>
        <v>0</v>
      </c>
      <c r="AK28" s="102">
        <f>+AK27-Bilan!AL21+Bilan!AL36</f>
        <v>2.3283064365386963E-10</v>
      </c>
      <c r="AL28" s="102">
        <f>+AL27-Bilan!AM21+Bilan!AM36</f>
        <v>-1.1641532182693481E-10</v>
      </c>
      <c r="AM28" s="102">
        <f>+AM27-Bilan!AN21+Bilan!AN36</f>
        <v>-1.1641532182693481E-10</v>
      </c>
      <c r="AN28" s="102">
        <f>+AN27-Bilan!AO21+Bilan!AO36</f>
        <v>0</v>
      </c>
      <c r="AO28" s="102">
        <f>+AO27-Bilan!AP21+Bilan!AP36</f>
        <v>0</v>
      </c>
      <c r="AP28" s="102">
        <f>+AP27-Bilan!AQ21+Bilan!AQ36</f>
        <v>-1.1641532182693481E-10</v>
      </c>
      <c r="AQ28" s="102">
        <f>+AQ27-Bilan!AR21+Bilan!AR36</f>
        <v>0</v>
      </c>
      <c r="AR28" s="102">
        <f>+AR27-Bilan!AS21+Bilan!AS36</f>
        <v>0</v>
      </c>
      <c r="AS28" s="102">
        <f>+AS27-Bilan!AT21+Bilan!AT36</f>
        <v>0</v>
      </c>
      <c r="AT28" s="102">
        <f>+AT27-Bilan!AU21+Bilan!AU36</f>
        <v>-1.1641532182693481E-10</v>
      </c>
      <c r="AU28" s="102">
        <f>+AU27-Bilan!AV21+Bilan!AV36</f>
        <v>-1.7462298274040222E-10</v>
      </c>
      <c r="AV28" s="102">
        <f>+AV27-Bilan!AW21+Bilan!AW36</f>
        <v>-1.1641532182693481E-10</v>
      </c>
      <c r="AW28" s="102">
        <f>+AW27-Bilan!AX21+Bilan!AX36</f>
        <v>-1.1641532182693481E-10</v>
      </c>
      <c r="AX28" s="102">
        <f>+AX27-Bilan!AY21+Bilan!AY36</f>
        <v>-1.1641532182693481E-10</v>
      </c>
      <c r="AY28" s="102">
        <f>+AY27-Bilan!AZ21+Bilan!AZ36</f>
        <v>-2.3283064365386963E-10</v>
      </c>
      <c r="AZ28" s="102">
        <f>+AZ27-Bilan!BA21+Bilan!BA36</f>
        <v>-2.1827872842550278E-10</v>
      </c>
      <c r="BA28" s="102">
        <f>+BA27-Bilan!BB21+Bilan!BB36</f>
        <v>-2.1827872842550278E-10</v>
      </c>
      <c r="BB28" s="102">
        <f>+BB27-Bilan!BC21+Bilan!BC36</f>
        <v>-2.6193447411060333E-10</v>
      </c>
      <c r="BC28" s="102">
        <f>+BC27-Bilan!BD21+Bilan!BD36</f>
        <v>-4.6566128730773926E-10</v>
      </c>
      <c r="BD28" s="102">
        <f>+BD27-Bilan!BE21+Bilan!BE36</f>
        <v>0</v>
      </c>
      <c r="BE28" s="102">
        <f>+BE27-Bilan!BF21+Bilan!BF36</f>
        <v>-4.6566128730773926E-10</v>
      </c>
      <c r="BF28" s="102">
        <f>+BF27-Bilan!BG21+Bilan!BG36</f>
        <v>-5.8207660913467407E-10</v>
      </c>
      <c r="BG28" s="102">
        <f>+BG27-Bilan!BH21+Bilan!BH36</f>
        <v>-6.4028427004814148E-10</v>
      </c>
      <c r="BH28" s="102">
        <f>+BH27-Bilan!BI21+Bilan!BI36</f>
        <v>-6.9849193096160889E-10</v>
      </c>
      <c r="BI28" s="102">
        <f>+BI27-Bilan!BJ21+Bilan!BJ36</f>
        <v>-8.149072527885437E-10</v>
      </c>
      <c r="BJ28" s="102">
        <f>+BJ27-Bilan!BK21+Bilan!BK36</f>
        <v>-8.149072527885437E-10</v>
      </c>
      <c r="BK28" s="102">
        <f>+BK27-Bilan!BL21+Bilan!BL36</f>
        <v>-9.3132257461547852E-10</v>
      </c>
      <c r="BL28" s="102">
        <f>+BL27-Bilan!BM21+Bilan!BM36</f>
        <v>-9.3132257461547852E-10</v>
      </c>
      <c r="BM28" s="102">
        <f>+BM27-Bilan!BN21+Bilan!BN36</f>
        <v>-9.3132257461547852E-10</v>
      </c>
      <c r="BN28" s="102">
        <f>+BN27-Bilan!BO21+Bilan!BO36</f>
        <v>-8.149072527885437E-10</v>
      </c>
      <c r="BO28" s="102">
        <f>+BO27-Bilan!BP21+Bilan!BP36</f>
        <v>-7.5669959187507629E-10</v>
      </c>
      <c r="BP28" s="102">
        <f>+BP27-Bilan!BQ21+Bilan!BQ36</f>
        <v>-8.149072527885437E-10</v>
      </c>
      <c r="BQ28" s="102">
        <f>+BQ27-Bilan!BR21+Bilan!BR36</f>
        <v>-8.7311491370201111E-10</v>
      </c>
      <c r="BR28" s="102">
        <f>+BR27-Bilan!BS21+Bilan!BS36</f>
        <v>-8.149072527885437E-10</v>
      </c>
      <c r="BS28" s="102">
        <f>+BS27-Bilan!BT21+Bilan!BT36</f>
        <v>-8.149072527885437E-10</v>
      </c>
      <c r="BT28" s="102">
        <f>+BT27-Bilan!BU21+Bilan!BU36</f>
        <v>-8.149072527885437E-10</v>
      </c>
      <c r="BU28" s="102">
        <f>+BU27-Bilan!BV21+Bilan!BV36</f>
        <v>-8.149072527885437E-10</v>
      </c>
      <c r="BV28" s="102">
        <f>+BV27-Bilan!BW21+Bilan!BW36</f>
        <v>-9.3132257461547852E-10</v>
      </c>
      <c r="BW28" s="102">
        <f>+BW27-Bilan!BX21+Bilan!BX36</f>
        <v>-9.3132257461547852E-10</v>
      </c>
      <c r="BX28" s="102">
        <f>+BX27-Bilan!BY21+Bilan!BY36</f>
        <v>-9.3132257461547852E-10</v>
      </c>
      <c r="BY28" s="102">
        <f>+BY27-Bilan!BZ21+Bilan!BZ36</f>
        <v>-6.9849193096160889E-10</v>
      </c>
      <c r="BZ28" s="102">
        <f>+BZ27-Bilan!CM21+Bilan!CM36</f>
        <v>102113.63351870188</v>
      </c>
      <c r="CA28" s="102">
        <f>+CA27-Bilan!CN21+Bilan!CN36</f>
        <v>260516.99520164315</v>
      </c>
      <c r="CB28" s="102">
        <f>+CB27-Bilan!CO21+Bilan!CO36</f>
        <v>422100.41588598432</v>
      </c>
      <c r="CC28" s="102">
        <f>+CC27-Bilan!CP21+Bilan!CP36</f>
        <v>586863.89557172556</v>
      </c>
      <c r="CD28" s="102">
        <f>+CD27-Bilan!CQ21+Bilan!CQ36</f>
        <v>754807.43425886682</v>
      </c>
      <c r="CE28" s="102">
        <f>+CE27-Bilan!CR21+Bilan!CR36</f>
        <v>925931.0319474081</v>
      </c>
      <c r="CF28" s="102">
        <f>+CF27-Bilan!CS21+Bilan!CS36</f>
        <v>1097040.9283488216</v>
      </c>
      <c r="CG28" s="102">
        <f>+CG27-Bilan!CT21+Bilan!CT36</f>
        <v>1271410.522991355</v>
      </c>
      <c r="CH28" s="102">
        <f>+CH27-Bilan!CU21+Bilan!CU36</f>
        <v>1449159.2747345886</v>
      </c>
      <c r="CI28" s="102">
        <f>+CI27-Bilan!CV21+Bilan!CV36</f>
        <v>1628855.8814985219</v>
      </c>
      <c r="CJ28" s="102">
        <f>+CJ27-Bilan!CW21+Bilan!CW36</f>
        <v>1810500.3432831552</v>
      </c>
      <c r="CK28" s="102">
        <f>+CK27-Bilan!CX21+Bilan!CX36</f>
        <v>1994808.3111284887</v>
      </c>
    </row>
    <row r="29" spans="1:89">
      <c r="F29" s="102"/>
      <c r="G29" s="102"/>
      <c r="H29" s="102"/>
      <c r="I29" s="102"/>
      <c r="J29" s="102"/>
      <c r="L29" s="102"/>
      <c r="M29" s="102"/>
      <c r="N29" s="102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>
      <c r="F30" s="15"/>
      <c r="G30" s="15"/>
      <c r="H30" s="15"/>
      <c r="I30" s="15"/>
      <c r="J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>
      <c r="F31" s="15"/>
      <c r="G31" s="15"/>
      <c r="H31" s="15"/>
      <c r="I31" s="15"/>
      <c r="J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</row>
  </sheetData>
  <phoneticPr fontId="0" type="noConversion"/>
  <pageMargins left="0.78740157499999996" right="0.78740157499999996" top="0.984251969" bottom="0.984251969" header="0.4921259845" footer="0.4921259845"/>
  <pageSetup paperSize="9" scale="54" fitToWidth="3" orientation="landscape" horizontalDpi="4294967293" verticalDpi="300" r:id="rId1"/>
  <headerFooter alignWithMargins="0"/>
  <colBreaks count="2" manualBreakCount="2">
    <brk id="11" max="1048575" man="1"/>
    <brk id="3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2:CI119"/>
  <sheetViews>
    <sheetView workbookViewId="0">
      <pane xSplit="5" ySplit="2" topLeftCell="BM3" activePane="bottomRight" state="frozen"/>
      <selection activeCell="E11" sqref="E11"/>
      <selection pane="topRight" activeCell="E11" sqref="E11"/>
      <selection pane="bottomLeft" activeCell="E11" sqref="E11"/>
      <selection pane="bottomRight" activeCell="BM71" sqref="BM71"/>
    </sheetView>
  </sheetViews>
  <sheetFormatPr baseColWidth="10" defaultRowHeight="12.75"/>
  <cols>
    <col min="1" max="1" width="2" customWidth="1"/>
    <col min="2" max="2" width="18.85546875" customWidth="1"/>
    <col min="3" max="3" width="9.28515625" bestFit="1" customWidth="1"/>
    <col min="4" max="4" width="8.42578125" customWidth="1"/>
    <col min="5" max="5" width="6.5703125" bestFit="1" customWidth="1"/>
    <col min="6" max="8" width="6.42578125" hidden="1" customWidth="1"/>
    <col min="9" max="11" width="7.140625" hidden="1" customWidth="1"/>
    <col min="12" max="12" width="7.140625" bestFit="1" customWidth="1"/>
    <col min="13" max="52" width="6.42578125" customWidth="1"/>
    <col min="53" max="55" width="6.5703125" bestFit="1" customWidth="1"/>
    <col min="56" max="56" width="6.7109375" bestFit="1" customWidth="1"/>
    <col min="57" max="65" width="6.5703125" bestFit="1" customWidth="1"/>
    <col min="66" max="83" width="6.5703125" customWidth="1"/>
  </cols>
  <sheetData>
    <row r="2" spans="1:83">
      <c r="F2" s="112">
        <v>38899</v>
      </c>
      <c r="G2" s="112">
        <v>38930</v>
      </c>
      <c r="H2" s="112">
        <v>38961</v>
      </c>
      <c r="I2" s="112">
        <v>38991</v>
      </c>
      <c r="J2" s="112">
        <v>39022</v>
      </c>
      <c r="K2" s="112">
        <v>39052</v>
      </c>
      <c r="L2" s="112">
        <v>39814</v>
      </c>
      <c r="M2" s="112">
        <v>39845</v>
      </c>
      <c r="N2" s="112">
        <v>39873</v>
      </c>
      <c r="O2" s="112">
        <v>39904</v>
      </c>
      <c r="P2" s="112">
        <v>39934</v>
      </c>
      <c r="Q2" s="112">
        <v>39965</v>
      </c>
      <c r="R2" s="112">
        <v>39995</v>
      </c>
      <c r="S2" s="112">
        <v>40026</v>
      </c>
      <c r="T2" s="112">
        <v>40057</v>
      </c>
      <c r="U2" s="112">
        <v>40087</v>
      </c>
      <c r="V2" s="112">
        <v>40118</v>
      </c>
      <c r="W2" s="112">
        <v>40148</v>
      </c>
      <c r="X2" s="112">
        <v>40179</v>
      </c>
      <c r="Y2" s="112">
        <v>40210</v>
      </c>
      <c r="Z2" s="112">
        <v>40238</v>
      </c>
      <c r="AA2" s="112">
        <v>40269</v>
      </c>
      <c r="AB2" s="112">
        <v>40299</v>
      </c>
      <c r="AC2" s="112">
        <v>40330</v>
      </c>
      <c r="AD2" s="112">
        <v>40360</v>
      </c>
      <c r="AE2" s="112">
        <v>40391</v>
      </c>
      <c r="AF2" s="112">
        <v>40422</v>
      </c>
      <c r="AG2" s="112">
        <v>40452</v>
      </c>
      <c r="AH2" s="112">
        <v>40483</v>
      </c>
      <c r="AI2" s="112">
        <v>40513</v>
      </c>
      <c r="AJ2" s="112">
        <v>40544</v>
      </c>
      <c r="AK2" s="112">
        <v>40575</v>
      </c>
      <c r="AL2" s="112">
        <v>40603</v>
      </c>
      <c r="AM2" s="112">
        <v>40634</v>
      </c>
      <c r="AN2" s="112">
        <v>40664</v>
      </c>
      <c r="AO2" s="112">
        <v>40695</v>
      </c>
      <c r="AP2" s="112">
        <v>40725</v>
      </c>
      <c r="AQ2" s="112">
        <v>40756</v>
      </c>
      <c r="AR2" s="112">
        <v>40787</v>
      </c>
      <c r="AS2" s="112">
        <v>40817</v>
      </c>
      <c r="AT2" s="112">
        <v>40848</v>
      </c>
      <c r="AU2" s="112">
        <v>40878</v>
      </c>
      <c r="AV2" s="112">
        <v>40909</v>
      </c>
      <c r="AW2" s="112">
        <v>40940</v>
      </c>
      <c r="AX2" s="112">
        <v>40969</v>
      </c>
      <c r="AY2" s="112">
        <v>41000</v>
      </c>
      <c r="AZ2" s="112">
        <v>41030</v>
      </c>
      <c r="BA2" s="112">
        <v>41061</v>
      </c>
      <c r="BB2" s="112">
        <v>41091</v>
      </c>
      <c r="BC2" s="112">
        <v>41122</v>
      </c>
      <c r="BD2" s="112">
        <v>41153</v>
      </c>
      <c r="BE2" s="112">
        <v>41183</v>
      </c>
      <c r="BF2" s="112">
        <v>41214</v>
      </c>
      <c r="BG2" s="112">
        <v>41244</v>
      </c>
      <c r="BH2" s="112">
        <v>41275</v>
      </c>
      <c r="BI2" s="112">
        <v>41306</v>
      </c>
      <c r="BJ2" s="112">
        <v>41334</v>
      </c>
      <c r="BK2" s="112">
        <v>41365</v>
      </c>
      <c r="BL2" s="112">
        <v>41395</v>
      </c>
      <c r="BM2" s="112">
        <v>41426</v>
      </c>
      <c r="BN2" s="112">
        <v>41456</v>
      </c>
      <c r="BO2" s="112">
        <v>41487</v>
      </c>
      <c r="BP2" s="112">
        <v>41518</v>
      </c>
      <c r="BQ2" s="112">
        <v>41548</v>
      </c>
      <c r="BR2" s="112">
        <v>41579</v>
      </c>
      <c r="BS2" s="112">
        <v>41609</v>
      </c>
      <c r="BT2" s="112">
        <v>41640</v>
      </c>
      <c r="BU2" s="112">
        <v>41671</v>
      </c>
      <c r="BV2" s="112">
        <v>41699</v>
      </c>
      <c r="BW2" s="112">
        <v>41730</v>
      </c>
      <c r="BX2" s="112">
        <v>41760</v>
      </c>
      <c r="BY2" s="112">
        <v>41791</v>
      </c>
      <c r="BZ2" s="112">
        <v>41821</v>
      </c>
      <c r="CA2" s="112">
        <v>41852</v>
      </c>
      <c r="CB2" s="112">
        <v>41883</v>
      </c>
      <c r="CC2" s="112">
        <v>41913</v>
      </c>
      <c r="CD2" s="112">
        <v>41944</v>
      </c>
      <c r="CE2" s="112">
        <v>41974</v>
      </c>
    </row>
    <row r="4" spans="1:83">
      <c r="A4" s="12" t="s">
        <v>269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</row>
    <row r="5" spans="1:83">
      <c r="B5" s="93" t="s">
        <v>243</v>
      </c>
      <c r="C5" s="1"/>
      <c r="D5" s="181">
        <v>0.77</v>
      </c>
      <c r="F5" s="102">
        <f>Staff!H44*$D$5</f>
        <v>0</v>
      </c>
      <c r="G5" s="102">
        <f>Staff!I44*$D$5</f>
        <v>0</v>
      </c>
      <c r="H5" s="102">
        <f>Staff!J44*$D$5</f>
        <v>0</v>
      </c>
      <c r="I5" s="102">
        <f>Staff!K44*$D$5</f>
        <v>0</v>
      </c>
      <c r="J5" s="102">
        <f>Staff!L44*$D$5</f>
        <v>0</v>
      </c>
      <c r="K5" s="102">
        <f>Staff!M44*$D$5</f>
        <v>0</v>
      </c>
      <c r="L5" s="102">
        <f>(Staff!H12+Staff!H27+Staff!H43)*$D$5</f>
        <v>0</v>
      </c>
      <c r="M5" s="102">
        <f>(Staff!I12+Staff!I27+Staff!I43)*$D$5</f>
        <v>0</v>
      </c>
      <c r="N5" s="102">
        <f>(Staff!J12+Staff!J27+Staff!J43)*$D$5</f>
        <v>0</v>
      </c>
      <c r="O5" s="102">
        <f>(Staff!K12+Staff!K27+Staff!K43)*$D$5</f>
        <v>0</v>
      </c>
      <c r="P5" s="102">
        <f>(Staff!L12+Staff!L27+Staff!L43)*$D$5</f>
        <v>0</v>
      </c>
      <c r="Q5" s="102">
        <f>(Staff!M12+Staff!M27+Staff!M43)*$D$5</f>
        <v>0</v>
      </c>
      <c r="R5" s="102">
        <f>(Staff!N12+Staff!N27+Staff!N43)*$D$5</f>
        <v>0</v>
      </c>
      <c r="S5" s="102">
        <f>(Staff!O12+Staff!O27+Staff!O43)*$D$5</f>
        <v>0</v>
      </c>
      <c r="T5" s="102">
        <f>(Staff!P12+Staff!P27+Staff!P43)*$D$5</f>
        <v>0</v>
      </c>
      <c r="U5" s="102">
        <f>(Staff!Q12+Staff!Q27+Staff!Q43)*$D$5</f>
        <v>0</v>
      </c>
      <c r="V5" s="102">
        <f>(Staff!R12+Staff!R27+Staff!R43)*$D$5</f>
        <v>0</v>
      </c>
      <c r="W5" s="102">
        <f>(Staff!S12+Staff!S27+Staff!S43)*$D$5</f>
        <v>0</v>
      </c>
      <c r="X5" s="102">
        <f>(Staff!T12+Staff!T27+Staff!T43)*$D$5</f>
        <v>3270.96</v>
      </c>
      <c r="Y5" s="102">
        <f>(Staff!U12+Staff!U27+Staff!U43)*$D$5</f>
        <v>3270.96</v>
      </c>
      <c r="Z5" s="102">
        <f>(Staff!V12+Staff!V27+Staff!V43)*$D$5</f>
        <v>3270.96</v>
      </c>
      <c r="AA5" s="102">
        <f>(Staff!W12+Staff!W27+Staff!W43)*$D$5</f>
        <v>3270.96</v>
      </c>
      <c r="AB5" s="102">
        <f>(Staff!X12+Staff!X27+Staff!X43)*$D$5</f>
        <v>3270.96</v>
      </c>
      <c r="AC5" s="102">
        <f>(Staff!Y12+Staff!Y27+Staff!Y43)*$D$5</f>
        <v>3270.96</v>
      </c>
      <c r="AD5" s="102">
        <f>(Staff!Z12+Staff!Z27+Staff!Z43)*$D$5</f>
        <v>3369.0888000000004</v>
      </c>
      <c r="AE5" s="102">
        <f>(Staff!AA12+Staff!AA27+Staff!AA43)*$D$5</f>
        <v>3369.0888000000004</v>
      </c>
      <c r="AF5" s="102">
        <f>(Staff!AB12+Staff!AB27+Staff!AB43)*$D$5</f>
        <v>6541.488800000001</v>
      </c>
      <c r="AG5" s="102">
        <f>(Staff!AC12+Staff!AC27+Staff!AC43)*$D$5</f>
        <v>9317.3388000000014</v>
      </c>
      <c r="AH5" s="102">
        <f>(Staff!AD12+Staff!AD27+Staff!AD43)*$D$5</f>
        <v>9317.3388000000014</v>
      </c>
      <c r="AI5" s="102">
        <f>(Staff!AE12+Staff!AE27+Staff!AE43)*$D$5</f>
        <v>11300.088800000001</v>
      </c>
      <c r="AJ5" s="102">
        <f>(Staff!AF12+Staff!AF27+Staff!AF43)*$D$5</f>
        <v>16851.788800000002</v>
      </c>
      <c r="AK5" s="102">
        <f>(Staff!AG12+Staff!AG27+Staff!AG43)*$D$5</f>
        <v>19231.088800000001</v>
      </c>
      <c r="AL5" s="102">
        <f>(Staff!AH12+Staff!AH27+Staff!AH43)*$D$5</f>
        <v>23831.068800000001</v>
      </c>
      <c r="AM5" s="102">
        <f>(Staff!AI12+Staff!AI27+Staff!AI43)*$D$5</f>
        <v>23831.068800000001</v>
      </c>
      <c r="AN5" s="102">
        <f>(Staff!AJ12+Staff!AJ27+Staff!AJ43)*$D$5</f>
        <v>26474.735466666665</v>
      </c>
      <c r="AO5" s="102">
        <f>(Staff!AK12+Staff!AK27+Staff!AK43)*$D$5</f>
        <v>31233.335466666664</v>
      </c>
      <c r="AP5" s="102">
        <f>(Staff!AL12+Staff!AL27+Staff!AL43)*$D$5</f>
        <v>34606.895329416664</v>
      </c>
      <c r="AQ5" s="102">
        <f>(Staff!AM12+Staff!AM27+Staff!AM43)*$D$5</f>
        <v>34674.465428166666</v>
      </c>
      <c r="AR5" s="102">
        <f>(Staff!AN12+Staff!AN27+Staff!AN43)*$D$5</f>
        <v>43096.867493166668</v>
      </c>
      <c r="AS5" s="102">
        <f>(Staff!AO12+Staff!AO27+Staff!AO43)*$D$5</f>
        <v>43171.945380666657</v>
      </c>
      <c r="AT5" s="102">
        <f>(Staff!AP12+Staff!AP27+Staff!AP43)*$D$5</f>
        <v>43247.02326816666</v>
      </c>
      <c r="AU5" s="102">
        <f>(Staff!AQ12+Staff!AQ27+Staff!AQ43)*$D$5</f>
        <v>43322.101155666664</v>
      </c>
      <c r="AV5" s="102">
        <f>(Staff!AR12+Staff!AR27+Staff!AR43)*$D$5</f>
        <v>51211.113440666668</v>
      </c>
      <c r="AW5" s="102">
        <f>(Staff!AS12+Staff!AS27+Staff!AS43)*$D$5</f>
        <v>51376.284793166669</v>
      </c>
      <c r="AX5" s="102">
        <f>(Staff!AT12+Staff!AT27+Staff!AT43)*$D$5</f>
        <v>51541.456145666671</v>
      </c>
      <c r="AY5" s="102">
        <f>(Staff!AU12+Staff!AU27+Staff!AU43)*$D$5</f>
        <v>51789.213174416662</v>
      </c>
      <c r="AZ5" s="102">
        <f>(Staff!AV12+Staff!AV27+Staff!AV43)*$D$5</f>
        <v>54977.78500316666</v>
      </c>
      <c r="BA5" s="102">
        <f>(Staff!AW12+Staff!AW27+Staff!AW43)*$D$5</f>
        <v>55225.542031916666</v>
      </c>
      <c r="BB5" s="102">
        <f>(Staff!AX12+Staff!AX27+Staff!AX43)*$D$5</f>
        <v>61256.988635920003</v>
      </c>
      <c r="BC5" s="102">
        <f>(Staff!AY12+Staff!AY27+Staff!AY43)*$D$5</f>
        <v>61670.030303419997</v>
      </c>
      <c r="BD5" s="102">
        <f>(Staff!AZ12+Staff!AZ27+Staff!AZ43)*$D$5</f>
        <v>65458.882547520006</v>
      </c>
      <c r="BE5" s="102">
        <f>(Staff!BA12+Staff!BA27+Staff!BA43)*$D$5</f>
        <v>65873.426184719996</v>
      </c>
      <c r="BF5" s="102">
        <f>(Staff!BB12+Staff!BB27+Staff!BB43)*$D$5</f>
        <v>68895.16887791999</v>
      </c>
      <c r="BG5" s="102">
        <f>(Staff!BC12+Staff!BC27+Staff!BC43)*$D$5</f>
        <v>69475.711887120007</v>
      </c>
      <c r="BH5" s="102">
        <f>(Staff!BD12+Staff!BD27+Staff!BD43)*$D$5</f>
        <v>69890.482920719995</v>
      </c>
      <c r="BI5" s="102">
        <f>(Staff!BE12+Staff!BE27+Staff!BE43)*$D$5</f>
        <v>70471.253326320002</v>
      </c>
      <c r="BJ5" s="102">
        <f>(Staff!BF12+Staff!BF27+Staff!BF43)*$D$5</f>
        <v>70969.024045919999</v>
      </c>
      <c r="BK5" s="102">
        <f>(Staff!BG12+Staff!BG27+Staff!BG43)*$D$5</f>
        <v>71881.338402719994</v>
      </c>
      <c r="BL5" s="102">
        <f>(Staff!BH12+Staff!BH27+Staff!BH43)*$D$5</f>
        <v>74201.914604253339</v>
      </c>
      <c r="BM5" s="102">
        <f>(Staff!BI12+Staff!BI27+Staff!BI43)*$D$5</f>
        <v>74699.457927453332</v>
      </c>
      <c r="BN5" s="102">
        <f>(Staff!BJ12+Staff!BJ27+Staff!BJ43)*$D$5</f>
        <v>77206.634165080934</v>
      </c>
      <c r="BO5" s="102">
        <f>(Staff!BK12+Staff!BK27+Staff!BK43)*$D$5</f>
        <v>77579.791657480935</v>
      </c>
      <c r="BP5" s="102">
        <f>(Staff!BL12+Staff!BL27+Staff!BL43)*$D$5</f>
        <v>77952.949149880937</v>
      </c>
      <c r="BQ5" s="102">
        <f>(Staff!BM12+Staff!BM27+Staff!BM43)*$D$5</f>
        <v>78326.106642280953</v>
      </c>
      <c r="BR5" s="102">
        <f>(Staff!BN12+Staff!BN27+Staff!BN43)*$D$5</f>
        <v>78699.264134680925</v>
      </c>
      <c r="BS5" s="102">
        <f>(Staff!BO12+Staff!BO27+Staff!BO43)*$D$5</f>
        <v>78948.035796280936</v>
      </c>
      <c r="BT5" s="102">
        <f>(Staff!BP12+Staff!BP27+Staff!BP43)*$D$5</f>
        <v>79196.807457880946</v>
      </c>
      <c r="BU5" s="102">
        <f>(Staff!BQ12+Staff!BQ27+Staff!BQ43)*$D$5</f>
        <v>79445.579119480943</v>
      </c>
      <c r="BV5" s="102">
        <f>(Staff!BR12+Staff!BR27+Staff!BR43)*$D$5</f>
        <v>79694.350781080953</v>
      </c>
      <c r="BW5" s="102">
        <f>(Staff!BS12+Staff!BS27+Staff!BS43)*$D$5</f>
        <v>79943.122442680935</v>
      </c>
      <c r="BX5" s="102">
        <f>(Staff!BT12+Staff!BT27+Staff!BT43)*$D$5</f>
        <v>80191.894104280946</v>
      </c>
      <c r="BY5" s="102">
        <f>(Staff!BU12+Staff!BU27+Staff!BU43)*$D$5</f>
        <v>80440.665765880942</v>
      </c>
      <c r="BZ5" s="102">
        <f>(Staff!BV12+Staff!BV27+Staff!BV43)*$D$5</f>
        <v>82684.727830861375</v>
      </c>
      <c r="CA5" s="102">
        <f>(Staff!BW12+Staff!BW27+Staff!BW43)*$D$5</f>
        <v>82883.745160141378</v>
      </c>
      <c r="CB5" s="102">
        <f>(Staff!BX12+Staff!BX27+Staff!BX43)*$D$5</f>
        <v>83008.130990941369</v>
      </c>
      <c r="CC5" s="102">
        <f>(Staff!BY12+Staff!BY27+Staff!BY43)*$D$5</f>
        <v>83132.516821741374</v>
      </c>
      <c r="CD5" s="102">
        <f>(Staff!BZ12+Staff!BZ27+Staff!BZ43)*$D$5</f>
        <v>83256.902652541379</v>
      </c>
      <c r="CE5" s="102">
        <f>(Staff!CA12+Staff!CA27+Staff!CA43)*$D$5</f>
        <v>83381.28848334137</v>
      </c>
    </row>
    <row r="6" spans="1:83">
      <c r="B6" s="93" t="s">
        <v>244</v>
      </c>
      <c r="C6" s="1"/>
      <c r="D6" s="10">
        <f>1-D5</f>
        <v>0.22999999999999998</v>
      </c>
      <c r="F6" s="102">
        <f>Staff!H44-F5</f>
        <v>0</v>
      </c>
      <c r="G6" s="102">
        <f>Staff!I44-G5</f>
        <v>0</v>
      </c>
      <c r="H6" s="102">
        <f>Staff!J44-H5</f>
        <v>0</v>
      </c>
      <c r="I6" s="102">
        <f>Staff!K44-I5</f>
        <v>0</v>
      </c>
      <c r="J6" s="102">
        <f>Staff!L44-J5</f>
        <v>0</v>
      </c>
      <c r="K6" s="102">
        <f>Staff!M44-K5</f>
        <v>0</v>
      </c>
      <c r="L6" s="102">
        <f>Staff!N44-L5</f>
        <v>0</v>
      </c>
      <c r="M6" s="102">
        <f>Staff!O44-M5</f>
        <v>0</v>
      </c>
      <c r="N6" s="102">
        <f>Staff!P44-N5</f>
        <v>0</v>
      </c>
      <c r="O6" s="102">
        <f>Staff!Q44-O5</f>
        <v>0</v>
      </c>
      <c r="P6" s="102">
        <f>Staff!R44-P5</f>
        <v>0</v>
      </c>
      <c r="Q6" s="102">
        <f>Staff!S44-Q5</f>
        <v>0</v>
      </c>
      <c r="R6" s="102">
        <f>Staff!T44-R5</f>
        <v>0</v>
      </c>
      <c r="S6" s="102">
        <f>Staff!U44-S5</f>
        <v>0</v>
      </c>
      <c r="T6" s="102">
        <f>Staff!V44-T5</f>
        <v>0</v>
      </c>
      <c r="U6" s="102">
        <f>Staff!W44-U5</f>
        <v>0</v>
      </c>
      <c r="V6" s="102">
        <f>Staff!X44-V5</f>
        <v>0</v>
      </c>
      <c r="W6" s="102">
        <f>Staff!Y44-W5</f>
        <v>0</v>
      </c>
      <c r="X6" s="102">
        <f>Staff!Z44-X5</f>
        <v>-3270.96</v>
      </c>
      <c r="Y6" s="102">
        <f>Staff!AA44-Y5</f>
        <v>-3270.96</v>
      </c>
      <c r="Z6" s="102">
        <f>Staff!AB44-Z5</f>
        <v>-3270.96</v>
      </c>
      <c r="AA6" s="102">
        <f>Staff!AC44-AA5</f>
        <v>-3270.96</v>
      </c>
      <c r="AB6" s="102">
        <f>Staff!AD44-AB5</f>
        <v>-3270.96</v>
      </c>
      <c r="AC6" s="102">
        <f>Staff!AE44-AC5</f>
        <v>-3270.96</v>
      </c>
      <c r="AD6" s="102">
        <f>Staff!AF44-AD5</f>
        <v>-3369.0888000000004</v>
      </c>
      <c r="AE6" s="102">
        <f>Staff!AG44-AE5</f>
        <v>-3369.0888000000004</v>
      </c>
      <c r="AF6" s="102">
        <f>Staff!AH44-AF5</f>
        <v>-6541.488800000001</v>
      </c>
      <c r="AG6" s="102">
        <f>Staff!AI44-AG5</f>
        <v>-9317.3388000000014</v>
      </c>
      <c r="AH6" s="102">
        <f>Staff!AJ44-AH5</f>
        <v>-9317.3388000000014</v>
      </c>
      <c r="AI6" s="102">
        <f>Staff!AK44-AI5</f>
        <v>-11300.088800000001</v>
      </c>
      <c r="AJ6" s="102">
        <f>Staff!AL44-AJ5</f>
        <v>-16851.788800000002</v>
      </c>
      <c r="AK6" s="102">
        <f>Staff!AM44-AK5</f>
        <v>-19231.088800000001</v>
      </c>
      <c r="AL6" s="102">
        <f>Staff!AN44-AL5</f>
        <v>-23831.068800000001</v>
      </c>
      <c r="AM6" s="102">
        <f>Staff!AO44-AM5</f>
        <v>-23831.068800000001</v>
      </c>
      <c r="AN6" s="102">
        <f>Staff!AP44-AN5</f>
        <v>-26474.735466666665</v>
      </c>
      <c r="AO6" s="102">
        <f>Staff!AQ44-AO5</f>
        <v>-31233.335466666664</v>
      </c>
      <c r="AP6" s="102">
        <f>Staff!AR44-AP5</f>
        <v>-34606.895329416664</v>
      </c>
      <c r="AQ6" s="102">
        <f>Staff!AS44-AQ5</f>
        <v>-34674.465428166666</v>
      </c>
      <c r="AR6" s="102">
        <f>Staff!AT44-AR5</f>
        <v>-43096.867493166668</v>
      </c>
      <c r="AS6" s="102">
        <f>Staff!AU44-AS5</f>
        <v>-43171.945380666657</v>
      </c>
      <c r="AT6" s="102">
        <f>Staff!AV44-AT5</f>
        <v>-43247.02326816666</v>
      </c>
      <c r="AU6" s="102">
        <f>Staff!AW44-AU5</f>
        <v>-43322.101155666664</v>
      </c>
      <c r="AV6" s="102">
        <f>Staff!AX44-AV5</f>
        <v>-51211.113440666668</v>
      </c>
      <c r="AW6" s="102">
        <f>Staff!AY44-AW5</f>
        <v>-51376.284793166669</v>
      </c>
      <c r="AX6" s="102">
        <f>Staff!AZ44-AX5</f>
        <v>-51541.456145666671</v>
      </c>
      <c r="AY6" s="102">
        <f>Staff!BA44-AY5</f>
        <v>-51789.213174416662</v>
      </c>
      <c r="AZ6" s="102">
        <f>Staff!BB44-AZ5</f>
        <v>-54977.78500316666</v>
      </c>
      <c r="BA6" s="102">
        <f>Staff!BC44-BA5</f>
        <v>-55225.542031916666</v>
      </c>
      <c r="BB6" s="102">
        <f>Staff!BD44-BB5</f>
        <v>-61256.988635920003</v>
      </c>
      <c r="BC6" s="102">
        <f>Staff!BE44-BC5</f>
        <v>-61670.030303419997</v>
      </c>
      <c r="BD6" s="102">
        <f>Staff!BF44-BD5</f>
        <v>-65458.882547520006</v>
      </c>
      <c r="BE6" s="102">
        <f>Staff!BG44-BE5</f>
        <v>-65873.426184719996</v>
      </c>
      <c r="BF6" s="102">
        <f>Staff!BH44-BF5</f>
        <v>-68895.16887791999</v>
      </c>
      <c r="BG6" s="102">
        <f>Staff!BI44-BG5</f>
        <v>-69475.711887120007</v>
      </c>
      <c r="BH6" s="102">
        <f>Staff!BJ44-BH5</f>
        <v>-69890.482920719995</v>
      </c>
      <c r="BI6" s="102">
        <f>Staff!BK44-BI5</f>
        <v>-70471.253326320002</v>
      </c>
      <c r="BJ6" s="102">
        <f>Staff!BL44-BJ5</f>
        <v>-70969.024045919999</v>
      </c>
      <c r="BK6" s="102">
        <f>Staff!BM44-BK5</f>
        <v>-71881.338402719994</v>
      </c>
      <c r="BL6" s="102">
        <f>Staff!BN44-BL5</f>
        <v>-74201.914604253339</v>
      </c>
      <c r="BM6" s="102">
        <f>Staff!BO44-BM5</f>
        <v>-74699.457927453332</v>
      </c>
      <c r="BN6" s="102">
        <f>Staff!CB44-BN5</f>
        <v>-77206.634165080934</v>
      </c>
      <c r="BO6" s="102">
        <f>Staff!CC44-BO5</f>
        <v>-77579.791657480935</v>
      </c>
      <c r="BP6" s="102">
        <f>Staff!CD44-BP5</f>
        <v>-77952.949149880937</v>
      </c>
      <c r="BQ6" s="102">
        <f>Staff!CE44-BQ5</f>
        <v>-78326.106642280953</v>
      </c>
      <c r="BR6" s="102">
        <f>Staff!CF44-BR5</f>
        <v>-78699.264134680925</v>
      </c>
      <c r="BS6" s="102">
        <f>Staff!CG44-BS5</f>
        <v>-78948.035796280936</v>
      </c>
      <c r="BT6" s="102">
        <f>Staff!CH44-BT5</f>
        <v>-79196.807457880946</v>
      </c>
      <c r="BU6" s="102">
        <f>Staff!CI44-BU5</f>
        <v>-79445.579119480943</v>
      </c>
      <c r="BV6" s="102">
        <f>Staff!CJ44-BV5</f>
        <v>-79694.350781080953</v>
      </c>
      <c r="BW6" s="102">
        <f>Staff!CK44-BW5</f>
        <v>-79943.122442680935</v>
      </c>
      <c r="BX6" s="102">
        <f>Staff!CL44-BX5</f>
        <v>-80191.894104280946</v>
      </c>
      <c r="BY6" s="102">
        <f>Staff!CM44-BY5</f>
        <v>-80440.665765880942</v>
      </c>
      <c r="BZ6" s="102">
        <f>Staff!CN44-BZ5</f>
        <v>-82684.727830861375</v>
      </c>
      <c r="CA6" s="102">
        <f>Staff!CO44-CA5</f>
        <v>-82883.745160141378</v>
      </c>
      <c r="CB6" s="102">
        <f>Staff!CP44-CB5</f>
        <v>-83008.130990941369</v>
      </c>
      <c r="CC6" s="102">
        <f>Staff!CQ44-CC5</f>
        <v>-83132.516821741374</v>
      </c>
      <c r="CD6" s="102">
        <f>Staff!CR44-CD5</f>
        <v>-83256.902652541379</v>
      </c>
      <c r="CE6" s="102">
        <f>Staff!CS44-CE5</f>
        <v>-83381.28848334137</v>
      </c>
    </row>
    <row r="7" spans="1:83">
      <c r="B7" s="93"/>
      <c r="C7" s="1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</row>
    <row r="8" spans="1:83">
      <c r="B8" s="93" t="s">
        <v>246</v>
      </c>
      <c r="C8" s="1"/>
      <c r="D8" s="10">
        <f>'P&amp;L Month'!E61</f>
        <v>0.45</v>
      </c>
      <c r="F8" s="102">
        <f>Staff!H44*$D$8</f>
        <v>0</v>
      </c>
      <c r="G8" s="102">
        <f>Staff!I44*$D$8</f>
        <v>0</v>
      </c>
      <c r="H8" s="102">
        <f>Staff!J44*$D$8</f>
        <v>0</v>
      </c>
      <c r="I8" s="102">
        <f>Staff!K44*$D$8</f>
        <v>0</v>
      </c>
      <c r="J8" s="102">
        <f>Staff!L44*$D$8</f>
        <v>0</v>
      </c>
      <c r="K8" s="102">
        <f>Staff!M44*$D$8</f>
        <v>0</v>
      </c>
      <c r="L8" s="102">
        <f>Staff!N44*$D$8</f>
        <v>0</v>
      </c>
      <c r="M8" s="102">
        <f>Staff!O44*$D$8</f>
        <v>0</v>
      </c>
      <c r="N8" s="102">
        <f>Staff!P44*$D$8</f>
        <v>0</v>
      </c>
      <c r="O8" s="102">
        <f>Staff!Q44*$D$8</f>
        <v>0</v>
      </c>
      <c r="P8" s="102">
        <f>Staff!R44*$D$8</f>
        <v>0</v>
      </c>
      <c r="Q8" s="102">
        <f>Staff!S44*$D$8</f>
        <v>0</v>
      </c>
      <c r="R8" s="102">
        <f>Staff!T44*$D$8</f>
        <v>0</v>
      </c>
      <c r="S8" s="102">
        <f>Staff!U44*$D$8</f>
        <v>0</v>
      </c>
      <c r="T8" s="102">
        <f>Staff!V44*$D$8</f>
        <v>0</v>
      </c>
      <c r="U8" s="102">
        <f>Staff!W44*$D$8</f>
        <v>0</v>
      </c>
      <c r="V8" s="102">
        <f>Staff!X44*$D$8</f>
        <v>0</v>
      </c>
      <c r="W8" s="102">
        <f>Staff!Y44*$D$8</f>
        <v>0</v>
      </c>
      <c r="X8" s="102">
        <f>Staff!Z44*$D$8</f>
        <v>0</v>
      </c>
      <c r="Y8" s="102">
        <f>Staff!AA44*$D$8</f>
        <v>0</v>
      </c>
      <c r="Z8" s="102">
        <f>Staff!AB44*$D$8</f>
        <v>0</v>
      </c>
      <c r="AA8" s="102">
        <f>Staff!AC44*$D$8</f>
        <v>0</v>
      </c>
      <c r="AB8" s="102">
        <f>Staff!AD44*$D$8</f>
        <v>0</v>
      </c>
      <c r="AC8" s="102">
        <f>Staff!AE44*$D$8</f>
        <v>0</v>
      </c>
      <c r="AD8" s="102">
        <f>Staff!AF44*$D$8</f>
        <v>0</v>
      </c>
      <c r="AE8" s="102">
        <f>Staff!AG44*$D$8</f>
        <v>0</v>
      </c>
      <c r="AF8" s="102">
        <f>Staff!AH44*$D$8</f>
        <v>0</v>
      </c>
      <c r="AG8" s="102">
        <f>Staff!AI44*$D$8</f>
        <v>0</v>
      </c>
      <c r="AH8" s="102">
        <f>Staff!AJ44*$D$8</f>
        <v>0</v>
      </c>
      <c r="AI8" s="102">
        <f>Staff!AK44*$D$8</f>
        <v>0</v>
      </c>
      <c r="AJ8" s="102">
        <f>Staff!AL44*$D$8</f>
        <v>0</v>
      </c>
      <c r="AK8" s="102">
        <f>Staff!AM44*$D$8</f>
        <v>0</v>
      </c>
      <c r="AL8" s="102">
        <f>Staff!AN44*$D$8</f>
        <v>0</v>
      </c>
      <c r="AM8" s="102">
        <f>Staff!AO44*$D$8</f>
        <v>0</v>
      </c>
      <c r="AN8" s="102">
        <f>Staff!AP44*$D$8</f>
        <v>0</v>
      </c>
      <c r="AO8" s="102">
        <f>Staff!AQ44*$D$8</f>
        <v>0</v>
      </c>
      <c r="AP8" s="102">
        <f>Staff!AR44*$D$8</f>
        <v>0</v>
      </c>
      <c r="AQ8" s="102">
        <f>Staff!AS44*$D$8</f>
        <v>0</v>
      </c>
      <c r="AR8" s="102">
        <f>Staff!AT44*$D$8</f>
        <v>0</v>
      </c>
      <c r="AS8" s="102">
        <f>Staff!AU44*$D$8</f>
        <v>0</v>
      </c>
      <c r="AT8" s="102">
        <f>Staff!AV44*$D$8</f>
        <v>0</v>
      </c>
      <c r="AU8" s="102">
        <f>Staff!AW44*$D$8</f>
        <v>0</v>
      </c>
      <c r="AV8" s="102">
        <f>Staff!AX44*$D$8</f>
        <v>0</v>
      </c>
      <c r="AW8" s="102">
        <f>Staff!AY44*$D$8</f>
        <v>0</v>
      </c>
      <c r="AX8" s="102">
        <f>Staff!AZ44*$D$8</f>
        <v>0</v>
      </c>
      <c r="AY8" s="102">
        <f>Staff!BA44*$D$8</f>
        <v>0</v>
      </c>
      <c r="AZ8" s="102">
        <f>Staff!BB44*$D$8</f>
        <v>0</v>
      </c>
      <c r="BA8" s="102">
        <f>Staff!BC44*$D$8</f>
        <v>0</v>
      </c>
      <c r="BB8" s="102">
        <f>Staff!BD44*$D$8</f>
        <v>0</v>
      </c>
      <c r="BC8" s="102">
        <f>Staff!BE44*$D$8</f>
        <v>0</v>
      </c>
      <c r="BD8" s="102">
        <f>Staff!BF44*$D$8</f>
        <v>0</v>
      </c>
      <c r="BE8" s="102">
        <f>Staff!BG44*$D$8</f>
        <v>0</v>
      </c>
      <c r="BF8" s="102">
        <f>Staff!BH44*$D$8</f>
        <v>0</v>
      </c>
      <c r="BG8" s="102">
        <f>Staff!BI44*$D$8</f>
        <v>0</v>
      </c>
      <c r="BH8" s="102">
        <f>Staff!BJ44*$D$8</f>
        <v>0</v>
      </c>
      <c r="BI8" s="102">
        <f>Staff!BK44*$D$8</f>
        <v>0</v>
      </c>
      <c r="BJ8" s="102">
        <f>Staff!BL44*$D$8</f>
        <v>0</v>
      </c>
      <c r="BK8" s="102">
        <f>Staff!BM44*$D$8</f>
        <v>0</v>
      </c>
      <c r="BL8" s="102">
        <f>Staff!BN44*$D$8</f>
        <v>0</v>
      </c>
      <c r="BM8" s="102">
        <f>Staff!BO44*$D$8</f>
        <v>0</v>
      </c>
      <c r="BN8" s="102">
        <f>Staff!CB44*$D$8</f>
        <v>0</v>
      </c>
      <c r="BO8" s="102">
        <f>Staff!CC44*$D$8</f>
        <v>0</v>
      </c>
      <c r="BP8" s="102">
        <f>Staff!CD44*$D$8</f>
        <v>0</v>
      </c>
      <c r="BQ8" s="102">
        <f>Staff!CE44*$D$8</f>
        <v>0</v>
      </c>
      <c r="BR8" s="102">
        <f>Staff!CF44*$D$8</f>
        <v>0</v>
      </c>
      <c r="BS8" s="102">
        <f>Staff!CG44*$D$8</f>
        <v>0</v>
      </c>
      <c r="BT8" s="102">
        <f>Staff!CH44*$D$8</f>
        <v>0</v>
      </c>
      <c r="BU8" s="102">
        <f>Staff!CI44*$D$8</f>
        <v>0</v>
      </c>
      <c r="BV8" s="102">
        <f>Staff!CJ44*$D$8</f>
        <v>0</v>
      </c>
      <c r="BW8" s="102">
        <f>Staff!CK44*$D$8</f>
        <v>0</v>
      </c>
      <c r="BX8" s="102">
        <f>Staff!CL44*$D$8</f>
        <v>0</v>
      </c>
      <c r="BY8" s="102">
        <f>Staff!CM44*$D$8</f>
        <v>0</v>
      </c>
      <c r="BZ8" s="102">
        <f>Staff!CN44*$D$8</f>
        <v>0</v>
      </c>
      <c r="CA8" s="102">
        <f>Staff!CO44*$D$8</f>
        <v>0</v>
      </c>
      <c r="CB8" s="102">
        <f>Staff!CP44*$D$8</f>
        <v>0</v>
      </c>
      <c r="CC8" s="102">
        <f>Staff!CQ44*$D$8</f>
        <v>0</v>
      </c>
      <c r="CD8" s="102">
        <f>Staff!CR44*$D$8</f>
        <v>0</v>
      </c>
      <c r="CE8" s="102">
        <f>Staff!CS44*$D$8</f>
        <v>0</v>
      </c>
    </row>
    <row r="9" spans="1:83">
      <c r="B9" s="1"/>
      <c r="C9" s="1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</row>
    <row r="10" spans="1:83">
      <c r="B10" s="93" t="s">
        <v>247</v>
      </c>
      <c r="C10" s="1"/>
      <c r="F10" s="102">
        <f t="shared" ref="F10:BA10" si="0">F5</f>
        <v>0</v>
      </c>
      <c r="G10" s="102">
        <f t="shared" si="0"/>
        <v>0</v>
      </c>
      <c r="H10" s="102">
        <f t="shared" si="0"/>
        <v>0</v>
      </c>
      <c r="I10" s="102">
        <f t="shared" si="0"/>
        <v>0</v>
      </c>
      <c r="J10" s="102">
        <f t="shared" si="0"/>
        <v>0</v>
      </c>
      <c r="K10" s="102">
        <f t="shared" si="0"/>
        <v>0</v>
      </c>
      <c r="L10" s="102">
        <f t="shared" si="0"/>
        <v>0</v>
      </c>
      <c r="M10" s="102">
        <f t="shared" si="0"/>
        <v>0</v>
      </c>
      <c r="N10" s="102">
        <f t="shared" si="0"/>
        <v>0</v>
      </c>
      <c r="O10" s="102">
        <f t="shared" si="0"/>
        <v>0</v>
      </c>
      <c r="P10" s="102">
        <f t="shared" si="0"/>
        <v>0</v>
      </c>
      <c r="Q10" s="102">
        <f t="shared" si="0"/>
        <v>0</v>
      </c>
      <c r="R10" s="102">
        <f t="shared" si="0"/>
        <v>0</v>
      </c>
      <c r="S10" s="102">
        <f t="shared" si="0"/>
        <v>0</v>
      </c>
      <c r="T10" s="102">
        <f t="shared" si="0"/>
        <v>0</v>
      </c>
      <c r="U10" s="102">
        <f t="shared" si="0"/>
        <v>0</v>
      </c>
      <c r="V10" s="102">
        <f t="shared" si="0"/>
        <v>0</v>
      </c>
      <c r="W10" s="102">
        <f t="shared" si="0"/>
        <v>0</v>
      </c>
      <c r="X10" s="102">
        <f t="shared" si="0"/>
        <v>3270.96</v>
      </c>
      <c r="Y10" s="102">
        <f t="shared" si="0"/>
        <v>3270.96</v>
      </c>
      <c r="Z10" s="102">
        <f t="shared" si="0"/>
        <v>3270.96</v>
      </c>
      <c r="AA10" s="102">
        <f t="shared" si="0"/>
        <v>3270.96</v>
      </c>
      <c r="AB10" s="102">
        <f t="shared" si="0"/>
        <v>3270.96</v>
      </c>
      <c r="AC10" s="102">
        <f t="shared" si="0"/>
        <v>3270.96</v>
      </c>
      <c r="AD10" s="102">
        <f t="shared" si="0"/>
        <v>3369.0888000000004</v>
      </c>
      <c r="AE10" s="102">
        <f t="shared" si="0"/>
        <v>3369.0888000000004</v>
      </c>
      <c r="AF10" s="102">
        <f t="shared" si="0"/>
        <v>6541.488800000001</v>
      </c>
      <c r="AG10" s="102">
        <f t="shared" si="0"/>
        <v>9317.3388000000014</v>
      </c>
      <c r="AH10" s="102">
        <f t="shared" si="0"/>
        <v>9317.3388000000014</v>
      </c>
      <c r="AI10" s="102">
        <f t="shared" si="0"/>
        <v>11300.088800000001</v>
      </c>
      <c r="AJ10" s="102">
        <f t="shared" si="0"/>
        <v>16851.788800000002</v>
      </c>
      <c r="AK10" s="102">
        <f t="shared" si="0"/>
        <v>19231.088800000001</v>
      </c>
      <c r="AL10" s="102">
        <f t="shared" si="0"/>
        <v>23831.068800000001</v>
      </c>
      <c r="AM10" s="102">
        <f t="shared" si="0"/>
        <v>23831.068800000001</v>
      </c>
      <c r="AN10" s="102">
        <f t="shared" si="0"/>
        <v>26474.735466666665</v>
      </c>
      <c r="AO10" s="102">
        <f t="shared" si="0"/>
        <v>31233.335466666664</v>
      </c>
      <c r="AP10" s="102">
        <f t="shared" si="0"/>
        <v>34606.895329416664</v>
      </c>
      <c r="AQ10" s="102">
        <f t="shared" si="0"/>
        <v>34674.465428166666</v>
      </c>
      <c r="AR10" s="102">
        <f t="shared" si="0"/>
        <v>43096.867493166668</v>
      </c>
      <c r="AS10" s="102">
        <f t="shared" si="0"/>
        <v>43171.945380666657</v>
      </c>
      <c r="AT10" s="102">
        <f t="shared" si="0"/>
        <v>43247.02326816666</v>
      </c>
      <c r="AU10" s="102">
        <f t="shared" si="0"/>
        <v>43322.101155666664</v>
      </c>
      <c r="AV10" s="102">
        <f t="shared" si="0"/>
        <v>51211.113440666668</v>
      </c>
      <c r="AW10" s="102">
        <f t="shared" si="0"/>
        <v>51376.284793166669</v>
      </c>
      <c r="AX10" s="102">
        <f t="shared" si="0"/>
        <v>51541.456145666671</v>
      </c>
      <c r="AY10" s="102">
        <f t="shared" si="0"/>
        <v>51789.213174416662</v>
      </c>
      <c r="AZ10" s="102">
        <f t="shared" si="0"/>
        <v>54977.78500316666</v>
      </c>
      <c r="BA10" s="102">
        <f t="shared" si="0"/>
        <v>55225.542031916666</v>
      </c>
      <c r="BB10" s="102">
        <f t="shared" ref="BB10:BM10" si="1">BB5</f>
        <v>61256.988635920003</v>
      </c>
      <c r="BC10" s="102">
        <f t="shared" si="1"/>
        <v>61670.030303419997</v>
      </c>
      <c r="BD10" s="102">
        <f t="shared" si="1"/>
        <v>65458.882547520006</v>
      </c>
      <c r="BE10" s="102">
        <f t="shared" si="1"/>
        <v>65873.426184719996</v>
      </c>
      <c r="BF10" s="102">
        <f t="shared" si="1"/>
        <v>68895.16887791999</v>
      </c>
      <c r="BG10" s="102">
        <f t="shared" si="1"/>
        <v>69475.711887120007</v>
      </c>
      <c r="BH10" s="102">
        <f t="shared" si="1"/>
        <v>69890.482920719995</v>
      </c>
      <c r="BI10" s="102">
        <f t="shared" si="1"/>
        <v>70471.253326320002</v>
      </c>
      <c r="BJ10" s="102">
        <f t="shared" si="1"/>
        <v>70969.024045919999</v>
      </c>
      <c r="BK10" s="102">
        <f t="shared" si="1"/>
        <v>71881.338402719994</v>
      </c>
      <c r="BL10" s="102">
        <f t="shared" si="1"/>
        <v>74201.914604253339</v>
      </c>
      <c r="BM10" s="102">
        <f t="shared" si="1"/>
        <v>74699.457927453332</v>
      </c>
      <c r="BN10" s="102">
        <f t="shared" ref="BN10:BS10" si="2">BN5</f>
        <v>77206.634165080934</v>
      </c>
      <c r="BO10" s="102">
        <f t="shared" si="2"/>
        <v>77579.791657480935</v>
      </c>
      <c r="BP10" s="102">
        <f t="shared" si="2"/>
        <v>77952.949149880937</v>
      </c>
      <c r="BQ10" s="102">
        <f t="shared" si="2"/>
        <v>78326.106642280953</v>
      </c>
      <c r="BR10" s="102">
        <f t="shared" si="2"/>
        <v>78699.264134680925</v>
      </c>
      <c r="BS10" s="102">
        <f t="shared" si="2"/>
        <v>78948.035796280936</v>
      </c>
      <c r="BT10" s="102">
        <f t="shared" ref="BT10:CE10" si="3">BT5</f>
        <v>79196.807457880946</v>
      </c>
      <c r="BU10" s="102">
        <f t="shared" si="3"/>
        <v>79445.579119480943</v>
      </c>
      <c r="BV10" s="102">
        <f t="shared" si="3"/>
        <v>79694.350781080953</v>
      </c>
      <c r="BW10" s="102">
        <f t="shared" si="3"/>
        <v>79943.122442680935</v>
      </c>
      <c r="BX10" s="102">
        <f t="shared" si="3"/>
        <v>80191.894104280946</v>
      </c>
      <c r="BY10" s="102">
        <f t="shared" si="3"/>
        <v>80440.665765880942</v>
      </c>
      <c r="BZ10" s="102">
        <f t="shared" si="3"/>
        <v>82684.727830861375</v>
      </c>
      <c r="CA10" s="102">
        <f t="shared" si="3"/>
        <v>82883.745160141378</v>
      </c>
      <c r="CB10" s="102">
        <f t="shared" si="3"/>
        <v>83008.130990941369</v>
      </c>
      <c r="CC10" s="102">
        <f t="shared" si="3"/>
        <v>83132.516821741374</v>
      </c>
      <c r="CD10" s="102">
        <f t="shared" si="3"/>
        <v>83256.902652541379</v>
      </c>
      <c r="CE10" s="102">
        <f t="shared" si="3"/>
        <v>83381.28848334137</v>
      </c>
    </row>
    <row r="11" spans="1:83">
      <c r="B11" s="93" t="s">
        <v>248</v>
      </c>
      <c r="C11" s="1"/>
      <c r="D11" s="181">
        <v>0.75</v>
      </c>
      <c r="F11" s="102">
        <f t="shared" ref="F11:BA11" si="4">(F6+F8)*$D$11</f>
        <v>0</v>
      </c>
      <c r="G11" s="102">
        <f t="shared" si="4"/>
        <v>0</v>
      </c>
      <c r="H11" s="102">
        <f t="shared" si="4"/>
        <v>0</v>
      </c>
      <c r="I11" s="102">
        <f t="shared" si="4"/>
        <v>0</v>
      </c>
      <c r="J11" s="102">
        <f t="shared" si="4"/>
        <v>0</v>
      </c>
      <c r="K11" s="102">
        <f t="shared" si="4"/>
        <v>0</v>
      </c>
      <c r="L11" s="102">
        <f t="shared" si="4"/>
        <v>0</v>
      </c>
      <c r="M11" s="102">
        <f t="shared" si="4"/>
        <v>0</v>
      </c>
      <c r="N11" s="102">
        <f t="shared" si="4"/>
        <v>0</v>
      </c>
      <c r="O11" s="102">
        <f t="shared" si="4"/>
        <v>0</v>
      </c>
      <c r="P11" s="102">
        <f t="shared" si="4"/>
        <v>0</v>
      </c>
      <c r="Q11" s="102">
        <f t="shared" si="4"/>
        <v>0</v>
      </c>
      <c r="R11" s="102">
        <f t="shared" si="4"/>
        <v>0</v>
      </c>
      <c r="S11" s="102">
        <f t="shared" si="4"/>
        <v>0</v>
      </c>
      <c r="T11" s="102">
        <f t="shared" si="4"/>
        <v>0</v>
      </c>
      <c r="U11" s="102">
        <f t="shared" si="4"/>
        <v>0</v>
      </c>
      <c r="V11" s="102">
        <f t="shared" si="4"/>
        <v>0</v>
      </c>
      <c r="W11" s="102">
        <f t="shared" si="4"/>
        <v>0</v>
      </c>
      <c r="X11" s="102">
        <f t="shared" si="4"/>
        <v>-2453.2200000000003</v>
      </c>
      <c r="Y11" s="102">
        <f t="shared" si="4"/>
        <v>-2453.2200000000003</v>
      </c>
      <c r="Z11" s="102">
        <f t="shared" si="4"/>
        <v>-2453.2200000000003</v>
      </c>
      <c r="AA11" s="102">
        <f t="shared" si="4"/>
        <v>-2453.2200000000003</v>
      </c>
      <c r="AB11" s="102">
        <f t="shared" si="4"/>
        <v>-2453.2200000000003</v>
      </c>
      <c r="AC11" s="102">
        <f t="shared" si="4"/>
        <v>-2453.2200000000003</v>
      </c>
      <c r="AD11" s="102">
        <f t="shared" si="4"/>
        <v>-2526.8166000000001</v>
      </c>
      <c r="AE11" s="102">
        <f t="shared" si="4"/>
        <v>-2526.8166000000001</v>
      </c>
      <c r="AF11" s="102">
        <f t="shared" si="4"/>
        <v>-4906.1166000000012</v>
      </c>
      <c r="AG11" s="102">
        <f t="shared" si="4"/>
        <v>-6988.004100000001</v>
      </c>
      <c r="AH11" s="102">
        <f t="shared" si="4"/>
        <v>-6988.004100000001</v>
      </c>
      <c r="AI11" s="102">
        <f t="shared" si="4"/>
        <v>-8475.0666000000019</v>
      </c>
      <c r="AJ11" s="102">
        <f t="shared" si="4"/>
        <v>-12638.841600000002</v>
      </c>
      <c r="AK11" s="102">
        <f t="shared" si="4"/>
        <v>-14423.316600000002</v>
      </c>
      <c r="AL11" s="102">
        <f t="shared" si="4"/>
        <v>-17873.301599999999</v>
      </c>
      <c r="AM11" s="102">
        <f t="shared" si="4"/>
        <v>-17873.301599999999</v>
      </c>
      <c r="AN11" s="102">
        <f t="shared" si="4"/>
        <v>-19856.051599999999</v>
      </c>
      <c r="AO11" s="102">
        <f t="shared" si="4"/>
        <v>-23425.001599999996</v>
      </c>
      <c r="AP11" s="102">
        <f t="shared" si="4"/>
        <v>-25955.171497062496</v>
      </c>
      <c r="AQ11" s="102">
        <f t="shared" si="4"/>
        <v>-26005.849071124998</v>
      </c>
      <c r="AR11" s="102">
        <f t="shared" si="4"/>
        <v>-32322.650619874999</v>
      </c>
      <c r="AS11" s="102">
        <f t="shared" si="4"/>
        <v>-32378.959035499993</v>
      </c>
      <c r="AT11" s="102">
        <f t="shared" si="4"/>
        <v>-32435.267451124993</v>
      </c>
      <c r="AU11" s="102">
        <f t="shared" si="4"/>
        <v>-32491.575866749998</v>
      </c>
      <c r="AV11" s="102">
        <f t="shared" si="4"/>
        <v>-38408.335080500001</v>
      </c>
      <c r="AW11" s="102">
        <f t="shared" si="4"/>
        <v>-38532.213594875</v>
      </c>
      <c r="AX11" s="102">
        <f t="shared" si="4"/>
        <v>-38656.092109250007</v>
      </c>
      <c r="AY11" s="102">
        <f t="shared" si="4"/>
        <v>-38841.909880812498</v>
      </c>
      <c r="AZ11" s="102">
        <f t="shared" si="4"/>
        <v>-41233.338752374999</v>
      </c>
      <c r="BA11" s="102">
        <f t="shared" si="4"/>
        <v>-41419.156523937498</v>
      </c>
      <c r="BB11" s="102">
        <f t="shared" ref="BB11:BM11" si="5">(BB6+BB8)*$D$11</f>
        <v>-45942.741476940006</v>
      </c>
      <c r="BC11" s="102">
        <f t="shared" si="5"/>
        <v>-46252.522727564996</v>
      </c>
      <c r="BD11" s="102">
        <f t="shared" si="5"/>
        <v>-49094.161910640003</v>
      </c>
      <c r="BE11" s="102">
        <f t="shared" si="5"/>
        <v>-49405.069638539993</v>
      </c>
      <c r="BF11" s="102">
        <f t="shared" si="5"/>
        <v>-51671.376658439993</v>
      </c>
      <c r="BG11" s="102">
        <f t="shared" si="5"/>
        <v>-52106.783915340005</v>
      </c>
      <c r="BH11" s="102">
        <f t="shared" si="5"/>
        <v>-52417.862190539992</v>
      </c>
      <c r="BI11" s="102">
        <f t="shared" si="5"/>
        <v>-52853.439994740002</v>
      </c>
      <c r="BJ11" s="102">
        <f t="shared" si="5"/>
        <v>-53226.76803444</v>
      </c>
      <c r="BK11" s="102">
        <f t="shared" si="5"/>
        <v>-53911.003802039995</v>
      </c>
      <c r="BL11" s="102">
        <f t="shared" si="5"/>
        <v>-55651.435953190005</v>
      </c>
      <c r="BM11" s="102">
        <f t="shared" si="5"/>
        <v>-56024.593445589999</v>
      </c>
      <c r="BN11" s="102">
        <f t="shared" ref="BN11:BS11" si="6">(BN6+BN8)*$D$11</f>
        <v>-57904.9756238107</v>
      </c>
      <c r="BO11" s="102">
        <f t="shared" si="6"/>
        <v>-58184.843743110701</v>
      </c>
      <c r="BP11" s="102">
        <f t="shared" si="6"/>
        <v>-58464.711862410702</v>
      </c>
      <c r="BQ11" s="102">
        <f t="shared" si="6"/>
        <v>-58744.579981710718</v>
      </c>
      <c r="BR11" s="102">
        <f t="shared" si="6"/>
        <v>-59024.448101010697</v>
      </c>
      <c r="BS11" s="102">
        <f t="shared" si="6"/>
        <v>-59211.026847210698</v>
      </c>
      <c r="BT11" s="102">
        <f t="shared" ref="BT11:CE11" si="7">(BT6+BT8)*$D$11</f>
        <v>-59397.605593410713</v>
      </c>
      <c r="BU11" s="102">
        <f t="shared" si="7"/>
        <v>-59584.184339610707</v>
      </c>
      <c r="BV11" s="102">
        <f t="shared" si="7"/>
        <v>-59770.763085810715</v>
      </c>
      <c r="BW11" s="102">
        <f t="shared" si="7"/>
        <v>-59957.341832010701</v>
      </c>
      <c r="BX11" s="102">
        <f t="shared" si="7"/>
        <v>-60143.920578210709</v>
      </c>
      <c r="BY11" s="102">
        <f t="shared" si="7"/>
        <v>-60330.499324410703</v>
      </c>
      <c r="BZ11" s="102">
        <f t="shared" si="7"/>
        <v>-62013.545873146031</v>
      </c>
      <c r="CA11" s="102">
        <f t="shared" si="7"/>
        <v>-62162.808870106033</v>
      </c>
      <c r="CB11" s="102">
        <f t="shared" si="7"/>
        <v>-62256.098243206026</v>
      </c>
      <c r="CC11" s="102">
        <f t="shared" si="7"/>
        <v>-62349.387616306034</v>
      </c>
      <c r="CD11" s="102">
        <f t="shared" si="7"/>
        <v>-62442.676989406034</v>
      </c>
      <c r="CE11" s="102">
        <f t="shared" si="7"/>
        <v>-62535.966362506028</v>
      </c>
    </row>
    <row r="12" spans="1:83">
      <c r="B12" s="93" t="s">
        <v>249</v>
      </c>
      <c r="C12" s="1"/>
      <c r="D12" s="10">
        <f>1-D11</f>
        <v>0.25</v>
      </c>
      <c r="F12" s="102">
        <f t="shared" ref="F12:BA12" si="8">F6+F8-F11</f>
        <v>0</v>
      </c>
      <c r="G12" s="102">
        <f t="shared" si="8"/>
        <v>0</v>
      </c>
      <c r="H12" s="102">
        <f t="shared" si="8"/>
        <v>0</v>
      </c>
      <c r="I12" s="102">
        <f t="shared" si="8"/>
        <v>0</v>
      </c>
      <c r="J12" s="102">
        <f t="shared" si="8"/>
        <v>0</v>
      </c>
      <c r="K12" s="102">
        <f t="shared" si="8"/>
        <v>0</v>
      </c>
      <c r="L12" s="102">
        <f t="shared" si="8"/>
        <v>0</v>
      </c>
      <c r="M12" s="102">
        <f t="shared" si="8"/>
        <v>0</v>
      </c>
      <c r="N12" s="102">
        <f t="shared" si="8"/>
        <v>0</v>
      </c>
      <c r="O12" s="102">
        <f t="shared" si="8"/>
        <v>0</v>
      </c>
      <c r="P12" s="102">
        <f t="shared" si="8"/>
        <v>0</v>
      </c>
      <c r="Q12" s="102">
        <f t="shared" si="8"/>
        <v>0</v>
      </c>
      <c r="R12" s="102">
        <f t="shared" si="8"/>
        <v>0</v>
      </c>
      <c r="S12" s="102">
        <f t="shared" si="8"/>
        <v>0</v>
      </c>
      <c r="T12" s="102">
        <f t="shared" si="8"/>
        <v>0</v>
      </c>
      <c r="U12" s="102">
        <f t="shared" si="8"/>
        <v>0</v>
      </c>
      <c r="V12" s="102">
        <f t="shared" si="8"/>
        <v>0</v>
      </c>
      <c r="W12" s="102">
        <f t="shared" si="8"/>
        <v>0</v>
      </c>
      <c r="X12" s="102">
        <f t="shared" si="8"/>
        <v>-817.73999999999978</v>
      </c>
      <c r="Y12" s="102">
        <f t="shared" si="8"/>
        <v>-817.73999999999978</v>
      </c>
      <c r="Z12" s="102">
        <f t="shared" si="8"/>
        <v>-817.73999999999978</v>
      </c>
      <c r="AA12" s="102">
        <f t="shared" si="8"/>
        <v>-817.73999999999978</v>
      </c>
      <c r="AB12" s="102">
        <f t="shared" si="8"/>
        <v>-817.73999999999978</v>
      </c>
      <c r="AC12" s="102">
        <f t="shared" si="8"/>
        <v>-817.73999999999978</v>
      </c>
      <c r="AD12" s="102">
        <f t="shared" si="8"/>
        <v>-842.27220000000034</v>
      </c>
      <c r="AE12" s="102">
        <f t="shared" si="8"/>
        <v>-842.27220000000034</v>
      </c>
      <c r="AF12" s="102">
        <f t="shared" si="8"/>
        <v>-1635.3721999999998</v>
      </c>
      <c r="AG12" s="102">
        <f t="shared" si="8"/>
        <v>-2329.3347000000003</v>
      </c>
      <c r="AH12" s="102">
        <f t="shared" si="8"/>
        <v>-2329.3347000000003</v>
      </c>
      <c r="AI12" s="102">
        <f t="shared" si="8"/>
        <v>-2825.0221999999994</v>
      </c>
      <c r="AJ12" s="102">
        <f t="shared" si="8"/>
        <v>-4212.9472000000005</v>
      </c>
      <c r="AK12" s="102">
        <f t="shared" si="8"/>
        <v>-4807.7721999999994</v>
      </c>
      <c r="AL12" s="102">
        <f t="shared" si="8"/>
        <v>-5957.767200000002</v>
      </c>
      <c r="AM12" s="102">
        <f t="shared" si="8"/>
        <v>-5957.767200000002</v>
      </c>
      <c r="AN12" s="102">
        <f t="shared" si="8"/>
        <v>-6618.6838666666663</v>
      </c>
      <c r="AO12" s="102">
        <f t="shared" si="8"/>
        <v>-7808.3338666666677</v>
      </c>
      <c r="AP12" s="102">
        <f t="shared" si="8"/>
        <v>-8651.7238323541678</v>
      </c>
      <c r="AQ12" s="102">
        <f t="shared" si="8"/>
        <v>-8668.6163570416684</v>
      </c>
      <c r="AR12" s="102">
        <f t="shared" si="8"/>
        <v>-10774.216873291669</v>
      </c>
      <c r="AS12" s="102">
        <f t="shared" si="8"/>
        <v>-10792.986345166664</v>
      </c>
      <c r="AT12" s="102">
        <f t="shared" si="8"/>
        <v>-10811.755817041667</v>
      </c>
      <c r="AU12" s="102">
        <f t="shared" si="8"/>
        <v>-10830.525288916666</v>
      </c>
      <c r="AV12" s="102">
        <f t="shared" si="8"/>
        <v>-12802.778360166667</v>
      </c>
      <c r="AW12" s="102">
        <f t="shared" si="8"/>
        <v>-12844.071198291669</v>
      </c>
      <c r="AX12" s="102">
        <f t="shared" si="8"/>
        <v>-12885.364036416664</v>
      </c>
      <c r="AY12" s="102">
        <f t="shared" si="8"/>
        <v>-12947.303293604164</v>
      </c>
      <c r="AZ12" s="102">
        <f t="shared" si="8"/>
        <v>-13744.446250791661</v>
      </c>
      <c r="BA12" s="102">
        <f t="shared" si="8"/>
        <v>-13806.385507979168</v>
      </c>
      <c r="BB12" s="102">
        <f t="shared" ref="BB12:BM12" si="9">BB6+BB8-BB11</f>
        <v>-15314.247158979997</v>
      </c>
      <c r="BC12" s="102">
        <f t="shared" si="9"/>
        <v>-15417.507575855001</v>
      </c>
      <c r="BD12" s="102">
        <f t="shared" si="9"/>
        <v>-16364.720636880003</v>
      </c>
      <c r="BE12" s="102">
        <f t="shared" si="9"/>
        <v>-16468.356546180003</v>
      </c>
      <c r="BF12" s="102">
        <f t="shared" si="9"/>
        <v>-17223.792219479998</v>
      </c>
      <c r="BG12" s="102">
        <f t="shared" si="9"/>
        <v>-17368.927971780002</v>
      </c>
      <c r="BH12" s="102">
        <f t="shared" si="9"/>
        <v>-17472.620730180002</v>
      </c>
      <c r="BI12" s="102">
        <f t="shared" si="9"/>
        <v>-17617.813331580001</v>
      </c>
      <c r="BJ12" s="102">
        <f t="shared" si="9"/>
        <v>-17742.25601148</v>
      </c>
      <c r="BK12" s="102">
        <f t="shared" si="9"/>
        <v>-17970.334600679998</v>
      </c>
      <c r="BL12" s="102">
        <f t="shared" si="9"/>
        <v>-18550.478651063335</v>
      </c>
      <c r="BM12" s="102">
        <f t="shared" si="9"/>
        <v>-18674.864481863333</v>
      </c>
      <c r="BN12" s="102">
        <f t="shared" ref="BN12:BS12" si="10">BN6+BN8-BN11</f>
        <v>-19301.658541270233</v>
      </c>
      <c r="BO12" s="102">
        <f t="shared" si="10"/>
        <v>-19394.947914370234</v>
      </c>
      <c r="BP12" s="102">
        <f t="shared" si="10"/>
        <v>-19488.237287470234</v>
      </c>
      <c r="BQ12" s="102">
        <f t="shared" si="10"/>
        <v>-19581.526660570235</v>
      </c>
      <c r="BR12" s="102">
        <f t="shared" si="10"/>
        <v>-19674.816033670228</v>
      </c>
      <c r="BS12" s="102">
        <f t="shared" si="10"/>
        <v>-19737.008949070238</v>
      </c>
      <c r="BT12" s="102">
        <f t="shared" ref="BT12:CE12" si="11">BT6+BT8-BT11</f>
        <v>-19799.201864470233</v>
      </c>
      <c r="BU12" s="102">
        <f t="shared" si="11"/>
        <v>-19861.394779870236</v>
      </c>
      <c r="BV12" s="102">
        <f t="shared" si="11"/>
        <v>-19923.587695270238</v>
      </c>
      <c r="BW12" s="102">
        <f t="shared" si="11"/>
        <v>-19985.780610670234</v>
      </c>
      <c r="BX12" s="102">
        <f t="shared" si="11"/>
        <v>-20047.973526070236</v>
      </c>
      <c r="BY12" s="102">
        <f t="shared" si="11"/>
        <v>-20110.166441470239</v>
      </c>
      <c r="BZ12" s="102">
        <f t="shared" si="11"/>
        <v>-20671.181957715344</v>
      </c>
      <c r="CA12" s="102">
        <f t="shared" si="11"/>
        <v>-20720.936290035344</v>
      </c>
      <c r="CB12" s="102">
        <f t="shared" si="11"/>
        <v>-20752.032747735342</v>
      </c>
      <c r="CC12" s="102">
        <f t="shared" si="11"/>
        <v>-20783.12920543534</v>
      </c>
      <c r="CD12" s="102">
        <f t="shared" si="11"/>
        <v>-20814.225663135345</v>
      </c>
      <c r="CE12" s="102">
        <f t="shared" si="11"/>
        <v>-20845.322120835343</v>
      </c>
    </row>
    <row r="13" spans="1:83">
      <c r="B13" s="93" t="s">
        <v>250</v>
      </c>
      <c r="C13" s="1"/>
      <c r="F13" s="102">
        <f t="shared" ref="F13:BA13" si="12">SUM(F10:F12)</f>
        <v>0</v>
      </c>
      <c r="G13" s="102">
        <f t="shared" si="12"/>
        <v>0</v>
      </c>
      <c r="H13" s="102">
        <f t="shared" si="12"/>
        <v>0</v>
      </c>
      <c r="I13" s="102">
        <f t="shared" si="12"/>
        <v>0</v>
      </c>
      <c r="J13" s="102">
        <f t="shared" si="12"/>
        <v>0</v>
      </c>
      <c r="K13" s="102">
        <f t="shared" si="12"/>
        <v>0</v>
      </c>
      <c r="L13" s="102">
        <f t="shared" si="12"/>
        <v>0</v>
      </c>
      <c r="M13" s="102">
        <f t="shared" si="12"/>
        <v>0</v>
      </c>
      <c r="N13" s="102">
        <f t="shared" si="12"/>
        <v>0</v>
      </c>
      <c r="O13" s="102">
        <f t="shared" si="12"/>
        <v>0</v>
      </c>
      <c r="P13" s="102">
        <f t="shared" si="12"/>
        <v>0</v>
      </c>
      <c r="Q13" s="102">
        <f t="shared" si="12"/>
        <v>0</v>
      </c>
      <c r="R13" s="102">
        <f t="shared" si="12"/>
        <v>0</v>
      </c>
      <c r="S13" s="102">
        <f t="shared" si="12"/>
        <v>0</v>
      </c>
      <c r="T13" s="102">
        <f t="shared" si="12"/>
        <v>0</v>
      </c>
      <c r="U13" s="102">
        <f t="shared" si="12"/>
        <v>0</v>
      </c>
      <c r="V13" s="102">
        <f t="shared" si="12"/>
        <v>0</v>
      </c>
      <c r="W13" s="102">
        <f t="shared" si="12"/>
        <v>0</v>
      </c>
      <c r="X13" s="102">
        <f t="shared" si="12"/>
        <v>0</v>
      </c>
      <c r="Y13" s="102">
        <f t="shared" si="12"/>
        <v>0</v>
      </c>
      <c r="Z13" s="102">
        <f t="shared" si="12"/>
        <v>0</v>
      </c>
      <c r="AA13" s="102">
        <f t="shared" si="12"/>
        <v>0</v>
      </c>
      <c r="AB13" s="102">
        <f t="shared" si="12"/>
        <v>0</v>
      </c>
      <c r="AC13" s="102">
        <f t="shared" si="12"/>
        <v>0</v>
      </c>
      <c r="AD13" s="102">
        <f t="shared" si="12"/>
        <v>0</v>
      </c>
      <c r="AE13" s="102">
        <f t="shared" si="12"/>
        <v>0</v>
      </c>
      <c r="AF13" s="102">
        <f t="shared" si="12"/>
        <v>0</v>
      </c>
      <c r="AG13" s="102">
        <f t="shared" si="12"/>
        <v>0</v>
      </c>
      <c r="AH13" s="102">
        <f t="shared" si="12"/>
        <v>0</v>
      </c>
      <c r="AI13" s="102">
        <f t="shared" si="12"/>
        <v>0</v>
      </c>
      <c r="AJ13" s="102">
        <f t="shared" si="12"/>
        <v>0</v>
      </c>
      <c r="AK13" s="102">
        <f t="shared" si="12"/>
        <v>0</v>
      </c>
      <c r="AL13" s="102">
        <f t="shared" si="12"/>
        <v>0</v>
      </c>
      <c r="AM13" s="102">
        <f t="shared" si="12"/>
        <v>0</v>
      </c>
      <c r="AN13" s="102">
        <f t="shared" si="12"/>
        <v>0</v>
      </c>
      <c r="AO13" s="102">
        <f t="shared" si="12"/>
        <v>0</v>
      </c>
      <c r="AP13" s="102">
        <f t="shared" si="12"/>
        <v>0</v>
      </c>
      <c r="AQ13" s="102">
        <f t="shared" si="12"/>
        <v>0</v>
      </c>
      <c r="AR13" s="102">
        <f t="shared" si="12"/>
        <v>0</v>
      </c>
      <c r="AS13" s="102">
        <f t="shared" si="12"/>
        <v>0</v>
      </c>
      <c r="AT13" s="102">
        <f t="shared" si="12"/>
        <v>0</v>
      </c>
      <c r="AU13" s="102">
        <f t="shared" si="12"/>
        <v>0</v>
      </c>
      <c r="AV13" s="102">
        <f t="shared" si="12"/>
        <v>0</v>
      </c>
      <c r="AW13" s="102">
        <f t="shared" si="12"/>
        <v>0</v>
      </c>
      <c r="AX13" s="102">
        <f t="shared" si="12"/>
        <v>0</v>
      </c>
      <c r="AY13" s="102">
        <f t="shared" si="12"/>
        <v>0</v>
      </c>
      <c r="AZ13" s="102">
        <f t="shared" si="12"/>
        <v>0</v>
      </c>
      <c r="BA13" s="102">
        <f t="shared" si="12"/>
        <v>0</v>
      </c>
      <c r="BB13" s="102">
        <f t="shared" ref="BB13:BM13" si="13">SUM(BB10:BB12)</f>
        <v>0</v>
      </c>
      <c r="BC13" s="102">
        <f t="shared" si="13"/>
        <v>0</v>
      </c>
      <c r="BD13" s="102">
        <f t="shared" si="13"/>
        <v>0</v>
      </c>
      <c r="BE13" s="102">
        <f t="shared" si="13"/>
        <v>0</v>
      </c>
      <c r="BF13" s="102">
        <f t="shared" si="13"/>
        <v>0</v>
      </c>
      <c r="BG13" s="102">
        <f t="shared" si="13"/>
        <v>0</v>
      </c>
      <c r="BH13" s="102">
        <f t="shared" si="13"/>
        <v>0</v>
      </c>
      <c r="BI13" s="102">
        <f t="shared" si="13"/>
        <v>0</v>
      </c>
      <c r="BJ13" s="102">
        <f t="shared" si="13"/>
        <v>0</v>
      </c>
      <c r="BK13" s="102">
        <f t="shared" si="13"/>
        <v>0</v>
      </c>
      <c r="BL13" s="102">
        <f t="shared" si="13"/>
        <v>0</v>
      </c>
      <c r="BM13" s="102">
        <f t="shared" si="13"/>
        <v>0</v>
      </c>
      <c r="BN13" s="102">
        <f t="shared" ref="BN13:BS13" si="14">SUM(BN10:BN12)</f>
        <v>0</v>
      </c>
      <c r="BO13" s="102">
        <f t="shared" si="14"/>
        <v>0</v>
      </c>
      <c r="BP13" s="102">
        <f t="shared" si="14"/>
        <v>0</v>
      </c>
      <c r="BQ13" s="102">
        <f t="shared" si="14"/>
        <v>0</v>
      </c>
      <c r="BR13" s="102">
        <f t="shared" si="14"/>
        <v>0</v>
      </c>
      <c r="BS13" s="102">
        <f t="shared" si="14"/>
        <v>0</v>
      </c>
      <c r="BT13" s="102">
        <f t="shared" ref="BT13:CE13" si="15">SUM(BT10:BT12)</f>
        <v>0</v>
      </c>
      <c r="BU13" s="102">
        <f t="shared" si="15"/>
        <v>0</v>
      </c>
      <c r="BV13" s="102">
        <f t="shared" si="15"/>
        <v>0</v>
      </c>
      <c r="BW13" s="102">
        <f t="shared" si="15"/>
        <v>0</v>
      </c>
      <c r="BX13" s="102">
        <f t="shared" si="15"/>
        <v>0</v>
      </c>
      <c r="BY13" s="102">
        <f t="shared" si="15"/>
        <v>0</v>
      </c>
      <c r="BZ13" s="102">
        <f t="shared" si="15"/>
        <v>0</v>
      </c>
      <c r="CA13" s="102">
        <f t="shared" si="15"/>
        <v>0</v>
      </c>
      <c r="CB13" s="102">
        <f t="shared" si="15"/>
        <v>0</v>
      </c>
      <c r="CC13" s="102">
        <f t="shared" si="15"/>
        <v>0</v>
      </c>
      <c r="CD13" s="102">
        <f t="shared" si="15"/>
        <v>0</v>
      </c>
      <c r="CE13" s="102">
        <f t="shared" si="15"/>
        <v>0</v>
      </c>
    </row>
    <row r="14" spans="1:83">
      <c r="B14" s="1"/>
      <c r="C14" s="1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</row>
    <row r="15" spans="1:83">
      <c r="B15" s="93" t="s">
        <v>251</v>
      </c>
      <c r="C15" s="1"/>
      <c r="F15" s="102">
        <f t="shared" ref="F15:BA15" si="16">F5</f>
        <v>0</v>
      </c>
      <c r="G15" s="102">
        <f t="shared" si="16"/>
        <v>0</v>
      </c>
      <c r="H15" s="102">
        <f t="shared" si="16"/>
        <v>0</v>
      </c>
      <c r="I15" s="102">
        <f t="shared" si="16"/>
        <v>0</v>
      </c>
      <c r="J15" s="102">
        <f t="shared" si="16"/>
        <v>0</v>
      </c>
      <c r="K15" s="102">
        <f t="shared" si="16"/>
        <v>0</v>
      </c>
      <c r="L15" s="102">
        <f t="shared" si="16"/>
        <v>0</v>
      </c>
      <c r="M15" s="102">
        <f t="shared" si="16"/>
        <v>0</v>
      </c>
      <c r="N15" s="102">
        <f t="shared" si="16"/>
        <v>0</v>
      </c>
      <c r="O15" s="102">
        <f t="shared" si="16"/>
        <v>0</v>
      </c>
      <c r="P15" s="102">
        <f t="shared" si="16"/>
        <v>0</v>
      </c>
      <c r="Q15" s="102">
        <f t="shared" si="16"/>
        <v>0</v>
      </c>
      <c r="R15" s="102">
        <f t="shared" si="16"/>
        <v>0</v>
      </c>
      <c r="S15" s="102">
        <f t="shared" si="16"/>
        <v>0</v>
      </c>
      <c r="T15" s="102">
        <f t="shared" si="16"/>
        <v>0</v>
      </c>
      <c r="U15" s="102">
        <f t="shared" si="16"/>
        <v>0</v>
      </c>
      <c r="V15" s="102">
        <f t="shared" si="16"/>
        <v>0</v>
      </c>
      <c r="W15" s="102">
        <f t="shared" si="16"/>
        <v>0</v>
      </c>
      <c r="X15" s="102">
        <f t="shared" si="16"/>
        <v>3270.96</v>
      </c>
      <c r="Y15" s="102">
        <f t="shared" si="16"/>
        <v>3270.96</v>
      </c>
      <c r="Z15" s="102">
        <f t="shared" si="16"/>
        <v>3270.96</v>
      </c>
      <c r="AA15" s="102">
        <f t="shared" si="16"/>
        <v>3270.96</v>
      </c>
      <c r="AB15" s="102">
        <f t="shared" si="16"/>
        <v>3270.96</v>
      </c>
      <c r="AC15" s="102">
        <f t="shared" si="16"/>
        <v>3270.96</v>
      </c>
      <c r="AD15" s="102">
        <f t="shared" si="16"/>
        <v>3369.0888000000004</v>
      </c>
      <c r="AE15" s="102">
        <f t="shared" si="16"/>
        <v>3369.0888000000004</v>
      </c>
      <c r="AF15" s="102">
        <f t="shared" si="16"/>
        <v>6541.488800000001</v>
      </c>
      <c r="AG15" s="102">
        <f t="shared" si="16"/>
        <v>9317.3388000000014</v>
      </c>
      <c r="AH15" s="102">
        <f t="shared" si="16"/>
        <v>9317.3388000000014</v>
      </c>
      <c r="AI15" s="102">
        <f t="shared" si="16"/>
        <v>11300.088800000001</v>
      </c>
      <c r="AJ15" s="102">
        <f t="shared" si="16"/>
        <v>16851.788800000002</v>
      </c>
      <c r="AK15" s="102">
        <f t="shared" si="16"/>
        <v>19231.088800000001</v>
      </c>
      <c r="AL15" s="102">
        <f t="shared" si="16"/>
        <v>23831.068800000001</v>
      </c>
      <c r="AM15" s="102">
        <f t="shared" si="16"/>
        <v>23831.068800000001</v>
      </c>
      <c r="AN15" s="102">
        <f t="shared" si="16"/>
        <v>26474.735466666665</v>
      </c>
      <c r="AO15" s="102">
        <f t="shared" si="16"/>
        <v>31233.335466666664</v>
      </c>
      <c r="AP15" s="102">
        <f t="shared" si="16"/>
        <v>34606.895329416664</v>
      </c>
      <c r="AQ15" s="102">
        <f t="shared" si="16"/>
        <v>34674.465428166666</v>
      </c>
      <c r="AR15" s="102">
        <f t="shared" si="16"/>
        <v>43096.867493166668</v>
      </c>
      <c r="AS15" s="102">
        <f t="shared" si="16"/>
        <v>43171.945380666657</v>
      </c>
      <c r="AT15" s="102">
        <f t="shared" si="16"/>
        <v>43247.02326816666</v>
      </c>
      <c r="AU15" s="102">
        <f t="shared" si="16"/>
        <v>43322.101155666664</v>
      </c>
      <c r="AV15" s="102">
        <f t="shared" si="16"/>
        <v>51211.113440666668</v>
      </c>
      <c r="AW15" s="102">
        <f t="shared" si="16"/>
        <v>51376.284793166669</v>
      </c>
      <c r="AX15" s="102">
        <f t="shared" si="16"/>
        <v>51541.456145666671</v>
      </c>
      <c r="AY15" s="102">
        <f t="shared" si="16"/>
        <v>51789.213174416662</v>
      </c>
      <c r="AZ15" s="102">
        <f t="shared" si="16"/>
        <v>54977.78500316666</v>
      </c>
      <c r="BA15" s="102">
        <f t="shared" si="16"/>
        <v>55225.542031916666</v>
      </c>
      <c r="BB15" s="102">
        <f t="shared" ref="BB15:BM15" si="17">BB5</f>
        <v>61256.988635920003</v>
      </c>
      <c r="BC15" s="102">
        <f t="shared" si="17"/>
        <v>61670.030303419997</v>
      </c>
      <c r="BD15" s="102">
        <f t="shared" si="17"/>
        <v>65458.882547520006</v>
      </c>
      <c r="BE15" s="102">
        <f t="shared" si="17"/>
        <v>65873.426184719996</v>
      </c>
      <c r="BF15" s="102">
        <f t="shared" si="17"/>
        <v>68895.16887791999</v>
      </c>
      <c r="BG15" s="102">
        <f t="shared" si="17"/>
        <v>69475.711887120007</v>
      </c>
      <c r="BH15" s="102">
        <f t="shared" si="17"/>
        <v>69890.482920719995</v>
      </c>
      <c r="BI15" s="102">
        <f t="shared" si="17"/>
        <v>70471.253326320002</v>
      </c>
      <c r="BJ15" s="102">
        <f t="shared" si="17"/>
        <v>70969.024045919999</v>
      </c>
      <c r="BK15" s="102">
        <f t="shared" si="17"/>
        <v>71881.338402719994</v>
      </c>
      <c r="BL15" s="102">
        <f t="shared" si="17"/>
        <v>74201.914604253339</v>
      </c>
      <c r="BM15" s="102">
        <f t="shared" si="17"/>
        <v>74699.457927453332</v>
      </c>
      <c r="BN15" s="102">
        <f t="shared" ref="BN15:BS15" si="18">BN5</f>
        <v>77206.634165080934</v>
      </c>
      <c r="BO15" s="102">
        <f t="shared" si="18"/>
        <v>77579.791657480935</v>
      </c>
      <c r="BP15" s="102">
        <f t="shared" si="18"/>
        <v>77952.949149880937</v>
      </c>
      <c r="BQ15" s="102">
        <f t="shared" si="18"/>
        <v>78326.106642280953</v>
      </c>
      <c r="BR15" s="102">
        <f t="shared" si="18"/>
        <v>78699.264134680925</v>
      </c>
      <c r="BS15" s="102">
        <f t="shared" si="18"/>
        <v>78948.035796280936</v>
      </c>
      <c r="BT15" s="102">
        <f t="shared" ref="BT15:CE15" si="19">BT5</f>
        <v>79196.807457880946</v>
      </c>
      <c r="BU15" s="102">
        <f t="shared" si="19"/>
        <v>79445.579119480943</v>
      </c>
      <c r="BV15" s="102">
        <f t="shared" si="19"/>
        <v>79694.350781080953</v>
      </c>
      <c r="BW15" s="102">
        <f t="shared" si="19"/>
        <v>79943.122442680935</v>
      </c>
      <c r="BX15" s="102">
        <f t="shared" si="19"/>
        <v>80191.894104280946</v>
      </c>
      <c r="BY15" s="102">
        <f t="shared" si="19"/>
        <v>80440.665765880942</v>
      </c>
      <c r="BZ15" s="102">
        <f t="shared" si="19"/>
        <v>82684.727830861375</v>
      </c>
      <c r="CA15" s="102">
        <f t="shared" si="19"/>
        <v>82883.745160141378</v>
      </c>
      <c r="CB15" s="102">
        <f t="shared" si="19"/>
        <v>83008.130990941369</v>
      </c>
      <c r="CC15" s="102">
        <f t="shared" si="19"/>
        <v>83132.516821741374</v>
      </c>
      <c r="CD15" s="102">
        <f t="shared" si="19"/>
        <v>83256.902652541379</v>
      </c>
      <c r="CE15" s="102">
        <f t="shared" si="19"/>
        <v>83381.28848334137</v>
      </c>
    </row>
    <row r="16" spans="1:83">
      <c r="B16" s="93" t="s">
        <v>252</v>
      </c>
      <c r="C16" s="1"/>
      <c r="F16" s="102"/>
      <c r="G16" s="102">
        <f t="shared" ref="G16:BA16" si="20">F11</f>
        <v>0</v>
      </c>
      <c r="H16" s="102">
        <f t="shared" si="20"/>
        <v>0</v>
      </c>
      <c r="I16" s="102">
        <f t="shared" si="20"/>
        <v>0</v>
      </c>
      <c r="J16" s="102">
        <f t="shared" si="20"/>
        <v>0</v>
      </c>
      <c r="K16" s="102">
        <f t="shared" si="20"/>
        <v>0</v>
      </c>
      <c r="L16" s="102">
        <f t="shared" si="20"/>
        <v>0</v>
      </c>
      <c r="M16" s="102">
        <f t="shared" si="20"/>
        <v>0</v>
      </c>
      <c r="N16" s="102">
        <f t="shared" si="20"/>
        <v>0</v>
      </c>
      <c r="O16" s="102">
        <f t="shared" si="20"/>
        <v>0</v>
      </c>
      <c r="P16" s="102">
        <f t="shared" si="20"/>
        <v>0</v>
      </c>
      <c r="Q16" s="102">
        <f t="shared" si="20"/>
        <v>0</v>
      </c>
      <c r="R16" s="102">
        <f t="shared" si="20"/>
        <v>0</v>
      </c>
      <c r="S16" s="102">
        <f t="shared" si="20"/>
        <v>0</v>
      </c>
      <c r="T16" s="102">
        <f t="shared" si="20"/>
        <v>0</v>
      </c>
      <c r="U16" s="102">
        <f t="shared" si="20"/>
        <v>0</v>
      </c>
      <c r="V16" s="102">
        <f t="shared" si="20"/>
        <v>0</v>
      </c>
      <c r="W16" s="102">
        <f t="shared" si="20"/>
        <v>0</v>
      </c>
      <c r="X16" s="102">
        <f t="shared" si="20"/>
        <v>0</v>
      </c>
      <c r="Y16" s="102">
        <f t="shared" si="20"/>
        <v>-2453.2200000000003</v>
      </c>
      <c r="Z16" s="102">
        <f t="shared" si="20"/>
        <v>-2453.2200000000003</v>
      </c>
      <c r="AA16" s="102">
        <f t="shared" si="20"/>
        <v>-2453.2200000000003</v>
      </c>
      <c r="AB16" s="102">
        <f t="shared" si="20"/>
        <v>-2453.2200000000003</v>
      </c>
      <c r="AC16" s="102">
        <f t="shared" si="20"/>
        <v>-2453.2200000000003</v>
      </c>
      <c r="AD16" s="102">
        <f t="shared" si="20"/>
        <v>-2453.2200000000003</v>
      </c>
      <c r="AE16" s="102">
        <f t="shared" si="20"/>
        <v>-2526.8166000000001</v>
      </c>
      <c r="AF16" s="102">
        <f t="shared" si="20"/>
        <v>-2526.8166000000001</v>
      </c>
      <c r="AG16" s="102">
        <f t="shared" si="20"/>
        <v>-4906.1166000000012</v>
      </c>
      <c r="AH16" s="102">
        <f t="shared" si="20"/>
        <v>-6988.004100000001</v>
      </c>
      <c r="AI16" s="102">
        <f t="shared" si="20"/>
        <v>-6988.004100000001</v>
      </c>
      <c r="AJ16" s="102">
        <f t="shared" si="20"/>
        <v>-8475.0666000000019</v>
      </c>
      <c r="AK16" s="102">
        <f t="shared" si="20"/>
        <v>-12638.841600000002</v>
      </c>
      <c r="AL16" s="102">
        <f t="shared" si="20"/>
        <v>-14423.316600000002</v>
      </c>
      <c r="AM16" s="102">
        <f t="shared" si="20"/>
        <v>-17873.301599999999</v>
      </c>
      <c r="AN16" s="102">
        <f t="shared" si="20"/>
        <v>-17873.301599999999</v>
      </c>
      <c r="AO16" s="102">
        <f t="shared" si="20"/>
        <v>-19856.051599999999</v>
      </c>
      <c r="AP16" s="102">
        <f t="shared" si="20"/>
        <v>-23425.001599999996</v>
      </c>
      <c r="AQ16" s="102">
        <f t="shared" si="20"/>
        <v>-25955.171497062496</v>
      </c>
      <c r="AR16" s="102">
        <f t="shared" si="20"/>
        <v>-26005.849071124998</v>
      </c>
      <c r="AS16" s="102">
        <f t="shared" si="20"/>
        <v>-32322.650619874999</v>
      </c>
      <c r="AT16" s="102">
        <f t="shared" si="20"/>
        <v>-32378.959035499993</v>
      </c>
      <c r="AU16" s="102">
        <f t="shared" si="20"/>
        <v>-32435.267451124993</v>
      </c>
      <c r="AV16" s="102">
        <f t="shared" si="20"/>
        <v>-32491.575866749998</v>
      </c>
      <c r="AW16" s="102">
        <f t="shared" si="20"/>
        <v>-38408.335080500001</v>
      </c>
      <c r="AX16" s="102">
        <f t="shared" si="20"/>
        <v>-38532.213594875</v>
      </c>
      <c r="AY16" s="102">
        <f t="shared" si="20"/>
        <v>-38656.092109250007</v>
      </c>
      <c r="AZ16" s="102">
        <f t="shared" si="20"/>
        <v>-38841.909880812498</v>
      </c>
      <c r="BA16" s="102">
        <f t="shared" si="20"/>
        <v>-41233.338752374999</v>
      </c>
      <c r="BB16" s="102">
        <f t="shared" ref="BB16:BM16" si="21">BA11</f>
        <v>-41419.156523937498</v>
      </c>
      <c r="BC16" s="102">
        <f t="shared" si="21"/>
        <v>-45942.741476940006</v>
      </c>
      <c r="BD16" s="102">
        <f t="shared" si="21"/>
        <v>-46252.522727564996</v>
      </c>
      <c r="BE16" s="102">
        <f t="shared" si="21"/>
        <v>-49094.161910640003</v>
      </c>
      <c r="BF16" s="102">
        <f t="shared" si="21"/>
        <v>-49405.069638539993</v>
      </c>
      <c r="BG16" s="102">
        <f t="shared" si="21"/>
        <v>-51671.376658439993</v>
      </c>
      <c r="BH16" s="102">
        <f t="shared" si="21"/>
        <v>-52106.783915340005</v>
      </c>
      <c r="BI16" s="102">
        <f t="shared" si="21"/>
        <v>-52417.862190539992</v>
      </c>
      <c r="BJ16" s="102">
        <f t="shared" si="21"/>
        <v>-52853.439994740002</v>
      </c>
      <c r="BK16" s="102">
        <f t="shared" si="21"/>
        <v>-53226.76803444</v>
      </c>
      <c r="BL16" s="102">
        <f t="shared" si="21"/>
        <v>-53911.003802039995</v>
      </c>
      <c r="BM16" s="102">
        <f t="shared" si="21"/>
        <v>-55651.435953190005</v>
      </c>
      <c r="BN16" s="102">
        <f t="shared" ref="BN16:BS16" si="22">BM11</f>
        <v>-56024.593445589999</v>
      </c>
      <c r="BO16" s="102">
        <f t="shared" si="22"/>
        <v>-57904.9756238107</v>
      </c>
      <c r="BP16" s="102">
        <f t="shared" si="22"/>
        <v>-58184.843743110701</v>
      </c>
      <c r="BQ16" s="102">
        <f t="shared" si="22"/>
        <v>-58464.711862410702</v>
      </c>
      <c r="BR16" s="102">
        <f t="shared" si="22"/>
        <v>-58744.579981710718</v>
      </c>
      <c r="BS16" s="102">
        <f t="shared" si="22"/>
        <v>-59024.448101010697</v>
      </c>
      <c r="BT16" s="102">
        <f t="shared" ref="BT16:CE16" si="23">BS11</f>
        <v>-59211.026847210698</v>
      </c>
      <c r="BU16" s="102">
        <f t="shared" si="23"/>
        <v>-59397.605593410713</v>
      </c>
      <c r="BV16" s="102">
        <f t="shared" si="23"/>
        <v>-59584.184339610707</v>
      </c>
      <c r="BW16" s="102">
        <f t="shared" si="23"/>
        <v>-59770.763085810715</v>
      </c>
      <c r="BX16" s="102">
        <f t="shared" si="23"/>
        <v>-59957.341832010701</v>
      </c>
      <c r="BY16" s="102">
        <f t="shared" si="23"/>
        <v>-60143.920578210709</v>
      </c>
      <c r="BZ16" s="102">
        <f t="shared" si="23"/>
        <v>-60330.499324410703</v>
      </c>
      <c r="CA16" s="102">
        <f t="shared" si="23"/>
        <v>-62013.545873146031</v>
      </c>
      <c r="CB16" s="102">
        <f t="shared" si="23"/>
        <v>-62162.808870106033</v>
      </c>
      <c r="CC16" s="102">
        <f t="shared" si="23"/>
        <v>-62256.098243206026</v>
      </c>
      <c r="CD16" s="102">
        <f t="shared" si="23"/>
        <v>-62349.387616306034</v>
      </c>
      <c r="CE16" s="102">
        <f t="shared" si="23"/>
        <v>-62442.676989406034</v>
      </c>
    </row>
    <row r="17" spans="1:87">
      <c r="B17" s="93" t="s">
        <v>253</v>
      </c>
      <c r="C17" s="1"/>
      <c r="F17" s="102"/>
      <c r="G17" s="102"/>
      <c r="H17" s="102"/>
      <c r="I17" s="102">
        <f>SUM(F12:H12)</f>
        <v>0</v>
      </c>
      <c r="J17" s="102"/>
      <c r="K17" s="102"/>
      <c r="L17" s="102">
        <f>SUM(I12:K12)</f>
        <v>0</v>
      </c>
      <c r="M17" s="102"/>
      <c r="N17" s="102"/>
      <c r="O17" s="102">
        <f>SUM(L12:N12)</f>
        <v>0</v>
      </c>
      <c r="P17" s="102"/>
      <c r="Q17" s="102"/>
      <c r="R17" s="102">
        <f>SUM(O12:Q12)</f>
        <v>0</v>
      </c>
      <c r="S17" s="102"/>
      <c r="T17" s="102"/>
      <c r="U17" s="102">
        <f>SUM(R12:T12)</f>
        <v>0</v>
      </c>
      <c r="V17" s="102"/>
      <c r="W17" s="102"/>
      <c r="X17" s="102">
        <f>SUM(U12:W12)</f>
        <v>0</v>
      </c>
      <c r="Y17" s="102"/>
      <c r="Z17" s="102"/>
      <c r="AA17" s="102">
        <f>SUM(X12:Z12)</f>
        <v>-2453.2199999999993</v>
      </c>
      <c r="AB17" s="102"/>
      <c r="AC17" s="102"/>
      <c r="AD17" s="102">
        <f>SUM(AA12:AC12)</f>
        <v>-2453.2199999999993</v>
      </c>
      <c r="AE17" s="102"/>
      <c r="AF17" s="102"/>
      <c r="AG17" s="102">
        <f>SUM(AD12:AF12)</f>
        <v>-3319.9166000000005</v>
      </c>
      <c r="AH17" s="102"/>
      <c r="AI17" s="102"/>
      <c r="AJ17" s="102">
        <f>SUM(AG12:AI12)</f>
        <v>-7483.6916000000001</v>
      </c>
      <c r="AK17" s="102"/>
      <c r="AL17" s="102"/>
      <c r="AM17" s="102">
        <f>SUM(AJ12:AL12)</f>
        <v>-14978.486600000002</v>
      </c>
      <c r="AN17" s="102"/>
      <c r="AO17" s="102"/>
      <c r="AP17" s="102">
        <f>SUM(AM12:AO12)</f>
        <v>-20384.784933333336</v>
      </c>
      <c r="AQ17" s="102"/>
      <c r="AR17" s="102"/>
      <c r="AS17" s="102">
        <f>SUM(AP12:AR12)</f>
        <v>-28094.557062687505</v>
      </c>
      <c r="AT17" s="102"/>
      <c r="AU17" s="102"/>
      <c r="AV17" s="102">
        <f>SUM(AS12:AU12)</f>
        <v>-32435.267451124997</v>
      </c>
      <c r="AW17" s="102"/>
      <c r="AX17" s="102"/>
      <c r="AY17" s="102">
        <f>SUM(AV12:AX12)</f>
        <v>-38532.213594875</v>
      </c>
      <c r="AZ17" s="102"/>
      <c r="BA17" s="102"/>
      <c r="BB17" s="102">
        <f>SUM(AY12:BA12)</f>
        <v>-40498.135052374993</v>
      </c>
      <c r="BC17" s="102"/>
      <c r="BD17" s="102"/>
      <c r="BE17" s="102">
        <f>SUM(BB12:BD12)</f>
        <v>-47096.475371715002</v>
      </c>
      <c r="BF17" s="102"/>
      <c r="BG17" s="102"/>
      <c r="BH17" s="102">
        <f>SUM(BE12:BG12)</f>
        <v>-51061.076737440002</v>
      </c>
      <c r="BI17" s="102"/>
      <c r="BJ17" s="102"/>
      <c r="BK17" s="102">
        <f>SUM(BH12:BJ12)</f>
        <v>-52832.690073240003</v>
      </c>
      <c r="BL17" s="102"/>
      <c r="BM17" s="102"/>
      <c r="BN17" s="102">
        <f>SUM(BK12:BM12)</f>
        <v>-55195.677733606666</v>
      </c>
      <c r="BO17" s="102"/>
      <c r="BP17" s="102"/>
      <c r="BQ17" s="102">
        <f>SUM(BN12:BP12)</f>
        <v>-58184.843743110701</v>
      </c>
      <c r="BR17" s="102"/>
      <c r="BS17" s="102"/>
      <c r="BT17" s="102">
        <f>SUM(BQ12:BS12)</f>
        <v>-58993.3516433107</v>
      </c>
      <c r="BU17" s="102"/>
      <c r="BV17" s="102"/>
      <c r="BW17" s="102">
        <f>SUM(BT12:BV12)</f>
        <v>-59584.184339610707</v>
      </c>
      <c r="BX17" s="102"/>
      <c r="BY17" s="102"/>
      <c r="BZ17" s="102">
        <f>SUM(BW12:BY12)</f>
        <v>-60143.920578210709</v>
      </c>
      <c r="CA17" s="102"/>
      <c r="CB17" s="102"/>
      <c r="CC17" s="102">
        <f>SUM(BZ12:CB12)</f>
        <v>-62144.15099548603</v>
      </c>
      <c r="CD17" s="102"/>
      <c r="CE17" s="102"/>
      <c r="CF17" s="102">
        <f>SUM(CC12:CE12)</f>
        <v>-62442.676989406027</v>
      </c>
      <c r="CG17" s="102"/>
      <c r="CH17" s="102"/>
      <c r="CI17" s="102"/>
    </row>
    <row r="18" spans="1:87">
      <c r="B18" s="93" t="s">
        <v>254</v>
      </c>
      <c r="C18" s="1"/>
      <c r="F18" s="102">
        <f t="shared" ref="F18:BA18" si="24">-SUM(F15:F17)</f>
        <v>0</v>
      </c>
      <c r="G18" s="102">
        <f t="shared" si="24"/>
        <v>0</v>
      </c>
      <c r="H18" s="102">
        <f t="shared" si="24"/>
        <v>0</v>
      </c>
      <c r="I18" s="102">
        <f t="shared" si="24"/>
        <v>0</v>
      </c>
      <c r="J18" s="102">
        <f t="shared" si="24"/>
        <v>0</v>
      </c>
      <c r="K18" s="102">
        <f t="shared" si="24"/>
        <v>0</v>
      </c>
      <c r="L18" s="102">
        <f t="shared" si="24"/>
        <v>0</v>
      </c>
      <c r="M18" s="102">
        <f t="shared" si="24"/>
        <v>0</v>
      </c>
      <c r="N18" s="102">
        <f t="shared" si="24"/>
        <v>0</v>
      </c>
      <c r="O18" s="102">
        <f t="shared" si="24"/>
        <v>0</v>
      </c>
      <c r="P18" s="102">
        <f t="shared" si="24"/>
        <v>0</v>
      </c>
      <c r="Q18" s="102">
        <f t="shared" si="24"/>
        <v>0</v>
      </c>
      <c r="R18" s="102">
        <f t="shared" si="24"/>
        <v>0</v>
      </c>
      <c r="S18" s="102">
        <f t="shared" si="24"/>
        <v>0</v>
      </c>
      <c r="T18" s="102">
        <f t="shared" si="24"/>
        <v>0</v>
      </c>
      <c r="U18" s="102">
        <f t="shared" si="24"/>
        <v>0</v>
      </c>
      <c r="V18" s="102">
        <f t="shared" si="24"/>
        <v>0</v>
      </c>
      <c r="W18" s="102">
        <f t="shared" si="24"/>
        <v>0</v>
      </c>
      <c r="X18" s="102">
        <f t="shared" si="24"/>
        <v>-3270.96</v>
      </c>
      <c r="Y18" s="102">
        <f t="shared" si="24"/>
        <v>-817.73999999999978</v>
      </c>
      <c r="Z18" s="102">
        <f t="shared" si="24"/>
        <v>-817.73999999999978</v>
      </c>
      <c r="AA18" s="102">
        <f t="shared" si="24"/>
        <v>1635.4799999999996</v>
      </c>
      <c r="AB18" s="102">
        <f t="shared" si="24"/>
        <v>-817.73999999999978</v>
      </c>
      <c r="AC18" s="102">
        <f t="shared" si="24"/>
        <v>-817.73999999999978</v>
      </c>
      <c r="AD18" s="102">
        <f t="shared" si="24"/>
        <v>1537.3511999999992</v>
      </c>
      <c r="AE18" s="102">
        <f t="shared" si="24"/>
        <v>-842.27220000000034</v>
      </c>
      <c r="AF18" s="102">
        <f t="shared" si="24"/>
        <v>-4014.6722000000009</v>
      </c>
      <c r="AG18" s="102">
        <f t="shared" si="24"/>
        <v>-1091.3055999999997</v>
      </c>
      <c r="AH18" s="102">
        <f t="shared" si="24"/>
        <v>-2329.3347000000003</v>
      </c>
      <c r="AI18" s="102">
        <f t="shared" si="24"/>
        <v>-4312.0847000000003</v>
      </c>
      <c r="AJ18" s="102">
        <f t="shared" si="24"/>
        <v>-893.03060000000005</v>
      </c>
      <c r="AK18" s="102">
        <f t="shared" si="24"/>
        <v>-6592.2471999999998</v>
      </c>
      <c r="AL18" s="102">
        <f t="shared" si="24"/>
        <v>-9407.752199999999</v>
      </c>
      <c r="AM18" s="102">
        <f t="shared" si="24"/>
        <v>9020.7194</v>
      </c>
      <c r="AN18" s="102">
        <f t="shared" si="24"/>
        <v>-8601.4338666666663</v>
      </c>
      <c r="AO18" s="102">
        <f t="shared" si="24"/>
        <v>-11377.283866666665</v>
      </c>
      <c r="AP18" s="102">
        <f t="shared" si="24"/>
        <v>9202.891203916668</v>
      </c>
      <c r="AQ18" s="102">
        <f t="shared" si="24"/>
        <v>-8719.29393110417</v>
      </c>
      <c r="AR18" s="102">
        <f t="shared" si="24"/>
        <v>-17091.01842204167</v>
      </c>
      <c r="AS18" s="102">
        <f t="shared" si="24"/>
        <v>17245.262301895847</v>
      </c>
      <c r="AT18" s="102">
        <f t="shared" si="24"/>
        <v>-10868.064232666668</v>
      </c>
      <c r="AU18" s="102">
        <f t="shared" si="24"/>
        <v>-10886.83370454167</v>
      </c>
      <c r="AV18" s="102">
        <f t="shared" si="24"/>
        <v>13715.729877208327</v>
      </c>
      <c r="AW18" s="102">
        <f t="shared" si="24"/>
        <v>-12967.949712666668</v>
      </c>
      <c r="AX18" s="102">
        <f t="shared" si="24"/>
        <v>-13009.242550791671</v>
      </c>
      <c r="AY18" s="102">
        <f t="shared" si="24"/>
        <v>25399.092529708345</v>
      </c>
      <c r="AZ18" s="102">
        <f t="shared" si="24"/>
        <v>-16135.875122354162</v>
      </c>
      <c r="BA18" s="102">
        <f t="shared" si="24"/>
        <v>-13992.203279541667</v>
      </c>
      <c r="BB18" s="102">
        <f t="shared" ref="BB18:BM18" si="25">-SUM(BB15:BB17)</f>
        <v>20660.302940392488</v>
      </c>
      <c r="BC18" s="102">
        <f t="shared" si="25"/>
        <v>-15727.288826479991</v>
      </c>
      <c r="BD18" s="102">
        <f t="shared" si="25"/>
        <v>-19206.359819955011</v>
      </c>
      <c r="BE18" s="102">
        <f t="shared" si="25"/>
        <v>30317.211097635009</v>
      </c>
      <c r="BF18" s="102">
        <f t="shared" si="25"/>
        <v>-19490.099239379997</v>
      </c>
      <c r="BG18" s="102">
        <f t="shared" si="25"/>
        <v>-17804.335228680015</v>
      </c>
      <c r="BH18" s="102">
        <f t="shared" si="25"/>
        <v>33277.377732060013</v>
      </c>
      <c r="BI18" s="102">
        <f t="shared" si="25"/>
        <v>-18053.39113578001</v>
      </c>
      <c r="BJ18" s="102">
        <f t="shared" si="25"/>
        <v>-18115.584051179998</v>
      </c>
      <c r="BK18" s="102">
        <f t="shared" si="25"/>
        <v>34178.119704960009</v>
      </c>
      <c r="BL18" s="102">
        <f t="shared" si="25"/>
        <v>-20290.910802213344</v>
      </c>
      <c r="BM18" s="102">
        <f t="shared" si="25"/>
        <v>-19048.021974263327</v>
      </c>
      <c r="BN18" s="102">
        <f t="shared" ref="BN18:BS18" si="26">-SUM(BN15:BN17)</f>
        <v>34013.637014115731</v>
      </c>
      <c r="BO18" s="102">
        <f t="shared" si="26"/>
        <v>-19674.816033670235</v>
      </c>
      <c r="BP18" s="102">
        <f t="shared" si="26"/>
        <v>-19768.105406770235</v>
      </c>
      <c r="BQ18" s="102">
        <f t="shared" si="26"/>
        <v>38323.448963240451</v>
      </c>
      <c r="BR18" s="102">
        <f t="shared" si="26"/>
        <v>-19954.684152970207</v>
      </c>
      <c r="BS18" s="102">
        <f t="shared" si="26"/>
        <v>-19923.587695270238</v>
      </c>
      <c r="BT18" s="102">
        <f t="shared" ref="BT18:CE18" si="27">-SUM(BT15:BT17)</f>
        <v>39007.571032640451</v>
      </c>
      <c r="BU18" s="102">
        <f t="shared" si="27"/>
        <v>-20047.973526070229</v>
      </c>
      <c r="BV18" s="102">
        <f t="shared" si="27"/>
        <v>-20110.166441470246</v>
      </c>
      <c r="BW18" s="102">
        <f t="shared" si="27"/>
        <v>39411.824982740487</v>
      </c>
      <c r="BX18" s="102">
        <f t="shared" si="27"/>
        <v>-20234.552272270244</v>
      </c>
      <c r="BY18" s="102">
        <f t="shared" si="27"/>
        <v>-20296.745187670233</v>
      </c>
      <c r="BZ18" s="102">
        <f t="shared" si="27"/>
        <v>37789.692071760037</v>
      </c>
      <c r="CA18" s="102">
        <f t="shared" si="27"/>
        <v>-20870.199286995346</v>
      </c>
      <c r="CB18" s="102">
        <f t="shared" si="27"/>
        <v>-20845.322120835335</v>
      </c>
      <c r="CC18" s="102">
        <f t="shared" si="27"/>
        <v>41267.732416950683</v>
      </c>
      <c r="CD18" s="102">
        <f t="shared" si="27"/>
        <v>-20907.515036235345</v>
      </c>
      <c r="CE18" s="102">
        <f t="shared" si="27"/>
        <v>-20938.611493935336</v>
      </c>
    </row>
    <row r="19" spans="1:87"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</row>
    <row r="20" spans="1:87">
      <c r="B20" s="93" t="s">
        <v>274</v>
      </c>
      <c r="F20" s="102">
        <f>IF(SUM($F5:F8) +SUM($F18:F18)&gt;0,SUM($F5:F8) +SUM($F18:F18),0)</f>
        <v>0</v>
      </c>
      <c r="G20" s="102">
        <f>IF(SUM($F5:G8) +SUM($F18:G18)&gt;0,SUM($F5:G8) +SUM($F18:G18),0)</f>
        <v>0</v>
      </c>
      <c r="H20" s="102">
        <f>IF(SUM($F5:H8) +SUM($F18:H18)&gt;0,SUM($F5:H8) +SUM($F18:H18),0)</f>
        <v>0</v>
      </c>
      <c r="I20" s="102">
        <f>IF(SUM($F5:I8) +SUM($F18:I18)&gt;0,SUM($F5:I8) +SUM($F18:I18),0)</f>
        <v>0</v>
      </c>
      <c r="J20" s="102">
        <f>IF(SUM($F5:J8) +SUM($F18:J18)&gt;0,SUM($F5:J8) +SUM($F18:J18),0)</f>
        <v>0</v>
      </c>
      <c r="K20" s="102">
        <f>IF(SUM($F5:K8) +SUM($F18:K18)&gt;0,SUM($F5:K8) +SUM($F18:K18),0)</f>
        <v>0</v>
      </c>
      <c r="L20" s="102">
        <f>IF(SUM($F5:L8) +SUM($F18:L18)&gt;0,SUM($F5:L8) +SUM($F18:L18),0)</f>
        <v>0</v>
      </c>
      <c r="M20" s="102">
        <f>IF(SUM($F5:M8) +SUM($F18:M18)&gt;0,SUM($F5:M8) +SUM($F18:M18),0)</f>
        <v>0</v>
      </c>
      <c r="N20" s="102">
        <f>IF(SUM($F5:N8) +SUM($F18:N18)&gt;0,SUM($F5:N8) +SUM($F18:N18),0)</f>
        <v>0</v>
      </c>
      <c r="O20" s="102">
        <f>IF(SUM($F5:O8) +SUM($F18:O18)&gt;0,SUM($F5:O8) +SUM($F18:O18),0)</f>
        <v>0</v>
      </c>
      <c r="P20" s="102">
        <f>IF(SUM($F5:P8) +SUM($F18:P18)&gt;0,SUM($F5:P8) +SUM($F18:P18),0)</f>
        <v>0</v>
      </c>
      <c r="Q20" s="102">
        <f>IF(SUM($F5:Q8) +SUM($F18:Q18)&gt;0,SUM($F5:Q8) +SUM($F18:Q18),0)</f>
        <v>0</v>
      </c>
      <c r="R20" s="102">
        <f>IF(SUM($F5:R8) +SUM($F18:R18)&gt;0,SUM($F5:R8) +SUM($F18:R18),0)</f>
        <v>0</v>
      </c>
      <c r="S20" s="102">
        <f>IF(SUM($F5:S8) +SUM($F18:S18)&gt;0,SUM($F5:S8) +SUM($F18:S18),0)</f>
        <v>0</v>
      </c>
      <c r="T20" s="102">
        <f>IF(SUM($F5:T8) +SUM($F18:T18)&gt;0,SUM($F5:T8) +SUM($F18:T18),0)</f>
        <v>0</v>
      </c>
      <c r="U20" s="102">
        <f>IF(SUM($F5:U8) +SUM($F18:U18)&gt;0,SUM($F5:U8) +SUM($F18:U18),0)</f>
        <v>0</v>
      </c>
      <c r="V20" s="102">
        <f>IF(SUM($F5:V8) +SUM($F18:V18)&gt;0,SUM($F5:V8) +SUM($F18:V18),0)</f>
        <v>0</v>
      </c>
      <c r="W20" s="102">
        <f>IF(SUM($F5:W8) +SUM($F18:W18)&gt;0,SUM($F5:W8) +SUM($F18:W18),0)</f>
        <v>0</v>
      </c>
      <c r="X20" s="102">
        <f>IF(SUM($F5:X8) +SUM($F18:X18)&gt;0,SUM($F5:X8) +SUM($F18:X18),0)</f>
        <v>0</v>
      </c>
      <c r="Y20" s="102">
        <f>IF(SUM($F5:Y8) +SUM($F18:Y18)&gt;0,SUM($F5:Y8) +SUM($F18:Y18),0)</f>
        <v>0</v>
      </c>
      <c r="Z20" s="102">
        <f>IF(SUM($F5:Z8) +SUM($F18:Z18)&gt;0,SUM($F5:Z8) +SUM($F18:Z18),0)</f>
        <v>0</v>
      </c>
      <c r="AA20" s="102">
        <f>IF(SUM($F5:AA8) +SUM($F18:AA18)&gt;0,SUM($F5:AA8) +SUM($F18:AA18),0)</f>
        <v>0</v>
      </c>
      <c r="AB20" s="102">
        <f>IF(SUM($F5:AB8) +SUM($F18:AB18)&gt;0,SUM($F5:AB8) +SUM($F18:AB18),0)</f>
        <v>0</v>
      </c>
      <c r="AC20" s="102">
        <f>IF(SUM($F5:AC8) +SUM($F18:AC18)&gt;0,SUM($F5:AC8) +SUM($F18:AC18),0)</f>
        <v>0</v>
      </c>
      <c r="AD20" s="102">
        <f>IF(SUM($F5:AD8) +SUM($F18:AD18)&gt;0,SUM($F5:AD8) +SUM($F18:AD18),0)</f>
        <v>0</v>
      </c>
      <c r="AE20" s="102">
        <f>IF(SUM($F5:AE8) +SUM($F18:AE18)&gt;0,SUM($F5:AE8) +SUM($F18:AE18),0)</f>
        <v>0</v>
      </c>
      <c r="AF20" s="102">
        <f>IF(SUM($F5:AF8) +SUM($F18:AF18)&gt;0,SUM($F5:AF8) +SUM($F18:AF18),0)</f>
        <v>0</v>
      </c>
      <c r="AG20" s="102">
        <f>IF(SUM($F5:AG8) +SUM($F18:AG18)&gt;0,SUM($F5:AG8) +SUM($F18:AG18),0)</f>
        <v>0</v>
      </c>
      <c r="AH20" s="102">
        <f>IF(SUM($F5:AH8) +SUM($F18:AH18)&gt;0,SUM($F5:AH8) +SUM($F18:AH18),0)</f>
        <v>0</v>
      </c>
      <c r="AI20" s="102">
        <f>IF(SUM($F5:AI8) +SUM($F18:AI18)&gt;0,SUM($F5:AI8) +SUM($F18:AI18),0)</f>
        <v>0</v>
      </c>
      <c r="AJ20" s="102">
        <f>IF(SUM($F5:AJ8) +SUM($F18:AJ18)&gt;0,SUM($F5:AJ8) +SUM($F18:AJ18),0)</f>
        <v>0</v>
      </c>
      <c r="AK20" s="102">
        <f>IF(SUM($F5:AK8) +SUM($F18:AK18)&gt;0,SUM($F5:AK8) +SUM($F18:AK18),0)</f>
        <v>0</v>
      </c>
      <c r="AL20" s="102">
        <f>IF(SUM($F5:AL8) +SUM($F18:AL18)&gt;0,SUM($F5:AL8) +SUM($F18:AL18),0)</f>
        <v>0</v>
      </c>
      <c r="AM20" s="102">
        <f>IF(SUM($F5:AM8) +SUM($F18:AM18)&gt;0,SUM($F5:AM8) +SUM($F18:AM18),0)</f>
        <v>0</v>
      </c>
      <c r="AN20" s="102">
        <f>IF(SUM($F5:AN8) +SUM($F18:AN18)&gt;0,SUM($F5:AN8) +SUM($F18:AN18),0)</f>
        <v>0</v>
      </c>
      <c r="AO20" s="102">
        <f>IF(SUM($F5:AO8) +SUM($F18:AO18)&gt;0,SUM($F5:AO8) +SUM($F18:AO18),0)</f>
        <v>0</v>
      </c>
      <c r="AP20" s="102">
        <f>IF(SUM($F5:AP8) +SUM($F18:AP18)&gt;0,SUM($F5:AP8) +SUM($F18:AP18),0)</f>
        <v>0</v>
      </c>
      <c r="AQ20" s="102">
        <f>IF(SUM($F5:AQ8) +SUM($F18:AQ18)&gt;0,SUM($F5:AQ8) +SUM($F18:AQ18),0)</f>
        <v>0</v>
      </c>
      <c r="AR20" s="102">
        <f>IF(SUM($F5:AR8) +SUM($F18:AR18)&gt;0,SUM($F5:AR8) +SUM($F18:AR18),0)</f>
        <v>0</v>
      </c>
      <c r="AS20" s="102">
        <f>IF(SUM($F5:AS8) +SUM($F18:AS18)&gt;0,SUM($F5:AS8) +SUM($F18:AS18),0)</f>
        <v>0</v>
      </c>
      <c r="AT20" s="102">
        <f>IF(SUM($F5:AT8) +SUM($F18:AT18)&gt;0,SUM($F5:AT8) +SUM($F18:AT18),0)</f>
        <v>0</v>
      </c>
      <c r="AU20" s="102">
        <f>IF(SUM($F5:AU8) +SUM($F18:AU18)&gt;0,SUM($F5:AU8) +SUM($F18:AU18),0)</f>
        <v>0</v>
      </c>
      <c r="AV20" s="102">
        <f>IF(SUM($F5:AV8) +SUM($F18:AV18)&gt;0,SUM($F5:AV8) +SUM($F18:AV18),0)</f>
        <v>0</v>
      </c>
      <c r="AW20" s="102">
        <f>IF(SUM($F5:AW8) +SUM($F18:AW18)&gt;0,SUM($F5:AW8) +SUM($F18:AW18),0)</f>
        <v>0</v>
      </c>
      <c r="AX20" s="102">
        <f>IF(SUM($F5:AX8) +SUM($F18:AX18)&gt;0,SUM($F5:AX8) +SUM($F18:AX18),0)</f>
        <v>0</v>
      </c>
      <c r="AY20" s="102">
        <f>IF(SUM($F5:AY8) +SUM($F18:AY18)&gt;0,SUM($F5:AY8) +SUM($F18:AY18),0)</f>
        <v>0</v>
      </c>
      <c r="AZ20" s="102">
        <f>IF(SUM($F5:AZ8) +SUM($F18:AZ18)&gt;0,SUM($F5:AZ8) +SUM($F18:AZ18),0)</f>
        <v>0</v>
      </c>
      <c r="BA20" s="102">
        <f>IF(SUM($F5:BA8) +SUM($F18:BA18)&gt;0,SUM($F5:BA8) +SUM($F18:BA18),0)</f>
        <v>0</v>
      </c>
      <c r="BB20" s="102">
        <f>IF(SUM($F5:BB8) +SUM($F18:BB18)&gt;0,SUM($F5:BB8) +SUM($F18:BB18),0)</f>
        <v>0</v>
      </c>
      <c r="BC20" s="102">
        <f>IF(SUM($F5:BC8) +SUM($F18:BC18)&gt;0,SUM($F5:BC8) +SUM($F18:BC18),0)</f>
        <v>0</v>
      </c>
      <c r="BD20" s="102">
        <f>IF(SUM($F5:BD8) +SUM($F18:BD18)&gt;0,SUM($F5:BD8) +SUM($F18:BD18),0)</f>
        <v>0</v>
      </c>
      <c r="BE20" s="102">
        <f>IF(SUM($F5:BE8) +SUM($F18:BE18)&gt;0,SUM($F5:BE8) +SUM($F18:BE18),0)</f>
        <v>0</v>
      </c>
      <c r="BF20" s="102">
        <f>IF(SUM($F5:BF8) +SUM($F18:BF18)&gt;0,SUM($F5:BF8) +SUM($F18:BF18),0)</f>
        <v>0</v>
      </c>
      <c r="BG20" s="102">
        <f>IF(SUM($F5:BG8) +SUM($F18:BG18)&gt;0,SUM($F5:BG8) +SUM($F18:BG18),0)</f>
        <v>0</v>
      </c>
      <c r="BH20" s="102">
        <f>IF(SUM($F5:BH8) +SUM($F18:BH18)&gt;0,SUM($F5:BH8) +SUM($F18:BH18),0)</f>
        <v>0</v>
      </c>
      <c r="BI20" s="102">
        <f>IF(SUM($F5:BI8) +SUM($F18:BI18)&gt;0,SUM($F5:BI8) +SUM($F18:BI18),0)</f>
        <v>0</v>
      </c>
      <c r="BJ20" s="102">
        <f>IF(SUM($F5:BJ8) +SUM($F18:BJ18)&gt;0,SUM($F5:BJ8) +SUM($F18:BJ18),0)</f>
        <v>0</v>
      </c>
      <c r="BK20" s="102">
        <f>IF(SUM($F5:BK8) +SUM($F18:BK18)&gt;0,SUM($F5:BK8) +SUM($F18:BK18),0)</f>
        <v>0</v>
      </c>
      <c r="BL20" s="102">
        <f>IF(SUM($F5:BL8) +SUM($F18:BL18)&gt;0,SUM($F5:BL8) +SUM($F18:BL18),0)</f>
        <v>0</v>
      </c>
      <c r="BM20" s="102">
        <f>IF(SUM($F5:BM8) +SUM($F18:BM18)&gt;0,SUM($F5:BM8) +SUM($F18:BM18),0)</f>
        <v>0</v>
      </c>
      <c r="BN20" s="102">
        <f>IF(SUM($F5:BN8) +SUM($F18:BN18)&gt;0,SUM($F5:BN8) +SUM($F18:BN18),0)</f>
        <v>0</v>
      </c>
      <c r="BO20" s="102">
        <f>IF(SUM($F5:BO8) +SUM($F18:BO18)&gt;0,SUM($F5:BO8) +SUM($F18:BO18),0)</f>
        <v>0</v>
      </c>
      <c r="BP20" s="102">
        <f>IF(SUM($F5:BP8) +SUM($F18:BP18)&gt;0,SUM($F5:BP8) +SUM($F18:BP18),0)</f>
        <v>0</v>
      </c>
      <c r="BQ20" s="102">
        <f>IF(SUM($F5:BQ8) +SUM($F18:BQ18)&gt;0,SUM($F5:BQ8) +SUM($F18:BQ18),0)</f>
        <v>0</v>
      </c>
      <c r="BR20" s="102">
        <f>IF(SUM($F5:BR8) +SUM($F18:BR18)&gt;0,SUM($F5:BR8) +SUM($F18:BR18),0)</f>
        <v>0</v>
      </c>
      <c r="BS20" s="102">
        <f>IF(SUM($F5:BS8) +SUM($F18:BS18)&gt;0,SUM($F5:BS8) +SUM($F18:BS18),0)</f>
        <v>0</v>
      </c>
      <c r="BT20" s="102">
        <f>IF(SUM($F5:BT8) +SUM($F18:BT18)&gt;0,SUM($F5:BT8) +SUM($F18:BT18),0)</f>
        <v>0</v>
      </c>
      <c r="BU20" s="102">
        <f>IF(SUM($F5:BU8) +SUM($F18:BU18)&gt;0,SUM($F5:BU8) +SUM($F18:BU18),0)</f>
        <v>0</v>
      </c>
      <c r="BV20" s="102">
        <f>IF(SUM($F5:BV8) +SUM($F18:BV18)&gt;0,SUM($F5:BV8) +SUM($F18:BV18),0)</f>
        <v>0</v>
      </c>
      <c r="BW20" s="102">
        <f>IF(SUM($F5:BW8) +SUM($F18:BW18)&gt;0,SUM($F5:BW8) +SUM($F18:BW18),0)</f>
        <v>0</v>
      </c>
      <c r="BX20" s="102">
        <f>IF(SUM($F5:BX8) +SUM($F18:BX18)&gt;0,SUM($F5:BX8) +SUM($F18:BX18),0)</f>
        <v>0</v>
      </c>
      <c r="BY20" s="102">
        <f>IF(SUM($F5:BY8) +SUM($F18:BY18)&gt;0,SUM($F5:BY8) +SUM($F18:BY18),0)</f>
        <v>0</v>
      </c>
      <c r="BZ20" s="102">
        <f>IF(SUM($F5:BZ8) +SUM($F18:BZ18)&gt;0,SUM($F5:BZ8) +SUM($F18:BZ18),0)</f>
        <v>0</v>
      </c>
      <c r="CA20" s="102">
        <f>IF(SUM($F5:CA8) +SUM($F18:CA18)&gt;0,SUM($F5:CA8) +SUM($F18:CA18),0)</f>
        <v>0</v>
      </c>
      <c r="CB20" s="102">
        <f>IF(SUM($F5:CB8) +SUM($F18:CB18)&gt;0,SUM($F5:CB8) +SUM($F18:CB18),0)</f>
        <v>0</v>
      </c>
      <c r="CC20" s="102">
        <f>IF(SUM($F5:CC8) +SUM($F18:CC18)&gt;0,SUM($F5:CC8) +SUM($F18:CC18),0)</f>
        <v>0</v>
      </c>
      <c r="CD20" s="102">
        <f>IF(SUM($F5:CD8) +SUM($F18:CD18)&gt;0,SUM($F5:CD8) +SUM($F18:CD18),0)</f>
        <v>0</v>
      </c>
      <c r="CE20" s="102">
        <f>IF(SUM($F5:CE8) +SUM($F18:CE18)&gt;0,SUM($F5:CE8) +SUM($F18:CE18),0)</f>
        <v>0</v>
      </c>
    </row>
    <row r="21" spans="1:87">
      <c r="B21" s="93" t="s">
        <v>275</v>
      </c>
      <c r="F21" s="102">
        <f>IF(SUM($F5:F8)+SUM($F18:F18)&gt;0,0,-SUM($F5:F8)-SUM($F18:F18))</f>
        <v>0</v>
      </c>
      <c r="G21" s="102">
        <f>IF(SUM($F5:G8)+SUM($F18:G18)&gt;0,0,-SUM($F5:G8)-SUM($F18:G18))</f>
        <v>0</v>
      </c>
      <c r="H21" s="102">
        <f>IF(SUM($F5:H8)+SUM($F18:H18)&gt;0,0,-SUM($F5:H8)-SUM($F18:H18))</f>
        <v>0</v>
      </c>
      <c r="I21" s="102">
        <f>IF(SUM($F5:I8)+SUM($F18:I18)&gt;0,0,-SUM($F5:I8)-SUM($F18:I18))</f>
        <v>0</v>
      </c>
      <c r="J21" s="102">
        <f>IF(SUM($F5:J8)+SUM($F18:J18)&gt;0,0,-SUM($F5:J8)-SUM($F18:J18))</f>
        <v>0</v>
      </c>
      <c r="K21" s="102">
        <f>IF(SUM($F5:K8)+SUM($F18:K18)&gt;0,0,-SUM($F5:K8)-SUM($F18:K18))</f>
        <v>0</v>
      </c>
      <c r="L21" s="102">
        <f>IF(SUM($F5:L8)+SUM($F18:L18)&gt;0,0,-SUM($F5:L8)-SUM($F18:L18))</f>
        <v>0</v>
      </c>
      <c r="M21" s="102">
        <f>IF(SUM($F5:M8)+SUM($F18:M18)&gt;0,0,-SUM($F5:M8)-SUM($F18:M18))</f>
        <v>0</v>
      </c>
      <c r="N21" s="102">
        <f>IF(SUM($F5:N8)+SUM($F18:N18)&gt;0,0,-SUM($F5:N8)-SUM($F18:N18))</f>
        <v>0</v>
      </c>
      <c r="O21" s="102">
        <f>IF(SUM($F5:O8)+SUM($F18:O18)&gt;0,0,-SUM($F5:O8)-SUM($F18:O18))</f>
        <v>0</v>
      </c>
      <c r="P21" s="102">
        <f>IF(SUM($F5:P8)+SUM($F18:P18)&gt;0,0,-SUM($F5:P8)-SUM($F18:P18))</f>
        <v>0</v>
      </c>
      <c r="Q21" s="102">
        <f>IF(SUM($F5:Q8)+SUM($F18:Q18)&gt;0,0,-SUM($F5:Q8)-SUM($F18:Q18))</f>
        <v>0</v>
      </c>
      <c r="R21" s="102">
        <f>IF(SUM($F5:R8)+SUM($F18:R18)&gt;0,0,-SUM($F5:R8)-SUM($F18:R18))</f>
        <v>0</v>
      </c>
      <c r="S21" s="102">
        <f>IF(SUM($F5:S8)+SUM($F18:S18)&gt;0,0,-SUM($F5:S8)-SUM($F18:S18))</f>
        <v>0</v>
      </c>
      <c r="T21" s="102">
        <f>IF(SUM($F5:T8)+SUM($F18:T18)&gt;0,0,-SUM($F5:T8)-SUM($F18:T18))</f>
        <v>0</v>
      </c>
      <c r="U21" s="102">
        <f>IF(SUM($F5:U8)+SUM($F18:U18)&gt;0,0,-SUM($F5:U8)-SUM($F18:U18))</f>
        <v>0</v>
      </c>
      <c r="V21" s="102">
        <f>IF(SUM($F5:V8)+SUM($F18:V18)&gt;0,0,-SUM($F5:V8)-SUM($F18:V18))</f>
        <v>0</v>
      </c>
      <c r="W21" s="102">
        <f>IF(SUM($F5:W8)+SUM($F18:W18)&gt;0,0,-SUM($F5:W8)-SUM($F18:W18))</f>
        <v>0</v>
      </c>
      <c r="X21" s="102">
        <f>IF(SUM($F5:X8)+SUM($F18:X18)&gt;0,0,-SUM($F5:X8)-SUM($F18:X18))</f>
        <v>3270.96</v>
      </c>
      <c r="Y21" s="102">
        <f>IF(SUM($F5:Y8)+SUM($F18:Y18)&gt;0,0,-SUM($F5:Y8)-SUM($F18:Y18))</f>
        <v>4088.7</v>
      </c>
      <c r="Z21" s="102">
        <f>IF(SUM($F5:Z8)+SUM($F18:Z18)&gt;0,0,-SUM($F5:Z8)-SUM($F18:Z18))</f>
        <v>4906.4399999999987</v>
      </c>
      <c r="AA21" s="102">
        <f>IF(SUM($F5:AA8)+SUM($F18:AA18)&gt;0,0,-SUM($F5:AA8)-SUM($F18:AA18))</f>
        <v>3270.9599999999991</v>
      </c>
      <c r="AB21" s="102">
        <f>IF(SUM($F5:AB8)+SUM($F18:AB18)&gt;0,0,-SUM($F5:AB8)-SUM($F18:AB18))</f>
        <v>4088.6999999999989</v>
      </c>
      <c r="AC21" s="102">
        <f>IF(SUM($F5:AC8)+SUM($F18:AC18)&gt;0,0,-SUM($F5:AC8)-SUM($F18:AC18))</f>
        <v>4906.4399999999987</v>
      </c>
      <c r="AD21" s="102">
        <f>IF(SUM($F5:AD8)+SUM($F18:AD18)&gt;0,0,-SUM($F5:AD8)-SUM($F18:AD18))</f>
        <v>3369.0887999999977</v>
      </c>
      <c r="AE21" s="102">
        <f>IF(SUM($F5:AE8)+SUM($F18:AE18)&gt;0,0,-SUM($F5:AE8)-SUM($F18:AE18))</f>
        <v>4211.3609999999962</v>
      </c>
      <c r="AF21" s="102">
        <f>IF(SUM($F5:AF8)+SUM($F18:AF18)&gt;0,0,-SUM($F5:AF8)-SUM($F18:AF18))</f>
        <v>8226.0331999999944</v>
      </c>
      <c r="AG21" s="102">
        <f>IF(SUM($F5:AG8)+SUM($F18:AG18)&gt;0,0,-SUM($F5:AG8)-SUM($F18:AG18))</f>
        <v>9317.3387999999923</v>
      </c>
      <c r="AH21" s="102">
        <f>IF(SUM($F5:AH8)+SUM($F18:AH18)&gt;0,0,-SUM($F5:AH8)-SUM($F18:AH18))</f>
        <v>11646.673499999994</v>
      </c>
      <c r="AI21" s="102">
        <f>IF(SUM($F5:AI8)+SUM($F18:AI18)&gt;0,0,-SUM($F5:AI8)-SUM($F18:AI18))</f>
        <v>15958.758199999989</v>
      </c>
      <c r="AJ21" s="102">
        <f>IF(SUM($F5:AJ8)+SUM($F18:AJ18)&gt;0,0,-SUM($F5:AJ8)-SUM($F18:AJ18))</f>
        <v>16851.788800000031</v>
      </c>
      <c r="AK21" s="102">
        <f>IF(SUM($F5:AK8)+SUM($F18:AK18)&gt;0,0,-SUM($F5:AK8)-SUM($F18:AK18))</f>
        <v>23444.03600000004</v>
      </c>
      <c r="AL21" s="102">
        <f>IF(SUM($F5:AL8)+SUM($F18:AL18)&gt;0,0,-SUM($F5:AL8)-SUM($F18:AL18))</f>
        <v>32851.788200000025</v>
      </c>
      <c r="AM21" s="102">
        <f>IF(SUM($F5:AM8)+SUM($F18:AM18)&gt;0,0,-SUM($F5:AM8)-SUM($F18:AM18))</f>
        <v>23831.06879999995</v>
      </c>
      <c r="AN21" s="102">
        <f>IF(SUM($F5:AN8)+SUM($F18:AN18)&gt;0,0,-SUM($F5:AN8)-SUM($F18:AN18))</f>
        <v>32432.502666666587</v>
      </c>
      <c r="AO21" s="102">
        <f>IF(SUM($F5:AO8)+SUM($F18:AO18)&gt;0,0,-SUM($F5:AO8)-SUM($F18:AO18))</f>
        <v>43809.786533333252</v>
      </c>
      <c r="AP21" s="102">
        <f>IF(SUM($F5:AP8)+SUM($F18:AP18)&gt;0,0,-SUM($F5:AP8)-SUM($F18:AP18))</f>
        <v>34606.895329416584</v>
      </c>
      <c r="AQ21" s="102">
        <f>IF(SUM($F5:AQ8)+SUM($F18:AQ18)&gt;0,0,-SUM($F5:AQ8)-SUM($F18:AQ18))</f>
        <v>43326.189260520841</v>
      </c>
      <c r="AR21" s="102">
        <f>IF(SUM($F5:AR8)+SUM($F18:AR18)&gt;0,0,-SUM($F5:AR8)-SUM($F18:AR18))</f>
        <v>60417.207682562745</v>
      </c>
      <c r="AS21" s="102">
        <f>IF(SUM($F5:AS8)+SUM($F18:AS18)&gt;0,0,-SUM($F5:AS8)-SUM($F18:AS18))</f>
        <v>43171.945380666919</v>
      </c>
      <c r="AT21" s="102">
        <f>IF(SUM($F5:AT8)+SUM($F18:AT18)&gt;0,0,-SUM($F5:AT8)-SUM($F18:AT18))</f>
        <v>54040.009613333641</v>
      </c>
      <c r="AU21" s="102">
        <f>IF(SUM($F5:AU8)+SUM($F18:AU18)&gt;0,0,-SUM($F5:AU8)-SUM($F18:AU18))</f>
        <v>64926.843317875311</v>
      </c>
      <c r="AV21" s="102">
        <f>IF(SUM($F5:AV8)+SUM($F18:AV18)&gt;0,0,-SUM($F5:AV8)-SUM($F18:AV18))</f>
        <v>51211.113440666973</v>
      </c>
      <c r="AW21" s="102">
        <f>IF(SUM($F5:AW8)+SUM($F18:AW18)&gt;0,0,-SUM($F5:AW8)-SUM($F18:AW18))</f>
        <v>64179.063153333285</v>
      </c>
      <c r="AX21" s="102">
        <f>IF(SUM($F5:AX8)+SUM($F18:AX18)&gt;0,0,-SUM($F5:AX8)-SUM($F18:AX18))</f>
        <v>77188.305704124912</v>
      </c>
      <c r="AY21" s="102">
        <f>IF(SUM($F5:AY8)+SUM($F18:AY18)&gt;0,0,-SUM($F5:AY8)-SUM($F18:AY18))</f>
        <v>51789.21317441656</v>
      </c>
      <c r="AZ21" s="102">
        <f>IF(SUM($F5:AZ8)+SUM($F18:AZ18)&gt;0,0,-SUM($F5:AZ8)-SUM($F18:AZ18))</f>
        <v>67925.0882967707</v>
      </c>
      <c r="BA21" s="102">
        <f>IF(SUM($F5:BA8)+SUM($F18:BA18)&gt;0,0,-SUM($F5:BA8)-SUM($F18:BA18))</f>
        <v>81917.291576312331</v>
      </c>
      <c r="BB21" s="102">
        <f>IF(SUM($F5:BB8)+SUM($F18:BB18)&gt;0,0,-SUM($F5:BB8)-SUM($F18:BB18))</f>
        <v>61256.988635919748</v>
      </c>
      <c r="BC21" s="102">
        <f>IF(SUM($F5:BC8)+SUM($F18:BC18)&gt;0,0,-SUM($F5:BC8)-SUM($F18:BC18))</f>
        <v>76984.277462399827</v>
      </c>
      <c r="BD21" s="102">
        <f>IF(SUM($F5:BD8)+SUM($F18:BD18)&gt;0,0,-SUM($F5:BD8)-SUM($F18:BD18))</f>
        <v>96190.637282354874</v>
      </c>
      <c r="BE21" s="102">
        <f>IF(SUM($F5:BE8)+SUM($F18:BE18)&gt;0,0,-SUM($F5:BE8)-SUM($F18:BE18))</f>
        <v>65873.42618471985</v>
      </c>
      <c r="BF21" s="102">
        <f>IF(SUM($F5:BF8)+SUM($F18:BF18)&gt;0,0,-SUM($F5:BF8)-SUM($F18:BF18))</f>
        <v>85363.525424099818</v>
      </c>
      <c r="BG21" s="102">
        <f>IF(SUM($F5:BG8)+SUM($F18:BG18)&gt;0,0,-SUM($F5:BG8)-SUM($F18:BG18))</f>
        <v>103167.86065277975</v>
      </c>
      <c r="BH21" s="102">
        <f>IF(SUM($F5:BH8)+SUM($F18:BH18)&gt;0,0,-SUM($F5:BH8)-SUM($F18:BH18))</f>
        <v>69890.482920719849</v>
      </c>
      <c r="BI21" s="102">
        <f>IF(SUM($F5:BI8)+SUM($F18:BI18)&gt;0,0,-SUM($F5:BI8)-SUM($F18:BI18))</f>
        <v>87943.874056499888</v>
      </c>
      <c r="BJ21" s="102">
        <f>IF(SUM($F5:BJ8)+SUM($F18:BJ18)&gt;0,0,-SUM($F5:BJ8)-SUM($F18:BJ18))</f>
        <v>106059.45810767962</v>
      </c>
      <c r="BK21" s="102">
        <f>IF(SUM($F5:BK8)+SUM($F18:BK18)&gt;0,0,-SUM($F5:BK8)-SUM($F18:BK18))</f>
        <v>71881.338402719965</v>
      </c>
      <c r="BL21" s="102">
        <f>IF(SUM($F5:BL8)+SUM($F18:BL18)&gt;0,0,-SUM($F5:BL8)-SUM($F18:BL18))</f>
        <v>92172.24920493328</v>
      </c>
      <c r="BM21" s="102">
        <f>IF(SUM($F5:BM8)+SUM($F18:BM18)&gt;0,0,-SUM($F5:BM8)-SUM($F18:BM18))</f>
        <v>111220.27117919645</v>
      </c>
      <c r="BN21" s="102">
        <f>IF(SUM($F5:BN8)+SUM($F18:BN18)&gt;0,0,-SUM($F5:BN8)-SUM($F18:BN18))</f>
        <v>77206.634165080817</v>
      </c>
      <c r="BO21" s="102">
        <f>IF(SUM($F5:BO8)+SUM($F18:BO18)&gt;0,0,-SUM($F5:BO8)-SUM($F18:BO18))</f>
        <v>96881.450198751118</v>
      </c>
      <c r="BP21" s="102">
        <f>IF(SUM($F5:BP8)+SUM($F18:BP18)&gt;0,0,-SUM($F5:BP8)-SUM($F18:BP18))</f>
        <v>116649.55560552112</v>
      </c>
      <c r="BQ21" s="102">
        <f>IF(SUM($F5:BQ8)+SUM($F18:BQ18)&gt;0,0,-SUM($F5:BQ8)-SUM($F18:BQ18))</f>
        <v>78326.106642280691</v>
      </c>
      <c r="BR21" s="102">
        <f>IF(SUM($F5:BR8)+SUM($F18:BR18)&gt;0,0,-SUM($F5:BR8)-SUM($F18:BR18))</f>
        <v>98280.790795251</v>
      </c>
      <c r="BS21" s="102">
        <f>IF(SUM($F5:BS8)+SUM($F18:BS18)&gt;0,0,-SUM($F5:BS8)-SUM($F18:BS18))</f>
        <v>118204.37849052147</v>
      </c>
      <c r="BT21" s="102">
        <f>IF(SUM($F5:BT8)+SUM($F18:BT18)&gt;0,0,-SUM($F5:BT8)-SUM($F18:BT18))</f>
        <v>79196.807457880903</v>
      </c>
      <c r="BU21" s="102">
        <f>IF(SUM($F5:BU8)+SUM($F18:BU18)&gt;0,0,-SUM($F5:BU8)-SUM($F18:BU18))</f>
        <v>99244.780983951176</v>
      </c>
      <c r="BV21" s="102">
        <f>IF(SUM($F5:BV8)+SUM($F18:BV18)&gt;0,0,-SUM($F5:BV8)-SUM($F18:BV18))</f>
        <v>119354.94742542124</v>
      </c>
      <c r="BW21" s="102">
        <f>IF(SUM($F5:BW8)+SUM($F18:BW18)&gt;0,0,-SUM($F5:BW8)-SUM($F18:BW18))</f>
        <v>79943.122442680818</v>
      </c>
      <c r="BX21" s="102">
        <f>IF(SUM($F5:BX8)+SUM($F18:BX18)&gt;0,0,-SUM($F5:BX8)-SUM($F18:BX18))</f>
        <v>100177.67471495103</v>
      </c>
      <c r="BY21" s="102">
        <f>IF(SUM($F5:BY8)+SUM($F18:BY18)&gt;0,0,-SUM($F5:BY8)-SUM($F18:BY18))</f>
        <v>120474.41990262094</v>
      </c>
      <c r="BZ21" s="102">
        <f>IF(SUM($F5:BZ8)+SUM($F18:BZ18)&gt;0,0,-SUM($F5:BZ8)-SUM($F18:BZ18))</f>
        <v>82684.727830861273</v>
      </c>
      <c r="CA21" s="102">
        <f>IF(SUM($F5:CA8)+SUM($F18:CA18)&gt;0,0,-SUM($F5:CA8)-SUM($F18:CA18))</f>
        <v>103554.92711785602</v>
      </c>
      <c r="CB21" s="102">
        <f>IF(SUM($F5:CB8)+SUM($F18:CB18)&gt;0,0,-SUM($F5:CB8)-SUM($F18:CB18))</f>
        <v>124400.24923869123</v>
      </c>
      <c r="CC21" s="102">
        <f>IF(SUM($F5:CC8)+SUM($F18:CC18)&gt;0,0,-SUM($F5:CC8)-SUM($F18:CC18))</f>
        <v>83132.516821740443</v>
      </c>
      <c r="CD21" s="102">
        <f>IF(SUM($F5:CD8)+SUM($F18:CD18)&gt;0,0,-SUM($F5:CD8)-SUM($F18:CD18))</f>
        <v>104040.0318579762</v>
      </c>
      <c r="CE21" s="102">
        <f>IF(SUM($F5:CE8)+SUM($F18:CE18)&gt;0,0,-SUM($F5:CE8)-SUM($F18:CE18))</f>
        <v>124978.64335191142</v>
      </c>
    </row>
    <row r="22" spans="1:87"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</row>
    <row r="23" spans="1:87"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</row>
    <row r="24" spans="1:87" ht="38.25">
      <c r="C24" s="18" t="s">
        <v>260</v>
      </c>
      <c r="D24" s="98" t="s">
        <v>261</v>
      </c>
      <c r="E24" s="98" t="s">
        <v>265</v>
      </c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</row>
    <row r="25" spans="1:87">
      <c r="A25" s="12" t="s">
        <v>264</v>
      </c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</row>
    <row r="26" spans="1:87">
      <c r="B26" t="s">
        <v>26</v>
      </c>
      <c r="C26" s="182">
        <v>0.19600000000000001</v>
      </c>
      <c r="D26" s="166">
        <v>60</v>
      </c>
      <c r="E26" s="1" t="s">
        <v>266</v>
      </c>
      <c r="F26" s="102">
        <f>'P&amp;L Month'!H22*(1+'Détail CF'!$C26)</f>
        <v>0</v>
      </c>
      <c r="G26" s="102">
        <f>'P&amp;L Month'!I22*(1+'Détail CF'!$C26)</f>
        <v>0</v>
      </c>
      <c r="H26" s="102">
        <f>'P&amp;L Month'!J22*(1+'Détail CF'!$C26)</f>
        <v>0</v>
      </c>
      <c r="I26" s="102">
        <f>'P&amp;L Month'!K22*(1+'Détail CF'!$C26)</f>
        <v>0</v>
      </c>
      <c r="J26" s="102">
        <f>'P&amp;L Month'!L22*(1+'Détail CF'!$C26)</f>
        <v>0</v>
      </c>
      <c r="K26" s="102">
        <f>'P&amp;L Month'!M22*(1+'Détail CF'!$C26)</f>
        <v>0</v>
      </c>
      <c r="L26" s="102">
        <f>'P&amp;L Month'!N22*(1+'Détail CF'!$C26)</f>
        <v>0</v>
      </c>
      <c r="M26" s="102">
        <f>'P&amp;L Month'!O22*(1+'Détail CF'!$C26)</f>
        <v>0</v>
      </c>
      <c r="N26" s="102">
        <f>'P&amp;L Month'!P22*(1+'Détail CF'!$C26)</f>
        <v>0</v>
      </c>
      <c r="O26" s="102">
        <f>'P&amp;L Month'!Q22*(1+'Détail CF'!$C26)</f>
        <v>0</v>
      </c>
      <c r="P26" s="102">
        <f>'P&amp;L Month'!R22*(1+'Détail CF'!$C26)</f>
        <v>0</v>
      </c>
      <c r="Q26" s="102">
        <f>'P&amp;L Month'!S22*(1+'Détail CF'!$C26)</f>
        <v>0</v>
      </c>
      <c r="R26" s="102">
        <f>'P&amp;L Month'!T22*(1+'Détail CF'!$C26)</f>
        <v>0</v>
      </c>
      <c r="S26" s="102">
        <f>'P&amp;L Month'!U22*(1+'Détail CF'!$C26)</f>
        <v>0</v>
      </c>
      <c r="T26" s="102">
        <f>'P&amp;L Month'!V22*(1+'Détail CF'!$C26)</f>
        <v>0</v>
      </c>
      <c r="U26" s="102">
        <f>'P&amp;L Month'!W22*(1+'Détail CF'!$C26)</f>
        <v>0</v>
      </c>
      <c r="V26" s="102">
        <f>'P&amp;L Month'!X22*(1+'Détail CF'!$C26)</f>
        <v>0</v>
      </c>
      <c r="W26" s="102">
        <f>'P&amp;L Month'!Y22*(1+'Détail CF'!$C26)</f>
        <v>0</v>
      </c>
      <c r="X26" s="102">
        <f>'P&amp;L Month'!Z22*(1+'Détail CF'!$C26)</f>
        <v>0</v>
      </c>
      <c r="Y26" s="102">
        <f>'P&amp;L Month'!AA22*(1+'Détail CF'!$C26)</f>
        <v>0</v>
      </c>
      <c r="Z26" s="102">
        <f>'P&amp;L Month'!AB22*(1+'Détail CF'!$C26)</f>
        <v>0</v>
      </c>
      <c r="AA26" s="102">
        <f>'P&amp;L Month'!AC22*(1+'Détail CF'!$C26)</f>
        <v>0</v>
      </c>
      <c r="AB26" s="102">
        <f>'P&amp;L Month'!AD22*(1+'Détail CF'!$C26)</f>
        <v>0</v>
      </c>
      <c r="AC26" s="102">
        <f>'P&amp;L Month'!AE22*(1+'Détail CF'!$C26)</f>
        <v>0</v>
      </c>
      <c r="AD26" s="102">
        <f>'P&amp;L Month'!AF22*(1+'Détail CF'!$C26)</f>
        <v>0</v>
      </c>
      <c r="AE26" s="102">
        <f>'P&amp;L Month'!AG22*(1+'Détail CF'!$C26)</f>
        <v>0</v>
      </c>
      <c r="AF26" s="102">
        <f>'P&amp;L Month'!AH22*(1+'Détail CF'!$C26)</f>
        <v>0</v>
      </c>
      <c r="AG26" s="102">
        <f>'P&amp;L Month'!AI22*(1+'Détail CF'!$C26)</f>
        <v>0</v>
      </c>
      <c r="AH26" s="102">
        <f>'P&amp;L Month'!AJ22*(1+'Détail CF'!$C26)</f>
        <v>0</v>
      </c>
      <c r="AI26" s="102">
        <f>'P&amp;L Month'!AK22*(1+'Détail CF'!$C26)</f>
        <v>0</v>
      </c>
      <c r="AJ26" s="102">
        <f>'P&amp;L Month'!AL22*(1+'Détail CF'!$C26)</f>
        <v>0</v>
      </c>
      <c r="AK26" s="102">
        <f>'P&amp;L Month'!AM22*(1+'Détail CF'!$C26)</f>
        <v>0</v>
      </c>
      <c r="AL26" s="102">
        <f>'P&amp;L Month'!AN22*(1+'Détail CF'!$C26)</f>
        <v>0</v>
      </c>
      <c r="AM26" s="102">
        <f>'P&amp;L Month'!AO22*(1+'Détail CF'!$C26)</f>
        <v>0</v>
      </c>
      <c r="AN26" s="102">
        <f>'P&amp;L Month'!AP22*(1+'Détail CF'!$C26)</f>
        <v>0</v>
      </c>
      <c r="AO26" s="102">
        <f>'P&amp;L Month'!AQ22*(1+'Détail CF'!$C26)</f>
        <v>0</v>
      </c>
      <c r="AP26" s="102">
        <f>'P&amp;L Month'!AR22*(1+'Détail CF'!$C26)</f>
        <v>0</v>
      </c>
      <c r="AQ26" s="102">
        <f>'P&amp;L Month'!AS22*(1+'Détail CF'!$C26)</f>
        <v>0</v>
      </c>
      <c r="AR26" s="102">
        <f>'P&amp;L Month'!AT22*(1+'Détail CF'!$C26)</f>
        <v>0</v>
      </c>
      <c r="AS26" s="102">
        <f>'P&amp;L Month'!AU22*(1+'Détail CF'!$C26)</f>
        <v>0</v>
      </c>
      <c r="AT26" s="102">
        <f>'P&amp;L Month'!AV22*(1+'Détail CF'!$C26)</f>
        <v>0</v>
      </c>
      <c r="AU26" s="102">
        <f>'P&amp;L Month'!AW22*(1+'Détail CF'!$C26)</f>
        <v>0</v>
      </c>
      <c r="AV26" s="102">
        <f>'P&amp;L Month'!AX22*(1+'Détail CF'!$C26)</f>
        <v>0</v>
      </c>
      <c r="AW26" s="102">
        <f>'P&amp;L Month'!AY22*(1+'Détail CF'!$C26)</f>
        <v>0</v>
      </c>
      <c r="AX26" s="102">
        <f>'P&amp;L Month'!AZ22*(1+'Détail CF'!$C26)</f>
        <v>0</v>
      </c>
      <c r="AY26" s="102">
        <f>'P&amp;L Month'!BA22*(1+'Détail CF'!$C26)</f>
        <v>0</v>
      </c>
      <c r="AZ26" s="102">
        <f>'P&amp;L Month'!BB22*(1+'Détail CF'!$C26)</f>
        <v>0</v>
      </c>
      <c r="BA26" s="102">
        <f>'P&amp;L Month'!BC22*(1+'Détail CF'!$C26)</f>
        <v>0</v>
      </c>
      <c r="BB26" s="102">
        <f>'P&amp;L Month'!BD22*(1+'Détail CF'!$C26)</f>
        <v>0</v>
      </c>
      <c r="BC26" s="102">
        <f>'P&amp;L Month'!BE22*(1+'Détail CF'!$C26)</f>
        <v>0</v>
      </c>
      <c r="BD26" s="102">
        <f>'P&amp;L Month'!BF22*(1+'Détail CF'!$C26)</f>
        <v>0</v>
      </c>
      <c r="BE26" s="102">
        <f>'P&amp;L Month'!BG22*(1+'Détail CF'!$C26)</f>
        <v>0</v>
      </c>
      <c r="BF26" s="102">
        <f>'P&amp;L Month'!BH22*(1+'Détail CF'!$C26)</f>
        <v>0</v>
      </c>
      <c r="BG26" s="102">
        <f>'P&amp;L Month'!BI22*(1+'Détail CF'!$C26)</f>
        <v>0</v>
      </c>
      <c r="BH26" s="102">
        <f>'P&amp;L Month'!BJ22*(1+'Détail CF'!$C26)</f>
        <v>0</v>
      </c>
      <c r="BI26" s="102">
        <f>'P&amp;L Month'!BK22*(1+'Détail CF'!$C26)</f>
        <v>0</v>
      </c>
      <c r="BJ26" s="102">
        <f>'P&amp;L Month'!BL22*(1+'Détail CF'!$C26)</f>
        <v>0</v>
      </c>
      <c r="BK26" s="102">
        <f>'P&amp;L Month'!BM22*(1+'Détail CF'!$C26)</f>
        <v>0</v>
      </c>
      <c r="BL26" s="102">
        <f>'P&amp;L Month'!BN22*(1+'Détail CF'!$C26)</f>
        <v>0</v>
      </c>
      <c r="BM26" s="102">
        <f>'P&amp;L Month'!BO22*(1+'Détail CF'!$C26)</f>
        <v>0</v>
      </c>
      <c r="BN26" s="102">
        <f>'P&amp;L Month'!BP22*(1+'Détail CF'!$C26)</f>
        <v>0</v>
      </c>
      <c r="BO26" s="102">
        <f>'P&amp;L Month'!BQ22*(1+'Détail CF'!$C26)</f>
        <v>0</v>
      </c>
      <c r="BP26" s="102">
        <f>'P&amp;L Month'!BR22*(1+'Détail CF'!$C26)</f>
        <v>0</v>
      </c>
      <c r="BQ26" s="102">
        <f>'P&amp;L Month'!BS22*(1+'Détail CF'!$C26)</f>
        <v>0</v>
      </c>
      <c r="BR26" s="102">
        <f>'P&amp;L Month'!BT22*(1+'Détail CF'!$C26)</f>
        <v>0</v>
      </c>
      <c r="BS26" s="102">
        <f>'P&amp;L Month'!BU22*(1+'Détail CF'!$C26)</f>
        <v>0</v>
      </c>
      <c r="BT26" s="102">
        <f>'P&amp;L Month'!BV22*(1+'Détail CF'!$C26)</f>
        <v>0</v>
      </c>
      <c r="BU26" s="102">
        <f>'P&amp;L Month'!BW22*(1+'Détail CF'!$C26)</f>
        <v>0</v>
      </c>
      <c r="BV26" s="102">
        <f>'P&amp;L Month'!BX22*(1+'Détail CF'!$C26)</f>
        <v>0</v>
      </c>
      <c r="BW26" s="102">
        <f>'P&amp;L Month'!BY22*(1+'Détail CF'!$C26)</f>
        <v>0</v>
      </c>
      <c r="BX26" s="102">
        <f>'P&amp;L Month'!BZ22*(1+'Détail CF'!$C26)</f>
        <v>0</v>
      </c>
      <c r="BY26" s="102">
        <f>'P&amp;L Month'!CA22*(1+'Détail CF'!$C26)</f>
        <v>0</v>
      </c>
      <c r="BZ26" s="102">
        <f>'P&amp;L Month'!CB22*(1+'Détail CF'!$C26)</f>
        <v>0</v>
      </c>
      <c r="CA26" s="102">
        <f>'P&amp;L Month'!CC22*(1+'Détail CF'!$C26)</f>
        <v>0</v>
      </c>
      <c r="CB26" s="102">
        <f>'P&amp;L Month'!CD22*(1+'Détail CF'!$C26)</f>
        <v>0</v>
      </c>
      <c r="CC26" s="102">
        <f>'P&amp;L Month'!CE22*(1+'Détail CF'!$C26)</f>
        <v>0</v>
      </c>
      <c r="CD26" s="102">
        <f>'P&amp;L Month'!CF22*(1+'Détail CF'!$C26)</f>
        <v>0</v>
      </c>
      <c r="CE26" s="102">
        <f>'P&amp;L Month'!CG22*(1+'Détail CF'!$C26)</f>
        <v>0</v>
      </c>
    </row>
    <row r="27" spans="1:87">
      <c r="B27" t="s">
        <v>30</v>
      </c>
      <c r="C27" s="182">
        <v>0.19600000000000001</v>
      </c>
      <c r="D27" s="166">
        <v>60</v>
      </c>
      <c r="E27" s="1" t="s">
        <v>266</v>
      </c>
      <c r="F27" s="102">
        <f>'P&amp;L Month'!H24*(1+'Détail CF'!$C27)</f>
        <v>0</v>
      </c>
      <c r="G27" s="102">
        <f>'P&amp;L Month'!I24*(1+'Détail CF'!$C27)</f>
        <v>0</v>
      </c>
      <c r="H27" s="102">
        <f>'P&amp;L Month'!J24*(1+'Détail CF'!$C27)</f>
        <v>0</v>
      </c>
      <c r="I27" s="102">
        <f>'P&amp;L Month'!K24*(1+'Détail CF'!$C27)</f>
        <v>0</v>
      </c>
      <c r="J27" s="102">
        <f>'P&amp;L Month'!L24*(1+'Détail CF'!$C27)</f>
        <v>0</v>
      </c>
      <c r="K27" s="102">
        <f>'P&amp;L Month'!M24*(1+'Détail CF'!$C27)</f>
        <v>0</v>
      </c>
      <c r="L27" s="102">
        <f>'P&amp;L Month'!N24*(1+'Détail CF'!$C27)</f>
        <v>0</v>
      </c>
      <c r="M27" s="102">
        <f>'P&amp;L Month'!O24*(1+'Détail CF'!$C27)</f>
        <v>0</v>
      </c>
      <c r="N27" s="102">
        <f>'P&amp;L Month'!P24*(1+'Détail CF'!$C27)</f>
        <v>0</v>
      </c>
      <c r="O27" s="102">
        <f>'P&amp;L Month'!Q24*(1+'Détail CF'!$C27)</f>
        <v>0</v>
      </c>
      <c r="P27" s="102">
        <f>'P&amp;L Month'!R24*(1+'Détail CF'!$C27)</f>
        <v>0</v>
      </c>
      <c r="Q27" s="102">
        <f>'P&amp;L Month'!S24*(1+'Détail CF'!$C27)</f>
        <v>0</v>
      </c>
      <c r="R27" s="102">
        <f>'P&amp;L Month'!T24*(1+'Détail CF'!$C27)</f>
        <v>0</v>
      </c>
      <c r="S27" s="102">
        <f>'P&amp;L Month'!U24*(1+'Détail CF'!$C27)</f>
        <v>0</v>
      </c>
      <c r="T27" s="102">
        <f>'P&amp;L Month'!V24*(1+'Détail CF'!$C27)</f>
        <v>0</v>
      </c>
      <c r="U27" s="102">
        <f>'P&amp;L Month'!W24*(1+'Détail CF'!$C27)</f>
        <v>0</v>
      </c>
      <c r="V27" s="102">
        <f>'P&amp;L Month'!X24*(1+'Détail CF'!$C27)</f>
        <v>0</v>
      </c>
      <c r="W27" s="102">
        <f>'P&amp;L Month'!Y24*(1+'Détail CF'!$C27)</f>
        <v>0</v>
      </c>
      <c r="X27" s="102">
        <f>'P&amp;L Month'!Z24*(1+'Détail CF'!$C27)</f>
        <v>0</v>
      </c>
      <c r="Y27" s="102">
        <f>'P&amp;L Month'!AA24*(1+'Détail CF'!$C27)</f>
        <v>0</v>
      </c>
      <c r="Z27" s="102">
        <f>'P&amp;L Month'!AB24*(1+'Détail CF'!$C27)</f>
        <v>0</v>
      </c>
      <c r="AA27" s="102">
        <f>'P&amp;L Month'!AC24*(1+'Détail CF'!$C27)</f>
        <v>0</v>
      </c>
      <c r="AB27" s="102">
        <f>'P&amp;L Month'!AD24*(1+'Détail CF'!$C27)</f>
        <v>0</v>
      </c>
      <c r="AC27" s="102">
        <f>'P&amp;L Month'!AE24*(1+'Détail CF'!$C27)</f>
        <v>0</v>
      </c>
      <c r="AD27" s="102">
        <f>'P&amp;L Month'!AF24*(1+'Détail CF'!$C27)</f>
        <v>0</v>
      </c>
      <c r="AE27" s="102">
        <f>'P&amp;L Month'!AG24*(1+'Détail CF'!$C27)</f>
        <v>0</v>
      </c>
      <c r="AF27" s="102">
        <f>'P&amp;L Month'!AH24*(1+'Détail CF'!$C27)</f>
        <v>0</v>
      </c>
      <c r="AG27" s="102">
        <f>'P&amp;L Month'!AI24*(1+'Détail CF'!$C27)</f>
        <v>0</v>
      </c>
      <c r="AH27" s="102">
        <f>'P&amp;L Month'!AJ24*(1+'Détail CF'!$C27)</f>
        <v>0</v>
      </c>
      <c r="AI27" s="102">
        <f>'P&amp;L Month'!AK24*(1+'Détail CF'!$C27)</f>
        <v>0</v>
      </c>
      <c r="AJ27" s="102">
        <f>'P&amp;L Month'!AL24*(1+'Détail CF'!$C27)</f>
        <v>0</v>
      </c>
      <c r="AK27" s="102">
        <f>'P&amp;L Month'!AM24*(1+'Détail CF'!$C27)</f>
        <v>0</v>
      </c>
      <c r="AL27" s="102">
        <f>'P&amp;L Month'!AN24*(1+'Détail CF'!$C27)</f>
        <v>0</v>
      </c>
      <c r="AM27" s="102">
        <f>'P&amp;L Month'!AO24*(1+'Détail CF'!$C27)</f>
        <v>0</v>
      </c>
      <c r="AN27" s="102">
        <f>'P&amp;L Month'!AP24*(1+'Détail CF'!$C27)</f>
        <v>0</v>
      </c>
      <c r="AO27" s="102">
        <f>'P&amp;L Month'!AQ24*(1+'Détail CF'!$C27)</f>
        <v>0</v>
      </c>
      <c r="AP27" s="102">
        <f>'P&amp;L Month'!AR24*(1+'Détail CF'!$C27)</f>
        <v>0</v>
      </c>
      <c r="AQ27" s="102">
        <f>'P&amp;L Month'!AS24*(1+'Détail CF'!$C27)</f>
        <v>0</v>
      </c>
      <c r="AR27" s="102">
        <f>'P&amp;L Month'!AT24*(1+'Détail CF'!$C27)</f>
        <v>0</v>
      </c>
      <c r="AS27" s="102">
        <f>'P&amp;L Month'!AU24*(1+'Détail CF'!$C27)</f>
        <v>0</v>
      </c>
      <c r="AT27" s="102">
        <f>'P&amp;L Month'!AV24*(1+'Détail CF'!$C27)</f>
        <v>0</v>
      </c>
      <c r="AU27" s="102">
        <f>'P&amp;L Month'!AW24*(1+'Détail CF'!$C27)</f>
        <v>0</v>
      </c>
      <c r="AV27" s="102">
        <f>'P&amp;L Month'!AX24*(1+'Détail CF'!$C27)</f>
        <v>0</v>
      </c>
      <c r="AW27" s="102">
        <f>'P&amp;L Month'!AY24*(1+'Détail CF'!$C27)</f>
        <v>0</v>
      </c>
      <c r="AX27" s="102">
        <f>'P&amp;L Month'!AZ24*(1+'Détail CF'!$C27)</f>
        <v>0</v>
      </c>
      <c r="AY27" s="102">
        <f>'P&amp;L Month'!BA24*(1+'Détail CF'!$C27)</f>
        <v>0</v>
      </c>
      <c r="AZ27" s="102">
        <f>'P&amp;L Month'!BB24*(1+'Détail CF'!$C27)</f>
        <v>0</v>
      </c>
      <c r="BA27" s="102">
        <f>'P&amp;L Month'!BC24*(1+'Détail CF'!$C27)</f>
        <v>0</v>
      </c>
      <c r="BB27" s="102">
        <f>'P&amp;L Month'!BD24*(1+'Détail CF'!$C27)</f>
        <v>0</v>
      </c>
      <c r="BC27" s="102">
        <f>'P&amp;L Month'!BE24*(1+'Détail CF'!$C27)</f>
        <v>0</v>
      </c>
      <c r="BD27" s="102">
        <f>'P&amp;L Month'!BF24*(1+'Détail CF'!$C27)</f>
        <v>0</v>
      </c>
      <c r="BE27" s="102">
        <f>'P&amp;L Month'!BG24*(1+'Détail CF'!$C27)</f>
        <v>0</v>
      </c>
      <c r="BF27" s="102">
        <f>'P&amp;L Month'!BH24*(1+'Détail CF'!$C27)</f>
        <v>0</v>
      </c>
      <c r="BG27" s="102">
        <f>'P&amp;L Month'!BI24*(1+'Détail CF'!$C27)</f>
        <v>0</v>
      </c>
      <c r="BH27" s="102">
        <f>'P&amp;L Month'!BJ24*(1+'Détail CF'!$C27)</f>
        <v>0</v>
      </c>
      <c r="BI27" s="102">
        <f>'P&amp;L Month'!BK24*(1+'Détail CF'!$C27)</f>
        <v>0</v>
      </c>
      <c r="BJ27" s="102">
        <f>'P&amp;L Month'!BL24*(1+'Détail CF'!$C27)</f>
        <v>0</v>
      </c>
      <c r="BK27" s="102">
        <f>'P&amp;L Month'!BM24*(1+'Détail CF'!$C27)</f>
        <v>0</v>
      </c>
      <c r="BL27" s="102">
        <f>'P&amp;L Month'!BN24*(1+'Détail CF'!$C27)</f>
        <v>0</v>
      </c>
      <c r="BM27" s="102">
        <f>'P&amp;L Month'!BO24*(1+'Détail CF'!$C27)</f>
        <v>0</v>
      </c>
      <c r="BN27" s="102">
        <f>'P&amp;L Month'!BP24*(1+'Détail CF'!$C27)</f>
        <v>0</v>
      </c>
      <c r="BO27" s="102">
        <f>'P&amp;L Month'!BQ24*(1+'Détail CF'!$C27)</f>
        <v>0</v>
      </c>
      <c r="BP27" s="102">
        <f>'P&amp;L Month'!BR24*(1+'Détail CF'!$C27)</f>
        <v>0</v>
      </c>
      <c r="BQ27" s="102">
        <f>'P&amp;L Month'!BS24*(1+'Détail CF'!$C27)</f>
        <v>0</v>
      </c>
      <c r="BR27" s="102">
        <f>'P&amp;L Month'!BT24*(1+'Détail CF'!$C27)</f>
        <v>0</v>
      </c>
      <c r="BS27" s="102">
        <f>'P&amp;L Month'!BU24*(1+'Détail CF'!$C27)</f>
        <v>0</v>
      </c>
      <c r="BT27" s="102">
        <f>'P&amp;L Month'!BV24*(1+'Détail CF'!$C27)</f>
        <v>0</v>
      </c>
      <c r="BU27" s="102">
        <f>'P&amp;L Month'!BW24*(1+'Détail CF'!$C27)</f>
        <v>0</v>
      </c>
      <c r="BV27" s="102">
        <f>'P&amp;L Month'!BX24*(1+'Détail CF'!$C27)</f>
        <v>0</v>
      </c>
      <c r="BW27" s="102">
        <f>'P&amp;L Month'!BY24*(1+'Détail CF'!$C27)</f>
        <v>0</v>
      </c>
      <c r="BX27" s="102">
        <f>'P&amp;L Month'!BZ24*(1+'Détail CF'!$C27)</f>
        <v>0</v>
      </c>
      <c r="BY27" s="102">
        <f>'P&amp;L Month'!CA24*(1+'Détail CF'!$C27)</f>
        <v>0</v>
      </c>
      <c r="BZ27" s="102">
        <f>'P&amp;L Month'!CB24*(1+'Détail CF'!$C27)</f>
        <v>0</v>
      </c>
      <c r="CA27" s="102">
        <f>'P&amp;L Month'!CC24*(1+'Détail CF'!$C27)</f>
        <v>0</v>
      </c>
      <c r="CB27" s="102">
        <f>'P&amp;L Month'!CD24*(1+'Détail CF'!$C27)</f>
        <v>0</v>
      </c>
      <c r="CC27" s="102">
        <f>'P&amp;L Month'!CE24*(1+'Détail CF'!$C27)</f>
        <v>0</v>
      </c>
      <c r="CD27" s="102">
        <f>'P&amp;L Month'!CF24*(1+'Détail CF'!$C27)</f>
        <v>0</v>
      </c>
      <c r="CE27" s="102">
        <f>'P&amp;L Month'!CG24*(1+'Détail CF'!$C27)</f>
        <v>0</v>
      </c>
    </row>
    <row r="28" spans="1:87">
      <c r="B28" t="s">
        <v>159</v>
      </c>
      <c r="C28" s="182">
        <v>0.19600000000000001</v>
      </c>
      <c r="D28" s="166">
        <v>60</v>
      </c>
      <c r="E28" s="1" t="s">
        <v>266</v>
      </c>
      <c r="F28" s="102">
        <f>'P&amp;L Month'!H27*(1+'Détail CF'!$C28)</f>
        <v>0</v>
      </c>
      <c r="G28" s="102">
        <f>'P&amp;L Month'!I27*(1+'Détail CF'!$C28)</f>
        <v>0</v>
      </c>
      <c r="H28" s="102">
        <f>'P&amp;L Month'!J27*(1+'Détail CF'!$C28)</f>
        <v>0</v>
      </c>
      <c r="I28" s="102">
        <f>'P&amp;L Month'!K27*(1+'Détail CF'!$C28)</f>
        <v>0</v>
      </c>
      <c r="J28" s="102">
        <f>'P&amp;L Month'!L27*(1+'Détail CF'!$C28)</f>
        <v>0</v>
      </c>
      <c r="K28" s="102">
        <f>'P&amp;L Month'!M27*(1+'Détail CF'!$C28)</f>
        <v>0</v>
      </c>
      <c r="L28" s="102">
        <f>'P&amp;L Month'!N27*(1+'Détail CF'!$C28)</f>
        <v>0</v>
      </c>
      <c r="M28" s="102">
        <f>'P&amp;L Month'!O27*(1+'Détail CF'!$C28)</f>
        <v>0</v>
      </c>
      <c r="N28" s="102">
        <f>'P&amp;L Month'!P27*(1+'Détail CF'!$C28)</f>
        <v>0</v>
      </c>
      <c r="O28" s="102">
        <f>'P&amp;L Month'!Q27*(1+'Détail CF'!$C28)</f>
        <v>0</v>
      </c>
      <c r="P28" s="102">
        <f>'P&amp;L Month'!R27*(1+'Détail CF'!$C28)</f>
        <v>0</v>
      </c>
      <c r="Q28" s="102">
        <f>'P&amp;L Month'!S27*(1+'Détail CF'!$C28)</f>
        <v>0</v>
      </c>
      <c r="R28" s="102">
        <f>'P&amp;L Month'!T27*(1+'Détail CF'!$C28)</f>
        <v>0</v>
      </c>
      <c r="S28" s="102">
        <f>'P&amp;L Month'!U27*(1+'Détail CF'!$C28)</f>
        <v>0</v>
      </c>
      <c r="T28" s="102">
        <f>'P&amp;L Month'!V27*(1+'Détail CF'!$C28)</f>
        <v>0</v>
      </c>
      <c r="U28" s="102">
        <f>'P&amp;L Month'!W27*(1+'Détail CF'!$C28)</f>
        <v>0</v>
      </c>
      <c r="V28" s="102">
        <f>'P&amp;L Month'!X27*(1+'Détail CF'!$C28)</f>
        <v>0</v>
      </c>
      <c r="W28" s="102">
        <f>'P&amp;L Month'!Y27*(1+'Détail CF'!$C28)</f>
        <v>0</v>
      </c>
      <c r="X28" s="102">
        <f>'P&amp;L Month'!Z27*(1+'Détail CF'!$C28)</f>
        <v>0</v>
      </c>
      <c r="Y28" s="102">
        <f>'P&amp;L Month'!AA27*(1+'Détail CF'!$C28)</f>
        <v>0</v>
      </c>
      <c r="Z28" s="102">
        <f>'P&amp;L Month'!AB27*(1+'Détail CF'!$C28)</f>
        <v>0</v>
      </c>
      <c r="AA28" s="102">
        <f>'P&amp;L Month'!AC27*(1+'Détail CF'!$C28)</f>
        <v>0</v>
      </c>
      <c r="AB28" s="102">
        <f>'P&amp;L Month'!AD27*(1+'Détail CF'!$C28)</f>
        <v>0</v>
      </c>
      <c r="AC28" s="102">
        <f>'P&amp;L Month'!AE27*(1+'Détail CF'!$C28)</f>
        <v>0</v>
      </c>
      <c r="AD28" s="102">
        <f>'P&amp;L Month'!AF27*(1+'Détail CF'!$C28)</f>
        <v>0</v>
      </c>
      <c r="AE28" s="102">
        <f>'P&amp;L Month'!AG27*(1+'Détail CF'!$C28)</f>
        <v>0</v>
      </c>
      <c r="AF28" s="102">
        <f>'P&amp;L Month'!AH27*(1+'Détail CF'!$C28)</f>
        <v>0</v>
      </c>
      <c r="AG28" s="102">
        <f>'P&amp;L Month'!AI27*(1+'Détail CF'!$C28)</f>
        <v>0</v>
      </c>
      <c r="AH28" s="102">
        <f>'P&amp;L Month'!AJ27*(1+'Détail CF'!$C28)</f>
        <v>0</v>
      </c>
      <c r="AI28" s="102">
        <f>'P&amp;L Month'!AK27*(1+'Détail CF'!$C28)</f>
        <v>0</v>
      </c>
      <c r="AJ28" s="102">
        <f>'P&amp;L Month'!AL27*(1+'Détail CF'!$C28)</f>
        <v>1177.0434</v>
      </c>
      <c r="AK28" s="102">
        <f>'P&amp;L Month'!AM27*(1+'Détail CF'!$C28)</f>
        <v>2354.0868</v>
      </c>
      <c r="AL28" s="102">
        <f>'P&amp;L Month'!AN27*(1+'Détail CF'!$C28)</f>
        <v>3531.1302000000001</v>
      </c>
      <c r="AM28" s="102">
        <f>'P&amp;L Month'!AO27*(1+'Détail CF'!$C28)</f>
        <v>4708.1736000000001</v>
      </c>
      <c r="AN28" s="102">
        <f>'P&amp;L Month'!AP27*(1+'Détail CF'!$C28)</f>
        <v>5885.2169999999996</v>
      </c>
      <c r="AO28" s="102">
        <f>'P&amp;L Month'!AQ27*(1+'Détail CF'!$C28)</f>
        <v>7062.2604000000001</v>
      </c>
      <c r="AP28" s="102">
        <f>'P&amp;L Month'!AR27*(1+'Détail CF'!$C28)</f>
        <v>9416.3472000000002</v>
      </c>
      <c r="AQ28" s="102">
        <f>'P&amp;L Month'!AS27*(1+'Détail CF'!$C28)</f>
        <v>11770.433999999999</v>
      </c>
      <c r="AR28" s="102">
        <f>'P&amp;L Month'!AT27*(1+'Détail CF'!$C28)</f>
        <v>14124.5208</v>
      </c>
      <c r="AS28" s="102">
        <f>'P&amp;L Month'!AU27*(1+'Détail CF'!$C28)</f>
        <v>17655.651000000002</v>
      </c>
      <c r="AT28" s="102">
        <f>'P&amp;L Month'!AV27*(1+'Détail CF'!$C28)</f>
        <v>21186.781200000001</v>
      </c>
      <c r="AU28" s="102">
        <f>'P&amp;L Month'!AW27*(1+'Détail CF'!$C28)</f>
        <v>24717.911400000001</v>
      </c>
      <c r="AV28" s="102">
        <f>'P&amp;L Month'!AX27*(1+'Détail CF'!$C28)</f>
        <v>28249.0416</v>
      </c>
      <c r="AW28" s="102">
        <f>'P&amp;L Month'!AY27*(1+'Détail CF'!$C28)</f>
        <v>34135.873200000002</v>
      </c>
      <c r="AX28" s="102">
        <f>'P&amp;L Month'!AZ27*(1+'Détail CF'!$C28)</f>
        <v>40022.704799999992</v>
      </c>
      <c r="AY28" s="102">
        <f>'P&amp;L Month'!BA27*(1+'Détail CF'!$C28)</f>
        <v>45909.536399999997</v>
      </c>
      <c r="AZ28" s="102">
        <f>'P&amp;L Month'!BB27*(1+'Détail CF'!$C28)</f>
        <v>52975.025999999998</v>
      </c>
      <c r="BA28" s="102">
        <f>'P&amp;L Month'!BC27*(1+'Détail CF'!$C28)</f>
        <v>61219.173600000002</v>
      </c>
      <c r="BB28" s="102">
        <f>'P&amp;L Month'!BD27*(1+'Détail CF'!$C28)</f>
        <v>67109.234400000001</v>
      </c>
      <c r="BC28" s="102">
        <f>'P&amp;L Month'!BE27*(1+'Détail CF'!$C28)</f>
        <v>75356.611199999999</v>
      </c>
      <c r="BD28" s="102">
        <f>'P&amp;L Month'!BF27*(1+'Détail CF'!$C28)</f>
        <v>82425.33</v>
      </c>
      <c r="BE28" s="102">
        <f>'P&amp;L Month'!BG27*(1+'Détail CF'!$C28)</f>
        <v>95380.880400000009</v>
      </c>
      <c r="BF28" s="102">
        <f>'P&amp;L Month'!BH27*(1+'Détail CF'!$C28)</f>
        <v>102446.37</v>
      </c>
      <c r="BG28" s="102">
        <f>'P&amp;L Month'!BI27*(1+'Détail CF'!$C28)</f>
        <v>109511.8596</v>
      </c>
      <c r="BH28" s="102">
        <f>'P&amp;L Month'!BJ27*(1+'Détail CF'!$C28)</f>
        <v>116577.34920000001</v>
      </c>
      <c r="BI28" s="102">
        <f>'P&amp;L Month'!BK27*(1+'Détail CF'!$C28)</f>
        <v>121876.4664</v>
      </c>
      <c r="BJ28" s="102">
        <f>'P&amp;L Month'!BL27*(1+'Détail CF'!$C28)</f>
        <v>127175.5836</v>
      </c>
      <c r="BK28" s="102">
        <f>'P&amp;L Month'!BM27*(1+'Détail CF'!$C28)</f>
        <v>132474.70079999999</v>
      </c>
      <c r="BL28" s="102">
        <f>'P&amp;L Month'!BN27*(1+'Détail CF'!$C28)</f>
        <v>137773.818</v>
      </c>
      <c r="BM28" s="102">
        <f>'P&amp;L Month'!BO27*(1+'Détail CF'!$C28)</f>
        <v>141306.56279999999</v>
      </c>
      <c r="BN28" s="102">
        <f>'P&amp;L Month'!BP27*(1+'Détail CF'!$C28)</f>
        <v>144839.3076</v>
      </c>
      <c r="BO28" s="102">
        <f>'P&amp;L Month'!BQ27*(1+'Détail CF'!$C28)</f>
        <v>148372.05240000002</v>
      </c>
      <c r="BP28" s="102">
        <f>'P&amp;L Month'!BR27*(1+'Détail CF'!$C28)</f>
        <v>151904.7972</v>
      </c>
      <c r="BQ28" s="102">
        <f>'P&amp;L Month'!BS27*(1+'Détail CF'!$C28)</f>
        <v>155437.54200000002</v>
      </c>
      <c r="BR28" s="102">
        <f>'P&amp;L Month'!BT27*(1+'Détail CF'!$C28)</f>
        <v>158970.2868</v>
      </c>
      <c r="BS28" s="102">
        <f>'P&amp;L Month'!BU27*(1+'Détail CF'!$C28)</f>
        <v>162503.03159999999</v>
      </c>
      <c r="BT28" s="102">
        <f>'P&amp;L Month'!BV27*(1+'Détail CF'!$C28)</f>
        <v>164975.95296</v>
      </c>
      <c r="BU28" s="102">
        <f>'P&amp;L Month'!BW27*(1+'Détail CF'!$C28)</f>
        <v>167802.14880000002</v>
      </c>
      <c r="BV28" s="102">
        <f>'P&amp;L Month'!BX27*(1+'Détail CF'!$C28)</f>
        <v>169568.52120000002</v>
      </c>
      <c r="BW28" s="102">
        <f>'P&amp;L Month'!BY27*(1+'Détail CF'!$C28)</f>
        <v>171334.89360000001</v>
      </c>
      <c r="BX28" s="102">
        <f>'P&amp;L Month'!BZ27*(1+'Détail CF'!$C28)</f>
        <v>173101.266</v>
      </c>
      <c r="BY28" s="102">
        <f>'P&amp;L Month'!CA27*(1+'Détail CF'!$C28)</f>
        <v>174867.63840000003</v>
      </c>
      <c r="BZ28" s="102">
        <f>'P&amp;L Month'!CB27*(1+'Détail CF'!$C28)</f>
        <v>176634.01080000002</v>
      </c>
      <c r="CA28" s="102">
        <f>'P&amp;L Month'!CC27*(1+'Détail CF'!$C28)</f>
        <v>178400.38320000001</v>
      </c>
      <c r="CB28" s="102">
        <f>'P&amp;L Month'!CD27*(1+'Détail CF'!$C28)</f>
        <v>180166.7556</v>
      </c>
      <c r="CC28" s="102">
        <f>'P&amp;L Month'!CE27*(1+'Détail CF'!$C28)</f>
        <v>181226.57904000001</v>
      </c>
      <c r="CD28" s="102">
        <f>'P&amp;L Month'!CF27*(1+'Détail CF'!$C28)</f>
        <v>182286.40247999999</v>
      </c>
      <c r="CE28" s="102">
        <f>'P&amp;L Month'!CG27*(1+'Détail CF'!$C28)</f>
        <v>183699.50040000002</v>
      </c>
    </row>
    <row r="29" spans="1:87">
      <c r="B29" t="s">
        <v>160</v>
      </c>
      <c r="C29" s="182">
        <v>0.19600000000000001</v>
      </c>
      <c r="D29" s="166">
        <v>15</v>
      </c>
      <c r="E29" s="1" t="s">
        <v>266</v>
      </c>
      <c r="F29" s="102">
        <f>'P&amp;L Month'!H28*(1+'Détail CF'!$C29)</f>
        <v>0</v>
      </c>
      <c r="G29" s="102">
        <f>'P&amp;L Month'!I28*(1+'Détail CF'!$C29)</f>
        <v>0</v>
      </c>
      <c r="H29" s="102">
        <f>'P&amp;L Month'!J28*(1+'Détail CF'!$C29)</f>
        <v>0</v>
      </c>
      <c r="I29" s="102">
        <f>'P&amp;L Month'!K28*(1+'Détail CF'!$C29)</f>
        <v>0</v>
      </c>
      <c r="J29" s="102">
        <f>'P&amp;L Month'!L28*(1+'Détail CF'!$C29)</f>
        <v>0</v>
      </c>
      <c r="K29" s="102">
        <f>'P&amp;L Month'!M28*(1+'Détail CF'!$C29)</f>
        <v>0</v>
      </c>
      <c r="L29" s="102">
        <f>'P&amp;L Month'!N28*(1+'Détail CF'!$C29)</f>
        <v>0</v>
      </c>
      <c r="M29" s="102">
        <f>'P&amp;L Month'!O28*(1+'Détail CF'!$C29)</f>
        <v>0</v>
      </c>
      <c r="N29" s="102">
        <f>'P&amp;L Month'!P28*(1+'Détail CF'!$C29)</f>
        <v>0</v>
      </c>
      <c r="O29" s="102">
        <f>'P&amp;L Month'!Q28*(1+'Détail CF'!$C29)</f>
        <v>0</v>
      </c>
      <c r="P29" s="102">
        <f>'P&amp;L Month'!R28*(1+'Détail CF'!$C29)</f>
        <v>0</v>
      </c>
      <c r="Q29" s="102">
        <f>'P&amp;L Month'!S28*(1+'Détail CF'!$C29)</f>
        <v>0</v>
      </c>
      <c r="R29" s="102">
        <f>'P&amp;L Month'!T28*(1+'Détail CF'!$C29)</f>
        <v>0</v>
      </c>
      <c r="S29" s="102">
        <f>'P&amp;L Month'!U28*(1+'Détail CF'!$C29)</f>
        <v>418.59999999999997</v>
      </c>
      <c r="T29" s="102">
        <f>'P&amp;L Month'!V28*(1+'Détail CF'!$C29)</f>
        <v>418.59999999999997</v>
      </c>
      <c r="U29" s="102">
        <f>'P&amp;L Month'!W28*(1+'Détail CF'!$C29)</f>
        <v>418.59999999999997</v>
      </c>
      <c r="V29" s="102">
        <f>'P&amp;L Month'!X28*(1+'Détail CF'!$C29)</f>
        <v>418.59999999999997</v>
      </c>
      <c r="W29" s="102">
        <f>'P&amp;L Month'!Y28*(1+'Détail CF'!$C29)</f>
        <v>418.59999999999997</v>
      </c>
      <c r="X29" s="102">
        <f>'P&amp;L Month'!Z28*(1+'Détail CF'!$C29)</f>
        <v>418.59999999999997</v>
      </c>
      <c r="Y29" s="102">
        <f>'P&amp;L Month'!AA28*(1+'Détail CF'!$C29)</f>
        <v>418.59999999999997</v>
      </c>
      <c r="Z29" s="102">
        <f>'P&amp;L Month'!AB28*(1+'Détail CF'!$C29)</f>
        <v>418.59999999999997</v>
      </c>
      <c r="AA29" s="102">
        <f>'P&amp;L Month'!AC28*(1+'Détail CF'!$C29)</f>
        <v>418.59999999999997</v>
      </c>
      <c r="AB29" s="102">
        <f>'P&amp;L Month'!AD28*(1+'Détail CF'!$C29)</f>
        <v>418.59999999999997</v>
      </c>
      <c r="AC29" s="102">
        <f>'P&amp;L Month'!AE28*(1+'Détail CF'!$C29)</f>
        <v>418.59999999999997</v>
      </c>
      <c r="AD29" s="102">
        <f>'P&amp;L Month'!AF28*(1+'Détail CF'!$C29)</f>
        <v>1016.5999999999999</v>
      </c>
      <c r="AE29" s="102">
        <f>'P&amp;L Month'!AG28*(1+'Détail CF'!$C29)</f>
        <v>299</v>
      </c>
      <c r="AF29" s="102">
        <f>'P&amp;L Month'!AH28*(1+'Détail CF'!$C29)</f>
        <v>598</v>
      </c>
      <c r="AG29" s="102">
        <f>'P&amp;L Month'!AI28*(1+'Détail CF'!$C29)</f>
        <v>897</v>
      </c>
      <c r="AH29" s="102">
        <f>'P&amp;L Month'!AJ28*(1+'Détail CF'!$C29)</f>
        <v>897</v>
      </c>
      <c r="AI29" s="102">
        <f>'P&amp;L Month'!AK28*(1+'Détail CF'!$C29)</f>
        <v>1196</v>
      </c>
      <c r="AJ29" s="102">
        <f>'P&amp;L Month'!AL28*(1+'Détail CF'!$C29)</f>
        <v>1794</v>
      </c>
      <c r="AK29" s="102">
        <f>'P&amp;L Month'!AM28*(1+'Détail CF'!$C29)</f>
        <v>2093</v>
      </c>
      <c r="AL29" s="102">
        <f>'P&amp;L Month'!AN28*(1+'Détail CF'!$C29)</f>
        <v>2691</v>
      </c>
      <c r="AM29" s="102">
        <f>'P&amp;L Month'!AO28*(1+'Détail CF'!$C29)</f>
        <v>2691</v>
      </c>
      <c r="AN29" s="102">
        <f>'P&amp;L Month'!AP28*(1+'Détail CF'!$C29)</f>
        <v>2990</v>
      </c>
      <c r="AO29" s="102">
        <f>'P&amp;L Month'!AQ28*(1+'Détail CF'!$C29)</f>
        <v>3588</v>
      </c>
      <c r="AP29" s="102">
        <f>'P&amp;L Month'!AR28*(1+'Détail CF'!$C29)</f>
        <v>3887</v>
      </c>
      <c r="AQ29" s="102">
        <f>'P&amp;L Month'!AS28*(1+'Détail CF'!$C29)</f>
        <v>3887</v>
      </c>
      <c r="AR29" s="102">
        <f>'P&amp;L Month'!AT28*(1+'Détail CF'!$C29)</f>
        <v>4784</v>
      </c>
      <c r="AS29" s="102">
        <f>'P&amp;L Month'!AU28*(1+'Détail CF'!$C29)</f>
        <v>4784</v>
      </c>
      <c r="AT29" s="102">
        <f>'P&amp;L Month'!AV28*(1+'Détail CF'!$C29)</f>
        <v>4784</v>
      </c>
      <c r="AU29" s="102">
        <f>'P&amp;L Month'!AW28*(1+'Détail CF'!$C29)</f>
        <v>4784</v>
      </c>
      <c r="AV29" s="102">
        <f>'P&amp;L Month'!AX28*(1+'Détail CF'!$C29)</f>
        <v>5851.4299999999994</v>
      </c>
      <c r="AW29" s="102">
        <f>'P&amp;L Month'!AY28*(1+'Détail CF'!$C29)</f>
        <v>5851.4299999999994</v>
      </c>
      <c r="AX29" s="102">
        <f>'P&amp;L Month'!AZ28*(1+'Détail CF'!$C29)</f>
        <v>5851.4299999999994</v>
      </c>
      <c r="AY29" s="102">
        <f>'P&amp;L Month'!BA28*(1+'Détail CF'!$C29)</f>
        <v>5851.4299999999994</v>
      </c>
      <c r="AZ29" s="102">
        <f>'P&amp;L Month'!BB28*(1+'Détail CF'!$C29)</f>
        <v>6159.4</v>
      </c>
      <c r="BA29" s="102">
        <f>'P&amp;L Month'!BC28*(1+'Détail CF'!$C29)</f>
        <v>6159.4</v>
      </c>
      <c r="BB29" s="102">
        <f>'P&amp;L Month'!BD28*(1+'Détail CF'!$C29)</f>
        <v>6775.34</v>
      </c>
      <c r="BC29" s="102">
        <f>'P&amp;L Month'!BE28*(1+'Détail CF'!$C29)</f>
        <v>6775.34</v>
      </c>
      <c r="BD29" s="102">
        <f>'P&amp;L Month'!BF28*(1+'Détail CF'!$C29)</f>
        <v>7083.3099999999995</v>
      </c>
      <c r="BE29" s="102">
        <f>'P&amp;L Month'!BG28*(1+'Détail CF'!$C29)</f>
        <v>7083.3099999999995</v>
      </c>
      <c r="BF29" s="102">
        <f>'P&amp;L Month'!BH28*(1+'Détail CF'!$C29)</f>
        <v>7391.28</v>
      </c>
      <c r="BG29" s="102">
        <f>'P&amp;L Month'!BI28*(1+'Détail CF'!$C29)</f>
        <v>7391.28</v>
      </c>
      <c r="BH29" s="102">
        <f>'P&amp;L Month'!BJ28*(1+'Détail CF'!$C29)</f>
        <v>7606.5599999999995</v>
      </c>
      <c r="BI29" s="102">
        <f>'P&amp;L Month'!BK28*(1+'Détail CF'!$C29)</f>
        <v>7606.5599999999995</v>
      </c>
      <c r="BJ29" s="102">
        <f>'P&amp;L Month'!BL28*(1+'Détail CF'!$C29)</f>
        <v>7606.5599999999995</v>
      </c>
      <c r="BK29" s="102">
        <f>'P&amp;L Month'!BM28*(1+'Détail CF'!$C29)</f>
        <v>7606.5599999999995</v>
      </c>
      <c r="BL29" s="102">
        <f>'P&amp;L Month'!BN28*(1+'Détail CF'!$C29)</f>
        <v>7923.5</v>
      </c>
      <c r="BM29" s="102">
        <f>'P&amp;L Month'!BO28*(1+'Détail CF'!$C29)</f>
        <v>7923.5</v>
      </c>
      <c r="BN29" s="102">
        <f>'P&amp;L Month'!BP28*(1+'Détail CF'!$C29)</f>
        <v>7923.5</v>
      </c>
      <c r="BO29" s="102">
        <f>'P&amp;L Month'!BQ28*(1+'Détail CF'!$C29)</f>
        <v>7923.5</v>
      </c>
      <c r="BP29" s="102">
        <f>'P&amp;L Month'!BR28*(1+'Détail CF'!$C29)</f>
        <v>7923.5</v>
      </c>
      <c r="BQ29" s="102">
        <f>'P&amp;L Month'!BS28*(1+'Détail CF'!$C29)</f>
        <v>7923.5</v>
      </c>
      <c r="BR29" s="102">
        <f>'P&amp;L Month'!BT28*(1+'Détail CF'!$C29)</f>
        <v>7923.5</v>
      </c>
      <c r="BS29" s="102">
        <f>'P&amp;L Month'!BU28*(1+'Détail CF'!$C29)</f>
        <v>7923.5</v>
      </c>
      <c r="BT29" s="102">
        <f>'P&amp;L Month'!BV28*(1+'Détail CF'!$C29)</f>
        <v>8222.5</v>
      </c>
      <c r="BU29" s="102">
        <f>'P&amp;L Month'!BW28*(1+'Détail CF'!$C29)</f>
        <v>8222.5</v>
      </c>
      <c r="BV29" s="102">
        <f>'P&amp;L Month'!BX28*(1+'Détail CF'!$C29)</f>
        <v>8222.5</v>
      </c>
      <c r="BW29" s="102">
        <f>'P&amp;L Month'!BY28*(1+'Détail CF'!$C29)</f>
        <v>8222.5</v>
      </c>
      <c r="BX29" s="102">
        <f>'P&amp;L Month'!BZ28*(1+'Détail CF'!$C29)</f>
        <v>8222.5</v>
      </c>
      <c r="BY29" s="102">
        <f>'P&amp;L Month'!CA28*(1+'Détail CF'!$C29)</f>
        <v>8222.5</v>
      </c>
      <c r="BZ29" s="102">
        <f>'P&amp;L Month'!CB28*(1+'Détail CF'!$C29)</f>
        <v>8222.5</v>
      </c>
      <c r="CA29" s="102">
        <f>'P&amp;L Month'!CC28*(1+'Détail CF'!$C29)</f>
        <v>8222.5</v>
      </c>
      <c r="CB29" s="102">
        <f>'P&amp;L Month'!CD28*(1+'Détail CF'!$C29)</f>
        <v>8222.5</v>
      </c>
      <c r="CC29" s="102">
        <f>'P&amp;L Month'!CE28*(1+'Détail CF'!$C29)</f>
        <v>8222.5</v>
      </c>
      <c r="CD29" s="102">
        <f>'P&amp;L Month'!CF28*(1+'Détail CF'!$C29)</f>
        <v>8222.5</v>
      </c>
      <c r="CE29" s="102">
        <f>'P&amp;L Month'!CG28*(1+'Détail CF'!$C29)</f>
        <v>8222.5</v>
      </c>
    </row>
    <row r="30" spans="1:87">
      <c r="B30" t="s">
        <v>161</v>
      </c>
      <c r="C30" s="182">
        <v>0.19600000000000001</v>
      </c>
      <c r="D30" s="166">
        <v>30</v>
      </c>
      <c r="E30" s="1" t="s">
        <v>266</v>
      </c>
      <c r="F30" s="102">
        <f>'P&amp;L Month'!H29*(1+'Détail CF'!$C30)</f>
        <v>0</v>
      </c>
      <c r="G30" s="102">
        <f>'P&amp;L Month'!I29*(1+'Détail CF'!$C30)</f>
        <v>0</v>
      </c>
      <c r="H30" s="102">
        <f>'P&amp;L Month'!J29*(1+'Détail CF'!$C30)</f>
        <v>0</v>
      </c>
      <c r="I30" s="102">
        <f>'P&amp;L Month'!K29*(1+'Détail CF'!$C30)</f>
        <v>0</v>
      </c>
      <c r="J30" s="102">
        <f>'P&amp;L Month'!L29*(1+'Détail CF'!$C30)</f>
        <v>0</v>
      </c>
      <c r="K30" s="102">
        <f>'P&amp;L Month'!M29*(1+'Détail CF'!$C30)</f>
        <v>0</v>
      </c>
      <c r="L30" s="102">
        <f>'P&amp;L Month'!N29*(1+'Détail CF'!$C30)</f>
        <v>0</v>
      </c>
      <c r="M30" s="102">
        <f>'P&amp;L Month'!O29*(1+'Détail CF'!$C30)</f>
        <v>0</v>
      </c>
      <c r="N30" s="102">
        <f>'P&amp;L Month'!P29*(1+'Détail CF'!$C30)</f>
        <v>0</v>
      </c>
      <c r="O30" s="102">
        <f>'P&amp;L Month'!Q29*(1+'Détail CF'!$C30)</f>
        <v>0</v>
      </c>
      <c r="P30" s="102">
        <f>'P&amp;L Month'!R29*(1+'Détail CF'!$C30)</f>
        <v>0</v>
      </c>
      <c r="Q30" s="102">
        <f>'P&amp;L Month'!S29*(1+'Détail CF'!$C30)</f>
        <v>0</v>
      </c>
      <c r="R30" s="102">
        <f>'P&amp;L Month'!T29*(1+'Détail CF'!$C30)</f>
        <v>0</v>
      </c>
      <c r="S30" s="102">
        <f>'P&amp;L Month'!U29*(1+'Détail CF'!$C30)</f>
        <v>0</v>
      </c>
      <c r="T30" s="102">
        <f>'P&amp;L Month'!V29*(1+'Détail CF'!$C30)</f>
        <v>0</v>
      </c>
      <c r="U30" s="102">
        <f>'P&amp;L Month'!W29*(1+'Détail CF'!$C30)</f>
        <v>0</v>
      </c>
      <c r="V30" s="102">
        <f>'P&amp;L Month'!X29*(1+'Détail CF'!$C30)</f>
        <v>0</v>
      </c>
      <c r="W30" s="102">
        <f>'P&amp;L Month'!Y29*(1+'Détail CF'!$C30)</f>
        <v>0</v>
      </c>
      <c r="X30" s="102">
        <f>'P&amp;L Month'!Z29*(1+'Détail CF'!$C30)</f>
        <v>0</v>
      </c>
      <c r="Y30" s="102">
        <f>'P&amp;L Month'!AA29*(1+'Détail CF'!$C30)</f>
        <v>0</v>
      </c>
      <c r="Z30" s="102">
        <f>'P&amp;L Month'!AB29*(1+'Détail CF'!$C30)</f>
        <v>0</v>
      </c>
      <c r="AA30" s="102">
        <f>'P&amp;L Month'!AC29*(1+'Détail CF'!$C30)</f>
        <v>0</v>
      </c>
      <c r="AB30" s="102">
        <f>'P&amp;L Month'!AD29*(1+'Détail CF'!$C30)</f>
        <v>0</v>
      </c>
      <c r="AC30" s="102">
        <f>'P&amp;L Month'!AE29*(1+'Détail CF'!$C30)</f>
        <v>0</v>
      </c>
      <c r="AD30" s="102">
        <f>'P&amp;L Month'!AF29*(1+'Détail CF'!$C30)</f>
        <v>0</v>
      </c>
      <c r="AE30" s="102">
        <f>'P&amp;L Month'!AG29*(1+'Détail CF'!$C30)</f>
        <v>0</v>
      </c>
      <c r="AF30" s="102">
        <f>'P&amp;L Month'!AH29*(1+'Détail CF'!$C30)</f>
        <v>0</v>
      </c>
      <c r="AG30" s="102">
        <f>'P&amp;L Month'!AI29*(1+'Détail CF'!$C30)</f>
        <v>0</v>
      </c>
      <c r="AH30" s="102">
        <f>'P&amp;L Month'!AJ29*(1+'Détail CF'!$C30)</f>
        <v>0</v>
      </c>
      <c r="AI30" s="102">
        <f>'P&amp;L Month'!AK29*(1+'Détail CF'!$C30)</f>
        <v>0</v>
      </c>
      <c r="AJ30" s="102">
        <f>'P&amp;L Month'!AL29*(1+'Détail CF'!$C30)</f>
        <v>0</v>
      </c>
      <c r="AK30" s="102">
        <f>'P&amp;L Month'!AM29*(1+'Détail CF'!$C30)</f>
        <v>0</v>
      </c>
      <c r="AL30" s="102">
        <f>'P&amp;L Month'!AN29*(1+'Détail CF'!$C30)</f>
        <v>0</v>
      </c>
      <c r="AM30" s="102">
        <f>'P&amp;L Month'!AO29*(1+'Détail CF'!$C30)</f>
        <v>11960</v>
      </c>
      <c r="AN30" s="102">
        <f>'P&amp;L Month'!AP29*(1+'Détail CF'!$C30)</f>
        <v>31096</v>
      </c>
      <c r="AO30" s="102">
        <f>'P&amp;L Month'!AQ29*(1+'Détail CF'!$C30)</f>
        <v>7176</v>
      </c>
      <c r="AP30" s="102">
        <f>'P&amp;L Month'!AR29*(1+'Détail CF'!$C30)</f>
        <v>23920</v>
      </c>
      <c r="AQ30" s="102">
        <f>'P&amp;L Month'!AS29*(1+'Détail CF'!$C30)</f>
        <v>4784</v>
      </c>
      <c r="AR30" s="102">
        <f>'P&amp;L Month'!AT29*(1+'Détail CF'!$C30)</f>
        <v>9568</v>
      </c>
      <c r="AS30" s="102">
        <f>'P&amp;L Month'!AU29*(1+'Détail CF'!$C30)</f>
        <v>4784</v>
      </c>
      <c r="AT30" s="102">
        <f>'P&amp;L Month'!AV29*(1+'Détail CF'!$C30)</f>
        <v>16744</v>
      </c>
      <c r="AU30" s="102">
        <f>'P&amp;L Month'!AW29*(1+'Détail CF'!$C30)</f>
        <v>0</v>
      </c>
      <c r="AV30" s="102">
        <f>'P&amp;L Month'!AX29*(1+'Détail CF'!$C30)</f>
        <v>11960</v>
      </c>
      <c r="AW30" s="102">
        <f>'P&amp;L Month'!AY29*(1+'Détail CF'!$C30)</f>
        <v>9568</v>
      </c>
      <c r="AX30" s="102">
        <f>'P&amp;L Month'!AZ29*(1+'Détail CF'!$C30)</f>
        <v>13156</v>
      </c>
      <c r="AY30" s="102">
        <f>'P&amp;L Month'!BA29*(1+'Détail CF'!$C30)</f>
        <v>13156</v>
      </c>
      <c r="AZ30" s="102">
        <f>'P&amp;L Month'!BB29*(1+'Détail CF'!$C30)</f>
        <v>7176</v>
      </c>
      <c r="BA30" s="102">
        <f>'P&amp;L Month'!BC29*(1+'Détail CF'!$C30)</f>
        <v>5980</v>
      </c>
      <c r="BB30" s="102">
        <f>'P&amp;L Month'!BD29*(1+'Détail CF'!$C30)</f>
        <v>5980</v>
      </c>
      <c r="BC30" s="102">
        <f>'P&amp;L Month'!BE29*(1+'Détail CF'!$C30)</f>
        <v>0</v>
      </c>
      <c r="BD30" s="102">
        <f>'P&amp;L Month'!BF29*(1+'Détail CF'!$C30)</f>
        <v>0</v>
      </c>
      <c r="BE30" s="102">
        <f>'P&amp;L Month'!BG29*(1+'Détail CF'!$C30)</f>
        <v>0</v>
      </c>
      <c r="BF30" s="102">
        <f>'P&amp;L Month'!BH29*(1+'Détail CF'!$C30)</f>
        <v>0</v>
      </c>
      <c r="BG30" s="102">
        <f>'P&amp;L Month'!BI29*(1+'Détail CF'!$C30)</f>
        <v>0</v>
      </c>
      <c r="BH30" s="102">
        <f>'P&amp;L Month'!BJ29*(1+'Détail CF'!$C30)</f>
        <v>0</v>
      </c>
      <c r="BI30" s="102">
        <f>'P&amp;L Month'!BK29*(1+'Détail CF'!$C30)</f>
        <v>0</v>
      </c>
      <c r="BJ30" s="102">
        <f>'P&amp;L Month'!BL29*(1+'Détail CF'!$C30)</f>
        <v>0</v>
      </c>
      <c r="BK30" s="102">
        <f>'P&amp;L Month'!BM29*(1+'Détail CF'!$C30)</f>
        <v>0</v>
      </c>
      <c r="BL30" s="102">
        <f>'P&amp;L Month'!BN29*(1+'Détail CF'!$C30)</f>
        <v>0</v>
      </c>
      <c r="BM30" s="102">
        <f>'P&amp;L Month'!BO29*(1+'Détail CF'!$C30)</f>
        <v>0</v>
      </c>
      <c r="BN30" s="102">
        <f>'P&amp;L Month'!BP29*(1+'Détail CF'!$C30)</f>
        <v>0</v>
      </c>
      <c r="BO30" s="102">
        <f>'P&amp;L Month'!BQ29*(1+'Détail CF'!$C30)</f>
        <v>0</v>
      </c>
      <c r="BP30" s="102">
        <f>'P&amp;L Month'!BR29*(1+'Détail CF'!$C30)</f>
        <v>0</v>
      </c>
      <c r="BQ30" s="102">
        <f>'P&amp;L Month'!BS29*(1+'Détail CF'!$C30)</f>
        <v>0</v>
      </c>
      <c r="BR30" s="102">
        <f>'P&amp;L Month'!BT29*(1+'Détail CF'!$C30)</f>
        <v>0</v>
      </c>
      <c r="BS30" s="102">
        <f>'P&amp;L Month'!BU29*(1+'Détail CF'!$C30)</f>
        <v>0</v>
      </c>
      <c r="BT30" s="102">
        <f>'P&amp;L Month'!BV29*(1+'Détail CF'!$C30)</f>
        <v>0</v>
      </c>
      <c r="BU30" s="102">
        <f>'P&amp;L Month'!BW29*(1+'Détail CF'!$C30)</f>
        <v>0</v>
      </c>
      <c r="BV30" s="102">
        <f>'P&amp;L Month'!BX29*(1+'Détail CF'!$C30)</f>
        <v>0</v>
      </c>
      <c r="BW30" s="102">
        <f>'P&amp;L Month'!BY29*(1+'Détail CF'!$C30)</f>
        <v>0</v>
      </c>
      <c r="BX30" s="102">
        <f>'P&amp;L Month'!BZ29*(1+'Détail CF'!$C30)</f>
        <v>0</v>
      </c>
      <c r="BY30" s="102">
        <f>'P&amp;L Month'!CA29*(1+'Détail CF'!$C30)</f>
        <v>0</v>
      </c>
      <c r="BZ30" s="102">
        <f>'P&amp;L Month'!CB29*(1+'Détail CF'!$C30)</f>
        <v>0</v>
      </c>
      <c r="CA30" s="102">
        <f>'P&amp;L Month'!CC29*(1+'Détail CF'!$C30)</f>
        <v>0</v>
      </c>
      <c r="CB30" s="102">
        <f>'P&amp;L Month'!CD29*(1+'Détail CF'!$C30)</f>
        <v>0</v>
      </c>
      <c r="CC30" s="102">
        <f>'P&amp;L Month'!CE29*(1+'Détail CF'!$C30)</f>
        <v>0</v>
      </c>
      <c r="CD30" s="102">
        <f>'P&amp;L Month'!CF29*(1+'Détail CF'!$C30)</f>
        <v>0</v>
      </c>
      <c r="CE30" s="102">
        <f>'P&amp;L Month'!CG29*(1+'Détail CF'!$C30)</f>
        <v>0</v>
      </c>
    </row>
    <row r="31" spans="1:87">
      <c r="B31" t="s">
        <v>162</v>
      </c>
      <c r="C31" s="182">
        <v>0.19600000000000001</v>
      </c>
      <c r="D31" s="166">
        <v>30</v>
      </c>
      <c r="E31" s="1" t="s">
        <v>266</v>
      </c>
      <c r="F31" s="102">
        <f>'P&amp;L Month'!H30*(1+'Détail CF'!$C31)</f>
        <v>0</v>
      </c>
      <c r="G31" s="102">
        <f>'P&amp;L Month'!I30*(1+'Détail CF'!$C31)</f>
        <v>0</v>
      </c>
      <c r="H31" s="102">
        <f>'P&amp;L Month'!J30*(1+'Détail CF'!$C31)</f>
        <v>0</v>
      </c>
      <c r="I31" s="102">
        <f>'P&amp;L Month'!K30*(1+'Détail CF'!$C31)</f>
        <v>0</v>
      </c>
      <c r="J31" s="102">
        <f>'P&amp;L Month'!L30*(1+'Détail CF'!$C31)</f>
        <v>0</v>
      </c>
      <c r="K31" s="102">
        <f>'P&amp;L Month'!M30*(1+'Détail CF'!$C31)</f>
        <v>0</v>
      </c>
      <c r="L31" s="102">
        <f>'P&amp;L Month'!N30*(1+'Détail CF'!$C31)</f>
        <v>0</v>
      </c>
      <c r="M31" s="102">
        <f>'P&amp;L Month'!O30*(1+'Détail CF'!$C31)</f>
        <v>0</v>
      </c>
      <c r="N31" s="102">
        <f>'P&amp;L Month'!P30*(1+'Détail CF'!$C31)</f>
        <v>0</v>
      </c>
      <c r="O31" s="102">
        <f>'P&amp;L Month'!Q30*(1+'Détail CF'!$C31)</f>
        <v>0</v>
      </c>
      <c r="P31" s="102">
        <f>'P&amp;L Month'!R30*(1+'Détail CF'!$C31)</f>
        <v>0</v>
      </c>
      <c r="Q31" s="102">
        <f>'P&amp;L Month'!S30*(1+'Détail CF'!$C31)</f>
        <v>0</v>
      </c>
      <c r="R31" s="102">
        <f>'P&amp;L Month'!T30*(1+'Détail CF'!$C31)</f>
        <v>0</v>
      </c>
      <c r="S31" s="102">
        <f>'P&amp;L Month'!U30*(1+'Détail CF'!$C31)</f>
        <v>0</v>
      </c>
      <c r="T31" s="102">
        <f>'P&amp;L Month'!V30*(1+'Détail CF'!$C31)</f>
        <v>0</v>
      </c>
      <c r="U31" s="102">
        <f>'P&amp;L Month'!W30*(1+'Détail CF'!$C31)</f>
        <v>0</v>
      </c>
      <c r="V31" s="102">
        <f>'P&amp;L Month'!X30*(1+'Détail CF'!$C31)</f>
        <v>0</v>
      </c>
      <c r="W31" s="102">
        <f>'P&amp;L Month'!Y30*(1+'Détail CF'!$C31)</f>
        <v>2990</v>
      </c>
      <c r="X31" s="102">
        <f>'P&amp;L Month'!Z30*(1+'Détail CF'!$C31)</f>
        <v>418.59999999999997</v>
      </c>
      <c r="Y31" s="102">
        <f>'P&amp;L Month'!AA30*(1+'Détail CF'!$C31)</f>
        <v>418.59999999999997</v>
      </c>
      <c r="Z31" s="102">
        <f>'P&amp;L Month'!AB30*(1+'Détail CF'!$C31)</f>
        <v>478.4</v>
      </c>
      <c r="AA31" s="102">
        <f>'P&amp;L Month'!AC30*(1+'Détail CF'!$C31)</f>
        <v>478.4</v>
      </c>
      <c r="AB31" s="102">
        <f>'P&amp;L Month'!AD30*(1+'Détail CF'!$C31)</f>
        <v>598</v>
      </c>
      <c r="AC31" s="102">
        <f>'P&amp;L Month'!AE30*(1+'Détail CF'!$C31)</f>
        <v>598</v>
      </c>
      <c r="AD31" s="102">
        <f>'P&amp;L Month'!AF30*(1+'Détail CF'!$C31)</f>
        <v>717.6</v>
      </c>
      <c r="AE31" s="102">
        <f>'P&amp;L Month'!AG30*(1+'Détail CF'!$C31)</f>
        <v>717.6</v>
      </c>
      <c r="AF31" s="102">
        <f>'P&amp;L Month'!AH30*(1+'Détail CF'!$C31)</f>
        <v>717.6</v>
      </c>
      <c r="AG31" s="102">
        <f>'P&amp;L Month'!AI30*(1+'Détail CF'!$C31)</f>
        <v>717.6</v>
      </c>
      <c r="AH31" s="102">
        <f>'P&amp;L Month'!AJ30*(1+'Détail CF'!$C31)</f>
        <v>777.4</v>
      </c>
      <c r="AI31" s="102">
        <f>'P&amp;L Month'!AK30*(1+'Détail CF'!$C31)</f>
        <v>777.4</v>
      </c>
      <c r="AJ31" s="102">
        <f>'P&amp;L Month'!AL30*(1+'Détail CF'!$C31)</f>
        <v>777.4</v>
      </c>
      <c r="AK31" s="102">
        <f>'P&amp;L Month'!AM30*(1+'Détail CF'!$C31)</f>
        <v>837.19999999999993</v>
      </c>
      <c r="AL31" s="102">
        <f>'P&amp;L Month'!AN30*(1+'Détail CF'!$C31)</f>
        <v>837.19999999999993</v>
      </c>
      <c r="AM31" s="102">
        <f>'P&amp;L Month'!AO30*(1+'Détail CF'!$C31)</f>
        <v>1076.3999999999999</v>
      </c>
      <c r="AN31" s="102">
        <f>'P&amp;L Month'!AP30*(1+'Détail CF'!$C31)</f>
        <v>1136.2</v>
      </c>
      <c r="AO31" s="102">
        <f>'P&amp;L Month'!AQ30*(1+'Détail CF'!$C31)</f>
        <v>1136.2</v>
      </c>
      <c r="AP31" s="102">
        <f>'P&amp;L Month'!AR30*(1+'Détail CF'!$C31)</f>
        <v>1136.2</v>
      </c>
      <c r="AQ31" s="102">
        <f>'P&amp;L Month'!AS30*(1+'Détail CF'!$C31)</f>
        <v>1196</v>
      </c>
      <c r="AR31" s="102">
        <f>'P&amp;L Month'!AT30*(1+'Détail CF'!$C31)</f>
        <v>1196</v>
      </c>
      <c r="AS31" s="102">
        <f>'P&amp;L Month'!AU30*(1+'Détail CF'!$C31)</f>
        <v>1196</v>
      </c>
      <c r="AT31" s="102">
        <f>'P&amp;L Month'!AV30*(1+'Détail CF'!$C31)</f>
        <v>1196</v>
      </c>
      <c r="AU31" s="102">
        <f>'P&amp;L Month'!AW30*(1+'Détail CF'!$C31)</f>
        <v>1196</v>
      </c>
      <c r="AV31" s="102">
        <f>'P&amp;L Month'!AX30*(1+'Détail CF'!$C31)</f>
        <v>1196</v>
      </c>
      <c r="AW31" s="102">
        <f>'P&amp;L Month'!AY30*(1+'Détail CF'!$C31)</f>
        <v>1196</v>
      </c>
      <c r="AX31" s="102">
        <f>'P&amp;L Month'!AZ30*(1+'Détail CF'!$C31)</f>
        <v>1196</v>
      </c>
      <c r="AY31" s="102">
        <f>'P&amp;L Month'!BA30*(1+'Détail CF'!$C31)</f>
        <v>1196</v>
      </c>
      <c r="AZ31" s="102">
        <f>'P&amp;L Month'!BB30*(1+'Détail CF'!$C31)</f>
        <v>1196</v>
      </c>
      <c r="BA31" s="102">
        <f>'P&amp;L Month'!BC30*(1+'Détail CF'!$C31)</f>
        <v>1196</v>
      </c>
      <c r="BB31" s="102">
        <f>'P&amp;L Month'!BD30*(1+'Détail CF'!$C31)</f>
        <v>1196</v>
      </c>
      <c r="BC31" s="102">
        <f>'P&amp;L Month'!BE30*(1+'Détail CF'!$C31)</f>
        <v>1196</v>
      </c>
      <c r="BD31" s="102">
        <f>'P&amp;L Month'!BF30*(1+'Détail CF'!$C31)</f>
        <v>1196</v>
      </c>
      <c r="BE31" s="102">
        <f>'P&amp;L Month'!BG30*(1+'Détail CF'!$C31)</f>
        <v>1196</v>
      </c>
      <c r="BF31" s="102">
        <f>'P&amp;L Month'!BH30*(1+'Détail CF'!$C31)</f>
        <v>1196</v>
      </c>
      <c r="BG31" s="102">
        <f>'P&amp;L Month'!BI30*(1+'Détail CF'!$C31)</f>
        <v>1196</v>
      </c>
      <c r="BH31" s="102">
        <f>'P&amp;L Month'!BJ30*(1+'Détail CF'!$C31)</f>
        <v>1196</v>
      </c>
      <c r="BI31" s="102">
        <f>'P&amp;L Month'!BK30*(1+'Détail CF'!$C31)</f>
        <v>1196</v>
      </c>
      <c r="BJ31" s="102">
        <f>'P&amp;L Month'!BL30*(1+'Détail CF'!$C31)</f>
        <v>1196</v>
      </c>
      <c r="BK31" s="102">
        <f>'P&amp;L Month'!BM30*(1+'Détail CF'!$C31)</f>
        <v>1196</v>
      </c>
      <c r="BL31" s="102">
        <f>'P&amp;L Month'!BN30*(1+'Détail CF'!$C31)</f>
        <v>1196</v>
      </c>
      <c r="BM31" s="102">
        <f>'P&amp;L Month'!BO30*(1+'Détail CF'!$C31)</f>
        <v>1196</v>
      </c>
      <c r="BN31" s="102">
        <f>'P&amp;L Month'!BP30*(1+'Détail CF'!$C31)</f>
        <v>1196</v>
      </c>
      <c r="BO31" s="102">
        <f>'P&amp;L Month'!BQ30*(1+'Détail CF'!$C31)</f>
        <v>1196</v>
      </c>
      <c r="BP31" s="102">
        <f>'P&amp;L Month'!BR30*(1+'Détail CF'!$C31)</f>
        <v>1196</v>
      </c>
      <c r="BQ31" s="102">
        <f>'P&amp;L Month'!BS30*(1+'Détail CF'!$C31)</f>
        <v>1196</v>
      </c>
      <c r="BR31" s="102">
        <f>'P&amp;L Month'!BT30*(1+'Détail CF'!$C31)</f>
        <v>1196</v>
      </c>
      <c r="BS31" s="102">
        <f>'P&amp;L Month'!BU30*(1+'Détail CF'!$C31)</f>
        <v>1196</v>
      </c>
      <c r="BT31" s="102">
        <f>'P&amp;L Month'!BV30*(1+'Détail CF'!$C31)</f>
        <v>1196</v>
      </c>
      <c r="BU31" s="102">
        <f>'P&amp;L Month'!BW30*(1+'Détail CF'!$C31)</f>
        <v>1196</v>
      </c>
      <c r="BV31" s="102">
        <f>'P&amp;L Month'!BX30*(1+'Détail CF'!$C31)</f>
        <v>1196</v>
      </c>
      <c r="BW31" s="102">
        <f>'P&amp;L Month'!BY30*(1+'Détail CF'!$C31)</f>
        <v>1196</v>
      </c>
      <c r="BX31" s="102">
        <f>'P&amp;L Month'!BZ30*(1+'Détail CF'!$C31)</f>
        <v>1196</v>
      </c>
      <c r="BY31" s="102">
        <f>'P&amp;L Month'!CA30*(1+'Détail CF'!$C31)</f>
        <v>1196</v>
      </c>
      <c r="BZ31" s="102">
        <f>'P&amp;L Month'!CB30*(1+'Détail CF'!$C31)</f>
        <v>1196</v>
      </c>
      <c r="CA31" s="102">
        <f>'P&amp;L Month'!CC30*(1+'Détail CF'!$C31)</f>
        <v>1196</v>
      </c>
      <c r="CB31" s="102">
        <f>'P&amp;L Month'!CD30*(1+'Détail CF'!$C31)</f>
        <v>1196</v>
      </c>
      <c r="CC31" s="102">
        <f>'P&amp;L Month'!CE30*(1+'Détail CF'!$C31)</f>
        <v>1196</v>
      </c>
      <c r="CD31" s="102">
        <f>'P&amp;L Month'!CF30*(1+'Détail CF'!$C31)</f>
        <v>1196</v>
      </c>
      <c r="CE31" s="102">
        <f>'P&amp;L Month'!CG30*(1+'Détail CF'!$C31)</f>
        <v>1196</v>
      </c>
    </row>
    <row r="32" spans="1:87">
      <c r="B32" t="s">
        <v>165</v>
      </c>
      <c r="C32" s="182">
        <v>0.19600000000000001</v>
      </c>
      <c r="D32" s="166">
        <v>30</v>
      </c>
      <c r="E32" s="1" t="s">
        <v>266</v>
      </c>
      <c r="F32" s="102">
        <f>'P&amp;L Month'!H33*(1+'Détail CF'!$C32)</f>
        <v>0</v>
      </c>
      <c r="G32" s="102">
        <f>'P&amp;L Month'!I33*(1+'Détail CF'!$C32)</f>
        <v>0</v>
      </c>
      <c r="H32" s="102">
        <f>'P&amp;L Month'!J33*(1+'Détail CF'!$C32)</f>
        <v>0</v>
      </c>
      <c r="I32" s="102">
        <f>'P&amp;L Month'!K33*(1+'Détail CF'!$C32)</f>
        <v>0</v>
      </c>
      <c r="J32" s="102">
        <f>'P&amp;L Month'!L33*(1+'Détail CF'!$C32)</f>
        <v>0</v>
      </c>
      <c r="K32" s="102">
        <f>'P&amp;L Month'!M33*(1+'Détail CF'!$C32)</f>
        <v>0</v>
      </c>
      <c r="L32" s="102">
        <f>'P&amp;L Month'!N33*(1+'Détail CF'!$C32)</f>
        <v>0</v>
      </c>
      <c r="M32" s="102">
        <f>'P&amp;L Month'!O33*(1+'Détail CF'!$C32)</f>
        <v>0</v>
      </c>
      <c r="N32" s="102">
        <f>'P&amp;L Month'!P33*(1+'Détail CF'!$C32)</f>
        <v>0</v>
      </c>
      <c r="O32" s="102">
        <f>'P&amp;L Month'!Q33*(1+'Détail CF'!$C32)</f>
        <v>0</v>
      </c>
      <c r="P32" s="102">
        <f>'P&amp;L Month'!R33*(1+'Détail CF'!$C32)</f>
        <v>0</v>
      </c>
      <c r="Q32" s="102">
        <f>'P&amp;L Month'!S33*(1+'Détail CF'!$C32)</f>
        <v>0</v>
      </c>
      <c r="R32" s="102">
        <f>'P&amp;L Month'!T33*(1+'Détail CF'!$C32)</f>
        <v>0</v>
      </c>
      <c r="S32" s="102">
        <f>'P&amp;L Month'!U33*(1+'Détail CF'!$C32)</f>
        <v>0</v>
      </c>
      <c r="T32" s="102">
        <f>'P&amp;L Month'!V33*(1+'Détail CF'!$C32)</f>
        <v>0</v>
      </c>
      <c r="U32" s="102">
        <f>'P&amp;L Month'!W33*(1+'Détail CF'!$C32)</f>
        <v>0</v>
      </c>
      <c r="V32" s="102">
        <f>'P&amp;L Month'!X33*(1+'Détail CF'!$C32)</f>
        <v>0</v>
      </c>
      <c r="W32" s="102">
        <f>'P&amp;L Month'!Y33*(1+'Détail CF'!$C32)</f>
        <v>0</v>
      </c>
      <c r="X32" s="102">
        <f>'P&amp;L Month'!Z33*(1+'Détail CF'!$C32)</f>
        <v>0</v>
      </c>
      <c r="Y32" s="102">
        <f>'P&amp;L Month'!AA33*(1+'Détail CF'!$C32)</f>
        <v>0</v>
      </c>
      <c r="Z32" s="102">
        <f>'P&amp;L Month'!AB33*(1+'Détail CF'!$C32)</f>
        <v>0</v>
      </c>
      <c r="AA32" s="102">
        <f>'P&amp;L Month'!AC33*(1+'Détail CF'!$C32)</f>
        <v>0</v>
      </c>
      <c r="AB32" s="102">
        <f>'P&amp;L Month'!AD33*(1+'Détail CF'!$C32)</f>
        <v>0</v>
      </c>
      <c r="AC32" s="102">
        <f>'P&amp;L Month'!AE33*(1+'Détail CF'!$C32)</f>
        <v>0</v>
      </c>
      <c r="AD32" s="102">
        <f>'P&amp;L Month'!AF33*(1+'Détail CF'!$C32)</f>
        <v>0</v>
      </c>
      <c r="AE32" s="102">
        <f>'P&amp;L Month'!AG33*(1+'Détail CF'!$C32)</f>
        <v>0</v>
      </c>
      <c r="AF32" s="102">
        <f>'P&amp;L Month'!AH33*(1+'Détail CF'!$C32)</f>
        <v>0</v>
      </c>
      <c r="AG32" s="102">
        <f>'P&amp;L Month'!AI33*(1+'Détail CF'!$C32)</f>
        <v>0</v>
      </c>
      <c r="AH32" s="102">
        <f>'P&amp;L Month'!AJ33*(1+'Détail CF'!$C32)</f>
        <v>0</v>
      </c>
      <c r="AI32" s="102">
        <f>'P&amp;L Month'!AK33*(1+'Détail CF'!$C32)</f>
        <v>0</v>
      </c>
      <c r="AJ32" s="102">
        <f>'P&amp;L Month'!AL33*(1+'Détail CF'!$C32)</f>
        <v>0</v>
      </c>
      <c r="AK32" s="102">
        <f>'P&amp;L Month'!AM33*(1+'Détail CF'!$C32)</f>
        <v>0</v>
      </c>
      <c r="AL32" s="102">
        <f>'P&amp;L Month'!AN33*(1+'Détail CF'!$C32)</f>
        <v>0</v>
      </c>
      <c r="AM32" s="102">
        <f>'P&amp;L Month'!AO33*(1+'Détail CF'!$C32)</f>
        <v>0</v>
      </c>
      <c r="AN32" s="102">
        <f>'P&amp;L Month'!AP33*(1+'Détail CF'!$C32)</f>
        <v>0</v>
      </c>
      <c r="AO32" s="102">
        <f>'P&amp;L Month'!AQ33*(1+'Détail CF'!$C32)</f>
        <v>0</v>
      </c>
      <c r="AP32" s="102">
        <f>'P&amp;L Month'!AR33*(1+'Détail CF'!$C32)</f>
        <v>0</v>
      </c>
      <c r="AQ32" s="102">
        <f>'P&amp;L Month'!AS33*(1+'Détail CF'!$C32)</f>
        <v>0</v>
      </c>
      <c r="AR32" s="102">
        <f>'P&amp;L Month'!AT33*(1+'Détail CF'!$C32)</f>
        <v>0</v>
      </c>
      <c r="AS32" s="102">
        <f>'P&amp;L Month'!AU33*(1+'Détail CF'!$C32)</f>
        <v>0</v>
      </c>
      <c r="AT32" s="102">
        <f>'P&amp;L Month'!AV33*(1+'Détail CF'!$C32)</f>
        <v>0</v>
      </c>
      <c r="AU32" s="102">
        <f>'P&amp;L Month'!AW33*(1+'Détail CF'!$C32)</f>
        <v>0</v>
      </c>
      <c r="AV32" s="102">
        <f>'P&amp;L Month'!AX33*(1+'Détail CF'!$C32)</f>
        <v>0</v>
      </c>
      <c r="AW32" s="102">
        <f>'P&amp;L Month'!AY33*(1+'Détail CF'!$C32)</f>
        <v>0</v>
      </c>
      <c r="AX32" s="102">
        <f>'P&amp;L Month'!AZ33*(1+'Détail CF'!$C32)</f>
        <v>0</v>
      </c>
      <c r="AY32" s="102">
        <f>'P&amp;L Month'!BA33*(1+'Détail CF'!$C32)</f>
        <v>0</v>
      </c>
      <c r="AZ32" s="102">
        <f>'P&amp;L Month'!BB33*(1+'Détail CF'!$C32)</f>
        <v>0</v>
      </c>
      <c r="BA32" s="102">
        <f>'P&amp;L Month'!BC33*(1+'Détail CF'!$C32)</f>
        <v>0</v>
      </c>
      <c r="BB32" s="102">
        <f>'P&amp;L Month'!BD33*(1+'Détail CF'!$C32)</f>
        <v>0</v>
      </c>
      <c r="BC32" s="102">
        <f>'P&amp;L Month'!BE33*(1+'Détail CF'!$C32)</f>
        <v>0</v>
      </c>
      <c r="BD32" s="102">
        <f>'P&amp;L Month'!BF33*(1+'Détail CF'!$C32)</f>
        <v>0</v>
      </c>
      <c r="BE32" s="102">
        <f>'P&amp;L Month'!BG33*(1+'Détail CF'!$C32)</f>
        <v>0</v>
      </c>
      <c r="BF32" s="102">
        <f>'P&amp;L Month'!BH33*(1+'Détail CF'!$C32)</f>
        <v>0</v>
      </c>
      <c r="BG32" s="102">
        <f>'P&amp;L Month'!BI33*(1+'Détail CF'!$C32)</f>
        <v>0</v>
      </c>
      <c r="BH32" s="102">
        <f>'P&amp;L Month'!BJ33*(1+'Détail CF'!$C32)</f>
        <v>0</v>
      </c>
      <c r="BI32" s="102">
        <f>'P&amp;L Month'!BK33*(1+'Détail CF'!$C32)</f>
        <v>0</v>
      </c>
      <c r="BJ32" s="102">
        <f>'P&amp;L Month'!BL33*(1+'Détail CF'!$C32)</f>
        <v>0</v>
      </c>
      <c r="BK32" s="102">
        <f>'P&amp;L Month'!BM33*(1+'Détail CF'!$C32)</f>
        <v>0</v>
      </c>
      <c r="BL32" s="102">
        <f>'P&amp;L Month'!BN33*(1+'Détail CF'!$C32)</f>
        <v>0</v>
      </c>
      <c r="BM32" s="102">
        <f>'P&amp;L Month'!BO33*(1+'Détail CF'!$C32)</f>
        <v>0</v>
      </c>
      <c r="BN32" s="102">
        <f>'P&amp;L Month'!BP33*(1+'Détail CF'!$C32)</f>
        <v>0</v>
      </c>
      <c r="BO32" s="102">
        <f>'P&amp;L Month'!BQ33*(1+'Détail CF'!$C32)</f>
        <v>0</v>
      </c>
      <c r="BP32" s="102">
        <f>'P&amp;L Month'!BR33*(1+'Détail CF'!$C32)</f>
        <v>0</v>
      </c>
      <c r="BQ32" s="102">
        <f>'P&amp;L Month'!BS33*(1+'Détail CF'!$C32)</f>
        <v>0</v>
      </c>
      <c r="BR32" s="102">
        <f>'P&amp;L Month'!BT33*(1+'Détail CF'!$C32)</f>
        <v>0</v>
      </c>
      <c r="BS32" s="102">
        <f>'P&amp;L Month'!BU33*(1+'Détail CF'!$C32)</f>
        <v>0</v>
      </c>
      <c r="BT32" s="102">
        <f>'P&amp;L Month'!BV33*(1+'Détail CF'!$C32)</f>
        <v>0</v>
      </c>
      <c r="BU32" s="102">
        <f>'P&amp;L Month'!BW33*(1+'Détail CF'!$C32)</f>
        <v>0</v>
      </c>
      <c r="BV32" s="102">
        <f>'P&amp;L Month'!BX33*(1+'Détail CF'!$C32)</f>
        <v>0</v>
      </c>
      <c r="BW32" s="102">
        <f>'P&amp;L Month'!BY33*(1+'Détail CF'!$C32)</f>
        <v>0</v>
      </c>
      <c r="BX32" s="102">
        <f>'P&amp;L Month'!BZ33*(1+'Détail CF'!$C32)</f>
        <v>0</v>
      </c>
      <c r="BY32" s="102">
        <f>'P&amp;L Month'!CA33*(1+'Détail CF'!$C32)</f>
        <v>0</v>
      </c>
      <c r="BZ32" s="102">
        <f>'P&amp;L Month'!CB33*(1+'Détail CF'!$C32)</f>
        <v>0</v>
      </c>
      <c r="CA32" s="102">
        <f>'P&amp;L Month'!CC33*(1+'Détail CF'!$C32)</f>
        <v>0</v>
      </c>
      <c r="CB32" s="102">
        <f>'P&amp;L Month'!CD33*(1+'Détail CF'!$C32)</f>
        <v>0</v>
      </c>
      <c r="CC32" s="102">
        <f>'P&amp;L Month'!CE33*(1+'Détail CF'!$C32)</f>
        <v>0</v>
      </c>
      <c r="CD32" s="102">
        <f>'P&amp;L Month'!CF33*(1+'Détail CF'!$C32)</f>
        <v>0</v>
      </c>
      <c r="CE32" s="102">
        <f>'P&amp;L Month'!CG33*(1+'Détail CF'!$C32)</f>
        <v>0</v>
      </c>
    </row>
    <row r="33" spans="2:83">
      <c r="B33" t="s">
        <v>189</v>
      </c>
      <c r="C33" s="182">
        <v>0.19600000000000001</v>
      </c>
      <c r="D33" s="166">
        <v>15</v>
      </c>
      <c r="E33" s="1" t="s">
        <v>266</v>
      </c>
      <c r="F33" s="102">
        <f>'P&amp;L Month'!H35*(1+'Détail CF'!$C33)</f>
        <v>0</v>
      </c>
      <c r="G33" s="102">
        <f>'P&amp;L Month'!I35*(1+'Détail CF'!$C33)</f>
        <v>0</v>
      </c>
      <c r="H33" s="102">
        <f>'P&amp;L Month'!J35*(1+'Détail CF'!$C33)</f>
        <v>0</v>
      </c>
      <c r="I33" s="102">
        <f>'P&amp;L Month'!K35*(1+'Détail CF'!$C33)</f>
        <v>0</v>
      </c>
      <c r="J33" s="102">
        <f>'P&amp;L Month'!L35*(1+'Détail CF'!$C33)</f>
        <v>0</v>
      </c>
      <c r="K33" s="102">
        <f>'P&amp;L Month'!M35*(1+'Détail CF'!$C33)</f>
        <v>0</v>
      </c>
      <c r="L33" s="102">
        <f>'P&amp;L Month'!N35*(1+'Détail CF'!$C33)</f>
        <v>0</v>
      </c>
      <c r="M33" s="102">
        <f>'P&amp;L Month'!O35*(1+'Détail CF'!$C33)</f>
        <v>0</v>
      </c>
      <c r="N33" s="102">
        <f>'P&amp;L Month'!P35*(1+'Détail CF'!$C33)</f>
        <v>0</v>
      </c>
      <c r="O33" s="102">
        <f>'P&amp;L Month'!Q35*(1+'Détail CF'!$C33)</f>
        <v>0</v>
      </c>
      <c r="P33" s="102">
        <f>'P&amp;L Month'!R35*(1+'Détail CF'!$C33)</f>
        <v>0</v>
      </c>
      <c r="Q33" s="102">
        <f>'P&amp;L Month'!S35*(1+'Détail CF'!$C33)</f>
        <v>0</v>
      </c>
      <c r="R33" s="102">
        <f>'P&amp;L Month'!T35*(1+'Détail CF'!$C33)</f>
        <v>0</v>
      </c>
      <c r="S33" s="102">
        <f>'P&amp;L Month'!U35*(1+'Détail CF'!$C33)</f>
        <v>0</v>
      </c>
      <c r="T33" s="102">
        <f>'P&amp;L Month'!V35*(1+'Détail CF'!$C33)</f>
        <v>0</v>
      </c>
      <c r="U33" s="102">
        <f>'P&amp;L Month'!W35*(1+'Détail CF'!$C33)</f>
        <v>0</v>
      </c>
      <c r="V33" s="102">
        <f>'P&amp;L Month'!X35*(1+'Détail CF'!$C33)</f>
        <v>0</v>
      </c>
      <c r="W33" s="102">
        <f>'P&amp;L Month'!Y35*(1+'Détail CF'!$C33)</f>
        <v>0</v>
      </c>
      <c r="X33" s="102">
        <f>'P&amp;L Month'!Z35*(1+'Détail CF'!$C33)</f>
        <v>0</v>
      </c>
      <c r="Y33" s="102">
        <f>'P&amp;L Month'!AA35*(1+'Détail CF'!$C33)</f>
        <v>0</v>
      </c>
      <c r="Z33" s="102">
        <f>'P&amp;L Month'!AB35*(1+'Détail CF'!$C33)</f>
        <v>0</v>
      </c>
      <c r="AA33" s="102">
        <f>'P&amp;L Month'!AC35*(1+'Détail CF'!$C33)</f>
        <v>33.488</v>
      </c>
      <c r="AB33" s="102">
        <f>'P&amp;L Month'!AD35*(1+'Détail CF'!$C33)</f>
        <v>33.488</v>
      </c>
      <c r="AC33" s="102">
        <f>'P&amp;L Month'!AE35*(1+'Détail CF'!$C33)</f>
        <v>33.488</v>
      </c>
      <c r="AD33" s="102">
        <f>'P&amp;L Month'!AF35*(1+'Détail CF'!$C33)</f>
        <v>81.328000000000003</v>
      </c>
      <c r="AE33" s="102">
        <f>'P&amp;L Month'!AG35*(1+'Détail CF'!$C33)</f>
        <v>23.919999999999998</v>
      </c>
      <c r="AF33" s="102">
        <f>'P&amp;L Month'!AH35*(1+'Détail CF'!$C33)</f>
        <v>47.839999999999996</v>
      </c>
      <c r="AG33" s="102">
        <f>'P&amp;L Month'!AI35*(1+'Détail CF'!$C33)</f>
        <v>71.759999999999991</v>
      </c>
      <c r="AH33" s="102">
        <f>'P&amp;L Month'!AJ35*(1+'Détail CF'!$C33)</f>
        <v>71.759999999999991</v>
      </c>
      <c r="AI33" s="102">
        <f>'P&amp;L Month'!AK35*(1+'Détail CF'!$C33)</f>
        <v>95.679999999999993</v>
      </c>
      <c r="AJ33" s="102">
        <f>'P&amp;L Month'!AL35*(1+'Détail CF'!$C33)</f>
        <v>143.51999999999998</v>
      </c>
      <c r="AK33" s="102">
        <f>'P&amp;L Month'!AM35*(1+'Détail CF'!$C33)</f>
        <v>167.44</v>
      </c>
      <c r="AL33" s="102">
        <f>'P&amp;L Month'!AN35*(1+'Détail CF'!$C33)</f>
        <v>215.28</v>
      </c>
      <c r="AM33" s="102">
        <f>'P&amp;L Month'!AO35*(1+'Détail CF'!$C33)</f>
        <v>215.28</v>
      </c>
      <c r="AN33" s="102">
        <f>'P&amp;L Month'!AP35*(1+'Détail CF'!$C33)</f>
        <v>239.2</v>
      </c>
      <c r="AO33" s="102">
        <f>'P&amp;L Month'!AQ35*(1+'Détail CF'!$C33)</f>
        <v>287.03999999999996</v>
      </c>
      <c r="AP33" s="102">
        <f>'P&amp;L Month'!AR35*(1+'Détail CF'!$C33)</f>
        <v>310.95999999999998</v>
      </c>
      <c r="AQ33" s="102">
        <f>'P&amp;L Month'!AS35*(1+'Détail CF'!$C33)</f>
        <v>310.95999999999998</v>
      </c>
      <c r="AR33" s="102">
        <f>'P&amp;L Month'!AT35*(1+'Détail CF'!$C33)</f>
        <v>382.71999999999997</v>
      </c>
      <c r="AS33" s="102">
        <f>'P&amp;L Month'!AU35*(1+'Détail CF'!$C33)</f>
        <v>382.71999999999997</v>
      </c>
      <c r="AT33" s="102">
        <f>'P&amp;L Month'!AV35*(1+'Détail CF'!$C33)</f>
        <v>382.71999999999997</v>
      </c>
      <c r="AU33" s="102">
        <f>'P&amp;L Month'!AW35*(1+'Détail CF'!$C33)</f>
        <v>382.71999999999997</v>
      </c>
      <c r="AV33" s="102">
        <f>'P&amp;L Month'!AX35*(1+'Détail CF'!$C33)</f>
        <v>468.11440000000005</v>
      </c>
      <c r="AW33" s="102">
        <f>'P&amp;L Month'!AY35*(1+'Détail CF'!$C33)</f>
        <v>468.11440000000005</v>
      </c>
      <c r="AX33" s="102">
        <f>'P&amp;L Month'!AZ35*(1+'Détail CF'!$C33)</f>
        <v>468.11440000000005</v>
      </c>
      <c r="AY33" s="102">
        <f>'P&amp;L Month'!BA35*(1+'Détail CF'!$C33)</f>
        <v>468.11440000000005</v>
      </c>
      <c r="AZ33" s="102">
        <f>'P&amp;L Month'!BB35*(1+'Détail CF'!$C33)</f>
        <v>492.75199999999995</v>
      </c>
      <c r="BA33" s="102">
        <f>'P&amp;L Month'!BC35*(1+'Détail CF'!$C33)</f>
        <v>492.75199999999995</v>
      </c>
      <c r="BB33" s="102">
        <f>'P&amp;L Month'!BD35*(1+'Détail CF'!$C33)</f>
        <v>542.02719999999999</v>
      </c>
      <c r="BC33" s="102">
        <f>'P&amp;L Month'!BE35*(1+'Détail CF'!$C33)</f>
        <v>542.02719999999999</v>
      </c>
      <c r="BD33" s="102">
        <f>'P&amp;L Month'!BF35*(1+'Détail CF'!$C33)</f>
        <v>566.66480000000001</v>
      </c>
      <c r="BE33" s="102">
        <f>'P&amp;L Month'!BG35*(1+'Détail CF'!$C33)</f>
        <v>566.66480000000001</v>
      </c>
      <c r="BF33" s="102">
        <f>'P&amp;L Month'!BH35*(1+'Détail CF'!$C33)</f>
        <v>591.30240000000003</v>
      </c>
      <c r="BG33" s="102">
        <f>'P&amp;L Month'!BI35*(1+'Détail CF'!$C33)</f>
        <v>591.30240000000003</v>
      </c>
      <c r="BH33" s="102">
        <f>'P&amp;L Month'!BJ35*(1+'Détail CF'!$C33)</f>
        <v>608.52480000000003</v>
      </c>
      <c r="BI33" s="102">
        <f>'P&amp;L Month'!BK35*(1+'Détail CF'!$C33)</f>
        <v>608.52480000000003</v>
      </c>
      <c r="BJ33" s="102">
        <f>'P&amp;L Month'!BL35*(1+'Détail CF'!$C33)</f>
        <v>608.52480000000003</v>
      </c>
      <c r="BK33" s="102">
        <f>'P&amp;L Month'!BM35*(1+'Détail CF'!$C33)</f>
        <v>608.52480000000003</v>
      </c>
      <c r="BL33" s="102">
        <f>'P&amp;L Month'!BN35*(1+'Détail CF'!$C33)</f>
        <v>633.88</v>
      </c>
      <c r="BM33" s="102">
        <f>'P&amp;L Month'!BO35*(1+'Détail CF'!$C33)</f>
        <v>633.88</v>
      </c>
      <c r="BN33" s="102">
        <f>'P&amp;L Month'!BP35*(1+'Détail CF'!$C33)</f>
        <v>633.88</v>
      </c>
      <c r="BO33" s="102">
        <f>'P&amp;L Month'!BQ35*(1+'Détail CF'!$C33)</f>
        <v>633.88</v>
      </c>
      <c r="BP33" s="102">
        <f>'P&amp;L Month'!BR35*(1+'Détail CF'!$C33)</f>
        <v>633.88</v>
      </c>
      <c r="BQ33" s="102">
        <f>'P&amp;L Month'!BS35*(1+'Détail CF'!$C33)</f>
        <v>633.88</v>
      </c>
      <c r="BR33" s="102">
        <f>'P&amp;L Month'!BT35*(1+'Détail CF'!$C33)</f>
        <v>633.88</v>
      </c>
      <c r="BS33" s="102">
        <f>'P&amp;L Month'!BU35*(1+'Détail CF'!$C33)</f>
        <v>633.88</v>
      </c>
      <c r="BT33" s="102">
        <f>'P&amp;L Month'!BV35*(1+'Détail CF'!$C33)</f>
        <v>657.8</v>
      </c>
      <c r="BU33" s="102">
        <f>'P&amp;L Month'!BW35*(1+'Détail CF'!$C33)</f>
        <v>657.8</v>
      </c>
      <c r="BV33" s="102">
        <f>'P&amp;L Month'!BX35*(1+'Détail CF'!$C33)</f>
        <v>657.8</v>
      </c>
      <c r="BW33" s="102">
        <f>'P&amp;L Month'!BY35*(1+'Détail CF'!$C33)</f>
        <v>657.8</v>
      </c>
      <c r="BX33" s="102">
        <f>'P&amp;L Month'!BZ35*(1+'Détail CF'!$C33)</f>
        <v>657.8</v>
      </c>
      <c r="BY33" s="102">
        <f>'P&amp;L Month'!CA35*(1+'Détail CF'!$C33)</f>
        <v>657.8</v>
      </c>
      <c r="BZ33" s="102">
        <f>'P&amp;L Month'!CB35*(1+'Détail CF'!$C33)</f>
        <v>657.8</v>
      </c>
      <c r="CA33" s="102">
        <f>'P&amp;L Month'!CC35*(1+'Détail CF'!$C33)</f>
        <v>657.8</v>
      </c>
      <c r="CB33" s="102">
        <f>'P&amp;L Month'!CD35*(1+'Détail CF'!$C33)</f>
        <v>657.8</v>
      </c>
      <c r="CC33" s="102">
        <f>'P&amp;L Month'!CE35*(1+'Détail CF'!$C33)</f>
        <v>657.8</v>
      </c>
      <c r="CD33" s="102">
        <f>'P&amp;L Month'!CF35*(1+'Détail CF'!$C33)</f>
        <v>657.8</v>
      </c>
      <c r="CE33" s="102">
        <f>'P&amp;L Month'!CG35*(1+'Détail CF'!$C33)</f>
        <v>657.8</v>
      </c>
    </row>
    <row r="34" spans="2:83">
      <c r="B34" t="s">
        <v>167</v>
      </c>
      <c r="C34" s="182">
        <v>0.19600000000000001</v>
      </c>
      <c r="D34" s="166">
        <v>30</v>
      </c>
      <c r="E34" s="1" t="s">
        <v>266</v>
      </c>
      <c r="F34" s="102">
        <f>'P&amp;L Month'!H36*(1+'Détail CF'!$C34)</f>
        <v>0</v>
      </c>
      <c r="G34" s="102">
        <f>'P&amp;L Month'!I36*(1+'Détail CF'!$C34)</f>
        <v>0</v>
      </c>
      <c r="H34" s="102">
        <f>'P&amp;L Month'!J36*(1+'Détail CF'!$C34)</f>
        <v>0</v>
      </c>
      <c r="I34" s="102">
        <f>'P&amp;L Month'!K36*(1+'Détail CF'!$C34)</f>
        <v>0</v>
      </c>
      <c r="J34" s="102">
        <f>'P&amp;L Month'!L36*(1+'Détail CF'!$C34)</f>
        <v>0</v>
      </c>
      <c r="K34" s="102">
        <f>'P&amp;L Month'!M36*(1+'Détail CF'!$C34)</f>
        <v>0</v>
      </c>
      <c r="L34" s="102">
        <f>'P&amp;L Month'!N36*(1+'Détail CF'!$C34)</f>
        <v>0</v>
      </c>
      <c r="M34" s="102">
        <f>'P&amp;L Month'!O36*(1+'Détail CF'!$C34)</f>
        <v>0</v>
      </c>
      <c r="N34" s="102">
        <f>'P&amp;L Month'!P36*(1+'Détail CF'!$C34)</f>
        <v>0</v>
      </c>
      <c r="O34" s="102">
        <f>'P&amp;L Month'!Q36*(1+'Détail CF'!$C34)</f>
        <v>0</v>
      </c>
      <c r="P34" s="102">
        <f>'P&amp;L Month'!R36*(1+'Détail CF'!$C34)</f>
        <v>0</v>
      </c>
      <c r="Q34" s="102">
        <f>'P&amp;L Month'!S36*(1+'Détail CF'!$C34)</f>
        <v>0</v>
      </c>
      <c r="R34" s="102">
        <f>'P&amp;L Month'!T36*(1+'Détail CF'!$C34)</f>
        <v>0</v>
      </c>
      <c r="S34" s="102">
        <f>'P&amp;L Month'!U36*(1+'Détail CF'!$C34)</f>
        <v>0</v>
      </c>
      <c r="T34" s="102">
        <f>'P&amp;L Month'!V36*(1+'Détail CF'!$C34)</f>
        <v>0</v>
      </c>
      <c r="U34" s="102">
        <f>'P&amp;L Month'!W36*(1+'Détail CF'!$C34)</f>
        <v>0</v>
      </c>
      <c r="V34" s="102">
        <f>'P&amp;L Month'!X36*(1+'Détail CF'!$C34)</f>
        <v>0</v>
      </c>
      <c r="W34" s="102">
        <f>'P&amp;L Month'!Y36*(1+'Détail CF'!$C34)</f>
        <v>0</v>
      </c>
      <c r="X34" s="102">
        <f>'P&amp;L Month'!Z36*(1+'Détail CF'!$C34)</f>
        <v>0</v>
      </c>
      <c r="Y34" s="102">
        <f>'P&amp;L Month'!AA36*(1+'Détail CF'!$C34)</f>
        <v>0</v>
      </c>
      <c r="Z34" s="102">
        <f>'P&amp;L Month'!AB36*(1+'Détail CF'!$C34)</f>
        <v>0</v>
      </c>
      <c r="AA34" s="102">
        <f>'P&amp;L Month'!AC36*(1+'Détail CF'!$C34)</f>
        <v>12.558</v>
      </c>
      <c r="AB34" s="102">
        <f>'P&amp;L Month'!AD36*(1+'Détail CF'!$C34)</f>
        <v>12.558</v>
      </c>
      <c r="AC34" s="102">
        <f>'P&amp;L Month'!AE36*(1+'Détail CF'!$C34)</f>
        <v>12.558</v>
      </c>
      <c r="AD34" s="102">
        <f>'P&amp;L Month'!AF36*(1+'Détail CF'!$C34)</f>
        <v>30.497999999999998</v>
      </c>
      <c r="AE34" s="102">
        <f>'P&amp;L Month'!AG36*(1+'Détail CF'!$C34)</f>
        <v>8.9699999999999989</v>
      </c>
      <c r="AF34" s="102">
        <f>'P&amp;L Month'!AH36*(1+'Détail CF'!$C34)</f>
        <v>17.939999999999998</v>
      </c>
      <c r="AG34" s="102">
        <f>'P&amp;L Month'!AI36*(1+'Détail CF'!$C34)</f>
        <v>26.91</v>
      </c>
      <c r="AH34" s="102">
        <f>'P&amp;L Month'!AJ36*(1+'Détail CF'!$C34)</f>
        <v>26.91</v>
      </c>
      <c r="AI34" s="102">
        <f>'P&amp;L Month'!AK36*(1+'Détail CF'!$C34)</f>
        <v>35.879999999999995</v>
      </c>
      <c r="AJ34" s="102">
        <f>'P&amp;L Month'!AL36*(1+'Détail CF'!$C34)</f>
        <v>53.82</v>
      </c>
      <c r="AK34" s="102">
        <f>'P&amp;L Month'!AM36*(1+'Détail CF'!$C34)</f>
        <v>62.79</v>
      </c>
      <c r="AL34" s="102">
        <f>'P&amp;L Month'!AN36*(1+'Détail CF'!$C34)</f>
        <v>80.72999999999999</v>
      </c>
      <c r="AM34" s="102">
        <f>'P&amp;L Month'!AO36*(1+'Détail CF'!$C34)</f>
        <v>80.72999999999999</v>
      </c>
      <c r="AN34" s="102">
        <f>'P&amp;L Month'!AP36*(1+'Détail CF'!$C34)</f>
        <v>89.7</v>
      </c>
      <c r="AO34" s="102">
        <f>'P&amp;L Month'!AQ36*(1+'Détail CF'!$C34)</f>
        <v>107.64</v>
      </c>
      <c r="AP34" s="102">
        <f>'P&amp;L Month'!AR36*(1+'Détail CF'!$C34)</f>
        <v>116.61</v>
      </c>
      <c r="AQ34" s="102">
        <f>'P&amp;L Month'!AS36*(1+'Détail CF'!$C34)</f>
        <v>116.61</v>
      </c>
      <c r="AR34" s="102">
        <f>'P&amp;L Month'!AT36*(1+'Détail CF'!$C34)</f>
        <v>143.51999999999998</v>
      </c>
      <c r="AS34" s="102">
        <f>'P&amp;L Month'!AU36*(1+'Détail CF'!$C34)</f>
        <v>143.51999999999998</v>
      </c>
      <c r="AT34" s="102">
        <f>'P&amp;L Month'!AV36*(1+'Détail CF'!$C34)</f>
        <v>143.51999999999998</v>
      </c>
      <c r="AU34" s="102">
        <f>'P&amp;L Month'!AW36*(1+'Détail CF'!$C34)</f>
        <v>143.51999999999998</v>
      </c>
      <c r="AV34" s="102">
        <f>'P&amp;L Month'!AX36*(1+'Détail CF'!$C34)</f>
        <v>175.5429</v>
      </c>
      <c r="AW34" s="102">
        <f>'P&amp;L Month'!AY36*(1+'Détail CF'!$C34)</f>
        <v>175.5429</v>
      </c>
      <c r="AX34" s="102">
        <f>'P&amp;L Month'!AZ36*(1+'Détail CF'!$C34)</f>
        <v>175.5429</v>
      </c>
      <c r="AY34" s="102">
        <f>'P&amp;L Month'!BA36*(1+'Détail CF'!$C34)</f>
        <v>175.5429</v>
      </c>
      <c r="AZ34" s="102">
        <f>'P&amp;L Month'!BB36*(1+'Détail CF'!$C34)</f>
        <v>184.78199999999998</v>
      </c>
      <c r="BA34" s="102">
        <f>'P&amp;L Month'!BC36*(1+'Détail CF'!$C34)</f>
        <v>184.78199999999998</v>
      </c>
      <c r="BB34" s="102">
        <f>'P&amp;L Month'!BD36*(1+'Détail CF'!$C34)</f>
        <v>203.26019999999997</v>
      </c>
      <c r="BC34" s="102">
        <f>'P&amp;L Month'!BE36*(1+'Détail CF'!$C34)</f>
        <v>203.26019999999997</v>
      </c>
      <c r="BD34" s="102">
        <f>'P&amp;L Month'!BF36*(1+'Détail CF'!$C34)</f>
        <v>212.49929999999998</v>
      </c>
      <c r="BE34" s="102">
        <f>'P&amp;L Month'!BG36*(1+'Détail CF'!$C34)</f>
        <v>212.49929999999998</v>
      </c>
      <c r="BF34" s="102">
        <f>'P&amp;L Month'!BH36*(1+'Détail CF'!$C34)</f>
        <v>221.73839999999998</v>
      </c>
      <c r="BG34" s="102">
        <f>'P&amp;L Month'!BI36*(1+'Détail CF'!$C34)</f>
        <v>221.73839999999998</v>
      </c>
      <c r="BH34" s="102">
        <f>'P&amp;L Month'!BJ36*(1+'Détail CF'!$C34)</f>
        <v>228.19679999999997</v>
      </c>
      <c r="BI34" s="102">
        <f>'P&amp;L Month'!BK36*(1+'Détail CF'!$C34)</f>
        <v>228.19679999999997</v>
      </c>
      <c r="BJ34" s="102">
        <f>'P&amp;L Month'!BL36*(1+'Détail CF'!$C34)</f>
        <v>228.19679999999997</v>
      </c>
      <c r="BK34" s="102">
        <f>'P&amp;L Month'!BM36*(1+'Détail CF'!$C34)</f>
        <v>228.19679999999997</v>
      </c>
      <c r="BL34" s="102">
        <f>'P&amp;L Month'!BN36*(1+'Détail CF'!$C34)</f>
        <v>237.70499999999998</v>
      </c>
      <c r="BM34" s="102">
        <f>'P&amp;L Month'!BO36*(1+'Détail CF'!$C34)</f>
        <v>237.70499999999998</v>
      </c>
      <c r="BN34" s="102">
        <f>'P&amp;L Month'!BP36*(1+'Détail CF'!$C34)</f>
        <v>237.70499999999998</v>
      </c>
      <c r="BO34" s="102">
        <f>'P&amp;L Month'!BQ36*(1+'Détail CF'!$C34)</f>
        <v>237.70499999999998</v>
      </c>
      <c r="BP34" s="102">
        <f>'P&amp;L Month'!BR36*(1+'Détail CF'!$C34)</f>
        <v>237.70499999999998</v>
      </c>
      <c r="BQ34" s="102">
        <f>'P&amp;L Month'!BS36*(1+'Détail CF'!$C34)</f>
        <v>237.70499999999998</v>
      </c>
      <c r="BR34" s="102">
        <f>'P&amp;L Month'!BT36*(1+'Détail CF'!$C34)</f>
        <v>237.70499999999998</v>
      </c>
      <c r="BS34" s="102">
        <f>'P&amp;L Month'!BU36*(1+'Détail CF'!$C34)</f>
        <v>237.70499999999998</v>
      </c>
      <c r="BT34" s="102">
        <f>'P&amp;L Month'!BV36*(1+'Détail CF'!$C34)</f>
        <v>246.67499999999998</v>
      </c>
      <c r="BU34" s="102">
        <f>'P&amp;L Month'!BW36*(1+'Détail CF'!$C34)</f>
        <v>246.67499999999998</v>
      </c>
      <c r="BV34" s="102">
        <f>'P&amp;L Month'!BX36*(1+'Détail CF'!$C34)</f>
        <v>246.67499999999998</v>
      </c>
      <c r="BW34" s="102">
        <f>'P&amp;L Month'!BY36*(1+'Détail CF'!$C34)</f>
        <v>246.67499999999998</v>
      </c>
      <c r="BX34" s="102">
        <f>'P&amp;L Month'!BZ36*(1+'Détail CF'!$C34)</f>
        <v>246.67499999999998</v>
      </c>
      <c r="BY34" s="102">
        <f>'P&amp;L Month'!CA36*(1+'Détail CF'!$C34)</f>
        <v>246.67499999999998</v>
      </c>
      <c r="BZ34" s="102">
        <f>'P&amp;L Month'!CB36*(1+'Détail CF'!$C34)</f>
        <v>246.67499999999998</v>
      </c>
      <c r="CA34" s="102">
        <f>'P&amp;L Month'!CC36*(1+'Détail CF'!$C34)</f>
        <v>246.67499999999998</v>
      </c>
      <c r="CB34" s="102">
        <f>'P&amp;L Month'!CD36*(1+'Détail CF'!$C34)</f>
        <v>246.67499999999998</v>
      </c>
      <c r="CC34" s="102">
        <f>'P&amp;L Month'!CE36*(1+'Détail CF'!$C34)</f>
        <v>246.67499999999998</v>
      </c>
      <c r="CD34" s="102">
        <f>'P&amp;L Month'!CF36*(1+'Détail CF'!$C34)</f>
        <v>246.67499999999998</v>
      </c>
      <c r="CE34" s="102">
        <f>'P&amp;L Month'!CG36*(1+'Détail CF'!$C34)</f>
        <v>246.67499999999998</v>
      </c>
    </row>
    <row r="35" spans="2:83">
      <c r="B35" t="s">
        <v>168</v>
      </c>
      <c r="C35" s="182">
        <v>0.19600000000000001</v>
      </c>
      <c r="D35" s="166">
        <v>30</v>
      </c>
      <c r="E35" s="1" t="s">
        <v>266</v>
      </c>
      <c r="F35" s="102">
        <f>'P&amp;L Month'!H37*(1+'Détail CF'!$C35)</f>
        <v>0</v>
      </c>
      <c r="G35" s="102">
        <f>'P&amp;L Month'!I37*(1+'Détail CF'!$C35)</f>
        <v>0</v>
      </c>
      <c r="H35" s="102">
        <f>'P&amp;L Month'!J37*(1+'Détail CF'!$C35)</f>
        <v>0</v>
      </c>
      <c r="I35" s="102">
        <f>'P&amp;L Month'!K37*(1+'Détail CF'!$C35)</f>
        <v>0</v>
      </c>
      <c r="J35" s="102">
        <f>'P&amp;L Month'!L37*(1+'Détail CF'!$C35)</f>
        <v>0</v>
      </c>
      <c r="K35" s="102">
        <f>'P&amp;L Month'!M37*(1+'Détail CF'!$C35)</f>
        <v>0</v>
      </c>
      <c r="L35" s="102">
        <f>'P&amp;L Month'!N37*(1+'Détail CF'!$C35)</f>
        <v>0</v>
      </c>
      <c r="M35" s="102">
        <f>'P&amp;L Month'!O37*(1+'Détail CF'!$C35)</f>
        <v>0</v>
      </c>
      <c r="N35" s="102">
        <f>'P&amp;L Month'!P37*(1+'Détail CF'!$C35)</f>
        <v>0</v>
      </c>
      <c r="O35" s="102">
        <f>'P&amp;L Month'!Q37*(1+'Détail CF'!$C35)</f>
        <v>0</v>
      </c>
      <c r="P35" s="102">
        <f>'P&amp;L Month'!R37*(1+'Détail CF'!$C35)</f>
        <v>0</v>
      </c>
      <c r="Q35" s="102">
        <f>'P&amp;L Month'!S37*(1+'Détail CF'!$C35)</f>
        <v>0</v>
      </c>
      <c r="R35" s="102">
        <f>'P&amp;L Month'!T37*(1+'Détail CF'!$C35)</f>
        <v>0</v>
      </c>
      <c r="S35" s="102">
        <f>'P&amp;L Month'!U37*(1+'Détail CF'!$C35)</f>
        <v>0</v>
      </c>
      <c r="T35" s="102">
        <f>'P&amp;L Month'!V37*(1+'Détail CF'!$C35)</f>
        <v>0</v>
      </c>
      <c r="U35" s="102">
        <f>'P&amp;L Month'!W37*(1+'Détail CF'!$C35)</f>
        <v>0</v>
      </c>
      <c r="V35" s="102">
        <f>'P&amp;L Month'!X37*(1+'Détail CF'!$C35)</f>
        <v>0</v>
      </c>
      <c r="W35" s="102">
        <f>'P&amp;L Month'!Y37*(1+'Détail CF'!$C35)</f>
        <v>0</v>
      </c>
      <c r="X35" s="102">
        <f>'P&amp;L Month'!Z37*(1+'Détail CF'!$C35)</f>
        <v>0</v>
      </c>
      <c r="Y35" s="102">
        <f>'P&amp;L Month'!AA37*(1+'Détail CF'!$C35)</f>
        <v>0</v>
      </c>
      <c r="Z35" s="102">
        <f>'P&amp;L Month'!AB37*(1+'Détail CF'!$C35)</f>
        <v>0</v>
      </c>
      <c r="AA35" s="102">
        <f>'P&amp;L Month'!AC37*(1+'Détail CF'!$C35)</f>
        <v>1.2558</v>
      </c>
      <c r="AB35" s="102">
        <f>'P&amp;L Month'!AD37*(1+'Détail CF'!$C35)</f>
        <v>1.2558</v>
      </c>
      <c r="AC35" s="102">
        <f>'P&amp;L Month'!AE37*(1+'Détail CF'!$C35)</f>
        <v>1.2558</v>
      </c>
      <c r="AD35" s="102">
        <f>'P&amp;L Month'!AF37*(1+'Détail CF'!$C35)</f>
        <v>3.0498000000000003</v>
      </c>
      <c r="AE35" s="102">
        <f>'P&amp;L Month'!AG37*(1+'Détail CF'!$C35)</f>
        <v>0.89700000000000002</v>
      </c>
      <c r="AF35" s="102">
        <f>'P&amp;L Month'!AH37*(1+'Détail CF'!$C35)</f>
        <v>1.794</v>
      </c>
      <c r="AG35" s="102">
        <f>'P&amp;L Month'!AI37*(1+'Détail CF'!$C35)</f>
        <v>2.6909999999999998</v>
      </c>
      <c r="AH35" s="102">
        <f>'P&amp;L Month'!AJ37*(1+'Détail CF'!$C35)</f>
        <v>2.6909999999999998</v>
      </c>
      <c r="AI35" s="102">
        <f>'P&amp;L Month'!AK37*(1+'Détail CF'!$C35)</f>
        <v>3.5880000000000001</v>
      </c>
      <c r="AJ35" s="102">
        <f>'P&amp;L Month'!AL37*(1+'Détail CF'!$C35)</f>
        <v>5.3819999999999997</v>
      </c>
      <c r="AK35" s="102">
        <f>'P&amp;L Month'!AM37*(1+'Détail CF'!$C35)</f>
        <v>6.2789999999999999</v>
      </c>
      <c r="AL35" s="102">
        <f>'P&amp;L Month'!AN37*(1+'Détail CF'!$C35)</f>
        <v>8.0730000000000004</v>
      </c>
      <c r="AM35" s="102">
        <f>'P&amp;L Month'!AO37*(1+'Détail CF'!$C35)</f>
        <v>8.0730000000000004</v>
      </c>
      <c r="AN35" s="102">
        <f>'P&amp;L Month'!AP37*(1+'Détail CF'!$C35)</f>
        <v>8.9699999999999989</v>
      </c>
      <c r="AO35" s="102">
        <f>'P&amp;L Month'!AQ37*(1+'Détail CF'!$C35)</f>
        <v>10.763999999999999</v>
      </c>
      <c r="AP35" s="102">
        <f>'P&amp;L Month'!AR37*(1+'Détail CF'!$C35)</f>
        <v>11.661</v>
      </c>
      <c r="AQ35" s="102">
        <f>'P&amp;L Month'!AS37*(1+'Détail CF'!$C35)</f>
        <v>11.661</v>
      </c>
      <c r="AR35" s="102">
        <f>'P&amp;L Month'!AT37*(1+'Détail CF'!$C35)</f>
        <v>14.352</v>
      </c>
      <c r="AS35" s="102">
        <f>'P&amp;L Month'!AU37*(1+'Détail CF'!$C35)</f>
        <v>14.352</v>
      </c>
      <c r="AT35" s="102">
        <f>'P&amp;L Month'!AV37*(1+'Détail CF'!$C35)</f>
        <v>14.352</v>
      </c>
      <c r="AU35" s="102">
        <f>'P&amp;L Month'!AW37*(1+'Détail CF'!$C35)</f>
        <v>14.352</v>
      </c>
      <c r="AV35" s="102">
        <f>'P&amp;L Month'!AX37*(1+'Détail CF'!$C35)</f>
        <v>17.554289999999998</v>
      </c>
      <c r="AW35" s="102">
        <f>'P&amp;L Month'!AY37*(1+'Détail CF'!$C35)</f>
        <v>17.554289999999998</v>
      </c>
      <c r="AX35" s="102">
        <f>'P&amp;L Month'!AZ37*(1+'Détail CF'!$C35)</f>
        <v>17.554289999999998</v>
      </c>
      <c r="AY35" s="102">
        <f>'P&amp;L Month'!BA37*(1+'Détail CF'!$C35)</f>
        <v>17.554289999999998</v>
      </c>
      <c r="AZ35" s="102">
        <f>'P&amp;L Month'!BB37*(1+'Détail CF'!$C35)</f>
        <v>18.478200000000001</v>
      </c>
      <c r="BA35" s="102">
        <f>'P&amp;L Month'!BC37*(1+'Détail CF'!$C35)</f>
        <v>18.478200000000001</v>
      </c>
      <c r="BB35" s="102">
        <f>'P&amp;L Month'!BD37*(1+'Détail CF'!$C35)</f>
        <v>20.32602</v>
      </c>
      <c r="BC35" s="102">
        <f>'P&amp;L Month'!BE37*(1+'Détail CF'!$C35)</f>
        <v>20.32602</v>
      </c>
      <c r="BD35" s="102">
        <f>'P&amp;L Month'!BF37*(1+'Détail CF'!$C35)</f>
        <v>21.249930000000003</v>
      </c>
      <c r="BE35" s="102">
        <f>'P&amp;L Month'!BG37*(1+'Détail CF'!$C35)</f>
        <v>21.249930000000003</v>
      </c>
      <c r="BF35" s="102">
        <f>'P&amp;L Month'!BH37*(1+'Détail CF'!$C35)</f>
        <v>22.173839999999998</v>
      </c>
      <c r="BG35" s="102">
        <f>'P&amp;L Month'!BI37*(1+'Détail CF'!$C35)</f>
        <v>22.173839999999998</v>
      </c>
      <c r="BH35" s="102">
        <f>'P&amp;L Month'!BJ37*(1+'Détail CF'!$C35)</f>
        <v>22.819680000000002</v>
      </c>
      <c r="BI35" s="102">
        <f>'P&amp;L Month'!BK37*(1+'Détail CF'!$C35)</f>
        <v>22.819680000000002</v>
      </c>
      <c r="BJ35" s="102">
        <f>'P&amp;L Month'!BL37*(1+'Détail CF'!$C35)</f>
        <v>22.819680000000002</v>
      </c>
      <c r="BK35" s="102">
        <f>'P&amp;L Month'!BM37*(1+'Détail CF'!$C35)</f>
        <v>22.819680000000002</v>
      </c>
      <c r="BL35" s="102">
        <f>'P&amp;L Month'!BN37*(1+'Détail CF'!$C35)</f>
        <v>23.770499999999998</v>
      </c>
      <c r="BM35" s="102">
        <f>'P&amp;L Month'!BO37*(1+'Détail CF'!$C35)</f>
        <v>23.770499999999998</v>
      </c>
      <c r="BN35" s="102">
        <f>'P&amp;L Month'!BP37*(1+'Détail CF'!$C35)</f>
        <v>23.770499999999998</v>
      </c>
      <c r="BO35" s="102">
        <f>'P&amp;L Month'!BQ37*(1+'Détail CF'!$C35)</f>
        <v>23.770499999999998</v>
      </c>
      <c r="BP35" s="102">
        <f>'P&amp;L Month'!BR37*(1+'Détail CF'!$C35)</f>
        <v>23.770499999999998</v>
      </c>
      <c r="BQ35" s="102">
        <f>'P&amp;L Month'!BS37*(1+'Détail CF'!$C35)</f>
        <v>23.770499999999998</v>
      </c>
      <c r="BR35" s="102">
        <f>'P&amp;L Month'!BT37*(1+'Détail CF'!$C35)</f>
        <v>23.770499999999998</v>
      </c>
      <c r="BS35" s="102">
        <f>'P&amp;L Month'!BU37*(1+'Détail CF'!$C35)</f>
        <v>23.770499999999998</v>
      </c>
      <c r="BT35" s="102">
        <f>'P&amp;L Month'!BV37*(1+'Détail CF'!$C35)</f>
        <v>24.6675</v>
      </c>
      <c r="BU35" s="102">
        <f>'P&amp;L Month'!BW37*(1+'Détail CF'!$C35)</f>
        <v>24.6675</v>
      </c>
      <c r="BV35" s="102">
        <f>'P&amp;L Month'!BX37*(1+'Détail CF'!$C35)</f>
        <v>24.6675</v>
      </c>
      <c r="BW35" s="102">
        <f>'P&amp;L Month'!BY37*(1+'Détail CF'!$C35)</f>
        <v>24.6675</v>
      </c>
      <c r="BX35" s="102">
        <f>'P&amp;L Month'!BZ37*(1+'Détail CF'!$C35)</f>
        <v>24.6675</v>
      </c>
      <c r="BY35" s="102">
        <f>'P&amp;L Month'!CA37*(1+'Détail CF'!$C35)</f>
        <v>24.6675</v>
      </c>
      <c r="BZ35" s="102">
        <f>'P&amp;L Month'!CB37*(1+'Détail CF'!$C35)</f>
        <v>24.6675</v>
      </c>
      <c r="CA35" s="102">
        <f>'P&amp;L Month'!CC37*(1+'Détail CF'!$C35)</f>
        <v>24.6675</v>
      </c>
      <c r="CB35" s="102">
        <f>'P&amp;L Month'!CD37*(1+'Détail CF'!$C35)</f>
        <v>24.6675</v>
      </c>
      <c r="CC35" s="102">
        <f>'P&amp;L Month'!CE37*(1+'Détail CF'!$C35)</f>
        <v>24.6675</v>
      </c>
      <c r="CD35" s="102">
        <f>'P&amp;L Month'!CF37*(1+'Détail CF'!$C35)</f>
        <v>24.6675</v>
      </c>
      <c r="CE35" s="102">
        <f>'P&amp;L Month'!CG37*(1+'Détail CF'!$C35)</f>
        <v>24.6675</v>
      </c>
    </row>
    <row r="36" spans="2:83">
      <c r="B36" t="s">
        <v>183</v>
      </c>
      <c r="C36" s="182">
        <v>0.19600000000000001</v>
      </c>
      <c r="D36" s="166">
        <v>30</v>
      </c>
      <c r="E36" s="1" t="s">
        <v>266</v>
      </c>
      <c r="F36" s="102">
        <f>'P&amp;L Month'!H38*(1+'Détail CF'!$C36)</f>
        <v>0</v>
      </c>
      <c r="G36" s="102">
        <f>'P&amp;L Month'!I38*(1+'Détail CF'!$C36)</f>
        <v>0</v>
      </c>
      <c r="H36" s="102">
        <f>'P&amp;L Month'!J38*(1+'Détail CF'!$C36)</f>
        <v>0</v>
      </c>
      <c r="I36" s="102">
        <f>'P&amp;L Month'!K38*(1+'Détail CF'!$C36)</f>
        <v>0</v>
      </c>
      <c r="J36" s="102">
        <f>'P&amp;L Month'!L38*(1+'Détail CF'!$C36)</f>
        <v>0</v>
      </c>
      <c r="K36" s="102">
        <f>'P&amp;L Month'!M38*(1+'Détail CF'!$C36)</f>
        <v>0</v>
      </c>
      <c r="L36" s="102">
        <f>'P&amp;L Month'!N38*(1+'Détail CF'!$C36)</f>
        <v>0</v>
      </c>
      <c r="M36" s="102">
        <f>'P&amp;L Month'!O38*(1+'Détail CF'!$C36)</f>
        <v>0</v>
      </c>
      <c r="N36" s="102">
        <f>'P&amp;L Month'!P38*(1+'Détail CF'!$C36)</f>
        <v>0</v>
      </c>
      <c r="O36" s="102">
        <f>'P&amp;L Month'!Q38*(1+'Détail CF'!$C36)</f>
        <v>0</v>
      </c>
      <c r="P36" s="102">
        <f>'P&amp;L Month'!R38*(1+'Détail CF'!$C36)</f>
        <v>0</v>
      </c>
      <c r="Q36" s="102">
        <f>'P&amp;L Month'!S38*(1+'Détail CF'!$C36)</f>
        <v>0</v>
      </c>
      <c r="R36" s="102">
        <f>'P&amp;L Month'!T38*(1+'Détail CF'!$C36)</f>
        <v>0</v>
      </c>
      <c r="S36" s="102">
        <f>'P&amp;L Month'!U38*(1+'Détail CF'!$C36)</f>
        <v>0</v>
      </c>
      <c r="T36" s="102">
        <f>'P&amp;L Month'!V38*(1+'Détail CF'!$C36)</f>
        <v>0</v>
      </c>
      <c r="U36" s="102">
        <f>'P&amp;L Month'!W38*(1+'Détail CF'!$C36)</f>
        <v>0</v>
      </c>
      <c r="V36" s="102">
        <f>'P&amp;L Month'!X38*(1+'Détail CF'!$C36)</f>
        <v>0</v>
      </c>
      <c r="W36" s="102">
        <f>'P&amp;L Month'!Y38*(1+'Détail CF'!$C36)</f>
        <v>0</v>
      </c>
      <c r="X36" s="102">
        <f>'P&amp;L Month'!Z38*(1+'Détail CF'!$C36)</f>
        <v>107.64</v>
      </c>
      <c r="Y36" s="102">
        <f>'P&amp;L Month'!AA38*(1+'Détail CF'!$C36)</f>
        <v>107.64</v>
      </c>
      <c r="Z36" s="102">
        <f>'P&amp;L Month'!AB38*(1+'Détail CF'!$C36)</f>
        <v>107.64</v>
      </c>
      <c r="AA36" s="102">
        <f>'P&amp;L Month'!AC38*(1+'Détail CF'!$C36)</f>
        <v>107.64</v>
      </c>
      <c r="AB36" s="102">
        <f>'P&amp;L Month'!AD38*(1+'Détail CF'!$C36)</f>
        <v>107.64</v>
      </c>
      <c r="AC36" s="102">
        <f>'P&amp;L Month'!AE38*(1+'Détail CF'!$C36)</f>
        <v>107.64</v>
      </c>
      <c r="AD36" s="102">
        <f>'P&amp;L Month'!AF38*(1+'Détail CF'!$C36)</f>
        <v>107.64</v>
      </c>
      <c r="AE36" s="102">
        <f>'P&amp;L Month'!AG38*(1+'Détail CF'!$C36)</f>
        <v>107.64</v>
      </c>
      <c r="AF36" s="102">
        <f>'P&amp;L Month'!AH38*(1+'Détail CF'!$C36)</f>
        <v>161.45999999999998</v>
      </c>
      <c r="AG36" s="102">
        <f>'P&amp;L Month'!AI38*(1+'Détail CF'!$C36)</f>
        <v>215.28</v>
      </c>
      <c r="AH36" s="102">
        <f>'P&amp;L Month'!AJ38*(1+'Détail CF'!$C36)</f>
        <v>215.28</v>
      </c>
      <c r="AI36" s="102">
        <f>'P&amp;L Month'!AK38*(1+'Détail CF'!$C36)</f>
        <v>269.09999999999997</v>
      </c>
      <c r="AJ36" s="102">
        <f>'P&amp;L Month'!AL38*(1+'Détail CF'!$C36)</f>
        <v>376.74</v>
      </c>
      <c r="AK36" s="102">
        <f>'P&amp;L Month'!AM38*(1+'Détail CF'!$C36)</f>
        <v>430.56</v>
      </c>
      <c r="AL36" s="102">
        <f>'P&amp;L Month'!AN38*(1+'Détail CF'!$C36)</f>
        <v>538.19999999999993</v>
      </c>
      <c r="AM36" s="102">
        <f>'P&amp;L Month'!AO38*(1+'Détail CF'!$C36)</f>
        <v>538.19999999999993</v>
      </c>
      <c r="AN36" s="102">
        <f>'P&amp;L Month'!AP38*(1+'Détail CF'!$C36)</f>
        <v>592.02</v>
      </c>
      <c r="AO36" s="102">
        <f>'P&amp;L Month'!AQ38*(1+'Détail CF'!$C36)</f>
        <v>699.66</v>
      </c>
      <c r="AP36" s="102">
        <f>'P&amp;L Month'!AR38*(1+'Détail CF'!$C36)</f>
        <v>753.48</v>
      </c>
      <c r="AQ36" s="102">
        <f>'P&amp;L Month'!AS38*(1+'Détail CF'!$C36)</f>
        <v>753.48</v>
      </c>
      <c r="AR36" s="102">
        <f>'P&amp;L Month'!AT38*(1+'Détail CF'!$C36)</f>
        <v>914.93999999999994</v>
      </c>
      <c r="AS36" s="102">
        <f>'P&amp;L Month'!AU38*(1+'Détail CF'!$C36)</f>
        <v>914.93999999999994</v>
      </c>
      <c r="AT36" s="102">
        <f>'P&amp;L Month'!AV38*(1+'Détail CF'!$C36)</f>
        <v>914.93999999999994</v>
      </c>
      <c r="AU36" s="102">
        <f>'P&amp;L Month'!AW38*(1+'Détail CF'!$C36)</f>
        <v>914.93999999999994</v>
      </c>
      <c r="AV36" s="102">
        <f>'P&amp;L Month'!AX38*(1+'Détail CF'!$C36)</f>
        <v>1076.3999999999999</v>
      </c>
      <c r="AW36" s="102">
        <f>'P&amp;L Month'!AY38*(1+'Détail CF'!$C36)</f>
        <v>1076.3999999999999</v>
      </c>
      <c r="AX36" s="102">
        <f>'P&amp;L Month'!AZ38*(1+'Détail CF'!$C36)</f>
        <v>1076.3999999999999</v>
      </c>
      <c r="AY36" s="102">
        <f>'P&amp;L Month'!BA38*(1+'Détail CF'!$C36)</f>
        <v>1076.3999999999999</v>
      </c>
      <c r="AZ36" s="102">
        <f>'P&amp;L Month'!BB38*(1+'Détail CF'!$C36)</f>
        <v>1130.22</v>
      </c>
      <c r="BA36" s="102">
        <f>'P&amp;L Month'!BC38*(1+'Détail CF'!$C36)</f>
        <v>1130.22</v>
      </c>
      <c r="BB36" s="102">
        <f>'P&amp;L Month'!BD38*(1+'Détail CF'!$C36)</f>
        <v>1237.8599999999999</v>
      </c>
      <c r="BC36" s="102">
        <f>'P&amp;L Month'!BE38*(1+'Détail CF'!$C36)</f>
        <v>1237.8599999999999</v>
      </c>
      <c r="BD36" s="102">
        <f>'P&amp;L Month'!BF38*(1+'Détail CF'!$C36)</f>
        <v>1291.6799999999998</v>
      </c>
      <c r="BE36" s="102">
        <f>'P&amp;L Month'!BG38*(1+'Détail CF'!$C36)</f>
        <v>1291.6799999999998</v>
      </c>
      <c r="BF36" s="102">
        <f>'P&amp;L Month'!BH38*(1+'Détail CF'!$C36)</f>
        <v>1345.5</v>
      </c>
      <c r="BG36" s="102">
        <f>'P&amp;L Month'!BI38*(1+'Détail CF'!$C36)</f>
        <v>1345.5</v>
      </c>
      <c r="BH36" s="102">
        <f>'P&amp;L Month'!BJ38*(1+'Détail CF'!$C36)</f>
        <v>1345.5</v>
      </c>
      <c r="BI36" s="102">
        <f>'P&amp;L Month'!BK38*(1+'Détail CF'!$C36)</f>
        <v>1345.5</v>
      </c>
      <c r="BJ36" s="102">
        <f>'P&amp;L Month'!BL38*(1+'Détail CF'!$C36)</f>
        <v>1345.5</v>
      </c>
      <c r="BK36" s="102">
        <f>'P&amp;L Month'!BM38*(1+'Détail CF'!$C36)</f>
        <v>1345.5</v>
      </c>
      <c r="BL36" s="102">
        <f>'P&amp;L Month'!BN38*(1+'Détail CF'!$C36)</f>
        <v>1399.32</v>
      </c>
      <c r="BM36" s="102">
        <f>'P&amp;L Month'!BO38*(1+'Détail CF'!$C36)</f>
        <v>1399.32</v>
      </c>
      <c r="BN36" s="102">
        <f>'P&amp;L Month'!BP38*(1+'Détail CF'!$C36)</f>
        <v>1399.32</v>
      </c>
      <c r="BO36" s="102">
        <f>'P&amp;L Month'!BQ38*(1+'Détail CF'!$C36)</f>
        <v>1399.32</v>
      </c>
      <c r="BP36" s="102">
        <f>'P&amp;L Month'!BR38*(1+'Détail CF'!$C36)</f>
        <v>1399.32</v>
      </c>
      <c r="BQ36" s="102">
        <f>'P&amp;L Month'!BS38*(1+'Détail CF'!$C36)</f>
        <v>1399.32</v>
      </c>
      <c r="BR36" s="102">
        <f>'P&amp;L Month'!BT38*(1+'Détail CF'!$C36)</f>
        <v>1399.32</v>
      </c>
      <c r="BS36" s="102">
        <f>'P&amp;L Month'!BU38*(1+'Détail CF'!$C36)</f>
        <v>1399.32</v>
      </c>
      <c r="BT36" s="102">
        <f>'P&amp;L Month'!BV38*(1+'Détail CF'!$C36)</f>
        <v>1399.32</v>
      </c>
      <c r="BU36" s="102">
        <f>'P&amp;L Month'!BW38*(1+'Détail CF'!$C36)</f>
        <v>1399.32</v>
      </c>
      <c r="BV36" s="102">
        <f>'P&amp;L Month'!BX38*(1+'Détail CF'!$C36)</f>
        <v>1399.32</v>
      </c>
      <c r="BW36" s="102">
        <f>'P&amp;L Month'!BY38*(1+'Détail CF'!$C36)</f>
        <v>1399.32</v>
      </c>
      <c r="BX36" s="102">
        <f>'P&amp;L Month'!BZ38*(1+'Détail CF'!$C36)</f>
        <v>1399.32</v>
      </c>
      <c r="BY36" s="102">
        <f>'P&amp;L Month'!CA38*(1+'Détail CF'!$C36)</f>
        <v>1399.32</v>
      </c>
      <c r="BZ36" s="102">
        <f>'P&amp;L Month'!CB38*(1+'Détail CF'!$C36)</f>
        <v>1399.32</v>
      </c>
      <c r="CA36" s="102">
        <f>'P&amp;L Month'!CC38*(1+'Détail CF'!$C36)</f>
        <v>1399.32</v>
      </c>
      <c r="CB36" s="102">
        <f>'P&amp;L Month'!CD38*(1+'Détail CF'!$C36)</f>
        <v>1399.32</v>
      </c>
      <c r="CC36" s="102">
        <f>'P&amp;L Month'!CE38*(1+'Détail CF'!$C36)</f>
        <v>1399.32</v>
      </c>
      <c r="CD36" s="102">
        <f>'P&amp;L Month'!CF38*(1+'Détail CF'!$C36)</f>
        <v>1399.32</v>
      </c>
      <c r="CE36" s="102">
        <f>'P&amp;L Month'!CG38*(1+'Détail CF'!$C36)</f>
        <v>1399.32</v>
      </c>
    </row>
    <row r="37" spans="2:83">
      <c r="B37" t="s">
        <v>184</v>
      </c>
      <c r="C37" s="182">
        <v>0.19600000000000001</v>
      </c>
      <c r="D37" s="166">
        <v>30</v>
      </c>
      <c r="E37" s="1" t="s">
        <v>266</v>
      </c>
      <c r="F37" s="102">
        <f>'P&amp;L Month'!H39*(1+'Détail CF'!$C37)</f>
        <v>0</v>
      </c>
      <c r="G37" s="102">
        <f>'P&amp;L Month'!I39*(1+'Détail CF'!$C37)</f>
        <v>0</v>
      </c>
      <c r="H37" s="102">
        <f>'P&amp;L Month'!J39*(1+'Détail CF'!$C37)</f>
        <v>0</v>
      </c>
      <c r="I37" s="102">
        <f>'P&amp;L Month'!K39*(1+'Détail CF'!$C37)</f>
        <v>0</v>
      </c>
      <c r="J37" s="102">
        <f>'P&amp;L Month'!L39*(1+'Détail CF'!$C37)</f>
        <v>0</v>
      </c>
      <c r="K37" s="102">
        <f>'P&amp;L Month'!M39*(1+'Détail CF'!$C37)</f>
        <v>0</v>
      </c>
      <c r="L37" s="102">
        <f>'P&amp;L Month'!N39*(1+'Détail CF'!$C37)</f>
        <v>0</v>
      </c>
      <c r="M37" s="102">
        <f>'P&amp;L Month'!O39*(1+'Détail CF'!$C37)</f>
        <v>0</v>
      </c>
      <c r="N37" s="102">
        <f>'P&amp;L Month'!P39*(1+'Détail CF'!$C37)</f>
        <v>0</v>
      </c>
      <c r="O37" s="102">
        <f>'P&amp;L Month'!Q39*(1+'Détail CF'!$C37)</f>
        <v>0</v>
      </c>
      <c r="P37" s="102">
        <f>'P&amp;L Month'!R39*(1+'Détail CF'!$C37)</f>
        <v>0</v>
      </c>
      <c r="Q37" s="102">
        <f>'P&amp;L Month'!S39*(1+'Détail CF'!$C37)</f>
        <v>0</v>
      </c>
      <c r="R37" s="102">
        <f>'P&amp;L Month'!T39*(1+'Détail CF'!$C37)</f>
        <v>0</v>
      </c>
      <c r="S37" s="102">
        <f>'P&amp;L Month'!U39*(1+'Détail CF'!$C37)</f>
        <v>0</v>
      </c>
      <c r="T37" s="102">
        <f>'P&amp;L Month'!V39*(1+'Détail CF'!$C37)</f>
        <v>0</v>
      </c>
      <c r="U37" s="102">
        <f>'P&amp;L Month'!W39*(1+'Détail CF'!$C37)</f>
        <v>0</v>
      </c>
      <c r="V37" s="102">
        <f>'P&amp;L Month'!X39*(1+'Détail CF'!$C37)</f>
        <v>0</v>
      </c>
      <c r="W37" s="102">
        <f>'P&amp;L Month'!Y39*(1+'Détail CF'!$C37)</f>
        <v>0</v>
      </c>
      <c r="X37" s="102">
        <f>'P&amp;L Month'!Z39*(1+'Détail CF'!$C37)</f>
        <v>35.879999999999995</v>
      </c>
      <c r="Y37" s="102">
        <f>'P&amp;L Month'!AA39*(1+'Détail CF'!$C37)</f>
        <v>35.879999999999995</v>
      </c>
      <c r="Z37" s="102">
        <f>'P&amp;L Month'!AB39*(1+'Détail CF'!$C37)</f>
        <v>35.879999999999995</v>
      </c>
      <c r="AA37" s="102">
        <f>'P&amp;L Month'!AC39*(1+'Détail CF'!$C37)</f>
        <v>35.879999999999995</v>
      </c>
      <c r="AB37" s="102">
        <f>'P&amp;L Month'!AD39*(1+'Détail CF'!$C37)</f>
        <v>35.879999999999995</v>
      </c>
      <c r="AC37" s="102">
        <f>'P&amp;L Month'!AE39*(1+'Détail CF'!$C37)</f>
        <v>35.879999999999995</v>
      </c>
      <c r="AD37" s="102">
        <f>'P&amp;L Month'!AF39*(1+'Détail CF'!$C37)</f>
        <v>35.879999999999995</v>
      </c>
      <c r="AE37" s="102">
        <f>'P&amp;L Month'!AG39*(1+'Détail CF'!$C37)</f>
        <v>35.879999999999995</v>
      </c>
      <c r="AF37" s="102">
        <f>'P&amp;L Month'!AH39*(1+'Détail CF'!$C37)</f>
        <v>53.82</v>
      </c>
      <c r="AG37" s="102">
        <f>'P&amp;L Month'!AI39*(1+'Détail CF'!$C37)</f>
        <v>71.759999999999991</v>
      </c>
      <c r="AH37" s="102">
        <f>'P&amp;L Month'!AJ39*(1+'Détail CF'!$C37)</f>
        <v>71.759999999999991</v>
      </c>
      <c r="AI37" s="102">
        <f>'P&amp;L Month'!AK39*(1+'Détail CF'!$C37)</f>
        <v>89.7</v>
      </c>
      <c r="AJ37" s="102">
        <f>'P&amp;L Month'!AL39*(1+'Détail CF'!$C37)</f>
        <v>125.58</v>
      </c>
      <c r="AK37" s="102">
        <f>'P&amp;L Month'!AM39*(1+'Détail CF'!$C37)</f>
        <v>143.51999999999998</v>
      </c>
      <c r="AL37" s="102">
        <f>'P&amp;L Month'!AN39*(1+'Détail CF'!$C37)</f>
        <v>179.4</v>
      </c>
      <c r="AM37" s="102">
        <f>'P&amp;L Month'!AO39*(1+'Détail CF'!$C37)</f>
        <v>179.4</v>
      </c>
      <c r="AN37" s="102">
        <f>'P&amp;L Month'!AP39*(1+'Détail CF'!$C37)</f>
        <v>197.34</v>
      </c>
      <c r="AO37" s="102">
        <f>'P&amp;L Month'!AQ39*(1+'Détail CF'!$C37)</f>
        <v>233.22</v>
      </c>
      <c r="AP37" s="102">
        <f>'P&amp;L Month'!AR39*(1+'Détail CF'!$C37)</f>
        <v>251.16</v>
      </c>
      <c r="AQ37" s="102">
        <f>'P&amp;L Month'!AS39*(1+'Détail CF'!$C37)</f>
        <v>251.16</v>
      </c>
      <c r="AR37" s="102">
        <f>'P&amp;L Month'!AT39*(1+'Détail CF'!$C37)</f>
        <v>304.97999999999996</v>
      </c>
      <c r="AS37" s="102">
        <f>'P&amp;L Month'!AU39*(1+'Détail CF'!$C37)</f>
        <v>304.97999999999996</v>
      </c>
      <c r="AT37" s="102">
        <f>'P&amp;L Month'!AV39*(1+'Détail CF'!$C37)</f>
        <v>304.97999999999996</v>
      </c>
      <c r="AU37" s="102">
        <f>'P&amp;L Month'!AW39*(1+'Détail CF'!$C37)</f>
        <v>304.97999999999996</v>
      </c>
      <c r="AV37" s="102">
        <f>'P&amp;L Month'!AX39*(1+'Détail CF'!$C37)</f>
        <v>358.8</v>
      </c>
      <c r="AW37" s="102">
        <f>'P&amp;L Month'!AY39*(1+'Détail CF'!$C37)</f>
        <v>358.8</v>
      </c>
      <c r="AX37" s="102">
        <f>'P&amp;L Month'!AZ39*(1+'Détail CF'!$C37)</f>
        <v>358.8</v>
      </c>
      <c r="AY37" s="102">
        <f>'P&amp;L Month'!BA39*(1+'Détail CF'!$C37)</f>
        <v>358.8</v>
      </c>
      <c r="AZ37" s="102">
        <f>'P&amp;L Month'!BB39*(1+'Détail CF'!$C37)</f>
        <v>376.74</v>
      </c>
      <c r="BA37" s="102">
        <f>'P&amp;L Month'!BC39*(1+'Détail CF'!$C37)</f>
        <v>376.74</v>
      </c>
      <c r="BB37" s="102">
        <f>'P&amp;L Month'!BD39*(1+'Détail CF'!$C37)</f>
        <v>412.62</v>
      </c>
      <c r="BC37" s="102">
        <f>'P&amp;L Month'!BE39*(1+'Détail CF'!$C37)</f>
        <v>412.62</v>
      </c>
      <c r="BD37" s="102">
        <f>'P&amp;L Month'!BF39*(1+'Détail CF'!$C37)</f>
        <v>430.56</v>
      </c>
      <c r="BE37" s="102">
        <f>'P&amp;L Month'!BG39*(1+'Détail CF'!$C37)</f>
        <v>430.56</v>
      </c>
      <c r="BF37" s="102">
        <f>'P&amp;L Month'!BH39*(1+'Détail CF'!$C37)</f>
        <v>448.5</v>
      </c>
      <c r="BG37" s="102">
        <f>'P&amp;L Month'!BI39*(1+'Détail CF'!$C37)</f>
        <v>448.5</v>
      </c>
      <c r="BH37" s="102">
        <f>'P&amp;L Month'!BJ39*(1+'Détail CF'!$C37)</f>
        <v>448.5</v>
      </c>
      <c r="BI37" s="102">
        <f>'P&amp;L Month'!BK39*(1+'Détail CF'!$C37)</f>
        <v>448.5</v>
      </c>
      <c r="BJ37" s="102">
        <f>'P&amp;L Month'!BL39*(1+'Détail CF'!$C37)</f>
        <v>448.5</v>
      </c>
      <c r="BK37" s="102">
        <f>'P&amp;L Month'!BM39*(1+'Détail CF'!$C37)</f>
        <v>448.5</v>
      </c>
      <c r="BL37" s="102">
        <f>'P&amp;L Month'!BN39*(1+'Détail CF'!$C37)</f>
        <v>466.44</v>
      </c>
      <c r="BM37" s="102">
        <f>'P&amp;L Month'!BO39*(1+'Détail CF'!$C37)</f>
        <v>466.44</v>
      </c>
      <c r="BN37" s="102">
        <f>'P&amp;L Month'!BP39*(1+'Détail CF'!$C37)</f>
        <v>466.44</v>
      </c>
      <c r="BO37" s="102">
        <f>'P&amp;L Month'!BQ39*(1+'Détail CF'!$C37)</f>
        <v>466.44</v>
      </c>
      <c r="BP37" s="102">
        <f>'P&amp;L Month'!BR39*(1+'Détail CF'!$C37)</f>
        <v>466.44</v>
      </c>
      <c r="BQ37" s="102">
        <f>'P&amp;L Month'!BS39*(1+'Détail CF'!$C37)</f>
        <v>466.44</v>
      </c>
      <c r="BR37" s="102">
        <f>'P&amp;L Month'!BT39*(1+'Détail CF'!$C37)</f>
        <v>466.44</v>
      </c>
      <c r="BS37" s="102">
        <f>'P&amp;L Month'!BU39*(1+'Détail CF'!$C37)</f>
        <v>466.44</v>
      </c>
      <c r="BT37" s="102">
        <f>'P&amp;L Month'!BV39*(1+'Détail CF'!$C37)</f>
        <v>466.44</v>
      </c>
      <c r="BU37" s="102">
        <f>'P&amp;L Month'!BW39*(1+'Détail CF'!$C37)</f>
        <v>466.44</v>
      </c>
      <c r="BV37" s="102">
        <f>'P&amp;L Month'!BX39*(1+'Détail CF'!$C37)</f>
        <v>466.44</v>
      </c>
      <c r="BW37" s="102">
        <f>'P&amp;L Month'!BY39*(1+'Détail CF'!$C37)</f>
        <v>466.44</v>
      </c>
      <c r="BX37" s="102">
        <f>'P&amp;L Month'!BZ39*(1+'Détail CF'!$C37)</f>
        <v>466.44</v>
      </c>
      <c r="BY37" s="102">
        <f>'P&amp;L Month'!CA39*(1+'Détail CF'!$C37)</f>
        <v>466.44</v>
      </c>
      <c r="BZ37" s="102">
        <f>'P&amp;L Month'!CB39*(1+'Détail CF'!$C37)</f>
        <v>466.44</v>
      </c>
      <c r="CA37" s="102">
        <f>'P&amp;L Month'!CC39*(1+'Détail CF'!$C37)</f>
        <v>466.44</v>
      </c>
      <c r="CB37" s="102">
        <f>'P&amp;L Month'!CD39*(1+'Détail CF'!$C37)</f>
        <v>466.44</v>
      </c>
      <c r="CC37" s="102">
        <f>'P&amp;L Month'!CE39*(1+'Détail CF'!$C37)</f>
        <v>466.44</v>
      </c>
      <c r="CD37" s="102">
        <f>'P&amp;L Month'!CF39*(1+'Détail CF'!$C37)</f>
        <v>466.44</v>
      </c>
      <c r="CE37" s="102">
        <f>'P&amp;L Month'!CG39*(1+'Détail CF'!$C37)</f>
        <v>466.44</v>
      </c>
    </row>
    <row r="38" spans="2:83">
      <c r="B38" t="s">
        <v>169</v>
      </c>
      <c r="C38" s="182">
        <v>0.19600000000000001</v>
      </c>
      <c r="D38" s="166">
        <v>60</v>
      </c>
      <c r="E38" s="1" t="s">
        <v>266</v>
      </c>
      <c r="F38" s="102">
        <f>'P&amp;L Month'!H40*(1+'Détail CF'!$C38)</f>
        <v>0</v>
      </c>
      <c r="G38" s="102">
        <f>'P&amp;L Month'!I40*(1+'Détail CF'!$C38)</f>
        <v>0</v>
      </c>
      <c r="H38" s="102">
        <f>'P&amp;L Month'!J40*(1+'Détail CF'!$C38)</f>
        <v>0</v>
      </c>
      <c r="I38" s="102">
        <f>'P&amp;L Month'!K40*(1+'Détail CF'!$C38)</f>
        <v>0</v>
      </c>
      <c r="J38" s="102">
        <f>'P&amp;L Month'!L40*(1+'Détail CF'!$C38)</f>
        <v>0</v>
      </c>
      <c r="K38" s="102">
        <f>'P&amp;L Month'!M40*(1+'Détail CF'!$C38)</f>
        <v>0</v>
      </c>
      <c r="L38" s="102">
        <f>'P&amp;L Month'!N40*(1+'Détail CF'!$C38)</f>
        <v>0</v>
      </c>
      <c r="M38" s="102">
        <f>'P&amp;L Month'!O40*(1+'Détail CF'!$C38)</f>
        <v>0</v>
      </c>
      <c r="N38" s="102">
        <f>'P&amp;L Month'!P40*(1+'Détail CF'!$C38)</f>
        <v>0</v>
      </c>
      <c r="O38" s="102">
        <f>'P&amp;L Month'!Q40*(1+'Détail CF'!$C38)</f>
        <v>0</v>
      </c>
      <c r="P38" s="102">
        <f>'P&amp;L Month'!R40*(1+'Détail CF'!$C38)</f>
        <v>0</v>
      </c>
      <c r="Q38" s="102">
        <f>'P&amp;L Month'!S40*(1+'Détail CF'!$C38)</f>
        <v>0</v>
      </c>
      <c r="R38" s="102">
        <f>'P&amp;L Month'!T40*(1+'Détail CF'!$C38)</f>
        <v>0</v>
      </c>
      <c r="S38" s="102">
        <f>'P&amp;L Month'!U40*(1+'Détail CF'!$C38)</f>
        <v>0</v>
      </c>
      <c r="T38" s="102">
        <f>'P&amp;L Month'!V40*(1+'Détail CF'!$C38)</f>
        <v>0</v>
      </c>
      <c r="U38" s="102">
        <f>'P&amp;L Month'!W40*(1+'Détail CF'!$C38)</f>
        <v>0</v>
      </c>
      <c r="V38" s="102">
        <f>'P&amp;L Month'!X40*(1+'Détail CF'!$C38)</f>
        <v>0</v>
      </c>
      <c r="W38" s="102">
        <f>'P&amp;L Month'!Y40*(1+'Détail CF'!$C38)</f>
        <v>0</v>
      </c>
      <c r="X38" s="102">
        <f>'P&amp;L Month'!Z40*(1+'Détail CF'!$C38)</f>
        <v>11.959999999999999</v>
      </c>
      <c r="Y38" s="102">
        <f>'P&amp;L Month'!AA40*(1+'Détail CF'!$C38)</f>
        <v>11.959999999999999</v>
      </c>
      <c r="Z38" s="102">
        <f>'P&amp;L Month'!AB40*(1+'Détail CF'!$C38)</f>
        <v>11.959999999999999</v>
      </c>
      <c r="AA38" s="102">
        <f>'P&amp;L Month'!AC40*(1+'Détail CF'!$C38)</f>
        <v>11.959999999999999</v>
      </c>
      <c r="AB38" s="102">
        <f>'P&amp;L Month'!AD40*(1+'Détail CF'!$C38)</f>
        <v>11.959999999999999</v>
      </c>
      <c r="AC38" s="102">
        <f>'P&amp;L Month'!AE40*(1+'Détail CF'!$C38)</f>
        <v>11.959999999999999</v>
      </c>
      <c r="AD38" s="102">
        <f>'P&amp;L Month'!AF40*(1+'Détail CF'!$C38)</f>
        <v>11.959999999999999</v>
      </c>
      <c r="AE38" s="102">
        <f>'P&amp;L Month'!AG40*(1+'Détail CF'!$C38)</f>
        <v>11.959999999999999</v>
      </c>
      <c r="AF38" s="102">
        <f>'P&amp;L Month'!AH40*(1+'Détail CF'!$C38)</f>
        <v>17.939999999999998</v>
      </c>
      <c r="AG38" s="102">
        <f>'P&amp;L Month'!AI40*(1+'Détail CF'!$C38)</f>
        <v>23.919999999999998</v>
      </c>
      <c r="AH38" s="102">
        <f>'P&amp;L Month'!AJ40*(1+'Détail CF'!$C38)</f>
        <v>23.919999999999998</v>
      </c>
      <c r="AI38" s="102">
        <f>'P&amp;L Month'!AK40*(1+'Détail CF'!$C38)</f>
        <v>29.9</v>
      </c>
      <c r="AJ38" s="102">
        <f>'P&amp;L Month'!AL40*(1+'Détail CF'!$C38)</f>
        <v>41.86</v>
      </c>
      <c r="AK38" s="102">
        <f>'P&amp;L Month'!AM40*(1+'Détail CF'!$C38)</f>
        <v>47.839999999999996</v>
      </c>
      <c r="AL38" s="102">
        <f>'P&amp;L Month'!AN40*(1+'Détail CF'!$C38)</f>
        <v>59.8</v>
      </c>
      <c r="AM38" s="102">
        <f>'P&amp;L Month'!AO40*(1+'Détail CF'!$C38)</f>
        <v>59.8</v>
      </c>
      <c r="AN38" s="102">
        <f>'P&amp;L Month'!AP40*(1+'Détail CF'!$C38)</f>
        <v>65.78</v>
      </c>
      <c r="AO38" s="102">
        <f>'P&amp;L Month'!AQ40*(1+'Détail CF'!$C38)</f>
        <v>77.739999999999995</v>
      </c>
      <c r="AP38" s="102">
        <f>'P&amp;L Month'!AR40*(1+'Détail CF'!$C38)</f>
        <v>83.72</v>
      </c>
      <c r="AQ38" s="102">
        <f>'P&amp;L Month'!AS40*(1+'Détail CF'!$C38)</f>
        <v>83.72</v>
      </c>
      <c r="AR38" s="102">
        <f>'P&amp;L Month'!AT40*(1+'Détail CF'!$C38)</f>
        <v>101.66</v>
      </c>
      <c r="AS38" s="102">
        <f>'P&amp;L Month'!AU40*(1+'Détail CF'!$C38)</f>
        <v>101.66</v>
      </c>
      <c r="AT38" s="102">
        <f>'P&amp;L Month'!AV40*(1+'Détail CF'!$C38)</f>
        <v>101.66</v>
      </c>
      <c r="AU38" s="102">
        <f>'P&amp;L Month'!AW40*(1+'Détail CF'!$C38)</f>
        <v>101.66</v>
      </c>
      <c r="AV38" s="102">
        <f>'P&amp;L Month'!AX40*(1+'Détail CF'!$C38)</f>
        <v>119.6</v>
      </c>
      <c r="AW38" s="102">
        <f>'P&amp;L Month'!AY40*(1+'Détail CF'!$C38)</f>
        <v>119.6</v>
      </c>
      <c r="AX38" s="102">
        <f>'P&amp;L Month'!AZ40*(1+'Détail CF'!$C38)</f>
        <v>119.6</v>
      </c>
      <c r="AY38" s="102">
        <f>'P&amp;L Month'!BA40*(1+'Détail CF'!$C38)</f>
        <v>119.6</v>
      </c>
      <c r="AZ38" s="102">
        <f>'P&amp;L Month'!BB40*(1+'Détail CF'!$C38)</f>
        <v>125.58</v>
      </c>
      <c r="BA38" s="102">
        <f>'P&amp;L Month'!BC40*(1+'Détail CF'!$C38)</f>
        <v>125.58</v>
      </c>
      <c r="BB38" s="102">
        <f>'P&amp;L Month'!BD40*(1+'Détail CF'!$C38)</f>
        <v>137.54</v>
      </c>
      <c r="BC38" s="102">
        <f>'P&amp;L Month'!BE40*(1+'Détail CF'!$C38)</f>
        <v>137.54</v>
      </c>
      <c r="BD38" s="102">
        <f>'P&amp;L Month'!BF40*(1+'Détail CF'!$C38)</f>
        <v>143.51999999999998</v>
      </c>
      <c r="BE38" s="102">
        <f>'P&amp;L Month'!BG40*(1+'Détail CF'!$C38)</f>
        <v>143.51999999999998</v>
      </c>
      <c r="BF38" s="102">
        <f>'P&amp;L Month'!BH40*(1+'Détail CF'!$C38)</f>
        <v>149.5</v>
      </c>
      <c r="BG38" s="102">
        <f>'P&amp;L Month'!BI40*(1+'Détail CF'!$C38)</f>
        <v>149.5</v>
      </c>
      <c r="BH38" s="102">
        <f>'P&amp;L Month'!BJ40*(1+'Détail CF'!$C38)</f>
        <v>149.5</v>
      </c>
      <c r="BI38" s="102">
        <f>'P&amp;L Month'!BK40*(1+'Détail CF'!$C38)</f>
        <v>149.5</v>
      </c>
      <c r="BJ38" s="102">
        <f>'P&amp;L Month'!BL40*(1+'Détail CF'!$C38)</f>
        <v>149.5</v>
      </c>
      <c r="BK38" s="102">
        <f>'P&amp;L Month'!BM40*(1+'Détail CF'!$C38)</f>
        <v>149.5</v>
      </c>
      <c r="BL38" s="102">
        <f>'P&amp;L Month'!BN40*(1+'Détail CF'!$C38)</f>
        <v>155.47999999999999</v>
      </c>
      <c r="BM38" s="102">
        <f>'P&amp;L Month'!BO40*(1+'Détail CF'!$C38)</f>
        <v>155.47999999999999</v>
      </c>
      <c r="BN38" s="102">
        <f>'P&amp;L Month'!BP40*(1+'Détail CF'!$C38)</f>
        <v>155.47999999999999</v>
      </c>
      <c r="BO38" s="102">
        <f>'P&amp;L Month'!BQ40*(1+'Détail CF'!$C38)</f>
        <v>155.47999999999999</v>
      </c>
      <c r="BP38" s="102">
        <f>'P&amp;L Month'!BR40*(1+'Détail CF'!$C38)</f>
        <v>155.47999999999999</v>
      </c>
      <c r="BQ38" s="102">
        <f>'P&amp;L Month'!BS40*(1+'Détail CF'!$C38)</f>
        <v>155.47999999999999</v>
      </c>
      <c r="BR38" s="102">
        <f>'P&amp;L Month'!BT40*(1+'Détail CF'!$C38)</f>
        <v>155.47999999999999</v>
      </c>
      <c r="BS38" s="102">
        <f>'P&amp;L Month'!BU40*(1+'Détail CF'!$C38)</f>
        <v>155.47999999999999</v>
      </c>
      <c r="BT38" s="102">
        <f>'P&amp;L Month'!BV40*(1+'Détail CF'!$C38)</f>
        <v>155.47999999999999</v>
      </c>
      <c r="BU38" s="102">
        <f>'P&amp;L Month'!BW40*(1+'Détail CF'!$C38)</f>
        <v>155.47999999999999</v>
      </c>
      <c r="BV38" s="102">
        <f>'P&amp;L Month'!BX40*(1+'Détail CF'!$C38)</f>
        <v>155.47999999999999</v>
      </c>
      <c r="BW38" s="102">
        <f>'P&amp;L Month'!BY40*(1+'Détail CF'!$C38)</f>
        <v>155.47999999999999</v>
      </c>
      <c r="BX38" s="102">
        <f>'P&amp;L Month'!BZ40*(1+'Détail CF'!$C38)</f>
        <v>155.47999999999999</v>
      </c>
      <c r="BY38" s="102">
        <f>'P&amp;L Month'!CA40*(1+'Détail CF'!$C38)</f>
        <v>155.47999999999999</v>
      </c>
      <c r="BZ38" s="102">
        <f>'P&amp;L Month'!CB40*(1+'Détail CF'!$C38)</f>
        <v>155.47999999999999</v>
      </c>
      <c r="CA38" s="102">
        <f>'P&amp;L Month'!CC40*(1+'Détail CF'!$C38)</f>
        <v>155.47999999999999</v>
      </c>
      <c r="CB38" s="102">
        <f>'P&amp;L Month'!CD40*(1+'Détail CF'!$C38)</f>
        <v>155.47999999999999</v>
      </c>
      <c r="CC38" s="102">
        <f>'P&amp;L Month'!CE40*(1+'Détail CF'!$C38)</f>
        <v>155.47999999999999</v>
      </c>
      <c r="CD38" s="102">
        <f>'P&amp;L Month'!CF40*(1+'Détail CF'!$C38)</f>
        <v>155.47999999999999</v>
      </c>
      <c r="CE38" s="102">
        <f>'P&amp;L Month'!CG40*(1+'Détail CF'!$C38)</f>
        <v>155.47999999999999</v>
      </c>
    </row>
    <row r="39" spans="2:83">
      <c r="B39" t="s">
        <v>170</v>
      </c>
      <c r="C39" s="182">
        <v>0.19600000000000001</v>
      </c>
      <c r="D39" s="166">
        <v>60</v>
      </c>
      <c r="E39" s="1" t="s">
        <v>266</v>
      </c>
      <c r="F39" s="102">
        <f>'P&amp;L Month'!H41*(1+'Détail CF'!$C39)</f>
        <v>0</v>
      </c>
      <c r="G39" s="102">
        <f>'P&amp;L Month'!I41*(1+'Détail CF'!$C39)</f>
        <v>0</v>
      </c>
      <c r="H39" s="102">
        <f>'P&amp;L Month'!J41*(1+'Détail CF'!$C39)</f>
        <v>0</v>
      </c>
      <c r="I39" s="102">
        <f>'P&amp;L Month'!K41*(1+'Détail CF'!$C39)</f>
        <v>0</v>
      </c>
      <c r="J39" s="102">
        <f>'P&amp;L Month'!L41*(1+'Détail CF'!$C39)</f>
        <v>0</v>
      </c>
      <c r="K39" s="102">
        <f>'P&amp;L Month'!M41*(1+'Détail CF'!$C39)</f>
        <v>0</v>
      </c>
      <c r="L39" s="102">
        <f>'P&amp;L Month'!N41*(1+'Détail CF'!$C39)</f>
        <v>0</v>
      </c>
      <c r="M39" s="102">
        <f>'P&amp;L Month'!O41*(1+'Détail CF'!$C39)</f>
        <v>0</v>
      </c>
      <c r="N39" s="102">
        <f>'P&amp;L Month'!P41*(1+'Détail CF'!$C39)</f>
        <v>0</v>
      </c>
      <c r="O39" s="102">
        <f>'P&amp;L Month'!Q41*(1+'Détail CF'!$C39)</f>
        <v>0</v>
      </c>
      <c r="P39" s="102">
        <f>'P&amp;L Month'!R41*(1+'Détail CF'!$C39)</f>
        <v>0</v>
      </c>
      <c r="Q39" s="102">
        <f>'P&amp;L Month'!S41*(1+'Détail CF'!$C39)</f>
        <v>0</v>
      </c>
      <c r="R39" s="102">
        <f>'P&amp;L Month'!T41*(1+'Détail CF'!$C39)</f>
        <v>0</v>
      </c>
      <c r="S39" s="102">
        <f>'P&amp;L Month'!U41*(1+'Détail CF'!$C39)</f>
        <v>0</v>
      </c>
      <c r="T39" s="102">
        <f>'P&amp;L Month'!V41*(1+'Détail CF'!$C39)</f>
        <v>0</v>
      </c>
      <c r="U39" s="102">
        <f>'P&amp;L Month'!W41*(1+'Détail CF'!$C39)</f>
        <v>0</v>
      </c>
      <c r="V39" s="102">
        <f>'P&amp;L Month'!X41*(1+'Détail CF'!$C39)</f>
        <v>0</v>
      </c>
      <c r="W39" s="102">
        <f>'P&amp;L Month'!Y41*(1+'Détail CF'!$C39)</f>
        <v>0</v>
      </c>
      <c r="X39" s="102">
        <f>'P&amp;L Month'!Z41*(1+'Détail CF'!$C39)</f>
        <v>16.744</v>
      </c>
      <c r="Y39" s="102">
        <f>'P&amp;L Month'!AA41*(1+'Détail CF'!$C39)</f>
        <v>16.744</v>
      </c>
      <c r="Z39" s="102">
        <f>'P&amp;L Month'!AB41*(1+'Détail CF'!$C39)</f>
        <v>16.744</v>
      </c>
      <c r="AA39" s="102">
        <f>'P&amp;L Month'!AC41*(1+'Détail CF'!$C39)</f>
        <v>16.744</v>
      </c>
      <c r="AB39" s="102">
        <f>'P&amp;L Month'!AD41*(1+'Détail CF'!$C39)</f>
        <v>16.744</v>
      </c>
      <c r="AC39" s="102">
        <f>'P&amp;L Month'!AE41*(1+'Détail CF'!$C39)</f>
        <v>16.744</v>
      </c>
      <c r="AD39" s="102">
        <f>'P&amp;L Month'!AF41*(1+'Détail CF'!$C39)</f>
        <v>16.744</v>
      </c>
      <c r="AE39" s="102">
        <f>'P&amp;L Month'!AG41*(1+'Détail CF'!$C39)</f>
        <v>16.744</v>
      </c>
      <c r="AF39" s="102">
        <f>'P&amp;L Month'!AH41*(1+'Détail CF'!$C39)</f>
        <v>25.116</v>
      </c>
      <c r="AG39" s="102">
        <f>'P&amp;L Month'!AI41*(1+'Détail CF'!$C39)</f>
        <v>33.488</v>
      </c>
      <c r="AH39" s="102">
        <f>'P&amp;L Month'!AJ41*(1+'Détail CF'!$C39)</f>
        <v>33.488</v>
      </c>
      <c r="AI39" s="102">
        <f>'P&amp;L Month'!AK41*(1+'Détail CF'!$C39)</f>
        <v>41.86</v>
      </c>
      <c r="AJ39" s="102">
        <f>'P&amp;L Month'!AL41*(1+'Détail CF'!$C39)</f>
        <v>58.603999999999999</v>
      </c>
      <c r="AK39" s="102">
        <f>'P&amp;L Month'!AM41*(1+'Détail CF'!$C39)</f>
        <v>66.975999999999999</v>
      </c>
      <c r="AL39" s="102">
        <f>'P&amp;L Month'!AN41*(1+'Détail CF'!$C39)</f>
        <v>83.72</v>
      </c>
      <c r="AM39" s="102">
        <f>'P&amp;L Month'!AO41*(1+'Détail CF'!$C39)</f>
        <v>83.72</v>
      </c>
      <c r="AN39" s="102">
        <f>'P&amp;L Month'!AP41*(1+'Détail CF'!$C39)</f>
        <v>92.091999999999999</v>
      </c>
      <c r="AO39" s="102">
        <f>'P&amp;L Month'!AQ41*(1+'Détail CF'!$C39)</f>
        <v>108.836</v>
      </c>
      <c r="AP39" s="102">
        <f>'P&amp;L Month'!AR41*(1+'Détail CF'!$C39)</f>
        <v>117.208</v>
      </c>
      <c r="AQ39" s="102">
        <f>'P&amp;L Month'!AS41*(1+'Détail CF'!$C39)</f>
        <v>117.208</v>
      </c>
      <c r="AR39" s="102">
        <f>'P&amp;L Month'!AT41*(1+'Détail CF'!$C39)</f>
        <v>142.32399999999998</v>
      </c>
      <c r="AS39" s="102">
        <f>'P&amp;L Month'!AU41*(1+'Détail CF'!$C39)</f>
        <v>142.32399999999998</v>
      </c>
      <c r="AT39" s="102">
        <f>'P&amp;L Month'!AV41*(1+'Détail CF'!$C39)</f>
        <v>142.32399999999998</v>
      </c>
      <c r="AU39" s="102">
        <f>'P&amp;L Month'!AW41*(1+'Détail CF'!$C39)</f>
        <v>142.32399999999998</v>
      </c>
      <c r="AV39" s="102">
        <f>'P&amp;L Month'!AX41*(1+'Détail CF'!$C39)</f>
        <v>167.44</v>
      </c>
      <c r="AW39" s="102">
        <f>'P&amp;L Month'!AY41*(1+'Détail CF'!$C39)</f>
        <v>167.44</v>
      </c>
      <c r="AX39" s="102">
        <f>'P&amp;L Month'!AZ41*(1+'Détail CF'!$C39)</f>
        <v>167.44</v>
      </c>
      <c r="AY39" s="102">
        <f>'P&amp;L Month'!BA41*(1+'Détail CF'!$C39)</f>
        <v>167.44</v>
      </c>
      <c r="AZ39" s="102">
        <f>'P&amp;L Month'!BB41*(1+'Détail CF'!$C39)</f>
        <v>175.81199999999998</v>
      </c>
      <c r="BA39" s="102">
        <f>'P&amp;L Month'!BC41*(1+'Détail CF'!$C39)</f>
        <v>175.81199999999998</v>
      </c>
      <c r="BB39" s="102">
        <f>'P&amp;L Month'!BD41*(1+'Détail CF'!$C39)</f>
        <v>192.55599999999998</v>
      </c>
      <c r="BC39" s="102">
        <f>'P&amp;L Month'!BE41*(1+'Détail CF'!$C39)</f>
        <v>192.55599999999998</v>
      </c>
      <c r="BD39" s="102">
        <f>'P&amp;L Month'!BF41*(1+'Détail CF'!$C39)</f>
        <v>200.928</v>
      </c>
      <c r="BE39" s="102">
        <f>'P&amp;L Month'!BG41*(1+'Détail CF'!$C39)</f>
        <v>200.928</v>
      </c>
      <c r="BF39" s="102">
        <f>'P&amp;L Month'!BH41*(1+'Détail CF'!$C39)</f>
        <v>209.29999999999998</v>
      </c>
      <c r="BG39" s="102">
        <f>'P&amp;L Month'!BI41*(1+'Détail CF'!$C39)</f>
        <v>209.29999999999998</v>
      </c>
      <c r="BH39" s="102">
        <f>'P&amp;L Month'!BJ41*(1+'Détail CF'!$C39)</f>
        <v>209.29999999999998</v>
      </c>
      <c r="BI39" s="102">
        <f>'P&amp;L Month'!BK41*(1+'Détail CF'!$C39)</f>
        <v>209.29999999999998</v>
      </c>
      <c r="BJ39" s="102">
        <f>'P&amp;L Month'!BL41*(1+'Détail CF'!$C39)</f>
        <v>209.29999999999998</v>
      </c>
      <c r="BK39" s="102">
        <f>'P&amp;L Month'!BM41*(1+'Détail CF'!$C39)</f>
        <v>209.29999999999998</v>
      </c>
      <c r="BL39" s="102">
        <f>'P&amp;L Month'!BN41*(1+'Détail CF'!$C39)</f>
        <v>217.672</v>
      </c>
      <c r="BM39" s="102">
        <f>'P&amp;L Month'!BO41*(1+'Détail CF'!$C39)</f>
        <v>217.672</v>
      </c>
      <c r="BN39" s="102">
        <f>'P&amp;L Month'!BP41*(1+'Détail CF'!$C39)</f>
        <v>217.672</v>
      </c>
      <c r="BO39" s="102">
        <f>'P&amp;L Month'!BQ41*(1+'Détail CF'!$C39)</f>
        <v>217.672</v>
      </c>
      <c r="BP39" s="102">
        <f>'P&amp;L Month'!BR41*(1+'Détail CF'!$C39)</f>
        <v>217.672</v>
      </c>
      <c r="BQ39" s="102">
        <f>'P&amp;L Month'!BS41*(1+'Détail CF'!$C39)</f>
        <v>217.672</v>
      </c>
      <c r="BR39" s="102">
        <f>'P&amp;L Month'!BT41*(1+'Détail CF'!$C39)</f>
        <v>217.672</v>
      </c>
      <c r="BS39" s="102">
        <f>'P&amp;L Month'!BU41*(1+'Détail CF'!$C39)</f>
        <v>217.672</v>
      </c>
      <c r="BT39" s="102">
        <f>'P&amp;L Month'!BV41*(1+'Détail CF'!$C39)</f>
        <v>217.672</v>
      </c>
      <c r="BU39" s="102">
        <f>'P&amp;L Month'!BW41*(1+'Détail CF'!$C39)</f>
        <v>217.672</v>
      </c>
      <c r="BV39" s="102">
        <f>'P&amp;L Month'!BX41*(1+'Détail CF'!$C39)</f>
        <v>217.672</v>
      </c>
      <c r="BW39" s="102">
        <f>'P&amp;L Month'!BY41*(1+'Détail CF'!$C39)</f>
        <v>217.672</v>
      </c>
      <c r="BX39" s="102">
        <f>'P&amp;L Month'!BZ41*(1+'Détail CF'!$C39)</f>
        <v>217.672</v>
      </c>
      <c r="BY39" s="102">
        <f>'P&amp;L Month'!CA41*(1+'Détail CF'!$C39)</f>
        <v>217.672</v>
      </c>
      <c r="BZ39" s="102">
        <f>'P&amp;L Month'!CB41*(1+'Détail CF'!$C39)</f>
        <v>217.672</v>
      </c>
      <c r="CA39" s="102">
        <f>'P&amp;L Month'!CC41*(1+'Détail CF'!$C39)</f>
        <v>217.672</v>
      </c>
      <c r="CB39" s="102">
        <f>'P&amp;L Month'!CD41*(1+'Détail CF'!$C39)</f>
        <v>217.672</v>
      </c>
      <c r="CC39" s="102">
        <f>'P&amp;L Month'!CE41*(1+'Détail CF'!$C39)</f>
        <v>217.672</v>
      </c>
      <c r="CD39" s="102">
        <f>'P&amp;L Month'!CF41*(1+'Détail CF'!$C39)</f>
        <v>217.672</v>
      </c>
      <c r="CE39" s="102">
        <f>'P&amp;L Month'!CG41*(1+'Détail CF'!$C39)</f>
        <v>217.672</v>
      </c>
    </row>
    <row r="40" spans="2:83">
      <c r="B40" t="s">
        <v>294</v>
      </c>
      <c r="C40" s="182">
        <v>0.19600000000000001</v>
      </c>
      <c r="D40" s="193">
        <v>30</v>
      </c>
      <c r="E40" s="1" t="s">
        <v>266</v>
      </c>
      <c r="F40" s="102">
        <f>fincmt!D6*(1+'Détail CF'!$C40)</f>
        <v>0</v>
      </c>
      <c r="G40" s="102">
        <f>fincmt!E6*(1+'Détail CF'!$C40)</f>
        <v>0</v>
      </c>
      <c r="H40" s="102">
        <f>fincmt!F6*(1+'Détail CF'!$C40)</f>
        <v>0</v>
      </c>
      <c r="I40" s="102">
        <f>fincmt!G6*(1+'Détail CF'!$C40)</f>
        <v>0</v>
      </c>
      <c r="J40" s="102">
        <f>fincmt!H6*(1+'Détail CF'!$C40)</f>
        <v>0</v>
      </c>
      <c r="K40" s="102">
        <f>fincmt!I6*(1+'Détail CF'!$C40)</f>
        <v>0</v>
      </c>
      <c r="L40" s="102">
        <f>fincmt!J6*(1+'Détail CF'!$C40)</f>
        <v>0</v>
      </c>
      <c r="M40" s="102">
        <f>fincmt!K6*(1+'Détail CF'!$C40)</f>
        <v>0</v>
      </c>
      <c r="N40" s="102">
        <f>fincmt!L6*(1+'Détail CF'!$C40)</f>
        <v>0</v>
      </c>
      <c r="O40" s="102">
        <f>fincmt!M6*(1+'Détail CF'!$C40)</f>
        <v>0</v>
      </c>
      <c r="P40" s="102">
        <f>fincmt!N6*(1+'Détail CF'!$C40)</f>
        <v>0</v>
      </c>
      <c r="Q40" s="102">
        <f>fincmt!O6*(1+'Détail CF'!$C40)</f>
        <v>0</v>
      </c>
      <c r="R40" s="102">
        <f>fincmt!P6*(1+'Détail CF'!$C40)</f>
        <v>0</v>
      </c>
      <c r="S40" s="102">
        <f>fincmt!Q6*(1+'Détail CF'!$C40)</f>
        <v>0</v>
      </c>
      <c r="T40" s="102">
        <f>fincmt!R6*(1+'Détail CF'!$C40)</f>
        <v>0</v>
      </c>
      <c r="U40" s="102">
        <f>fincmt!S6*(1+'Détail CF'!$C40)</f>
        <v>0</v>
      </c>
      <c r="V40" s="102">
        <f>fincmt!T6*(1+'Détail CF'!$C40)</f>
        <v>0</v>
      </c>
      <c r="W40" s="102">
        <f>fincmt!U6*(1+'Détail CF'!$C40)</f>
        <v>299000</v>
      </c>
      <c r="X40" s="102">
        <f>fincmt!V6*(1+'Détail CF'!$C40)</f>
        <v>0</v>
      </c>
      <c r="Y40" s="102">
        <f>fincmt!W6*(1+'Détail CF'!$C40)</f>
        <v>0</v>
      </c>
      <c r="Z40" s="102">
        <f>fincmt!X6*(1+'Détail CF'!$C40)</f>
        <v>0</v>
      </c>
      <c r="AA40" s="102">
        <f>fincmt!Y6*(1+'Détail CF'!$C40)</f>
        <v>0</v>
      </c>
      <c r="AB40" s="102">
        <f>fincmt!Z6*(1+'Détail CF'!$C40)</f>
        <v>0</v>
      </c>
      <c r="AC40" s="102">
        <f>fincmt!AA6*(1+'Détail CF'!$C40)</f>
        <v>0</v>
      </c>
      <c r="AD40" s="102">
        <f>fincmt!AB6*(1+'Détail CF'!$C40)</f>
        <v>0</v>
      </c>
      <c r="AE40" s="102">
        <f>fincmt!AC6*(1+'Détail CF'!$C40)</f>
        <v>0</v>
      </c>
      <c r="AF40" s="102">
        <f>fincmt!AD6*(1+'Détail CF'!$C40)</f>
        <v>9568</v>
      </c>
      <c r="AG40" s="102">
        <f>fincmt!AE6*(1+'Détail CF'!$C40)</f>
        <v>0</v>
      </c>
      <c r="AH40" s="102">
        <f>fincmt!AF6*(1+'Détail CF'!$C40)</f>
        <v>0</v>
      </c>
      <c r="AI40" s="102">
        <f>fincmt!AG6*(1+'Détail CF'!$C40)</f>
        <v>0</v>
      </c>
      <c r="AJ40" s="102">
        <f>fincmt!AH6*(1+'Détail CF'!$C40)</f>
        <v>0</v>
      </c>
      <c r="AK40" s="102">
        <f>fincmt!AI6*(1+'Détail CF'!$C40)</f>
        <v>0</v>
      </c>
      <c r="AL40" s="102">
        <f>fincmt!AJ6*(1+'Détail CF'!$C40)</f>
        <v>0</v>
      </c>
      <c r="AM40" s="102">
        <f>fincmt!AK6*(1+'Détail CF'!$C40)</f>
        <v>0</v>
      </c>
      <c r="AN40" s="102">
        <f>fincmt!AL6*(1+'Détail CF'!$C40)</f>
        <v>0</v>
      </c>
      <c r="AO40" s="102">
        <f>fincmt!AM6*(1+'Détail CF'!$C40)</f>
        <v>0</v>
      </c>
      <c r="AP40" s="102">
        <f>fincmt!AN6*(1+'Détail CF'!$C40)</f>
        <v>28704</v>
      </c>
      <c r="AQ40" s="102">
        <f>fincmt!AO6*(1+'Détail CF'!$C40)</f>
        <v>0</v>
      </c>
      <c r="AR40" s="102">
        <f>fincmt!AP6*(1+'Détail CF'!$C40)</f>
        <v>0</v>
      </c>
      <c r="AS40" s="102">
        <f>fincmt!AQ6*(1+'Détail CF'!$C40)</f>
        <v>0</v>
      </c>
      <c r="AT40" s="102">
        <f>fincmt!AR6*(1+'Détail CF'!$C40)</f>
        <v>0</v>
      </c>
      <c r="AU40" s="102">
        <f>fincmt!AS6*(1+'Détail CF'!$C40)</f>
        <v>0</v>
      </c>
      <c r="AV40" s="102">
        <f>fincmt!AT6*(1+'Détail CF'!$C40)</f>
        <v>0</v>
      </c>
      <c r="AW40" s="102">
        <f>fincmt!AU6*(1+'Détail CF'!$C40)</f>
        <v>0</v>
      </c>
      <c r="AX40" s="102">
        <f>fincmt!AV6*(1+'Détail CF'!$C40)</f>
        <v>0</v>
      </c>
      <c r="AY40" s="102">
        <f>fincmt!AW6*(1+'Détail CF'!$C40)</f>
        <v>0</v>
      </c>
      <c r="AZ40" s="102">
        <f>fincmt!AX6*(1+'Détail CF'!$C40)</f>
        <v>0</v>
      </c>
      <c r="BA40" s="102">
        <f>fincmt!AY6*(1+'Détail CF'!$C40)</f>
        <v>0</v>
      </c>
      <c r="BB40" s="102">
        <f>fincmt!AZ6*(1+'Détail CF'!$C40)</f>
        <v>21528</v>
      </c>
      <c r="BC40" s="102">
        <f>fincmt!BA6*(1+'Détail CF'!$C40)</f>
        <v>0</v>
      </c>
      <c r="BD40" s="102">
        <f>fincmt!BB6*(1+'Détail CF'!$C40)</f>
        <v>0</v>
      </c>
      <c r="BE40" s="102">
        <f>fincmt!BC6*(1+'Détail CF'!$C40)</f>
        <v>0</v>
      </c>
      <c r="BF40" s="102">
        <f>fincmt!BD6*(1+'Détail CF'!$C40)</f>
        <v>0</v>
      </c>
      <c r="BG40" s="102">
        <f>fincmt!BE6*(1+'Détail CF'!$C40)</f>
        <v>0</v>
      </c>
      <c r="BH40" s="102">
        <f>fincmt!BF6*(1+'Détail CF'!$C40)</f>
        <v>0</v>
      </c>
      <c r="BI40" s="102">
        <f>fincmt!BG6*(1+'Détail CF'!$C40)</f>
        <v>0</v>
      </c>
      <c r="BJ40" s="102">
        <f>fincmt!BH6*(1+'Détail CF'!$C40)</f>
        <v>0</v>
      </c>
      <c r="BK40" s="102">
        <f>fincmt!BI6*(1+'Détail CF'!$C40)</f>
        <v>0</v>
      </c>
      <c r="BL40" s="102">
        <f>fincmt!BJ6*(1+'Détail CF'!$C40)</f>
        <v>0</v>
      </c>
      <c r="BM40" s="102">
        <f>fincmt!BK6*(1+'Détail CF'!$C40)</f>
        <v>0</v>
      </c>
      <c r="BN40" s="102">
        <f>fincmt!BL6*(1+'Détail CF'!$C40)</f>
        <v>0</v>
      </c>
      <c r="BO40" s="102">
        <f>fincmt!BM6*(1+'Détail CF'!$C40)</f>
        <v>0</v>
      </c>
      <c r="BP40" s="102">
        <f>fincmt!BN6*(1+'Détail CF'!$C40)</f>
        <v>0</v>
      </c>
      <c r="BQ40" s="102">
        <f>fincmt!BO6*(1+'Détail CF'!$C40)</f>
        <v>0</v>
      </c>
      <c r="BR40" s="102">
        <f>fincmt!BP6*(1+'Détail CF'!$C40)</f>
        <v>0</v>
      </c>
      <c r="BS40" s="102">
        <f>fincmt!BQ6*(1+'Détail CF'!$C40)</f>
        <v>0</v>
      </c>
      <c r="BT40" s="102">
        <f>fincmt!CD6*(1+'Détail CF'!$C40)</f>
        <v>0</v>
      </c>
      <c r="BU40" s="102">
        <f>fincmt!CE6*(1+'Détail CF'!$C40)</f>
        <v>0</v>
      </c>
      <c r="BV40" s="102">
        <f>fincmt!CF6*(1+'Détail CF'!$C40)</f>
        <v>0</v>
      </c>
      <c r="BW40" s="102">
        <f>fincmt!CG6*(1+'Détail CF'!$C40)</f>
        <v>0</v>
      </c>
      <c r="BX40" s="102">
        <f>fincmt!CH6*(1+'Détail CF'!$C40)</f>
        <v>0</v>
      </c>
      <c r="BY40" s="102">
        <f>fincmt!CI6*(1+'Détail CF'!$C40)</f>
        <v>0</v>
      </c>
      <c r="BZ40" s="102">
        <f>fincmt!CJ6*(1+'Détail CF'!$C40)</f>
        <v>0</v>
      </c>
      <c r="CA40" s="102">
        <f>fincmt!CK6*(1+'Détail CF'!$C40)</f>
        <v>0</v>
      </c>
      <c r="CB40" s="102">
        <f>fincmt!CL6*(1+'Détail CF'!$C40)</f>
        <v>0</v>
      </c>
      <c r="CC40" s="102">
        <f>fincmt!CM6*(1+'Détail CF'!$C40)</f>
        <v>0</v>
      </c>
      <c r="CD40" s="102">
        <f>fincmt!CN6*(1+'Détail CF'!$C40)</f>
        <v>0</v>
      </c>
      <c r="CE40" s="102">
        <f>fincmt!CO6*(1+'Détail CF'!$C40)</f>
        <v>0</v>
      </c>
    </row>
    <row r="41" spans="2:83">
      <c r="B41" t="s">
        <v>171</v>
      </c>
      <c r="C41" s="182">
        <v>0.19600000000000001</v>
      </c>
      <c r="D41" s="166">
        <v>30</v>
      </c>
      <c r="E41" s="1" t="s">
        <v>266</v>
      </c>
      <c r="F41" s="102">
        <f>'P&amp;L Month'!H42*(1+'Détail CF'!$C41)</f>
        <v>0</v>
      </c>
      <c r="G41" s="102">
        <f>'P&amp;L Month'!I42*(1+'Détail CF'!$C41)</f>
        <v>0</v>
      </c>
      <c r="H41" s="102">
        <f>'P&amp;L Month'!J42*(1+'Détail CF'!$C41)</f>
        <v>0</v>
      </c>
      <c r="I41" s="102">
        <f>'P&amp;L Month'!K42*(1+'Détail CF'!$C41)</f>
        <v>0</v>
      </c>
      <c r="J41" s="102">
        <f>'P&amp;L Month'!L42*(1+'Détail CF'!$C41)</f>
        <v>0</v>
      </c>
      <c r="K41" s="102">
        <f>'P&amp;L Month'!M42*(1+'Détail CF'!$C41)</f>
        <v>0</v>
      </c>
      <c r="L41" s="102">
        <f>'P&amp;L Month'!N42*(1+'Détail CF'!$C41)</f>
        <v>0</v>
      </c>
      <c r="M41" s="102">
        <f>'P&amp;L Month'!O42*(1+'Détail CF'!$C41)</f>
        <v>0</v>
      </c>
      <c r="N41" s="102">
        <f>'P&amp;L Month'!P42*(1+'Détail CF'!$C41)</f>
        <v>0</v>
      </c>
      <c r="O41" s="102">
        <f>'P&amp;L Month'!Q42*(1+'Détail CF'!$C41)</f>
        <v>0</v>
      </c>
      <c r="P41" s="102">
        <f>'P&amp;L Month'!R42*(1+'Détail CF'!$C41)</f>
        <v>0</v>
      </c>
      <c r="Q41" s="102">
        <f>'P&amp;L Month'!S42*(1+'Détail CF'!$C41)</f>
        <v>0</v>
      </c>
      <c r="R41" s="102">
        <f>'P&amp;L Month'!T42*(1+'Détail CF'!$C41)</f>
        <v>0</v>
      </c>
      <c r="S41" s="102">
        <f>'P&amp;L Month'!U42*(1+'Détail CF'!$C41)</f>
        <v>0</v>
      </c>
      <c r="T41" s="102">
        <f>'P&amp;L Month'!V42*(1+'Détail CF'!$C41)</f>
        <v>0</v>
      </c>
      <c r="U41" s="102">
        <f>'P&amp;L Month'!W42*(1+'Détail CF'!$C41)</f>
        <v>0</v>
      </c>
      <c r="V41" s="102">
        <f>'P&amp;L Month'!X42*(1+'Détail CF'!$C41)</f>
        <v>0</v>
      </c>
      <c r="W41" s="102">
        <f>'P&amp;L Month'!Y42*(1+'Détail CF'!$C41)</f>
        <v>0</v>
      </c>
      <c r="X41" s="102">
        <f>'P&amp;L Month'!Z42*(1+'Détail CF'!$C41)</f>
        <v>11.959999999999999</v>
      </c>
      <c r="Y41" s="102">
        <f>'P&amp;L Month'!AA42*(1+'Détail CF'!$C41)</f>
        <v>11.959999999999999</v>
      </c>
      <c r="Z41" s="102">
        <f>'P&amp;L Month'!AB42*(1+'Détail CF'!$C41)</f>
        <v>11.959999999999999</v>
      </c>
      <c r="AA41" s="102">
        <f>'P&amp;L Month'!AC42*(1+'Détail CF'!$C41)</f>
        <v>11.959999999999999</v>
      </c>
      <c r="AB41" s="102">
        <f>'P&amp;L Month'!AD42*(1+'Détail CF'!$C41)</f>
        <v>11.959999999999999</v>
      </c>
      <c r="AC41" s="102">
        <f>'P&amp;L Month'!AE42*(1+'Détail CF'!$C41)</f>
        <v>11.959999999999999</v>
      </c>
      <c r="AD41" s="102">
        <f>'P&amp;L Month'!AF42*(1+'Détail CF'!$C41)</f>
        <v>11.959999999999999</v>
      </c>
      <c r="AE41" s="102">
        <f>'P&amp;L Month'!AG42*(1+'Détail CF'!$C41)</f>
        <v>11.959999999999999</v>
      </c>
      <c r="AF41" s="102">
        <f>'P&amp;L Month'!AH42*(1+'Détail CF'!$C41)</f>
        <v>17.939999999999998</v>
      </c>
      <c r="AG41" s="102">
        <f>'P&amp;L Month'!AI42*(1+'Détail CF'!$C41)</f>
        <v>23.919999999999998</v>
      </c>
      <c r="AH41" s="102">
        <f>'P&amp;L Month'!AJ42*(1+'Détail CF'!$C41)</f>
        <v>23.919999999999998</v>
      </c>
      <c r="AI41" s="102">
        <f>'P&amp;L Month'!AK42*(1+'Détail CF'!$C41)</f>
        <v>29.9</v>
      </c>
      <c r="AJ41" s="102">
        <f>'P&amp;L Month'!AL42*(1+'Détail CF'!$C41)</f>
        <v>41.86</v>
      </c>
      <c r="AK41" s="102">
        <f>'P&amp;L Month'!AM42*(1+'Détail CF'!$C41)</f>
        <v>47.839999999999996</v>
      </c>
      <c r="AL41" s="102">
        <f>'P&amp;L Month'!AN42*(1+'Détail CF'!$C41)</f>
        <v>59.8</v>
      </c>
      <c r="AM41" s="102">
        <f>'P&amp;L Month'!AO42*(1+'Détail CF'!$C41)</f>
        <v>59.8</v>
      </c>
      <c r="AN41" s="102">
        <f>'P&amp;L Month'!AP42*(1+'Détail CF'!$C41)</f>
        <v>65.78</v>
      </c>
      <c r="AO41" s="102">
        <f>'P&amp;L Month'!AQ42*(1+'Détail CF'!$C41)</f>
        <v>77.739999999999995</v>
      </c>
      <c r="AP41" s="102">
        <f>'P&amp;L Month'!AR42*(1+'Détail CF'!$C41)</f>
        <v>83.72</v>
      </c>
      <c r="AQ41" s="102">
        <f>'P&amp;L Month'!AS42*(1+'Détail CF'!$C41)</f>
        <v>83.72</v>
      </c>
      <c r="AR41" s="102">
        <f>'P&amp;L Month'!AT42*(1+'Détail CF'!$C41)</f>
        <v>101.66</v>
      </c>
      <c r="AS41" s="102">
        <f>'P&amp;L Month'!AU42*(1+'Détail CF'!$C41)</f>
        <v>101.66</v>
      </c>
      <c r="AT41" s="102">
        <f>'P&amp;L Month'!AV42*(1+'Détail CF'!$C41)</f>
        <v>101.66</v>
      </c>
      <c r="AU41" s="102">
        <f>'P&amp;L Month'!AW42*(1+'Détail CF'!$C41)</f>
        <v>101.66</v>
      </c>
      <c r="AV41" s="102">
        <f>'P&amp;L Month'!AX42*(1+'Détail CF'!$C41)</f>
        <v>119.6</v>
      </c>
      <c r="AW41" s="102">
        <f>'P&amp;L Month'!AY42*(1+'Détail CF'!$C41)</f>
        <v>119.6</v>
      </c>
      <c r="AX41" s="102">
        <f>'P&amp;L Month'!AZ42*(1+'Détail CF'!$C41)</f>
        <v>119.6</v>
      </c>
      <c r="AY41" s="102">
        <f>'P&amp;L Month'!BA42*(1+'Détail CF'!$C41)</f>
        <v>119.6</v>
      </c>
      <c r="AZ41" s="102">
        <f>'P&amp;L Month'!BB42*(1+'Détail CF'!$C41)</f>
        <v>125.58</v>
      </c>
      <c r="BA41" s="102">
        <f>'P&amp;L Month'!BC42*(1+'Détail CF'!$C41)</f>
        <v>125.58</v>
      </c>
      <c r="BB41" s="102">
        <f>'P&amp;L Month'!BD42*(1+'Détail CF'!$C41)</f>
        <v>137.54</v>
      </c>
      <c r="BC41" s="102">
        <f>'P&amp;L Month'!BE42*(1+'Détail CF'!$C41)</f>
        <v>137.54</v>
      </c>
      <c r="BD41" s="102">
        <f>'P&amp;L Month'!BF42*(1+'Détail CF'!$C41)</f>
        <v>143.51999999999998</v>
      </c>
      <c r="BE41" s="102">
        <f>'P&amp;L Month'!BG42*(1+'Détail CF'!$C41)</f>
        <v>143.51999999999998</v>
      </c>
      <c r="BF41" s="102">
        <f>'P&amp;L Month'!BH42*(1+'Détail CF'!$C41)</f>
        <v>149.5</v>
      </c>
      <c r="BG41" s="102">
        <f>'P&amp;L Month'!BI42*(1+'Détail CF'!$C41)</f>
        <v>149.5</v>
      </c>
      <c r="BH41" s="102">
        <f>'P&amp;L Month'!BJ42*(1+'Détail CF'!$C41)</f>
        <v>149.5</v>
      </c>
      <c r="BI41" s="102">
        <f>'P&amp;L Month'!BK42*(1+'Détail CF'!$C41)</f>
        <v>149.5</v>
      </c>
      <c r="BJ41" s="102">
        <f>'P&amp;L Month'!BL42*(1+'Détail CF'!$C41)</f>
        <v>149.5</v>
      </c>
      <c r="BK41" s="102">
        <f>'P&amp;L Month'!BM42*(1+'Détail CF'!$C41)</f>
        <v>149.5</v>
      </c>
      <c r="BL41" s="102">
        <f>'P&amp;L Month'!BN42*(1+'Détail CF'!$C41)</f>
        <v>155.47999999999999</v>
      </c>
      <c r="BM41" s="102">
        <f>'P&amp;L Month'!BO42*(1+'Détail CF'!$C41)</f>
        <v>155.47999999999999</v>
      </c>
      <c r="BN41" s="102">
        <f>'P&amp;L Month'!BP42*(1+'Détail CF'!$C41)</f>
        <v>155.47999999999999</v>
      </c>
      <c r="BO41" s="102">
        <f>'P&amp;L Month'!BQ42*(1+'Détail CF'!$C41)</f>
        <v>155.47999999999999</v>
      </c>
      <c r="BP41" s="102">
        <f>'P&amp;L Month'!BR42*(1+'Détail CF'!$C41)</f>
        <v>155.47999999999999</v>
      </c>
      <c r="BQ41" s="102">
        <f>'P&amp;L Month'!BS42*(1+'Détail CF'!$C41)</f>
        <v>155.47999999999999</v>
      </c>
      <c r="BR41" s="102">
        <f>'P&amp;L Month'!BT42*(1+'Détail CF'!$C41)</f>
        <v>155.47999999999999</v>
      </c>
      <c r="BS41" s="102">
        <f>'P&amp;L Month'!BU42*(1+'Détail CF'!$C41)</f>
        <v>155.47999999999999</v>
      </c>
      <c r="BT41" s="102">
        <f>'P&amp;L Month'!BV42*(1+'Détail CF'!$C41)</f>
        <v>155.47999999999999</v>
      </c>
      <c r="BU41" s="102">
        <f>'P&amp;L Month'!BW42*(1+'Détail CF'!$C41)</f>
        <v>155.47999999999999</v>
      </c>
      <c r="BV41" s="102">
        <f>'P&amp;L Month'!BX42*(1+'Détail CF'!$C41)</f>
        <v>155.47999999999999</v>
      </c>
      <c r="BW41" s="102">
        <f>'P&amp;L Month'!BY42*(1+'Détail CF'!$C41)</f>
        <v>155.47999999999999</v>
      </c>
      <c r="BX41" s="102">
        <f>'P&amp;L Month'!BZ42*(1+'Détail CF'!$C41)</f>
        <v>155.47999999999999</v>
      </c>
      <c r="BY41" s="102">
        <f>'P&amp;L Month'!CA42*(1+'Détail CF'!$C41)</f>
        <v>155.47999999999999</v>
      </c>
      <c r="BZ41" s="102">
        <f>'P&amp;L Month'!CB42*(1+'Détail CF'!$C41)</f>
        <v>155.47999999999999</v>
      </c>
      <c r="CA41" s="102">
        <f>'P&amp;L Month'!CC42*(1+'Détail CF'!$C41)</f>
        <v>155.47999999999999</v>
      </c>
      <c r="CB41" s="102">
        <f>'P&amp;L Month'!CD42*(1+'Détail CF'!$C41)</f>
        <v>155.47999999999999</v>
      </c>
      <c r="CC41" s="102">
        <f>'P&amp;L Month'!CE42*(1+'Détail CF'!$C41)</f>
        <v>155.47999999999999</v>
      </c>
      <c r="CD41" s="102">
        <f>'P&amp;L Month'!CF42*(1+'Détail CF'!$C41)</f>
        <v>155.47999999999999</v>
      </c>
      <c r="CE41" s="102">
        <f>'P&amp;L Month'!CG42*(1+'Détail CF'!$C41)</f>
        <v>155.47999999999999</v>
      </c>
    </row>
    <row r="42" spans="2:83">
      <c r="B42" t="s">
        <v>172</v>
      </c>
      <c r="C42" s="182">
        <v>0.19600000000000001</v>
      </c>
      <c r="D42" s="194"/>
      <c r="E42" s="1" t="s">
        <v>266</v>
      </c>
      <c r="F42" s="102">
        <f>'P&amp;L Month'!H43*(1+'Détail CF'!$C42)</f>
        <v>0</v>
      </c>
      <c r="G42" s="102">
        <f>'P&amp;L Month'!I43*(1+'Détail CF'!$C42)</f>
        <v>0</v>
      </c>
      <c r="H42" s="102">
        <f>'P&amp;L Month'!J43*(1+'Détail CF'!$C42)</f>
        <v>0</v>
      </c>
      <c r="I42" s="102">
        <f>'P&amp;L Month'!K43*(1+'Détail CF'!$C42)</f>
        <v>0</v>
      </c>
      <c r="J42" s="102">
        <f>'P&amp;L Month'!L43*(1+'Détail CF'!$C42)</f>
        <v>0</v>
      </c>
      <c r="K42" s="102">
        <f>'P&amp;L Month'!M43*(1+'Détail CF'!$C42)</f>
        <v>0</v>
      </c>
      <c r="L42" s="102">
        <f>'P&amp;L Month'!N43*(1+'Détail CF'!$C42)</f>
        <v>0</v>
      </c>
      <c r="M42" s="102">
        <f>'P&amp;L Month'!O43*(1+'Détail CF'!$C42)</f>
        <v>0</v>
      </c>
      <c r="N42" s="102">
        <f>'P&amp;L Month'!P43*(1+'Détail CF'!$C42)</f>
        <v>0</v>
      </c>
      <c r="O42" s="102">
        <f>'P&amp;L Month'!Q43*(1+'Détail CF'!$C42)</f>
        <v>0</v>
      </c>
      <c r="P42" s="102">
        <f>'P&amp;L Month'!R43*(1+'Détail CF'!$C42)</f>
        <v>0</v>
      </c>
      <c r="Q42" s="102">
        <f>'P&amp;L Month'!S43*(1+'Détail CF'!$C42)</f>
        <v>0</v>
      </c>
      <c r="R42" s="102">
        <f>'P&amp;L Month'!T43*(1+'Détail CF'!$C42)</f>
        <v>0</v>
      </c>
      <c r="S42" s="102">
        <f>'P&amp;L Month'!U43*(1+'Détail CF'!$C42)</f>
        <v>0</v>
      </c>
      <c r="T42" s="102">
        <f>'P&amp;L Month'!V43*(1+'Détail CF'!$C42)</f>
        <v>0</v>
      </c>
      <c r="U42" s="102">
        <f>'P&amp;L Month'!W43*(1+'Détail CF'!$C42)</f>
        <v>0</v>
      </c>
      <c r="V42" s="102">
        <f>'P&amp;L Month'!X43*(1+'Détail CF'!$C42)</f>
        <v>0</v>
      </c>
      <c r="W42" s="102">
        <f>'P&amp;L Month'!Y43*(1+'Détail CF'!$C42)</f>
        <v>0</v>
      </c>
      <c r="X42" s="102">
        <f>'P&amp;L Month'!Z43*(1+'Détail CF'!$C42)</f>
        <v>239.2</v>
      </c>
      <c r="Y42" s="102">
        <f>'P&amp;L Month'!AA43*(1+'Détail CF'!$C42)</f>
        <v>239.2</v>
      </c>
      <c r="Z42" s="102">
        <f>'P&amp;L Month'!AB43*(1+'Détail CF'!$C42)</f>
        <v>239.2</v>
      </c>
      <c r="AA42" s="102">
        <f>'P&amp;L Month'!AC43*(1+'Détail CF'!$C42)</f>
        <v>239.2</v>
      </c>
      <c r="AB42" s="102">
        <f>'P&amp;L Month'!AD43*(1+'Détail CF'!$C42)</f>
        <v>358.8</v>
      </c>
      <c r="AC42" s="102">
        <f>'P&amp;L Month'!AE43*(1+'Détail CF'!$C42)</f>
        <v>358.8</v>
      </c>
      <c r="AD42" s="102">
        <f>'P&amp;L Month'!AF43*(1+'Détail CF'!$C42)</f>
        <v>358.8</v>
      </c>
      <c r="AE42" s="102">
        <f>'P&amp;L Month'!AG43*(1+'Détail CF'!$C42)</f>
        <v>358.8</v>
      </c>
      <c r="AF42" s="102">
        <f>'P&amp;L Month'!AH43*(1+'Détail CF'!$C42)</f>
        <v>358.8</v>
      </c>
      <c r="AG42" s="102">
        <f>'P&amp;L Month'!AI43*(1+'Détail CF'!$C42)</f>
        <v>598</v>
      </c>
      <c r="AH42" s="102">
        <f>'P&amp;L Month'!AJ43*(1+'Détail CF'!$C42)</f>
        <v>598</v>
      </c>
      <c r="AI42" s="102">
        <f>'P&amp;L Month'!AK43*(1+'Détail CF'!$C42)</f>
        <v>598</v>
      </c>
      <c r="AJ42" s="102">
        <f>'P&amp;L Month'!AL43*(1+'Détail CF'!$C42)</f>
        <v>598</v>
      </c>
      <c r="AK42" s="102">
        <f>'P&amp;L Month'!AM43*(1+'Détail CF'!$C42)</f>
        <v>598</v>
      </c>
      <c r="AL42" s="102">
        <f>'P&amp;L Month'!AN43*(1+'Détail CF'!$C42)</f>
        <v>598</v>
      </c>
      <c r="AM42" s="102">
        <f>'P&amp;L Month'!AO43*(1+'Détail CF'!$C42)</f>
        <v>598</v>
      </c>
      <c r="AN42" s="102">
        <f>'P&amp;L Month'!AP43*(1+'Détail CF'!$C42)</f>
        <v>1196</v>
      </c>
      <c r="AO42" s="102">
        <f>'P&amp;L Month'!AQ43*(1+'Détail CF'!$C42)</f>
        <v>1196</v>
      </c>
      <c r="AP42" s="102">
        <f>'P&amp;L Month'!AR43*(1+'Détail CF'!$C42)</f>
        <v>1196</v>
      </c>
      <c r="AQ42" s="102">
        <f>'P&amp;L Month'!AS43*(1+'Détail CF'!$C42)</f>
        <v>1196</v>
      </c>
      <c r="AR42" s="102">
        <f>'P&amp;L Month'!AT43*(1+'Détail CF'!$C42)</f>
        <v>1196</v>
      </c>
      <c r="AS42" s="102">
        <f>'P&amp;L Month'!AU43*(1+'Détail CF'!$C42)</f>
        <v>1196</v>
      </c>
      <c r="AT42" s="102">
        <f>'P&amp;L Month'!AV43*(1+'Détail CF'!$C42)</f>
        <v>1196</v>
      </c>
      <c r="AU42" s="102">
        <f>'P&amp;L Month'!AW43*(1+'Détail CF'!$C42)</f>
        <v>1196</v>
      </c>
      <c r="AV42" s="102">
        <f>'P&amp;L Month'!AX43*(1+'Détail CF'!$C42)</f>
        <v>1196</v>
      </c>
      <c r="AW42" s="102">
        <f>'P&amp;L Month'!AY43*(1+'Détail CF'!$C42)</f>
        <v>1196</v>
      </c>
      <c r="AX42" s="102">
        <f>'P&amp;L Month'!AZ43*(1+'Détail CF'!$C42)</f>
        <v>1196</v>
      </c>
      <c r="AY42" s="102">
        <f>'P&amp;L Month'!BA43*(1+'Détail CF'!$C42)</f>
        <v>1196</v>
      </c>
      <c r="AZ42" s="102">
        <f>'P&amp;L Month'!BB43*(1+'Détail CF'!$C42)</f>
        <v>1196</v>
      </c>
      <c r="BA42" s="102">
        <f>'P&amp;L Month'!BC43*(1+'Détail CF'!$C42)</f>
        <v>1196</v>
      </c>
      <c r="BB42" s="102">
        <f>'P&amp;L Month'!BD43*(1+'Détail CF'!$C42)</f>
        <v>1196</v>
      </c>
      <c r="BC42" s="102">
        <f>'P&amp;L Month'!BE43*(1+'Détail CF'!$C42)</f>
        <v>1196</v>
      </c>
      <c r="BD42" s="102">
        <f>'P&amp;L Month'!BF43*(1+'Détail CF'!$C42)</f>
        <v>1196</v>
      </c>
      <c r="BE42" s="102">
        <f>'P&amp;L Month'!BG43*(1+'Détail CF'!$C42)</f>
        <v>1196</v>
      </c>
      <c r="BF42" s="102">
        <f>'P&amp;L Month'!BH43*(1+'Détail CF'!$C42)</f>
        <v>1196</v>
      </c>
      <c r="BG42" s="102">
        <f>'P&amp;L Month'!BI43*(1+'Détail CF'!$C42)</f>
        <v>1196</v>
      </c>
      <c r="BH42" s="102">
        <f>'P&amp;L Month'!BJ43*(1+'Détail CF'!$C42)</f>
        <v>1196</v>
      </c>
      <c r="BI42" s="102">
        <f>'P&amp;L Month'!BK43*(1+'Détail CF'!$C42)</f>
        <v>1196</v>
      </c>
      <c r="BJ42" s="102">
        <f>'P&amp;L Month'!BL43*(1+'Détail CF'!$C42)</f>
        <v>1196</v>
      </c>
      <c r="BK42" s="102">
        <f>'P&amp;L Month'!BM43*(1+'Détail CF'!$C42)</f>
        <v>1196</v>
      </c>
      <c r="BL42" s="102">
        <f>'P&amp;L Month'!BN43*(1+'Détail CF'!$C42)</f>
        <v>1196</v>
      </c>
      <c r="BM42" s="102">
        <f>'P&amp;L Month'!BO43*(1+'Détail CF'!$C42)</f>
        <v>1196</v>
      </c>
      <c r="BN42" s="102">
        <f>'P&amp;L Month'!BP43*(1+'Détail CF'!$C42)</f>
        <v>1196</v>
      </c>
      <c r="BO42" s="102">
        <f>'P&amp;L Month'!BQ43*(1+'Détail CF'!$C42)</f>
        <v>1196</v>
      </c>
      <c r="BP42" s="102">
        <f>'P&amp;L Month'!BR43*(1+'Détail CF'!$C42)</f>
        <v>1196</v>
      </c>
      <c r="BQ42" s="102">
        <f>'P&amp;L Month'!BS43*(1+'Détail CF'!$C42)</f>
        <v>1196</v>
      </c>
      <c r="BR42" s="102">
        <f>'P&amp;L Month'!BT43*(1+'Détail CF'!$C42)</f>
        <v>1196</v>
      </c>
      <c r="BS42" s="102">
        <f>'P&amp;L Month'!BU43*(1+'Détail CF'!$C42)</f>
        <v>1196</v>
      </c>
      <c r="BT42" s="102">
        <f>'P&amp;L Month'!BV43*(1+'Détail CF'!$C42)</f>
        <v>1196</v>
      </c>
      <c r="BU42" s="102">
        <f>'P&amp;L Month'!BW43*(1+'Détail CF'!$C42)</f>
        <v>1196</v>
      </c>
      <c r="BV42" s="102">
        <f>'P&amp;L Month'!BX43*(1+'Détail CF'!$C42)</f>
        <v>1196</v>
      </c>
      <c r="BW42" s="102">
        <f>'P&amp;L Month'!BY43*(1+'Détail CF'!$C42)</f>
        <v>1196</v>
      </c>
      <c r="BX42" s="102">
        <f>'P&amp;L Month'!BZ43*(1+'Détail CF'!$C42)</f>
        <v>1196</v>
      </c>
      <c r="BY42" s="102">
        <f>'P&amp;L Month'!CA43*(1+'Détail CF'!$C42)</f>
        <v>1196</v>
      </c>
      <c r="BZ42" s="102">
        <f>'P&amp;L Month'!CB43*(1+'Détail CF'!$C42)</f>
        <v>1196</v>
      </c>
      <c r="CA42" s="102">
        <f>'P&amp;L Month'!CC43*(1+'Détail CF'!$C42)</f>
        <v>1196</v>
      </c>
      <c r="CB42" s="102">
        <f>'P&amp;L Month'!CD43*(1+'Détail CF'!$C42)</f>
        <v>1196</v>
      </c>
      <c r="CC42" s="102">
        <f>'P&amp;L Month'!CE43*(1+'Détail CF'!$C42)</f>
        <v>1196</v>
      </c>
      <c r="CD42" s="102">
        <f>'P&amp;L Month'!CF43*(1+'Détail CF'!$C42)</f>
        <v>1196</v>
      </c>
      <c r="CE42" s="102">
        <f>'P&amp;L Month'!CG43*(1+'Détail CF'!$C42)</f>
        <v>1196</v>
      </c>
    </row>
    <row r="43" spans="2:83">
      <c r="B43" t="s">
        <v>173</v>
      </c>
      <c r="C43" s="182">
        <v>0.19600000000000001</v>
      </c>
      <c r="D43" s="166">
        <v>30</v>
      </c>
      <c r="E43" s="1" t="s">
        <v>266</v>
      </c>
      <c r="F43" s="102">
        <f>'P&amp;L Month'!H44*(1+'Détail CF'!$C43)</f>
        <v>0</v>
      </c>
      <c r="G43" s="102">
        <f>'P&amp;L Month'!I44*(1+'Détail CF'!$C43)</f>
        <v>0</v>
      </c>
      <c r="H43" s="102">
        <f>'P&amp;L Month'!J44*(1+'Détail CF'!$C43)</f>
        <v>0</v>
      </c>
      <c r="I43" s="102">
        <f>'P&amp;L Month'!K44*(1+'Détail CF'!$C43)</f>
        <v>0</v>
      </c>
      <c r="J43" s="102">
        <f>'P&amp;L Month'!L44*(1+'Détail CF'!$C43)</f>
        <v>0</v>
      </c>
      <c r="K43" s="102">
        <f>'P&amp;L Month'!M44*(1+'Détail CF'!$C43)</f>
        <v>0</v>
      </c>
      <c r="L43" s="102">
        <f>'P&amp;L Month'!N44*(1+'Détail CF'!$C43)</f>
        <v>0</v>
      </c>
      <c r="M43" s="102">
        <f>'P&amp;L Month'!O44*(1+'Détail CF'!$C43)</f>
        <v>0</v>
      </c>
      <c r="N43" s="102">
        <f>'P&amp;L Month'!P44*(1+'Détail CF'!$C43)</f>
        <v>0</v>
      </c>
      <c r="O43" s="102">
        <f>'P&amp;L Month'!Q44*(1+'Détail CF'!$C43)</f>
        <v>0</v>
      </c>
      <c r="P43" s="102">
        <f>'P&amp;L Month'!R44*(1+'Détail CF'!$C43)</f>
        <v>0</v>
      </c>
      <c r="Q43" s="102">
        <f>'P&amp;L Month'!S44*(1+'Détail CF'!$C43)</f>
        <v>0</v>
      </c>
      <c r="R43" s="102">
        <f>'P&amp;L Month'!T44*(1+'Détail CF'!$C43)</f>
        <v>0</v>
      </c>
      <c r="S43" s="102">
        <f>'P&amp;L Month'!U44*(1+'Détail CF'!$C43)</f>
        <v>0</v>
      </c>
      <c r="T43" s="102">
        <f>'P&amp;L Month'!V44*(1+'Détail CF'!$C43)</f>
        <v>0</v>
      </c>
      <c r="U43" s="102">
        <f>'P&amp;L Month'!W44*(1+'Détail CF'!$C43)</f>
        <v>0</v>
      </c>
      <c r="V43" s="102">
        <f>'P&amp;L Month'!X44*(1+'Détail CF'!$C43)</f>
        <v>0</v>
      </c>
      <c r="W43" s="102">
        <f>'P&amp;L Month'!Y44*(1+'Détail CF'!$C43)</f>
        <v>59.8</v>
      </c>
      <c r="X43" s="102">
        <f>'P&amp;L Month'!Z44*(1+'Détail CF'!$C43)</f>
        <v>59.8</v>
      </c>
      <c r="Y43" s="102">
        <f>'P&amp;L Month'!AA44*(1+'Détail CF'!$C43)</f>
        <v>59.8</v>
      </c>
      <c r="Z43" s="102">
        <f>'P&amp;L Month'!AB44*(1+'Détail CF'!$C43)</f>
        <v>59.8</v>
      </c>
      <c r="AA43" s="102">
        <f>'P&amp;L Month'!AC44*(1+'Détail CF'!$C43)</f>
        <v>119.6</v>
      </c>
      <c r="AB43" s="102">
        <f>'P&amp;L Month'!AD44*(1+'Détail CF'!$C43)</f>
        <v>119.6</v>
      </c>
      <c r="AC43" s="102">
        <f>'P&amp;L Month'!AE44*(1+'Détail CF'!$C43)</f>
        <v>119.6</v>
      </c>
      <c r="AD43" s="102">
        <f>'P&amp;L Month'!AF44*(1+'Détail CF'!$C43)</f>
        <v>179.4</v>
      </c>
      <c r="AE43" s="102">
        <f>'P&amp;L Month'!AG44*(1+'Détail CF'!$C43)</f>
        <v>179.4</v>
      </c>
      <c r="AF43" s="102">
        <f>'P&amp;L Month'!AH44*(1+'Détail CF'!$C43)</f>
        <v>179.4</v>
      </c>
      <c r="AG43" s="102">
        <f>'P&amp;L Month'!AI44*(1+'Détail CF'!$C43)</f>
        <v>179.4</v>
      </c>
      <c r="AH43" s="102">
        <f>'P&amp;L Month'!AJ44*(1+'Détail CF'!$C43)</f>
        <v>239.2</v>
      </c>
      <c r="AI43" s="102">
        <f>'P&amp;L Month'!AK44*(1+'Détail CF'!$C43)</f>
        <v>239.2</v>
      </c>
      <c r="AJ43" s="102">
        <f>'P&amp;L Month'!AL44*(1+'Détail CF'!$C43)</f>
        <v>239.2</v>
      </c>
      <c r="AK43" s="102">
        <f>'P&amp;L Month'!AM44*(1+'Détail CF'!$C43)</f>
        <v>239.2</v>
      </c>
      <c r="AL43" s="102">
        <f>'P&amp;L Month'!AN44*(1+'Détail CF'!$C43)</f>
        <v>239.2</v>
      </c>
      <c r="AM43" s="102">
        <f>'P&amp;L Month'!AO44*(1+'Détail CF'!$C43)</f>
        <v>478.4</v>
      </c>
      <c r="AN43" s="102">
        <f>'P&amp;L Month'!AP44*(1+'Détail CF'!$C43)</f>
        <v>478.4</v>
      </c>
      <c r="AO43" s="102">
        <f>'P&amp;L Month'!AQ44*(1+'Détail CF'!$C43)</f>
        <v>478.4</v>
      </c>
      <c r="AP43" s="102">
        <f>'P&amp;L Month'!AR44*(1+'Détail CF'!$C43)</f>
        <v>478.4</v>
      </c>
      <c r="AQ43" s="102">
        <f>'P&amp;L Month'!AS44*(1+'Détail CF'!$C43)</f>
        <v>478.4</v>
      </c>
      <c r="AR43" s="102">
        <f>'P&amp;L Month'!AT44*(1+'Détail CF'!$C43)</f>
        <v>478.4</v>
      </c>
      <c r="AS43" s="102">
        <f>'P&amp;L Month'!AU44*(1+'Détail CF'!$C43)</f>
        <v>598</v>
      </c>
      <c r="AT43" s="102">
        <f>'P&amp;L Month'!AV44*(1+'Détail CF'!$C43)</f>
        <v>598</v>
      </c>
      <c r="AU43" s="102">
        <f>'P&amp;L Month'!AW44*(1+'Détail CF'!$C43)</f>
        <v>598</v>
      </c>
      <c r="AV43" s="102">
        <f>'P&amp;L Month'!AX44*(1+'Détail CF'!$C43)</f>
        <v>598</v>
      </c>
      <c r="AW43" s="102">
        <f>'P&amp;L Month'!AY44*(1+'Détail CF'!$C43)</f>
        <v>598</v>
      </c>
      <c r="AX43" s="102">
        <f>'P&amp;L Month'!AZ44*(1+'Détail CF'!$C43)</f>
        <v>598</v>
      </c>
      <c r="AY43" s="102">
        <f>'P&amp;L Month'!BA44*(1+'Détail CF'!$C43)</f>
        <v>598</v>
      </c>
      <c r="AZ43" s="102">
        <f>'P&amp;L Month'!BB44*(1+'Détail CF'!$C43)</f>
        <v>598</v>
      </c>
      <c r="BA43" s="102">
        <f>'P&amp;L Month'!BC44*(1+'Détail CF'!$C43)</f>
        <v>598</v>
      </c>
      <c r="BB43" s="102">
        <f>'P&amp;L Month'!BD44*(1+'Détail CF'!$C43)</f>
        <v>598</v>
      </c>
      <c r="BC43" s="102">
        <f>'P&amp;L Month'!BE44*(1+'Détail CF'!$C43)</f>
        <v>598</v>
      </c>
      <c r="BD43" s="102">
        <f>'P&amp;L Month'!BF44*(1+'Détail CF'!$C43)</f>
        <v>598</v>
      </c>
      <c r="BE43" s="102">
        <f>'P&amp;L Month'!BG44*(1+'Détail CF'!$C43)</f>
        <v>598</v>
      </c>
      <c r="BF43" s="102">
        <f>'P&amp;L Month'!BH44*(1+'Détail CF'!$C43)</f>
        <v>598</v>
      </c>
      <c r="BG43" s="102">
        <f>'P&amp;L Month'!BI44*(1+'Détail CF'!$C43)</f>
        <v>598</v>
      </c>
      <c r="BH43" s="102">
        <f>'P&amp;L Month'!BJ44*(1+'Détail CF'!$C43)</f>
        <v>598</v>
      </c>
      <c r="BI43" s="102">
        <f>'P&amp;L Month'!BK44*(1+'Détail CF'!$C43)</f>
        <v>598</v>
      </c>
      <c r="BJ43" s="102">
        <f>'P&amp;L Month'!BL44*(1+'Détail CF'!$C43)</f>
        <v>598</v>
      </c>
      <c r="BK43" s="102">
        <f>'P&amp;L Month'!BM44*(1+'Détail CF'!$C43)</f>
        <v>598</v>
      </c>
      <c r="BL43" s="102">
        <f>'P&amp;L Month'!BN44*(1+'Détail CF'!$C43)</f>
        <v>598</v>
      </c>
      <c r="BM43" s="102">
        <f>'P&amp;L Month'!BO44*(1+'Détail CF'!$C43)</f>
        <v>598</v>
      </c>
      <c r="BN43" s="102">
        <f>'P&amp;L Month'!BP44*(1+'Détail CF'!$C43)</f>
        <v>598</v>
      </c>
      <c r="BO43" s="102">
        <f>'P&amp;L Month'!BQ44*(1+'Détail CF'!$C43)</f>
        <v>598</v>
      </c>
      <c r="BP43" s="102">
        <f>'P&amp;L Month'!BR44*(1+'Détail CF'!$C43)</f>
        <v>598</v>
      </c>
      <c r="BQ43" s="102">
        <f>'P&amp;L Month'!BS44*(1+'Détail CF'!$C43)</f>
        <v>598</v>
      </c>
      <c r="BR43" s="102">
        <f>'P&amp;L Month'!BT44*(1+'Détail CF'!$C43)</f>
        <v>598</v>
      </c>
      <c r="BS43" s="102">
        <f>'P&amp;L Month'!BU44*(1+'Détail CF'!$C43)</f>
        <v>598</v>
      </c>
      <c r="BT43" s="102">
        <f>'P&amp;L Month'!BV44*(1+'Détail CF'!$C43)</f>
        <v>598</v>
      </c>
      <c r="BU43" s="102">
        <f>'P&amp;L Month'!BW44*(1+'Détail CF'!$C43)</f>
        <v>598</v>
      </c>
      <c r="BV43" s="102">
        <f>'P&amp;L Month'!BX44*(1+'Détail CF'!$C43)</f>
        <v>598</v>
      </c>
      <c r="BW43" s="102">
        <f>'P&amp;L Month'!BY44*(1+'Détail CF'!$C43)</f>
        <v>598</v>
      </c>
      <c r="BX43" s="102">
        <f>'P&amp;L Month'!BZ44*(1+'Détail CF'!$C43)</f>
        <v>598</v>
      </c>
      <c r="BY43" s="102">
        <f>'P&amp;L Month'!CA44*(1+'Détail CF'!$C43)</f>
        <v>598</v>
      </c>
      <c r="BZ43" s="102">
        <f>'P&amp;L Month'!CB44*(1+'Détail CF'!$C43)</f>
        <v>598</v>
      </c>
      <c r="CA43" s="102">
        <f>'P&amp;L Month'!CC44*(1+'Détail CF'!$C43)</f>
        <v>598</v>
      </c>
      <c r="CB43" s="102">
        <f>'P&amp;L Month'!CD44*(1+'Détail CF'!$C43)</f>
        <v>598</v>
      </c>
      <c r="CC43" s="102">
        <f>'P&amp;L Month'!CE44*(1+'Détail CF'!$C43)</f>
        <v>598</v>
      </c>
      <c r="CD43" s="102">
        <f>'P&amp;L Month'!CF44*(1+'Détail CF'!$C43)</f>
        <v>598</v>
      </c>
      <c r="CE43" s="102">
        <f>'P&amp;L Month'!CG44*(1+'Détail CF'!$C43)</f>
        <v>598</v>
      </c>
    </row>
    <row r="44" spans="2:83">
      <c r="B44" t="s">
        <v>174</v>
      </c>
      <c r="C44" s="182">
        <v>0.19600000000000001</v>
      </c>
      <c r="D44" s="166">
        <v>60</v>
      </c>
      <c r="E44" s="1" t="s">
        <v>266</v>
      </c>
      <c r="F44" s="102">
        <f>'P&amp;L Month'!H46*(1+'Détail CF'!$C44)</f>
        <v>0</v>
      </c>
      <c r="G44" s="102">
        <f>'P&amp;L Month'!I46*(1+'Détail CF'!$C44)</f>
        <v>0</v>
      </c>
      <c r="H44" s="102">
        <f>'P&amp;L Month'!J46*(1+'Détail CF'!$C44)</f>
        <v>0</v>
      </c>
      <c r="I44" s="102">
        <f>'P&amp;L Month'!K46*(1+'Détail CF'!$C44)</f>
        <v>0</v>
      </c>
      <c r="J44" s="102">
        <f>'P&amp;L Month'!L46*(1+'Détail CF'!$C44)</f>
        <v>0</v>
      </c>
      <c r="K44" s="102">
        <f>'P&amp;L Month'!M46*(1+'Détail CF'!$C44)</f>
        <v>0</v>
      </c>
      <c r="L44" s="102">
        <f>'P&amp;L Month'!N46*(1+'Détail CF'!$C44)</f>
        <v>0</v>
      </c>
      <c r="M44" s="102">
        <f>'P&amp;L Month'!O46*(1+'Détail CF'!$C44)</f>
        <v>0</v>
      </c>
      <c r="N44" s="102">
        <f>'P&amp;L Month'!P46*(1+'Détail CF'!$C44)</f>
        <v>0</v>
      </c>
      <c r="O44" s="102">
        <f>'P&amp;L Month'!Q46*(1+'Détail CF'!$C44)</f>
        <v>0</v>
      </c>
      <c r="P44" s="102">
        <f>'P&amp;L Month'!R46*(1+'Détail CF'!$C44)</f>
        <v>0</v>
      </c>
      <c r="Q44" s="102">
        <f>'P&amp;L Month'!S46*(1+'Détail CF'!$C44)</f>
        <v>0</v>
      </c>
      <c r="R44" s="102">
        <f>'P&amp;L Month'!T46*(1+'Détail CF'!$C44)</f>
        <v>0</v>
      </c>
      <c r="S44" s="102">
        <f>'P&amp;L Month'!U46*(1+'Détail CF'!$C44)</f>
        <v>0</v>
      </c>
      <c r="T44" s="102">
        <f>'P&amp;L Month'!V46*(1+'Détail CF'!$C44)</f>
        <v>0</v>
      </c>
      <c r="U44" s="102">
        <f>'P&amp;L Month'!W46*(1+'Détail CF'!$C44)</f>
        <v>0</v>
      </c>
      <c r="V44" s="102">
        <f>'P&amp;L Month'!X46*(1+'Détail CF'!$C44)</f>
        <v>0</v>
      </c>
      <c r="W44" s="102">
        <f>'P&amp;L Month'!Y46*(1+'Détail CF'!$C44)</f>
        <v>0</v>
      </c>
      <c r="X44" s="102">
        <f>'P&amp;L Month'!Z46*(1+'Détail CF'!$C44)</f>
        <v>0</v>
      </c>
      <c r="Y44" s="102">
        <f>'P&amp;L Month'!AA46*(1+'Détail CF'!$C44)</f>
        <v>0</v>
      </c>
      <c r="Z44" s="102">
        <f>'P&amp;L Month'!AB46*(1+'Détail CF'!$C44)</f>
        <v>0</v>
      </c>
      <c r="AA44" s="102">
        <f>'P&amp;L Month'!AC46*(1+'Détail CF'!$C44)</f>
        <v>0</v>
      </c>
      <c r="AB44" s="102">
        <f>'P&amp;L Month'!AD46*(1+'Détail CF'!$C44)</f>
        <v>0</v>
      </c>
      <c r="AC44" s="102">
        <f>'P&amp;L Month'!AE46*(1+'Détail CF'!$C44)</f>
        <v>0</v>
      </c>
      <c r="AD44" s="102">
        <f>'P&amp;L Month'!AF46*(1+'Détail CF'!$C44)</f>
        <v>0</v>
      </c>
      <c r="AE44" s="102">
        <f>'P&amp;L Month'!AG46*(1+'Détail CF'!$C44)</f>
        <v>0</v>
      </c>
      <c r="AF44" s="102">
        <f>'P&amp;L Month'!AH46*(1+'Détail CF'!$C44)</f>
        <v>0</v>
      </c>
      <c r="AG44" s="102">
        <f>'P&amp;L Month'!AI46*(1+'Détail CF'!$C44)</f>
        <v>0</v>
      </c>
      <c r="AH44" s="102">
        <f>'P&amp;L Month'!AJ46*(1+'Détail CF'!$C44)</f>
        <v>0</v>
      </c>
      <c r="AI44" s="102">
        <f>'P&amp;L Month'!AK46*(1+'Détail CF'!$C44)</f>
        <v>0</v>
      </c>
      <c r="AJ44" s="102">
        <f>'P&amp;L Month'!AL46*(1+'Détail CF'!$C44)</f>
        <v>17940</v>
      </c>
      <c r="AK44" s="102">
        <f>'P&amp;L Month'!AM46*(1+'Détail CF'!$C44)</f>
        <v>23920</v>
      </c>
      <c r="AL44" s="102">
        <f>'P&amp;L Month'!AN46*(1+'Détail CF'!$C44)</f>
        <v>29900</v>
      </c>
      <c r="AM44" s="102">
        <f>'P&amp;L Month'!AO46*(1+'Détail CF'!$C44)</f>
        <v>35880</v>
      </c>
      <c r="AN44" s="102">
        <f>'P&amp;L Month'!AP46*(1+'Détail CF'!$C44)</f>
        <v>41860</v>
      </c>
      <c r="AO44" s="102">
        <f>'P&amp;L Month'!AQ46*(1+'Détail CF'!$C44)</f>
        <v>47840</v>
      </c>
      <c r="AP44" s="102">
        <f>'P&amp;L Month'!AR46*(1+'Détail CF'!$C44)</f>
        <v>50830</v>
      </c>
      <c r="AQ44" s="102">
        <f>'P&amp;L Month'!AS46*(1+'Détail CF'!$C44)</f>
        <v>53820</v>
      </c>
      <c r="AR44" s="102">
        <f>'P&amp;L Month'!AT46*(1+'Détail CF'!$C44)</f>
        <v>56810</v>
      </c>
      <c r="AS44" s="102">
        <f>'P&amp;L Month'!AU46*(1+'Détail CF'!$C44)</f>
        <v>59800</v>
      </c>
      <c r="AT44" s="102">
        <f>'P&amp;L Month'!AV46*(1+'Détail CF'!$C44)</f>
        <v>59800</v>
      </c>
      <c r="AU44" s="102">
        <f>'P&amp;L Month'!AW46*(1+'Détail CF'!$C44)</f>
        <v>59800</v>
      </c>
      <c r="AV44" s="102">
        <f>'P&amp;L Month'!AX46*(1+'Détail CF'!$C44)</f>
        <v>59800</v>
      </c>
      <c r="AW44" s="102">
        <f>'P&amp;L Month'!AY46*(1+'Détail CF'!$C44)</f>
        <v>59800</v>
      </c>
      <c r="AX44" s="102">
        <f>'P&amp;L Month'!AZ46*(1+'Détail CF'!$C44)</f>
        <v>59800</v>
      </c>
      <c r="AY44" s="102">
        <f>'P&amp;L Month'!BA46*(1+'Détail CF'!$C44)</f>
        <v>59800</v>
      </c>
      <c r="AZ44" s="102">
        <f>'P&amp;L Month'!BB46*(1+'Détail CF'!$C44)</f>
        <v>59800</v>
      </c>
      <c r="BA44" s="102">
        <f>'P&amp;L Month'!BC46*(1+'Détail CF'!$C44)</f>
        <v>59800</v>
      </c>
      <c r="BB44" s="102">
        <f>'P&amp;L Month'!BD46*(1+'Détail CF'!$C44)</f>
        <v>59800</v>
      </c>
      <c r="BC44" s="102">
        <f>'P&amp;L Month'!BE46*(1+'Détail CF'!$C44)</f>
        <v>59800</v>
      </c>
      <c r="BD44" s="102">
        <f>'P&amp;L Month'!BF46*(1+'Détail CF'!$C44)</f>
        <v>59800</v>
      </c>
      <c r="BE44" s="102">
        <f>'P&amp;L Month'!BG46*(1+'Détail CF'!$C44)</f>
        <v>59800</v>
      </c>
      <c r="BF44" s="102">
        <f>'P&amp;L Month'!BH46*(1+'Détail CF'!$C44)</f>
        <v>59800</v>
      </c>
      <c r="BG44" s="102">
        <f>'P&amp;L Month'!BI46*(1+'Détail CF'!$C44)</f>
        <v>59800</v>
      </c>
      <c r="BH44" s="102">
        <f>'P&amp;L Month'!BJ46*(1+'Détail CF'!$C44)</f>
        <v>59800</v>
      </c>
      <c r="BI44" s="102">
        <f>'P&amp;L Month'!BK46*(1+'Détail CF'!$C44)</f>
        <v>59800</v>
      </c>
      <c r="BJ44" s="102">
        <f>'P&amp;L Month'!BL46*(1+'Détail CF'!$C44)</f>
        <v>59800</v>
      </c>
      <c r="BK44" s="102">
        <f>'P&amp;L Month'!BM46*(1+'Détail CF'!$C44)</f>
        <v>59800</v>
      </c>
      <c r="BL44" s="102">
        <f>'P&amp;L Month'!BN46*(1+'Détail CF'!$C44)</f>
        <v>59800</v>
      </c>
      <c r="BM44" s="102">
        <f>'P&amp;L Month'!BO46*(1+'Détail CF'!$C44)</f>
        <v>59800</v>
      </c>
      <c r="BN44" s="102">
        <f>'P&amp;L Month'!BP46*(1+'Détail CF'!$C44)</f>
        <v>59800</v>
      </c>
      <c r="BO44" s="102">
        <f>'P&amp;L Month'!BQ46*(1+'Détail CF'!$C44)</f>
        <v>59800</v>
      </c>
      <c r="BP44" s="102">
        <f>'P&amp;L Month'!BR46*(1+'Détail CF'!$C44)</f>
        <v>59800</v>
      </c>
      <c r="BQ44" s="102">
        <f>'P&amp;L Month'!BS46*(1+'Détail CF'!$C44)</f>
        <v>59800</v>
      </c>
      <c r="BR44" s="102">
        <f>'P&amp;L Month'!BT46*(1+'Détail CF'!$C44)</f>
        <v>59800</v>
      </c>
      <c r="BS44" s="102">
        <f>'P&amp;L Month'!BU46*(1+'Détail CF'!$C44)</f>
        <v>59800</v>
      </c>
      <c r="BT44" s="102">
        <f>'P&amp;L Month'!BV46*(1+'Détail CF'!$C44)</f>
        <v>59800</v>
      </c>
      <c r="BU44" s="102">
        <f>'P&amp;L Month'!BW46*(1+'Détail CF'!$C44)</f>
        <v>59800</v>
      </c>
      <c r="BV44" s="102">
        <f>'P&amp;L Month'!BX46*(1+'Détail CF'!$C44)</f>
        <v>59800</v>
      </c>
      <c r="BW44" s="102">
        <f>'P&amp;L Month'!BY46*(1+'Détail CF'!$C44)</f>
        <v>59800</v>
      </c>
      <c r="BX44" s="102">
        <f>'P&amp;L Month'!BZ46*(1+'Détail CF'!$C44)</f>
        <v>59800</v>
      </c>
      <c r="BY44" s="102">
        <f>'P&amp;L Month'!CA46*(1+'Détail CF'!$C44)</f>
        <v>59800</v>
      </c>
      <c r="BZ44" s="102">
        <f>'P&amp;L Month'!CB46*(1+'Détail CF'!$C44)</f>
        <v>59800</v>
      </c>
      <c r="CA44" s="102">
        <f>'P&amp;L Month'!CC46*(1+'Détail CF'!$C44)</f>
        <v>59800</v>
      </c>
      <c r="CB44" s="102">
        <f>'P&amp;L Month'!CD46*(1+'Détail CF'!$C44)</f>
        <v>59800</v>
      </c>
      <c r="CC44" s="102">
        <f>'P&amp;L Month'!CE46*(1+'Détail CF'!$C44)</f>
        <v>59800</v>
      </c>
      <c r="CD44" s="102">
        <f>'P&amp;L Month'!CF46*(1+'Détail CF'!$C44)</f>
        <v>59800</v>
      </c>
      <c r="CE44" s="102">
        <f>'P&amp;L Month'!CG46*(1+'Détail CF'!$C44)</f>
        <v>59800</v>
      </c>
    </row>
    <row r="45" spans="2:83">
      <c r="B45" t="s">
        <v>175</v>
      </c>
      <c r="C45" s="10">
        <v>0</v>
      </c>
      <c r="D45" s="194"/>
      <c r="E45" s="1" t="s">
        <v>267</v>
      </c>
      <c r="F45" s="102">
        <f>'P&amp;L Month'!H48*(1+'Détail CF'!$C45)</f>
        <v>0</v>
      </c>
      <c r="G45" s="102">
        <f>'P&amp;L Month'!I48*(1+'Détail CF'!$C45)</f>
        <v>0</v>
      </c>
      <c r="H45" s="102">
        <f>'P&amp;L Month'!J48*(1+'Détail CF'!$C45)</f>
        <v>0</v>
      </c>
      <c r="I45" s="102">
        <f>'P&amp;L Month'!K48*(1+'Détail CF'!$C45)</f>
        <v>0</v>
      </c>
      <c r="J45" s="102">
        <f>'P&amp;L Month'!L48*(1+'Détail CF'!$C45)</f>
        <v>0</v>
      </c>
      <c r="K45" s="102">
        <f>'P&amp;L Month'!M48*(1+'Détail CF'!$C45)</f>
        <v>0</v>
      </c>
      <c r="L45" s="102">
        <f>'P&amp;L Month'!N48*(1+'Détail CF'!$C45)</f>
        <v>0</v>
      </c>
      <c r="M45" s="102">
        <f>'P&amp;L Month'!O48*(1+'Détail CF'!$C45)</f>
        <v>0</v>
      </c>
      <c r="N45" s="102">
        <f>'P&amp;L Month'!P48*(1+'Détail CF'!$C45)</f>
        <v>0</v>
      </c>
      <c r="O45" s="102">
        <f>'P&amp;L Month'!Q48*(1+'Détail CF'!$C45)</f>
        <v>0</v>
      </c>
      <c r="P45" s="102">
        <f>'P&amp;L Month'!R48*(1+'Détail CF'!$C45)</f>
        <v>0</v>
      </c>
      <c r="Q45" s="102">
        <f>'P&amp;L Month'!S48*(1+'Détail CF'!$C45)</f>
        <v>0</v>
      </c>
      <c r="R45" s="102">
        <f>'P&amp;L Month'!T48*(1+'Détail CF'!$C45)</f>
        <v>0</v>
      </c>
      <c r="S45" s="102">
        <f>'P&amp;L Month'!U48*(1+'Détail CF'!$C45)</f>
        <v>0</v>
      </c>
      <c r="T45" s="102">
        <f>'P&amp;L Month'!V48*(1+'Détail CF'!$C45)</f>
        <v>0</v>
      </c>
      <c r="U45" s="102">
        <f>'P&amp;L Month'!W48*(1+'Détail CF'!$C45)</f>
        <v>0</v>
      </c>
      <c r="V45" s="102">
        <f>'P&amp;L Month'!X48*(1+'Détail CF'!$C45)</f>
        <v>0</v>
      </c>
      <c r="W45" s="102">
        <f>'P&amp;L Month'!Y48*(1+'Détail CF'!$C45)</f>
        <v>0</v>
      </c>
      <c r="X45" s="102">
        <f>'P&amp;L Month'!Z48*(1+'Détail CF'!$C45)</f>
        <v>0</v>
      </c>
      <c r="Y45" s="102">
        <f>'P&amp;L Month'!AA48*(1+'Détail CF'!$C45)</f>
        <v>0</v>
      </c>
      <c r="Z45" s="102">
        <f>'P&amp;L Month'!AB48*(1+'Détail CF'!$C45)</f>
        <v>0</v>
      </c>
      <c r="AA45" s="102">
        <f>'P&amp;L Month'!AC48*(1+'Détail CF'!$C45)</f>
        <v>0</v>
      </c>
      <c r="AB45" s="102">
        <f>'P&amp;L Month'!AD48*(1+'Détail CF'!$C45)</f>
        <v>0</v>
      </c>
      <c r="AC45" s="102">
        <f>'P&amp;L Month'!AE48*(1+'Détail CF'!$C45)</f>
        <v>0</v>
      </c>
      <c r="AD45" s="102">
        <f>'P&amp;L Month'!AF48*(1+'Détail CF'!$C45)</f>
        <v>0</v>
      </c>
      <c r="AE45" s="102">
        <f>'P&amp;L Month'!AG48*(1+'Détail CF'!$C45)</f>
        <v>0</v>
      </c>
      <c r="AF45" s="102">
        <f>'P&amp;L Month'!AH48*(1+'Détail CF'!$C45)</f>
        <v>0</v>
      </c>
      <c r="AG45" s="102">
        <f>'P&amp;L Month'!AI48*(1+'Détail CF'!$C45)</f>
        <v>0</v>
      </c>
      <c r="AH45" s="102">
        <f>'P&amp;L Month'!AJ48*(1+'Détail CF'!$C45)</f>
        <v>0</v>
      </c>
      <c r="AI45" s="102">
        <f>'P&amp;L Month'!AK48*(1+'Détail CF'!$C45)</f>
        <v>0</v>
      </c>
      <c r="AJ45" s="102">
        <f>'P&amp;L Month'!AL48*(1+'Détail CF'!$C45)</f>
        <v>0</v>
      </c>
      <c r="AK45" s="102">
        <f>'P&amp;L Month'!AM48*(1+'Détail CF'!$C45)</f>
        <v>0</v>
      </c>
      <c r="AL45" s="102">
        <f>'P&amp;L Month'!AN48*(1+'Détail CF'!$C45)</f>
        <v>0</v>
      </c>
      <c r="AM45" s="102">
        <f>'P&amp;L Month'!AO48*(1+'Détail CF'!$C45)</f>
        <v>0</v>
      </c>
      <c r="AN45" s="102">
        <f>'P&amp;L Month'!AP48*(1+'Détail CF'!$C45)</f>
        <v>0</v>
      </c>
      <c r="AO45" s="102">
        <f>'P&amp;L Month'!AQ48*(1+'Détail CF'!$C45)</f>
        <v>0</v>
      </c>
      <c r="AP45" s="102">
        <f>'P&amp;L Month'!AR48*(1+'Détail CF'!$C45)</f>
        <v>0</v>
      </c>
      <c r="AQ45" s="102">
        <f>'P&amp;L Month'!AS48*(1+'Détail CF'!$C45)</f>
        <v>0</v>
      </c>
      <c r="AR45" s="102">
        <f>'P&amp;L Month'!AT48*(1+'Détail CF'!$C45)</f>
        <v>0</v>
      </c>
      <c r="AS45" s="102">
        <f>'P&amp;L Month'!AU48*(1+'Détail CF'!$C45)</f>
        <v>0</v>
      </c>
      <c r="AT45" s="102">
        <f>'P&amp;L Month'!AV48*(1+'Détail CF'!$C45)</f>
        <v>0</v>
      </c>
      <c r="AU45" s="102">
        <f>'P&amp;L Month'!AW48*(1+'Détail CF'!$C45)</f>
        <v>135.85</v>
      </c>
      <c r="AV45" s="102">
        <f>'P&amp;L Month'!AX48*(1+'Détail CF'!$C45)</f>
        <v>52.863604999999687</v>
      </c>
      <c r="AW45" s="102">
        <f>'P&amp;L Month'!AY48*(1+'Détail CF'!$C45)</f>
        <v>683.05560500000024</v>
      </c>
      <c r="AX45" s="102">
        <f>'P&amp;L Month'!AZ48*(1+'Détail CF'!$C45)</f>
        <v>1123.2476049999996</v>
      </c>
      <c r="AY45" s="102">
        <f>'P&amp;L Month'!BA48*(1+'Détail CF'!$C45)</f>
        <v>1677.4396049999996</v>
      </c>
      <c r="AZ45" s="102">
        <f>'P&amp;L Month'!BB48*(1+'Détail CF'!$C45)</f>
        <v>2520.9598999999998</v>
      </c>
      <c r="BA45" s="102">
        <f>'P&amp;L Month'!BC48*(1+'Détail CF'!$C45)</f>
        <v>3335.0718999999999</v>
      </c>
      <c r="BB45" s="102">
        <f>'P&amp;L Month'!BD48*(1+'Détail CF'!$C45)</f>
        <v>3866.3044899999995</v>
      </c>
      <c r="BC45" s="102">
        <f>'P&amp;L Month'!BE48*(1+'Détail CF'!$C45)</f>
        <v>4832.7204899999997</v>
      </c>
      <c r="BD45" s="102">
        <f>'P&amp;L Month'!BF48*(1+'Détail CF'!$C45)</f>
        <v>5486.544785</v>
      </c>
      <c r="BE45" s="102">
        <f>'P&amp;L Month'!BG48*(1+'Détail CF'!$C45)</f>
        <v>6706.1927850000002</v>
      </c>
      <c r="BF45" s="102">
        <f>'P&amp;L Month'!BH48*(1+'Détail CF'!$C45)</f>
        <v>7359.7130799999995</v>
      </c>
      <c r="BG45" s="102">
        <f>'P&amp;L Month'!BI48*(1+'Détail CF'!$C45)</f>
        <v>8024.8650799999987</v>
      </c>
      <c r="BH45" s="102">
        <f>'P&amp;L Month'!BJ48*(1+'Détail CF'!$C45)</f>
        <v>8689.2441600000002</v>
      </c>
      <c r="BI45" s="102">
        <f>'P&amp;L Month'!BK48*(1+'Détail CF'!$C45)</f>
        <v>9188.1081599999998</v>
      </c>
      <c r="BJ45" s="102">
        <f>'P&amp;L Month'!BL48*(1+'Détail CF'!$C45)</f>
        <v>9686.9721599999993</v>
      </c>
      <c r="BK45" s="102">
        <f>'P&amp;L Month'!BM48*(1+'Détail CF'!$C45)</f>
        <v>10185.836159999997</v>
      </c>
      <c r="BL45" s="102">
        <f>'P&amp;L Month'!BN48*(1+'Détail CF'!$C45)</f>
        <v>10673.036249999999</v>
      </c>
      <c r="BM45" s="102">
        <f>'P&amp;L Month'!BO48*(1+'Détail CF'!$C45)</f>
        <v>11005.61225</v>
      </c>
      <c r="BN45" s="102">
        <f>'P&amp;L Month'!BP48*(1+'Détail CF'!$C45)</f>
        <v>11338.188249999999</v>
      </c>
      <c r="BO45" s="102">
        <f>'P&amp;L Month'!BQ48*(1+'Détail CF'!$C45)</f>
        <v>11670.76425</v>
      </c>
      <c r="BP45" s="102">
        <f>'P&amp;L Month'!BR48*(1+'Détail CF'!$C45)</f>
        <v>12003.340249999999</v>
      </c>
      <c r="BQ45" s="102">
        <f>'P&amp;L Month'!BS48*(1+'Détail CF'!$C45)</f>
        <v>12335.91625</v>
      </c>
      <c r="BR45" s="102">
        <f>'P&amp;L Month'!BT48*(1+'Détail CF'!$C45)</f>
        <v>12668.492249999999</v>
      </c>
      <c r="BS45" s="102">
        <f>'P&amp;L Month'!BU48*(1+'Détail CF'!$C45)</f>
        <v>13001.06825</v>
      </c>
      <c r="BT45" s="102">
        <f>'P&amp;L Month'!BV48*(1+'Détail CF'!$C45)</f>
        <v>13232.79795</v>
      </c>
      <c r="BU45" s="102">
        <f>'P&amp;L Month'!BW48*(1+'Détail CF'!$C45)</f>
        <v>13498.858749999999</v>
      </c>
      <c r="BV45" s="102">
        <f>'P&amp;L Month'!BX48*(1+'Détail CF'!$C45)</f>
        <v>13665.146749999998</v>
      </c>
      <c r="BW45" s="102">
        <f>'P&amp;L Month'!BY48*(1+'Détail CF'!$C45)</f>
        <v>13831.43475</v>
      </c>
      <c r="BX45" s="102">
        <f>'P&amp;L Month'!BZ48*(1+'Détail CF'!$C45)</f>
        <v>13997.722749999999</v>
      </c>
      <c r="BY45" s="102">
        <f>'P&amp;L Month'!CA48*(1+'Détail CF'!$C45)</f>
        <v>14164.010749999999</v>
      </c>
      <c r="BZ45" s="102">
        <f>'P&amp;L Month'!CB48*(1+'Détail CF'!$C45)</f>
        <v>14330.29875</v>
      </c>
      <c r="CA45" s="102">
        <f>'P&amp;L Month'!CC48*(1+'Détail CF'!$C45)</f>
        <v>14496.586749999997</v>
      </c>
      <c r="CB45" s="102">
        <f>'P&amp;L Month'!CD48*(1+'Détail CF'!$C45)</f>
        <v>14662.874749999999</v>
      </c>
      <c r="CC45" s="102">
        <f>'P&amp;L Month'!CE48*(1+'Détail CF'!$C45)</f>
        <v>14762.647549999998</v>
      </c>
      <c r="CD45" s="102">
        <f>'P&amp;L Month'!CF48*(1+'Détail CF'!$C45)</f>
        <v>14862.420349999999</v>
      </c>
      <c r="CE45" s="102">
        <f>'P&amp;L Month'!CG48*(1+'Détail CF'!$C45)</f>
        <v>14995.45075</v>
      </c>
    </row>
    <row r="46" spans="2:83">
      <c r="B46" t="s">
        <v>262</v>
      </c>
      <c r="C46" s="10">
        <v>0</v>
      </c>
      <c r="D46" s="194"/>
      <c r="E46" s="1" t="s">
        <v>267</v>
      </c>
      <c r="F46" s="102">
        <f>'P&amp;L Month'!H50*(1+'Détail CF'!$C46)</f>
        <v>0</v>
      </c>
      <c r="G46" s="102">
        <f>'P&amp;L Month'!I50*(1+'Détail CF'!$C46)</f>
        <v>0</v>
      </c>
      <c r="H46" s="102">
        <f>'P&amp;L Month'!J50*(1+'Détail CF'!$C46)</f>
        <v>0</v>
      </c>
      <c r="I46" s="102">
        <f>'P&amp;L Month'!K50*(1+'Détail CF'!$C46)</f>
        <v>0</v>
      </c>
      <c r="J46" s="102">
        <f>'P&amp;L Month'!L50*(1+'Détail CF'!$C46)</f>
        <v>0</v>
      </c>
      <c r="K46" s="102">
        <f>'P&amp;L Month'!M50*(1+'Détail CF'!$C46)</f>
        <v>0</v>
      </c>
      <c r="L46" s="102">
        <f>'P&amp;L Month'!N50*(1+'Détail CF'!$C46)</f>
        <v>0</v>
      </c>
      <c r="M46" s="102">
        <f>'P&amp;L Month'!O50*(1+'Détail CF'!$C46)</f>
        <v>0</v>
      </c>
      <c r="N46" s="102">
        <f>'P&amp;L Month'!P50*(1+'Détail CF'!$C46)</f>
        <v>0</v>
      </c>
      <c r="O46" s="102">
        <f>'P&amp;L Month'!Q50*(1+'Détail CF'!$C46)</f>
        <v>0</v>
      </c>
      <c r="P46" s="102">
        <f>'P&amp;L Month'!R50*(1+'Détail CF'!$C46)</f>
        <v>0</v>
      </c>
      <c r="Q46" s="102">
        <f>'P&amp;L Month'!S50*(1+'Détail CF'!$C46)</f>
        <v>0</v>
      </c>
      <c r="R46" s="102">
        <f>'P&amp;L Month'!T50*(1+'Détail CF'!$C46)</f>
        <v>0</v>
      </c>
      <c r="S46" s="102">
        <f>'P&amp;L Month'!U50*(1+'Détail CF'!$C46)</f>
        <v>0</v>
      </c>
      <c r="T46" s="102">
        <f>'P&amp;L Month'!V50*(1+'Détail CF'!$C46)</f>
        <v>0</v>
      </c>
      <c r="U46" s="102">
        <f>'P&amp;L Month'!W50*(1+'Détail CF'!$C46)</f>
        <v>0</v>
      </c>
      <c r="V46" s="102">
        <f>'P&amp;L Month'!X50*(1+'Détail CF'!$C46)</f>
        <v>0</v>
      </c>
      <c r="W46" s="102">
        <f>'P&amp;L Month'!Y50*(1+'Détail CF'!$C46)</f>
        <v>0</v>
      </c>
      <c r="X46" s="102">
        <f>'P&amp;L Month'!Z50*(1+'Détail CF'!$C46)</f>
        <v>0</v>
      </c>
      <c r="Y46" s="102">
        <f>'P&amp;L Month'!AA50*(1+'Détail CF'!$C46)</f>
        <v>0</v>
      </c>
      <c r="Z46" s="102">
        <f>'P&amp;L Month'!AB50*(1+'Détail CF'!$C46)</f>
        <v>0</v>
      </c>
      <c r="AA46" s="102">
        <f>'P&amp;L Month'!AC50*(1+'Détail CF'!$C46)</f>
        <v>0</v>
      </c>
      <c r="AB46" s="102">
        <f>'P&amp;L Month'!AD50*(1+'Détail CF'!$C46)</f>
        <v>0</v>
      </c>
      <c r="AC46" s="102">
        <f>'P&amp;L Month'!AE50*(1+'Détail CF'!$C46)</f>
        <v>0</v>
      </c>
      <c r="AD46" s="102">
        <f>'P&amp;L Month'!AF50*(1+'Détail CF'!$C46)</f>
        <v>0</v>
      </c>
      <c r="AE46" s="102">
        <f>'P&amp;L Month'!AG50*(1+'Détail CF'!$C46)</f>
        <v>0</v>
      </c>
      <c r="AF46" s="102">
        <f>'P&amp;L Month'!AH50*(1+'Détail CF'!$C46)</f>
        <v>0</v>
      </c>
      <c r="AG46" s="102">
        <f>'P&amp;L Month'!AI50*(1+'Détail CF'!$C46)</f>
        <v>0</v>
      </c>
      <c r="AH46" s="102">
        <f>'P&amp;L Month'!AJ50*(1+'Détail CF'!$C46)</f>
        <v>0</v>
      </c>
      <c r="AI46" s="102">
        <f>'P&amp;L Month'!AK50*(1+'Détail CF'!$C46)</f>
        <v>0</v>
      </c>
      <c r="AJ46" s="102">
        <f>'P&amp;L Month'!AL50*(1+'Détail CF'!$C46)</f>
        <v>0</v>
      </c>
      <c r="AK46" s="102">
        <f>'P&amp;L Month'!AM50*(1+'Détail CF'!$C46)</f>
        <v>0</v>
      </c>
      <c r="AL46" s="102">
        <f>'P&amp;L Month'!AN50*(1+'Détail CF'!$C46)</f>
        <v>0</v>
      </c>
      <c r="AM46" s="102">
        <f>'P&amp;L Month'!AO50*(1+'Détail CF'!$C46)</f>
        <v>0</v>
      </c>
      <c r="AN46" s="102">
        <f>'P&amp;L Month'!AP50*(1+'Détail CF'!$C46)</f>
        <v>0</v>
      </c>
      <c r="AO46" s="102">
        <f>'P&amp;L Month'!AQ50*(1+'Détail CF'!$C46)</f>
        <v>0</v>
      </c>
      <c r="AP46" s="102">
        <f>'P&amp;L Month'!AR50*(1+'Détail CF'!$C46)</f>
        <v>0</v>
      </c>
      <c r="AQ46" s="102">
        <f>'P&amp;L Month'!AS50*(1+'Détail CF'!$C46)</f>
        <v>0</v>
      </c>
      <c r="AR46" s="102">
        <f>'P&amp;L Month'!AT50*(1+'Détail CF'!$C46)</f>
        <v>0</v>
      </c>
      <c r="AS46" s="102">
        <f>'P&amp;L Month'!AU50*(1+'Détail CF'!$C46)</f>
        <v>0</v>
      </c>
      <c r="AT46" s="102">
        <f>'P&amp;L Month'!AV50*(1+'Détail CF'!$C46)</f>
        <v>0</v>
      </c>
      <c r="AU46" s="102">
        <f>'P&amp;L Month'!AW50*(1+'Détail CF'!$C46)</f>
        <v>0</v>
      </c>
      <c r="AV46" s="102">
        <f>'P&amp;L Month'!AX50*(1+'Détail CF'!$C46)</f>
        <v>0</v>
      </c>
      <c r="AW46" s="102">
        <f>'P&amp;L Month'!AY50*(1+'Détail CF'!$C46)</f>
        <v>0</v>
      </c>
      <c r="AX46" s="102">
        <f>'P&amp;L Month'!AZ50*(1+'Détail CF'!$C46)</f>
        <v>0</v>
      </c>
      <c r="AY46" s="102">
        <f>'P&amp;L Month'!BA50*(1+'Détail CF'!$C46)</f>
        <v>0</v>
      </c>
      <c r="AZ46" s="102">
        <f>'P&amp;L Month'!BB50*(1+'Détail CF'!$C46)</f>
        <v>0</v>
      </c>
      <c r="BA46" s="102">
        <f>'P&amp;L Month'!BC50*(1+'Détail CF'!$C46)</f>
        <v>0</v>
      </c>
      <c r="BB46" s="102">
        <f>'P&amp;L Month'!BD50*(1+'Détail CF'!$C46)</f>
        <v>0</v>
      </c>
      <c r="BC46" s="102">
        <f>'P&amp;L Month'!BE50*(1+'Détail CF'!$C46)</f>
        <v>0</v>
      </c>
      <c r="BD46" s="102">
        <f>'P&amp;L Month'!BF50*(1+'Détail CF'!$C46)</f>
        <v>0</v>
      </c>
      <c r="BE46" s="102">
        <f>'P&amp;L Month'!BG50*(1+'Détail CF'!$C46)</f>
        <v>0</v>
      </c>
      <c r="BF46" s="102">
        <f>'P&amp;L Month'!BH50*(1+'Détail CF'!$C46)</f>
        <v>0</v>
      </c>
      <c r="BG46" s="102">
        <f>'P&amp;L Month'!BI50*(1+'Détail CF'!$C46)</f>
        <v>0</v>
      </c>
      <c r="BH46" s="102">
        <f>'P&amp;L Month'!BJ50*(1+'Détail CF'!$C46)</f>
        <v>0</v>
      </c>
      <c r="BI46" s="102">
        <f>'P&amp;L Month'!BK50*(1+'Détail CF'!$C46)</f>
        <v>0</v>
      </c>
      <c r="BJ46" s="102">
        <f>'P&amp;L Month'!BL50*(1+'Détail CF'!$C46)</f>
        <v>0</v>
      </c>
      <c r="BK46" s="102">
        <f>'P&amp;L Month'!BM50*(1+'Détail CF'!$C46)</f>
        <v>0</v>
      </c>
      <c r="BL46" s="102">
        <f>'P&amp;L Month'!BN50*(1+'Détail CF'!$C46)</f>
        <v>0</v>
      </c>
      <c r="BM46" s="102">
        <f>'P&amp;L Month'!BO50*(1+'Détail CF'!$C46)</f>
        <v>0</v>
      </c>
      <c r="BN46" s="102">
        <f>'P&amp;L Month'!BP50*(1+'Détail CF'!$C46)</f>
        <v>0</v>
      </c>
      <c r="BO46" s="102">
        <f>'P&amp;L Month'!BQ50*(1+'Détail CF'!$C46)</f>
        <v>0</v>
      </c>
      <c r="BP46" s="102">
        <f>'P&amp;L Month'!BR50*(1+'Détail CF'!$C46)</f>
        <v>0</v>
      </c>
      <c r="BQ46" s="102">
        <f>'P&amp;L Month'!BS50*(1+'Détail CF'!$C46)</f>
        <v>0</v>
      </c>
      <c r="BR46" s="102">
        <f>'P&amp;L Month'!BT50*(1+'Détail CF'!$C46)</f>
        <v>0</v>
      </c>
      <c r="BS46" s="102">
        <f>'P&amp;L Month'!BU50*(1+'Détail CF'!$C46)</f>
        <v>0</v>
      </c>
      <c r="BT46" s="102">
        <f>'P&amp;L Month'!BV50*(1+'Détail CF'!$C46)</f>
        <v>0</v>
      </c>
      <c r="BU46" s="102">
        <f>'P&amp;L Month'!BW50*(1+'Détail CF'!$C46)</f>
        <v>0</v>
      </c>
      <c r="BV46" s="102">
        <f>'P&amp;L Month'!BX50*(1+'Détail CF'!$C46)</f>
        <v>0</v>
      </c>
      <c r="BW46" s="102">
        <f>'P&amp;L Month'!BY50*(1+'Détail CF'!$C46)</f>
        <v>0</v>
      </c>
      <c r="BX46" s="102">
        <f>'P&amp;L Month'!BZ50*(1+'Détail CF'!$C46)</f>
        <v>0</v>
      </c>
      <c r="BY46" s="102">
        <f>'P&amp;L Month'!CA50*(1+'Détail CF'!$C46)</f>
        <v>0</v>
      </c>
      <c r="BZ46" s="102">
        <f>'P&amp;L Month'!CB50*(1+'Détail CF'!$C46)</f>
        <v>0</v>
      </c>
      <c r="CA46" s="102">
        <f>'P&amp;L Month'!CC50*(1+'Détail CF'!$C46)</f>
        <v>0</v>
      </c>
      <c r="CB46" s="102">
        <f>'P&amp;L Month'!CD50*(1+'Détail CF'!$C46)</f>
        <v>0</v>
      </c>
      <c r="CC46" s="102">
        <f>'P&amp;L Month'!CE50*(1+'Détail CF'!$C46)</f>
        <v>0</v>
      </c>
      <c r="CD46" s="102">
        <f>'P&amp;L Month'!CF50*(1+'Détail CF'!$C46)</f>
        <v>0</v>
      </c>
      <c r="CE46" s="102">
        <f>'P&amp;L Month'!CG50*(1+'Détail CF'!$C46)</f>
        <v>0</v>
      </c>
    </row>
    <row r="47" spans="2:83">
      <c r="B47" t="s">
        <v>263</v>
      </c>
      <c r="C47" s="10">
        <v>0</v>
      </c>
      <c r="D47" s="194"/>
      <c r="E47" s="1" t="s">
        <v>267</v>
      </c>
      <c r="F47" s="102">
        <f>'P&amp;L Month'!H51*(1+'Détail CF'!$C47)</f>
        <v>0</v>
      </c>
      <c r="G47" s="102">
        <f>'P&amp;L Month'!I51*(1+'Détail CF'!$C47)</f>
        <v>0</v>
      </c>
      <c r="H47" s="102">
        <f>'P&amp;L Month'!J51*(1+'Détail CF'!$C47)</f>
        <v>0</v>
      </c>
      <c r="I47" s="102">
        <f>'P&amp;L Month'!K51*(1+'Détail CF'!$C47)</f>
        <v>0</v>
      </c>
      <c r="J47" s="102">
        <f>'P&amp;L Month'!L51*(1+'Détail CF'!$C47)</f>
        <v>0</v>
      </c>
      <c r="K47" s="102">
        <f>'P&amp;L Month'!M51*(1+'Détail CF'!$C47)</f>
        <v>0</v>
      </c>
      <c r="L47" s="102">
        <f>'P&amp;L Month'!N51*(1+'Détail CF'!$C47)</f>
        <v>0</v>
      </c>
      <c r="M47" s="102">
        <f>'P&amp;L Month'!O51*(1+'Détail CF'!$C47)</f>
        <v>0</v>
      </c>
      <c r="N47" s="102">
        <f>'P&amp;L Month'!P51*(1+'Détail CF'!$C47)</f>
        <v>0</v>
      </c>
      <c r="O47" s="102">
        <f>'P&amp;L Month'!Q51*(1+'Détail CF'!$C47)</f>
        <v>0</v>
      </c>
      <c r="P47" s="102">
        <f>'P&amp;L Month'!R51*(1+'Détail CF'!$C47)</f>
        <v>0</v>
      </c>
      <c r="Q47" s="102">
        <f>'P&amp;L Month'!S51*(1+'Détail CF'!$C47)</f>
        <v>0</v>
      </c>
      <c r="R47" s="102">
        <f>'P&amp;L Month'!T51*(1+'Détail CF'!$C47)</f>
        <v>0</v>
      </c>
      <c r="S47" s="102">
        <f>'P&amp;L Month'!U51*(1+'Détail CF'!$C47)</f>
        <v>0</v>
      </c>
      <c r="T47" s="102">
        <f>'P&amp;L Month'!V51*(1+'Détail CF'!$C47)</f>
        <v>0</v>
      </c>
      <c r="U47" s="102">
        <f>'P&amp;L Month'!W51*(1+'Détail CF'!$C47)</f>
        <v>0</v>
      </c>
      <c r="V47" s="102">
        <f>'P&amp;L Month'!X51*(1+'Détail CF'!$C47)</f>
        <v>0</v>
      </c>
      <c r="W47" s="102">
        <f>'P&amp;L Month'!Y51*(1+'Détail CF'!$C47)</f>
        <v>0</v>
      </c>
      <c r="X47" s="102">
        <f>'P&amp;L Month'!Z51*(1+'Détail CF'!$C47)</f>
        <v>0</v>
      </c>
      <c r="Y47" s="102">
        <f>'P&amp;L Month'!AA51*(1+'Détail CF'!$C47)</f>
        <v>0</v>
      </c>
      <c r="Z47" s="102">
        <f>'P&amp;L Month'!AB51*(1+'Détail CF'!$C47)</f>
        <v>0</v>
      </c>
      <c r="AA47" s="102">
        <f>'P&amp;L Month'!AC51*(1+'Détail CF'!$C47)</f>
        <v>0</v>
      </c>
      <c r="AB47" s="102">
        <f>'P&amp;L Month'!AD51*(1+'Détail CF'!$C47)</f>
        <v>0</v>
      </c>
      <c r="AC47" s="102">
        <f>'P&amp;L Month'!AE51*(1+'Détail CF'!$C47)</f>
        <v>0</v>
      </c>
      <c r="AD47" s="102">
        <f>'P&amp;L Month'!AF51*(1+'Détail CF'!$C47)</f>
        <v>0</v>
      </c>
      <c r="AE47" s="102">
        <f>'P&amp;L Month'!AG51*(1+'Détail CF'!$C47)</f>
        <v>0</v>
      </c>
      <c r="AF47" s="102">
        <f>'P&amp;L Month'!AH51*(1+'Détail CF'!$C47)</f>
        <v>0</v>
      </c>
      <c r="AG47" s="102">
        <f>'P&amp;L Month'!AI51*(1+'Détail CF'!$C47)</f>
        <v>0</v>
      </c>
      <c r="AH47" s="102">
        <f>'P&amp;L Month'!AJ51*(1+'Détail CF'!$C47)</f>
        <v>0</v>
      </c>
      <c r="AI47" s="102">
        <f>'P&amp;L Month'!AK51*(1+'Détail CF'!$C47)</f>
        <v>0</v>
      </c>
      <c r="AJ47" s="102">
        <f>'P&amp;L Month'!AL51*(1+'Détail CF'!$C47)</f>
        <v>0</v>
      </c>
      <c r="AK47" s="102">
        <f>'P&amp;L Month'!AM51*(1+'Détail CF'!$C47)</f>
        <v>0</v>
      </c>
      <c r="AL47" s="102">
        <f>'P&amp;L Month'!AN51*(1+'Détail CF'!$C47)</f>
        <v>0</v>
      </c>
      <c r="AM47" s="102">
        <f>'P&amp;L Month'!AO51*(1+'Détail CF'!$C47)</f>
        <v>0</v>
      </c>
      <c r="AN47" s="102">
        <f>'P&amp;L Month'!AP51*(1+'Détail CF'!$C47)</f>
        <v>0</v>
      </c>
      <c r="AO47" s="102">
        <f>'P&amp;L Month'!AQ51*(1+'Détail CF'!$C47)</f>
        <v>0</v>
      </c>
      <c r="AP47" s="102">
        <f>'P&amp;L Month'!AR51*(1+'Détail CF'!$C47)</f>
        <v>0</v>
      </c>
      <c r="AQ47" s="102">
        <f>'P&amp;L Month'!AS51*(1+'Détail CF'!$C47)</f>
        <v>0</v>
      </c>
      <c r="AR47" s="102">
        <f>'P&amp;L Month'!AT51*(1+'Détail CF'!$C47)</f>
        <v>0</v>
      </c>
      <c r="AS47" s="102">
        <f>'P&amp;L Month'!AU51*(1+'Détail CF'!$C47)</f>
        <v>0</v>
      </c>
      <c r="AT47" s="102">
        <f>'P&amp;L Month'!AV51*(1+'Détail CF'!$C47)</f>
        <v>0</v>
      </c>
      <c r="AU47" s="102">
        <f>'P&amp;L Month'!AW51*(1+'Détail CF'!$C47)</f>
        <v>0</v>
      </c>
      <c r="AV47" s="102">
        <f>'P&amp;L Month'!AX51*(1+'Détail CF'!$C47)</f>
        <v>0</v>
      </c>
      <c r="AW47" s="102">
        <f>'P&amp;L Month'!AY51*(1+'Détail CF'!$C47)</f>
        <v>0</v>
      </c>
      <c r="AX47" s="102">
        <f>'P&amp;L Month'!AZ51*(1+'Détail CF'!$C47)</f>
        <v>0</v>
      </c>
      <c r="AY47" s="102">
        <f>'P&amp;L Month'!BA51*(1+'Détail CF'!$C47)</f>
        <v>0</v>
      </c>
      <c r="AZ47" s="102">
        <f>'P&amp;L Month'!BB51*(1+'Détail CF'!$C47)</f>
        <v>0</v>
      </c>
      <c r="BA47" s="102">
        <f>'P&amp;L Month'!BC51*(1+'Détail CF'!$C47)</f>
        <v>0</v>
      </c>
      <c r="BB47" s="102">
        <f>'P&amp;L Month'!BD51*(1+'Détail CF'!$C47)</f>
        <v>0</v>
      </c>
      <c r="BC47" s="102">
        <f>'P&amp;L Month'!BE51*(1+'Détail CF'!$C47)</f>
        <v>0</v>
      </c>
      <c r="BD47" s="102">
        <f>'P&amp;L Month'!BF51*(1+'Détail CF'!$C47)</f>
        <v>0</v>
      </c>
      <c r="BE47" s="102">
        <f>'P&amp;L Month'!BG51*(1+'Détail CF'!$C47)</f>
        <v>0</v>
      </c>
      <c r="BF47" s="102">
        <f>'P&amp;L Month'!BH51*(1+'Détail CF'!$C47)</f>
        <v>0</v>
      </c>
      <c r="BG47" s="102">
        <f>'P&amp;L Month'!BI51*(1+'Détail CF'!$C47)</f>
        <v>0</v>
      </c>
      <c r="BH47" s="102">
        <f>'P&amp;L Month'!BJ51*(1+'Détail CF'!$C47)</f>
        <v>0</v>
      </c>
      <c r="BI47" s="102">
        <f>'P&amp;L Month'!BK51*(1+'Détail CF'!$C47)</f>
        <v>0</v>
      </c>
      <c r="BJ47" s="102">
        <f>'P&amp;L Month'!BL51*(1+'Détail CF'!$C47)</f>
        <v>0</v>
      </c>
      <c r="BK47" s="102">
        <f>'P&amp;L Month'!BM51*(1+'Détail CF'!$C47)</f>
        <v>0</v>
      </c>
      <c r="BL47" s="102">
        <f>'P&amp;L Month'!BN51*(1+'Détail CF'!$C47)</f>
        <v>0</v>
      </c>
      <c r="BM47" s="102">
        <f>'P&amp;L Month'!BO51*(1+'Détail CF'!$C47)</f>
        <v>0</v>
      </c>
      <c r="BN47" s="102">
        <f>'P&amp;L Month'!BP51*(1+'Détail CF'!$C47)</f>
        <v>0</v>
      </c>
      <c r="BO47" s="102">
        <f>'P&amp;L Month'!BQ51*(1+'Détail CF'!$C47)</f>
        <v>0</v>
      </c>
      <c r="BP47" s="102">
        <f>'P&amp;L Month'!BR51*(1+'Détail CF'!$C47)</f>
        <v>0</v>
      </c>
      <c r="BQ47" s="102">
        <f>'P&amp;L Month'!BS51*(1+'Détail CF'!$C47)</f>
        <v>0</v>
      </c>
      <c r="BR47" s="102">
        <f>'P&amp;L Month'!BT51*(1+'Détail CF'!$C47)</f>
        <v>0</v>
      </c>
      <c r="BS47" s="102">
        <f>'P&amp;L Month'!BU51*(1+'Détail CF'!$C47)</f>
        <v>0</v>
      </c>
      <c r="BT47" s="102">
        <f>'P&amp;L Month'!BV51*(1+'Détail CF'!$C47)</f>
        <v>0</v>
      </c>
      <c r="BU47" s="102">
        <f>'P&amp;L Month'!BW51*(1+'Détail CF'!$C47)</f>
        <v>0</v>
      </c>
      <c r="BV47" s="102">
        <f>'P&amp;L Month'!BX51*(1+'Détail CF'!$C47)</f>
        <v>0</v>
      </c>
      <c r="BW47" s="102">
        <f>'P&amp;L Month'!BY51*(1+'Détail CF'!$C47)</f>
        <v>0</v>
      </c>
      <c r="BX47" s="102">
        <f>'P&amp;L Month'!BZ51*(1+'Détail CF'!$C47)</f>
        <v>0</v>
      </c>
      <c r="BY47" s="102">
        <f>'P&amp;L Month'!CA51*(1+'Détail CF'!$C47)</f>
        <v>0</v>
      </c>
      <c r="BZ47" s="102">
        <f>'P&amp;L Month'!CB51*(1+'Détail CF'!$C47)</f>
        <v>0</v>
      </c>
      <c r="CA47" s="102">
        <f>'P&amp;L Month'!CC51*(1+'Détail CF'!$C47)</f>
        <v>0</v>
      </c>
      <c r="CB47" s="102">
        <f>'P&amp;L Month'!CD51*(1+'Détail CF'!$C47)</f>
        <v>0</v>
      </c>
      <c r="CC47" s="102">
        <f>'P&amp;L Month'!CE51*(1+'Détail CF'!$C47)</f>
        <v>0</v>
      </c>
      <c r="CD47" s="102">
        <f>'P&amp;L Month'!CF51*(1+'Détail CF'!$C47)</f>
        <v>0</v>
      </c>
      <c r="CE47" s="102">
        <f>'P&amp;L Month'!CG51*(1+'Détail CF'!$C47)</f>
        <v>0</v>
      </c>
    </row>
    <row r="48" spans="2:83">
      <c r="B48" t="s">
        <v>178</v>
      </c>
      <c r="C48" s="10">
        <v>0</v>
      </c>
      <c r="D48" s="194"/>
      <c r="E48" s="1" t="s">
        <v>267</v>
      </c>
      <c r="F48" s="102">
        <f>'P&amp;L Month'!H52*(1+'Détail CF'!$C48)</f>
        <v>0</v>
      </c>
      <c r="G48" s="102">
        <f>'P&amp;L Month'!I52*(1+'Détail CF'!$C48)</f>
        <v>0</v>
      </c>
      <c r="H48" s="102">
        <f>'P&amp;L Month'!J52*(1+'Détail CF'!$C48)</f>
        <v>0</v>
      </c>
      <c r="I48" s="102">
        <f>'P&amp;L Month'!K52*(1+'Détail CF'!$C48)</f>
        <v>0</v>
      </c>
      <c r="J48" s="102">
        <f>'P&amp;L Month'!L52*(1+'Détail CF'!$C48)</f>
        <v>0</v>
      </c>
      <c r="K48" s="102">
        <f>'P&amp;L Month'!M52*(1+'Détail CF'!$C48)</f>
        <v>0</v>
      </c>
      <c r="L48" s="102">
        <f>'P&amp;L Month'!N52*(1+'Détail CF'!$C48)</f>
        <v>0</v>
      </c>
      <c r="M48" s="102">
        <f>'P&amp;L Month'!O52*(1+'Détail CF'!$C48)</f>
        <v>0</v>
      </c>
      <c r="N48" s="102">
        <f>'P&amp;L Month'!P52*(1+'Détail CF'!$C48)</f>
        <v>0</v>
      </c>
      <c r="O48" s="102">
        <f>'P&amp;L Month'!Q52*(1+'Détail CF'!$C48)</f>
        <v>0</v>
      </c>
      <c r="P48" s="102">
        <f>'P&amp;L Month'!R52*(1+'Détail CF'!$C48)</f>
        <v>0</v>
      </c>
      <c r="Q48" s="102">
        <f>'P&amp;L Month'!S52*(1+'Détail CF'!$C48)</f>
        <v>0</v>
      </c>
      <c r="R48" s="102">
        <f>'P&amp;L Month'!T52*(1+'Détail CF'!$C48)</f>
        <v>0</v>
      </c>
      <c r="S48" s="102">
        <f>'P&amp;L Month'!U52*(1+'Détail CF'!$C48)</f>
        <v>0</v>
      </c>
      <c r="T48" s="102">
        <f>'P&amp;L Month'!V52*(1+'Détail CF'!$C48)</f>
        <v>0</v>
      </c>
      <c r="U48" s="102">
        <f>'P&amp;L Month'!W52*(1+'Détail CF'!$C48)</f>
        <v>0</v>
      </c>
      <c r="V48" s="102">
        <f>'P&amp;L Month'!X52*(1+'Détail CF'!$C48)</f>
        <v>0</v>
      </c>
      <c r="W48" s="102">
        <f>'P&amp;L Month'!Y52*(1+'Détail CF'!$C48)</f>
        <v>0</v>
      </c>
      <c r="X48" s="102">
        <f>'P&amp;L Month'!Z52*(1+'Détail CF'!$C48)</f>
        <v>0</v>
      </c>
      <c r="Y48" s="102">
        <f>'P&amp;L Month'!AA52*(1+'Détail CF'!$C48)</f>
        <v>0</v>
      </c>
      <c r="Z48" s="102">
        <f>'P&amp;L Month'!AB52*(1+'Détail CF'!$C48)</f>
        <v>0</v>
      </c>
      <c r="AA48" s="102">
        <f>'P&amp;L Month'!AC52*(1+'Détail CF'!$C48)</f>
        <v>0</v>
      </c>
      <c r="AB48" s="102">
        <f>'P&amp;L Month'!AD52*(1+'Détail CF'!$C48)</f>
        <v>0</v>
      </c>
      <c r="AC48" s="102">
        <f>'P&amp;L Month'!AE52*(1+'Détail CF'!$C48)</f>
        <v>0</v>
      </c>
      <c r="AD48" s="102">
        <f>'P&amp;L Month'!AF52*(1+'Détail CF'!$C48)</f>
        <v>0</v>
      </c>
      <c r="AE48" s="102">
        <f>'P&amp;L Month'!AG52*(1+'Détail CF'!$C48)</f>
        <v>0</v>
      </c>
      <c r="AF48" s="102">
        <f>'P&amp;L Month'!AH52*(1+'Détail CF'!$C48)</f>
        <v>0</v>
      </c>
      <c r="AG48" s="102">
        <f>'P&amp;L Month'!AI52*(1+'Détail CF'!$C48)</f>
        <v>0</v>
      </c>
      <c r="AH48" s="102">
        <f>'P&amp;L Month'!AJ52*(1+'Détail CF'!$C48)</f>
        <v>0</v>
      </c>
      <c r="AI48" s="102">
        <f>'P&amp;L Month'!AK52*(1+'Détail CF'!$C48)</f>
        <v>0</v>
      </c>
      <c r="AJ48" s="102">
        <f>'P&amp;L Month'!AL52*(1+'Détail CF'!$C48)</f>
        <v>0</v>
      </c>
      <c r="AK48" s="102">
        <f>'P&amp;L Month'!AM52*(1+'Détail CF'!$C48)</f>
        <v>0</v>
      </c>
      <c r="AL48" s="102">
        <f>'P&amp;L Month'!AN52*(1+'Détail CF'!$C48)</f>
        <v>0</v>
      </c>
      <c r="AM48" s="102">
        <f>'P&amp;L Month'!AO52*(1+'Détail CF'!$C48)</f>
        <v>0</v>
      </c>
      <c r="AN48" s="102">
        <f>'P&amp;L Month'!AP52*(1+'Détail CF'!$C48)</f>
        <v>0</v>
      </c>
      <c r="AO48" s="102">
        <f>'P&amp;L Month'!AQ52*(1+'Détail CF'!$C48)</f>
        <v>0</v>
      </c>
      <c r="AP48" s="102">
        <f>'P&amp;L Month'!AR52*(1+'Détail CF'!$C48)</f>
        <v>0</v>
      </c>
      <c r="AQ48" s="102">
        <f>'P&amp;L Month'!AS52*(1+'Détail CF'!$C48)</f>
        <v>0</v>
      </c>
      <c r="AR48" s="102">
        <f>'P&amp;L Month'!AT52*(1+'Détail CF'!$C48)</f>
        <v>0</v>
      </c>
      <c r="AS48" s="102">
        <f>'P&amp;L Month'!AU52*(1+'Détail CF'!$C48)</f>
        <v>0</v>
      </c>
      <c r="AT48" s="102">
        <f>'P&amp;L Month'!AV52*(1+'Détail CF'!$C48)</f>
        <v>0</v>
      </c>
      <c r="AU48" s="102">
        <f>'P&amp;L Month'!AW52*(1+'Détail CF'!$C48)</f>
        <v>0</v>
      </c>
      <c r="AV48" s="102">
        <f>'P&amp;L Month'!AX52*(1+'Détail CF'!$C48)</f>
        <v>0</v>
      </c>
      <c r="AW48" s="102">
        <f>'P&amp;L Month'!AY52*(1+'Détail CF'!$C48)</f>
        <v>0</v>
      </c>
      <c r="AX48" s="102">
        <f>'P&amp;L Month'!AZ52*(1+'Détail CF'!$C48)</f>
        <v>0</v>
      </c>
      <c r="AY48" s="102">
        <f>'P&amp;L Month'!BA52*(1+'Détail CF'!$C48)</f>
        <v>0</v>
      </c>
      <c r="AZ48" s="102">
        <f>'P&amp;L Month'!BB52*(1+'Détail CF'!$C48)</f>
        <v>0</v>
      </c>
      <c r="BA48" s="102">
        <f>'P&amp;L Month'!BC52*(1+'Détail CF'!$C48)</f>
        <v>0</v>
      </c>
      <c r="BB48" s="102">
        <f>'P&amp;L Month'!BD52*(1+'Détail CF'!$C48)</f>
        <v>0</v>
      </c>
      <c r="BC48" s="102">
        <f>'P&amp;L Month'!BE52*(1+'Détail CF'!$C48)</f>
        <v>0</v>
      </c>
      <c r="BD48" s="102">
        <f>'P&amp;L Month'!BF52*(1+'Détail CF'!$C48)</f>
        <v>0</v>
      </c>
      <c r="BE48" s="102">
        <f>'P&amp;L Month'!BG52*(1+'Détail CF'!$C48)</f>
        <v>0</v>
      </c>
      <c r="BF48" s="102">
        <f>'P&amp;L Month'!BH52*(1+'Détail CF'!$C48)</f>
        <v>0</v>
      </c>
      <c r="BG48" s="102">
        <f>'P&amp;L Month'!BI52*(1+'Détail CF'!$C48)</f>
        <v>0</v>
      </c>
      <c r="BH48" s="102">
        <f>'P&amp;L Month'!BJ52*(1+'Détail CF'!$C48)</f>
        <v>0</v>
      </c>
      <c r="BI48" s="102">
        <f>'P&amp;L Month'!BK52*(1+'Détail CF'!$C48)</f>
        <v>0</v>
      </c>
      <c r="BJ48" s="102">
        <f>'P&amp;L Month'!BL52*(1+'Détail CF'!$C48)</f>
        <v>0</v>
      </c>
      <c r="BK48" s="102">
        <f>'P&amp;L Month'!BM52*(1+'Détail CF'!$C48)</f>
        <v>0</v>
      </c>
      <c r="BL48" s="102">
        <f>'P&amp;L Month'!BN52*(1+'Détail CF'!$C48)</f>
        <v>0</v>
      </c>
      <c r="BM48" s="102">
        <f>'P&amp;L Month'!BO52*(1+'Détail CF'!$C48)</f>
        <v>0</v>
      </c>
      <c r="BN48" s="102">
        <f>'P&amp;L Month'!BP52*(1+'Détail CF'!$C48)</f>
        <v>0</v>
      </c>
      <c r="BO48" s="102">
        <f>'P&amp;L Month'!BQ52*(1+'Détail CF'!$C48)</f>
        <v>0</v>
      </c>
      <c r="BP48" s="102">
        <f>'P&amp;L Month'!BR52*(1+'Détail CF'!$C48)</f>
        <v>0</v>
      </c>
      <c r="BQ48" s="102">
        <f>'P&amp;L Month'!BS52*(1+'Détail CF'!$C48)</f>
        <v>0</v>
      </c>
      <c r="BR48" s="102">
        <f>'P&amp;L Month'!BT52*(1+'Détail CF'!$C48)</f>
        <v>0</v>
      </c>
      <c r="BS48" s="102">
        <f>'P&amp;L Month'!BU52*(1+'Détail CF'!$C48)</f>
        <v>0</v>
      </c>
      <c r="BT48" s="102">
        <f>'P&amp;L Month'!BV52*(1+'Détail CF'!$C48)</f>
        <v>0</v>
      </c>
      <c r="BU48" s="102">
        <f>'P&amp;L Month'!BW52*(1+'Détail CF'!$C48)</f>
        <v>0</v>
      </c>
      <c r="BV48" s="102">
        <f>'P&amp;L Month'!BX52*(1+'Détail CF'!$C48)</f>
        <v>0</v>
      </c>
      <c r="BW48" s="102">
        <f>'P&amp;L Month'!BY52*(1+'Détail CF'!$C48)</f>
        <v>0</v>
      </c>
      <c r="BX48" s="102">
        <f>'P&amp;L Month'!BZ52*(1+'Détail CF'!$C48)</f>
        <v>0</v>
      </c>
      <c r="BY48" s="102">
        <f>'P&amp;L Month'!CA52*(1+'Détail CF'!$C48)</f>
        <v>0</v>
      </c>
      <c r="BZ48" s="102">
        <f>'P&amp;L Month'!CB52*(1+'Détail CF'!$C48)</f>
        <v>0</v>
      </c>
      <c r="CA48" s="102">
        <f>'P&amp;L Month'!CC52*(1+'Détail CF'!$C48)</f>
        <v>0</v>
      </c>
      <c r="CB48" s="102">
        <f>'P&amp;L Month'!CD52*(1+'Détail CF'!$C48)</f>
        <v>0</v>
      </c>
      <c r="CC48" s="102">
        <f>'P&amp;L Month'!CE52*(1+'Détail CF'!$C48)</f>
        <v>0</v>
      </c>
      <c r="CD48" s="102">
        <f>'P&amp;L Month'!CF52*(1+'Détail CF'!$C48)</f>
        <v>0</v>
      </c>
      <c r="CE48" s="102">
        <f>'P&amp;L Month'!CG52*(1+'Détail CF'!$C48)</f>
        <v>0</v>
      </c>
    </row>
    <row r="49" spans="1:83"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</row>
    <row r="50" spans="1:83"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</row>
    <row r="51" spans="1:83">
      <c r="A51" s="12" t="s">
        <v>268</v>
      </c>
    </row>
    <row r="52" spans="1:83">
      <c r="B52" t="s">
        <v>26</v>
      </c>
      <c r="C52" s="182">
        <f t="shared" ref="C52:E67" si="28">+C26</f>
        <v>0.19600000000000001</v>
      </c>
      <c r="D52" s="99">
        <f t="shared" si="28"/>
        <v>60</v>
      </c>
      <c r="E52" s="195" t="str">
        <f t="shared" si="28"/>
        <v>F</v>
      </c>
      <c r="F52" s="102">
        <f>-IF($D52&lt;30,'P&amp;L Month'!H22*(1+'Détail CF'!$C52),0)</f>
        <v>0</v>
      </c>
      <c r="G52" s="102">
        <f>-IF($D52&lt;30,'P&amp;L Month'!I22*(1+'Détail CF'!$C52),IF($D52&lt;60,'P&amp;L Month'!H22*(1+'Détail CF'!$C52),0))</f>
        <v>0</v>
      </c>
      <c r="H52" s="102">
        <f>-IF($D52&lt;30,'P&amp;L Month'!J22*(1+'Détail CF'!$C52),IF($D52&lt;60,'P&amp;L Month'!I22*(1+'Détail CF'!$C52),IF($D52&gt;=60,'P&amp;L Month'!H22*(1+'Détail CF'!$C52),0)))</f>
        <v>0</v>
      </c>
      <c r="I52" s="102">
        <f>-IF($D52&lt;30,'P&amp;L Month'!K22*(1+'Détail CF'!$C52),IF($D52&lt;60,'P&amp;L Month'!J22*(1+'Détail CF'!$C52),IF($D52&gt;=60,'P&amp;L Month'!I22*(1+'Détail CF'!$C52),0)))</f>
        <v>0</v>
      </c>
      <c r="J52" s="102">
        <f>-IF($D52&lt;30,'P&amp;L Month'!L22*(1+'Détail CF'!$C52),IF($D52&lt;60,'P&amp;L Month'!K22*(1+'Détail CF'!$C52),IF($D52&gt;=60,'P&amp;L Month'!J22*(1+'Détail CF'!$C52),0)))</f>
        <v>0</v>
      </c>
      <c r="K52" s="102">
        <f>-IF($D52&lt;30,'P&amp;L Month'!M22*(1+'Détail CF'!$C52),IF($D52&lt;60,'P&amp;L Month'!L22*(1+'Détail CF'!$C52),IF($D52&gt;=60,'P&amp;L Month'!K22*(1+'Détail CF'!$C52),0)))</f>
        <v>0</v>
      </c>
      <c r="L52" s="102">
        <f>-IF($D52&lt;30,'P&amp;L Month'!N22*(1+'Détail CF'!$C52),IF($D52&lt;60,'P&amp;L Month'!M22*(1+'Détail CF'!$C52),IF($D52&gt;=60,'P&amp;L Month'!L22*(1+'Détail CF'!$C52),0)))</f>
        <v>0</v>
      </c>
      <c r="M52" s="102">
        <f>-IF($D52&lt;30,'P&amp;L Month'!O22*(1+'Détail CF'!$C52),IF($D52&lt;60,'P&amp;L Month'!N22*(1+'Détail CF'!$C52),IF($D52&gt;=60,'P&amp;L Month'!M22*(1+'Détail CF'!$C52),0)))</f>
        <v>0</v>
      </c>
      <c r="N52" s="102">
        <f>-IF($D52&lt;30,'P&amp;L Month'!P22*(1+'Détail CF'!$C52),IF($D52&lt;60,'P&amp;L Month'!O22*(1+'Détail CF'!$C52),IF($D52&gt;=60,'P&amp;L Month'!N22*(1+'Détail CF'!$C52),0)))</f>
        <v>0</v>
      </c>
      <c r="O52" s="102">
        <f>-IF($D52&lt;30,'P&amp;L Month'!Q22*(1+'Détail CF'!$C52),IF($D52&lt;60,'P&amp;L Month'!P22*(1+'Détail CF'!$C52),IF($D52&gt;=60,'P&amp;L Month'!O22*(1+'Détail CF'!$C52),0)))</f>
        <v>0</v>
      </c>
      <c r="P52" s="102">
        <f>-IF($D52&lt;30,'P&amp;L Month'!R22*(1+'Détail CF'!$C52),IF($D52&lt;60,'P&amp;L Month'!Q22*(1+'Détail CF'!$C52),IF($D52&gt;=60,'P&amp;L Month'!P22*(1+'Détail CF'!$C52),0)))</f>
        <v>0</v>
      </c>
      <c r="Q52" s="102">
        <f>-IF($D52&lt;30,'P&amp;L Month'!S22*(1+'Détail CF'!$C52),IF($D52&lt;60,'P&amp;L Month'!R22*(1+'Détail CF'!$C52),IF($D52&gt;=60,'P&amp;L Month'!Q22*(1+'Détail CF'!$C52),0)))</f>
        <v>0</v>
      </c>
      <c r="R52" s="102">
        <f>-IF($D52&lt;30,'P&amp;L Month'!T22*(1+'Détail CF'!$C52),IF($D52&lt;60,'P&amp;L Month'!S22*(1+'Détail CF'!$C52),IF($D52&gt;=60,'P&amp;L Month'!R22*(1+'Détail CF'!$C52),0)))</f>
        <v>0</v>
      </c>
      <c r="S52" s="102">
        <f>-IF($D52&lt;30,'P&amp;L Month'!U22*(1+'Détail CF'!$C52),IF($D52&lt;60,'P&amp;L Month'!T22*(1+'Détail CF'!$C52),IF($D52&gt;=60,'P&amp;L Month'!S22*(1+'Détail CF'!$C52),0)))</f>
        <v>0</v>
      </c>
      <c r="T52" s="102">
        <f>-IF($D52&lt;30,'P&amp;L Month'!V22*(1+'Détail CF'!$C52),IF($D52&lt;60,'P&amp;L Month'!U22*(1+'Détail CF'!$C52),IF($D52&gt;=60,'P&amp;L Month'!T22*(1+'Détail CF'!$C52),0)))</f>
        <v>0</v>
      </c>
      <c r="U52" s="102">
        <f>-IF($D52&lt;30,'P&amp;L Month'!W22*(1+'Détail CF'!$C52),IF($D52&lt;60,'P&amp;L Month'!V22*(1+'Détail CF'!$C52),IF($D52&gt;=60,'P&amp;L Month'!U22*(1+'Détail CF'!$C52),0)))</f>
        <v>0</v>
      </c>
      <c r="V52" s="102">
        <f>-IF($D52&lt;30,'P&amp;L Month'!X22*(1+'Détail CF'!$C52),IF($D52&lt;60,'P&amp;L Month'!W22*(1+'Détail CF'!$C52),IF($D52&gt;=60,'P&amp;L Month'!V22*(1+'Détail CF'!$C52),0)))</f>
        <v>0</v>
      </c>
      <c r="W52" s="102">
        <f>-IF($D52&lt;30,'P&amp;L Month'!Y22*(1+'Détail CF'!$C52),IF($D52&lt;60,'P&amp;L Month'!X22*(1+'Détail CF'!$C52),IF($D52&gt;=60,'P&amp;L Month'!W22*(1+'Détail CF'!$C52),0)))</f>
        <v>0</v>
      </c>
      <c r="X52" s="102">
        <f>-IF($D52&lt;30,'P&amp;L Month'!Z22*(1+'Détail CF'!$C52),IF($D52&lt;60,'P&amp;L Month'!Y22*(1+'Détail CF'!$C52),IF($D52&gt;=60,'P&amp;L Month'!X22*(1+'Détail CF'!$C52),0)))</f>
        <v>0</v>
      </c>
      <c r="Y52" s="102">
        <f>-IF($D52&lt;30,'P&amp;L Month'!AA22*(1+'Détail CF'!$C52),IF($D52&lt;60,'P&amp;L Month'!Z22*(1+'Détail CF'!$C52),IF($D52&gt;=60,'P&amp;L Month'!Y22*(1+'Détail CF'!$C52),0)))</f>
        <v>0</v>
      </c>
      <c r="Z52" s="102">
        <f>-IF($D52&lt;30,'P&amp;L Month'!AB22*(1+'Détail CF'!$C52),IF($D52&lt;60,'P&amp;L Month'!AA22*(1+'Détail CF'!$C52),IF($D52&gt;=60,'P&amp;L Month'!Z22*(1+'Détail CF'!$C52),0)))</f>
        <v>0</v>
      </c>
      <c r="AA52" s="102">
        <f>-IF($D52&lt;30,'P&amp;L Month'!AC22*(1+'Détail CF'!$C52),IF($D52&lt;60,'P&amp;L Month'!AB22*(1+'Détail CF'!$C52),IF($D52&gt;=60,'P&amp;L Month'!AA22*(1+'Détail CF'!$C52),0)))</f>
        <v>0</v>
      </c>
      <c r="AB52" s="102">
        <f>-IF($D52&lt;30,'P&amp;L Month'!AD22*(1+'Détail CF'!$C52),IF($D52&lt;60,'P&amp;L Month'!AC22*(1+'Détail CF'!$C52),IF($D52&gt;=60,'P&amp;L Month'!AB22*(1+'Détail CF'!$C52),0)))</f>
        <v>0</v>
      </c>
      <c r="AC52" s="102">
        <f>-IF($D52&lt;30,'P&amp;L Month'!AE22*(1+'Détail CF'!$C52),IF($D52&lt;60,'P&amp;L Month'!AD22*(1+'Détail CF'!$C52),IF($D52&gt;=60,'P&amp;L Month'!AC22*(1+'Détail CF'!$C52),0)))</f>
        <v>0</v>
      </c>
      <c r="AD52" s="102">
        <f>-IF($D52&lt;30,'P&amp;L Month'!AF22*(1+'Détail CF'!$C52),IF($D52&lt;60,'P&amp;L Month'!AE22*(1+'Détail CF'!$C52),IF($D52&gt;=60,'P&amp;L Month'!AD22*(1+'Détail CF'!$C52),0)))</f>
        <v>0</v>
      </c>
      <c r="AE52" s="102">
        <f>-IF($D52&lt;30,'P&amp;L Month'!AG22*(1+'Détail CF'!$C52),IF($D52&lt;60,'P&amp;L Month'!AF22*(1+'Détail CF'!$C52),IF($D52&gt;=60,'P&amp;L Month'!AE22*(1+'Détail CF'!$C52),0)))</f>
        <v>0</v>
      </c>
      <c r="AF52" s="102">
        <f>-IF($D52&lt;30,'P&amp;L Month'!AH22*(1+'Détail CF'!$C52),IF($D52&lt;60,'P&amp;L Month'!AG22*(1+'Détail CF'!$C52),IF($D52&gt;=60,'P&amp;L Month'!AF22*(1+'Détail CF'!$C52),0)))</f>
        <v>0</v>
      </c>
      <c r="AG52" s="102">
        <f>-IF($D52&lt;30,'P&amp;L Month'!AI22*(1+'Détail CF'!$C52),IF($D52&lt;60,'P&amp;L Month'!AH22*(1+'Détail CF'!$C52),IF($D52&gt;=60,'P&amp;L Month'!AG22*(1+'Détail CF'!$C52),0)))</f>
        <v>0</v>
      </c>
      <c r="AH52" s="102">
        <f>-IF($D52&lt;30,'P&amp;L Month'!AJ22*(1+'Détail CF'!$C52),IF($D52&lt;60,'P&amp;L Month'!AI22*(1+'Détail CF'!$C52),IF($D52&gt;=60,'P&amp;L Month'!AH22*(1+'Détail CF'!$C52),0)))</f>
        <v>0</v>
      </c>
      <c r="AI52" s="102">
        <f>-IF($D52&lt;30,'P&amp;L Month'!AK22*(1+'Détail CF'!$C52),IF($D52&lt;60,'P&amp;L Month'!AJ22*(1+'Détail CF'!$C52),IF($D52&gt;=60,'P&amp;L Month'!AI22*(1+'Détail CF'!$C52),0)))</f>
        <v>0</v>
      </c>
      <c r="AJ52" s="102">
        <f>-IF($D52&lt;30,'P&amp;L Month'!AL22*(1+'Détail CF'!$C52),IF($D52&lt;60,'P&amp;L Month'!AK22*(1+'Détail CF'!$C52),IF($D52&gt;=60,'P&amp;L Month'!AJ22*(1+'Détail CF'!$C52),0)))</f>
        <v>0</v>
      </c>
      <c r="AK52" s="102">
        <f>-IF($D52&lt;30,'P&amp;L Month'!AM22*(1+'Détail CF'!$C52),IF($D52&lt;60,'P&amp;L Month'!AL22*(1+'Détail CF'!$C52),IF($D52&gt;=60,'P&amp;L Month'!AK22*(1+'Détail CF'!$C52),0)))</f>
        <v>0</v>
      </c>
      <c r="AL52" s="102">
        <f>-IF($D52&lt;30,'P&amp;L Month'!AN22*(1+'Détail CF'!$C52),IF($D52&lt;60,'P&amp;L Month'!AM22*(1+'Détail CF'!$C52),IF($D52&gt;=60,'P&amp;L Month'!AL22*(1+'Détail CF'!$C52),0)))</f>
        <v>0</v>
      </c>
      <c r="AM52" s="102">
        <f>-IF($D52&lt;30,'P&amp;L Month'!AO22*(1+'Détail CF'!$C52),IF($D52&lt;60,'P&amp;L Month'!AN22*(1+'Détail CF'!$C52),IF($D52&gt;=60,'P&amp;L Month'!AM22*(1+'Détail CF'!$C52),0)))</f>
        <v>0</v>
      </c>
      <c r="AN52" s="102">
        <f>-IF($D52&lt;30,'P&amp;L Month'!AP22*(1+'Détail CF'!$C52),IF($D52&lt;60,'P&amp;L Month'!AO22*(1+'Détail CF'!$C52),IF($D52&gt;=60,'P&amp;L Month'!AN22*(1+'Détail CF'!$C52),0)))</f>
        <v>0</v>
      </c>
      <c r="AO52" s="102">
        <f>-IF($D52&lt;30,'P&amp;L Month'!AQ22*(1+'Détail CF'!$C52),IF($D52&lt;60,'P&amp;L Month'!AP22*(1+'Détail CF'!$C52),IF($D52&gt;=60,'P&amp;L Month'!AO22*(1+'Détail CF'!$C52),0)))</f>
        <v>0</v>
      </c>
      <c r="AP52" s="102">
        <f>-IF($D52&lt;30,'P&amp;L Month'!AR22*(1+'Détail CF'!$C52),IF($D52&lt;60,'P&amp;L Month'!AQ22*(1+'Détail CF'!$C52),IF($D52&gt;=60,'P&amp;L Month'!AP22*(1+'Détail CF'!$C52),0)))</f>
        <v>0</v>
      </c>
      <c r="AQ52" s="102">
        <f>-IF($D52&lt;30,'P&amp;L Month'!AS22*(1+'Détail CF'!$C52),IF($D52&lt;60,'P&amp;L Month'!AR22*(1+'Détail CF'!$C52),IF($D52&gt;=60,'P&amp;L Month'!AQ22*(1+'Détail CF'!$C52),0)))</f>
        <v>0</v>
      </c>
      <c r="AR52" s="102">
        <f>-IF($D52&lt;30,'P&amp;L Month'!AT22*(1+'Détail CF'!$C52),IF($D52&lt;60,'P&amp;L Month'!AS22*(1+'Détail CF'!$C52),IF($D52&gt;=60,'P&amp;L Month'!AR22*(1+'Détail CF'!$C52),0)))</f>
        <v>0</v>
      </c>
      <c r="AS52" s="102">
        <f>-IF($D52&lt;30,'P&amp;L Month'!AU22*(1+'Détail CF'!$C52),IF($D52&lt;60,'P&amp;L Month'!AT22*(1+'Détail CF'!$C52),IF($D52&gt;=60,'P&amp;L Month'!AS22*(1+'Détail CF'!$C52),0)))</f>
        <v>0</v>
      </c>
      <c r="AT52" s="102">
        <f>-IF($D52&lt;30,'P&amp;L Month'!AV22*(1+'Détail CF'!$C52),IF($D52&lt;60,'P&amp;L Month'!AU22*(1+'Détail CF'!$C52),IF($D52&gt;=60,'P&amp;L Month'!AT22*(1+'Détail CF'!$C52),0)))</f>
        <v>0</v>
      </c>
      <c r="AU52" s="102">
        <f>-IF($D52&lt;30,'P&amp;L Month'!AW22*(1+'Détail CF'!$C52),IF($D52&lt;60,'P&amp;L Month'!AV22*(1+'Détail CF'!$C52),IF($D52&gt;=60,'P&amp;L Month'!AU22*(1+'Détail CF'!$C52),0)))</f>
        <v>0</v>
      </c>
      <c r="AV52" s="102">
        <f>-IF($D52&lt;30,'P&amp;L Month'!AX22*(1+'Détail CF'!$C52),IF($D52&lt;60,'P&amp;L Month'!AW22*(1+'Détail CF'!$C52),IF($D52&gt;=60,'P&amp;L Month'!AV22*(1+'Détail CF'!$C52),0)))</f>
        <v>0</v>
      </c>
      <c r="AW52" s="102">
        <f>-IF($D52&lt;30,'P&amp;L Month'!AY22*(1+'Détail CF'!$C52),IF($D52&lt;60,'P&amp;L Month'!AX22*(1+'Détail CF'!$C52),IF($D52&gt;=60,'P&amp;L Month'!AW22*(1+'Détail CF'!$C52),0)))</f>
        <v>0</v>
      </c>
      <c r="AX52" s="102">
        <f>-IF($D52&lt;30,'P&amp;L Month'!AZ22*(1+'Détail CF'!$C52),IF($D52&lt;60,'P&amp;L Month'!AY22*(1+'Détail CF'!$C52),IF($D52&gt;=60,'P&amp;L Month'!AX22*(1+'Détail CF'!$C52),0)))</f>
        <v>0</v>
      </c>
      <c r="AY52" s="102">
        <f>-IF($D52&lt;30,'P&amp;L Month'!BA22*(1+'Détail CF'!$C52),IF($D52&lt;60,'P&amp;L Month'!AZ22*(1+'Détail CF'!$C52),IF($D52&gt;=60,'P&amp;L Month'!AY22*(1+'Détail CF'!$C52),0)))</f>
        <v>0</v>
      </c>
      <c r="AZ52" s="102">
        <f>-IF($D52&lt;30,'P&amp;L Month'!BB22*(1+'Détail CF'!$C52),IF($D52&lt;60,'P&amp;L Month'!BA22*(1+'Détail CF'!$C52),IF($D52&gt;=60,'P&amp;L Month'!AZ22*(1+'Détail CF'!$C52),0)))</f>
        <v>0</v>
      </c>
      <c r="BA52" s="102">
        <f>-IF($D52&lt;30,'P&amp;L Month'!BC22*(1+'Détail CF'!$C52),IF($D52&lt;60,'P&amp;L Month'!BB22*(1+'Détail CF'!$C52),IF($D52&gt;=60,'P&amp;L Month'!BA22*(1+'Détail CF'!$C52),0)))</f>
        <v>0</v>
      </c>
      <c r="BB52" s="102">
        <f>-IF($D52&lt;30,'P&amp;L Month'!BD22*(1+'Détail CF'!$C52),IF($D52&lt;60,'P&amp;L Month'!BC22*(1+'Détail CF'!$C52),IF($D52&gt;=60,'P&amp;L Month'!BB22*(1+'Détail CF'!$C52),0)))</f>
        <v>0</v>
      </c>
      <c r="BC52" s="102">
        <f>-IF($D52&lt;30,'P&amp;L Month'!BE22*(1+'Détail CF'!$C52),IF($D52&lt;60,'P&amp;L Month'!BD22*(1+'Détail CF'!$C52),IF($D52&gt;=60,'P&amp;L Month'!BC22*(1+'Détail CF'!$C52),0)))</f>
        <v>0</v>
      </c>
      <c r="BD52" s="102">
        <f>-IF($D52&lt;30,'P&amp;L Month'!BF22*(1+'Détail CF'!$C52),IF($D52&lt;60,'P&amp;L Month'!BE22*(1+'Détail CF'!$C52),IF($D52&gt;=60,'P&amp;L Month'!BD22*(1+'Détail CF'!$C52),0)))</f>
        <v>0</v>
      </c>
      <c r="BE52" s="102">
        <f>-IF($D52&lt;30,'P&amp;L Month'!BG22*(1+'Détail CF'!$C52),IF($D52&lt;60,'P&amp;L Month'!BF22*(1+'Détail CF'!$C52),IF($D52&gt;=60,'P&amp;L Month'!BE22*(1+'Détail CF'!$C52),0)))</f>
        <v>0</v>
      </c>
      <c r="BF52" s="102">
        <f>-IF($D52&lt;30,'P&amp;L Month'!BH22*(1+'Détail CF'!$C52),IF($D52&lt;60,'P&amp;L Month'!BG22*(1+'Détail CF'!$C52),IF($D52&gt;=60,'P&amp;L Month'!BF22*(1+'Détail CF'!$C52),0)))</f>
        <v>0</v>
      </c>
      <c r="BG52" s="102">
        <f>-IF($D52&lt;30,'P&amp;L Month'!BI22*(1+'Détail CF'!$C52),IF($D52&lt;60,'P&amp;L Month'!BH22*(1+'Détail CF'!$C52),IF($D52&gt;=60,'P&amp;L Month'!BG22*(1+'Détail CF'!$C52),0)))</f>
        <v>0</v>
      </c>
      <c r="BH52" s="102">
        <f>-IF($D52&lt;30,'P&amp;L Month'!BJ22*(1+'Détail CF'!$C52),IF($D52&lt;60,'P&amp;L Month'!BI22*(1+'Détail CF'!$C52),IF($D52&gt;=60,'P&amp;L Month'!BH22*(1+'Détail CF'!$C52),0)))</f>
        <v>0</v>
      </c>
      <c r="BI52" s="102">
        <f>-IF($D52&lt;30,'P&amp;L Month'!BK22*(1+'Détail CF'!$C52),IF($D52&lt;60,'P&amp;L Month'!BJ22*(1+'Détail CF'!$C52),IF($D52&gt;=60,'P&amp;L Month'!BI22*(1+'Détail CF'!$C52),0)))</f>
        <v>0</v>
      </c>
      <c r="BJ52" s="102">
        <f>-IF($D52&lt;30,'P&amp;L Month'!BL22*(1+'Détail CF'!$C52),IF($D52&lt;60,'P&amp;L Month'!BK22*(1+'Détail CF'!$C52),IF($D52&gt;=60,'P&amp;L Month'!BJ22*(1+'Détail CF'!$C52),0)))</f>
        <v>0</v>
      </c>
      <c r="BK52" s="102">
        <f>-IF($D52&lt;30,'P&amp;L Month'!BM22*(1+'Détail CF'!$C52),IF($D52&lt;60,'P&amp;L Month'!BL22*(1+'Détail CF'!$C52),IF($D52&gt;=60,'P&amp;L Month'!BK22*(1+'Détail CF'!$C52),0)))</f>
        <v>0</v>
      </c>
      <c r="BL52" s="102">
        <f>-IF($D52&lt;30,'P&amp;L Month'!BN22*(1+'Détail CF'!$C52),IF($D52&lt;60,'P&amp;L Month'!BM22*(1+'Détail CF'!$C52),IF($D52&gt;=60,'P&amp;L Month'!BL22*(1+'Détail CF'!$C52),0)))</f>
        <v>0</v>
      </c>
      <c r="BM52" s="102">
        <f>-IF($D52&lt;30,'P&amp;L Month'!BO22*(1+'Détail CF'!$C52),IF($D52&lt;60,'P&amp;L Month'!BN22*(1+'Détail CF'!$C52),IF($D52&gt;=60,'P&amp;L Month'!BM22*(1+'Détail CF'!$C52),0)))</f>
        <v>0</v>
      </c>
      <c r="BN52" s="102">
        <f>-IF($D52&lt;30,'P&amp;L Month'!BP22*(1+'Détail CF'!$C52),IF($D52&lt;60,'P&amp;L Month'!BO22*(1+'Détail CF'!$C52),IF($D52&gt;=60,'P&amp;L Month'!BN22*(1+'Détail CF'!$C52),0)))</f>
        <v>0</v>
      </c>
      <c r="BO52" s="102">
        <f>-IF($D52&lt;30,'P&amp;L Month'!BQ22*(1+'Détail CF'!$C52),IF($D52&lt;60,'P&amp;L Month'!BP22*(1+'Détail CF'!$C52),IF($D52&gt;=60,'P&amp;L Month'!BO22*(1+'Détail CF'!$C52),0)))</f>
        <v>0</v>
      </c>
      <c r="BP52" s="102">
        <f>-IF($D52&lt;30,'P&amp;L Month'!BR22*(1+'Détail CF'!$C52),IF($D52&lt;60,'P&amp;L Month'!BQ22*(1+'Détail CF'!$C52),IF($D52&gt;=60,'P&amp;L Month'!BP22*(1+'Détail CF'!$C52),0)))</f>
        <v>0</v>
      </c>
      <c r="BQ52" s="102">
        <f>-IF($D52&lt;30,'P&amp;L Month'!BS22*(1+'Détail CF'!$C52),IF($D52&lt;60,'P&amp;L Month'!BR22*(1+'Détail CF'!$C52),IF($D52&gt;=60,'P&amp;L Month'!BQ22*(1+'Détail CF'!$C52),0)))</f>
        <v>0</v>
      </c>
      <c r="BR52" s="102">
        <f>-IF($D52&lt;30,'P&amp;L Month'!BT22*(1+'Détail CF'!$C52),IF($D52&lt;60,'P&amp;L Month'!BS22*(1+'Détail CF'!$C52),IF($D52&gt;=60,'P&amp;L Month'!BR22*(1+'Détail CF'!$C52),0)))</f>
        <v>0</v>
      </c>
      <c r="BS52" s="102">
        <f>-IF($D52&lt;30,'P&amp;L Month'!BU22*(1+'Détail CF'!$C52),IF($D52&lt;60,'P&amp;L Month'!BT22*(1+'Détail CF'!$C52),IF($D52&gt;=60,'P&amp;L Month'!BS22*(1+'Détail CF'!$C52),0)))</f>
        <v>0</v>
      </c>
      <c r="BT52" s="102">
        <f>-IF($D52&lt;30,'P&amp;L Month'!BV22*(1+'Détail CF'!$C52),IF($D52&lt;60,'P&amp;L Month'!BU22*(1+'Détail CF'!$C52),IF($D52&gt;=60,'P&amp;L Month'!BT22*(1+'Détail CF'!$C52),0)))</f>
        <v>0</v>
      </c>
      <c r="BU52" s="102">
        <f>-IF($D52&lt;30,'P&amp;L Month'!BW22*(1+'Détail CF'!$C52),IF($D52&lt;60,'P&amp;L Month'!BV22*(1+'Détail CF'!$C52),IF($D52&gt;=60,'P&amp;L Month'!BU22*(1+'Détail CF'!$C52),0)))</f>
        <v>0</v>
      </c>
      <c r="BV52" s="102">
        <f>-IF($D52&lt;30,'P&amp;L Month'!BX22*(1+'Détail CF'!$C52),IF($D52&lt;60,'P&amp;L Month'!BW22*(1+'Détail CF'!$C52),IF($D52&gt;=60,'P&amp;L Month'!BV22*(1+'Détail CF'!$C52),0)))</f>
        <v>0</v>
      </c>
      <c r="BW52" s="102">
        <f>-IF($D52&lt;30,'P&amp;L Month'!BY22*(1+'Détail CF'!$C52),IF($D52&lt;60,'P&amp;L Month'!BX22*(1+'Détail CF'!$C52),IF($D52&gt;=60,'P&amp;L Month'!BW22*(1+'Détail CF'!$C52),0)))</f>
        <v>0</v>
      </c>
      <c r="BX52" s="102">
        <f>-IF($D52&lt;30,'P&amp;L Month'!BZ22*(1+'Détail CF'!$C52),IF($D52&lt;60,'P&amp;L Month'!BY22*(1+'Détail CF'!$C52),IF($D52&gt;=60,'P&amp;L Month'!BX22*(1+'Détail CF'!$C52),0)))</f>
        <v>0</v>
      </c>
      <c r="BY52" s="102">
        <f>-IF($D52&lt;30,'P&amp;L Month'!CA22*(1+'Détail CF'!$C52),IF($D52&lt;60,'P&amp;L Month'!BZ22*(1+'Détail CF'!$C52),IF($D52&gt;=60,'P&amp;L Month'!BY22*(1+'Détail CF'!$C52),0)))</f>
        <v>0</v>
      </c>
      <c r="BZ52" s="102">
        <f>-IF($D52&lt;30,'P&amp;L Month'!CB22*(1+'Détail CF'!$C52),IF($D52&lt;60,'P&amp;L Month'!CA22*(1+'Détail CF'!$C52),IF($D52&gt;=60,'P&amp;L Month'!BZ22*(1+'Détail CF'!$C52),0)))</f>
        <v>0</v>
      </c>
      <c r="CA52" s="102">
        <f>-IF($D52&lt;30,'P&amp;L Month'!CC22*(1+'Détail CF'!$C52),IF($D52&lt;60,'P&amp;L Month'!CB22*(1+'Détail CF'!$C52),IF($D52&gt;=60,'P&amp;L Month'!CA22*(1+'Détail CF'!$C52),0)))</f>
        <v>0</v>
      </c>
      <c r="CB52" s="102">
        <f>-IF($D52&lt;30,'P&amp;L Month'!CD22*(1+'Détail CF'!$C52),IF($D52&lt;60,'P&amp;L Month'!CC22*(1+'Détail CF'!$C52),IF($D52&gt;=60,'P&amp;L Month'!CB22*(1+'Détail CF'!$C52),0)))</f>
        <v>0</v>
      </c>
      <c r="CC52" s="102">
        <f>-IF($D52&lt;30,'P&amp;L Month'!CE22*(1+'Détail CF'!$C52),IF($D52&lt;60,'P&amp;L Month'!CD22*(1+'Détail CF'!$C52),IF($D52&gt;=60,'P&amp;L Month'!CC22*(1+'Détail CF'!$C52),0)))</f>
        <v>0</v>
      </c>
      <c r="CD52" s="102">
        <f>-IF($D52&lt;30,'P&amp;L Month'!CF22*(1+'Détail CF'!$C52),IF($D52&lt;60,'P&amp;L Month'!CE22*(1+'Détail CF'!$C52),IF($D52&gt;=60,'P&amp;L Month'!CD22*(1+'Détail CF'!$C52),0)))</f>
        <v>0</v>
      </c>
      <c r="CE52" s="102">
        <f>-IF($D52&lt;30,'P&amp;L Month'!CG22*(1+'Détail CF'!$C52),IF($D52&lt;60,'P&amp;L Month'!CF22*(1+'Détail CF'!$C52),IF($D52&gt;=60,'P&amp;L Month'!CE22*(1+'Détail CF'!$C52),0)))</f>
        <v>0</v>
      </c>
    </row>
    <row r="53" spans="1:83">
      <c r="B53" t="s">
        <v>30</v>
      </c>
      <c r="C53" s="182">
        <f t="shared" si="28"/>
        <v>0.19600000000000001</v>
      </c>
      <c r="D53" s="99">
        <f t="shared" si="28"/>
        <v>60</v>
      </c>
      <c r="E53" s="195" t="str">
        <f t="shared" si="28"/>
        <v>F</v>
      </c>
      <c r="F53" s="102">
        <f>-IF($D53&lt;30,'P&amp;L Month'!H24*(1+'Détail CF'!$C53),0)</f>
        <v>0</v>
      </c>
      <c r="G53" s="102">
        <f>-IF($D53&lt;30,'P&amp;L Month'!I24*(1+'Détail CF'!$C53),IF($D53&lt;60,'P&amp;L Month'!H24*(1+'Détail CF'!$C53),0))</f>
        <v>0</v>
      </c>
      <c r="H53" s="102">
        <f>-IF($D53&lt;30,'P&amp;L Month'!J24*(1+'Détail CF'!$C53),IF($D53&lt;60,'P&amp;L Month'!I24*(1+'Détail CF'!$C53),IF($D53&gt;=60,'P&amp;L Month'!H24*(1+'Détail CF'!$C53),0)))</f>
        <v>0</v>
      </c>
      <c r="I53" s="102">
        <f>-IF($D53&lt;30,'P&amp;L Month'!K24*(1+'Détail CF'!$C53),IF($D53&lt;60,'P&amp;L Month'!J24*(1+'Détail CF'!$C53),IF($D53&gt;=60,'P&amp;L Month'!I24*(1+'Détail CF'!$C53),0)))</f>
        <v>0</v>
      </c>
      <c r="J53" s="102">
        <f>-IF($D53&lt;30,'P&amp;L Month'!L24*(1+'Détail CF'!$C53),IF($D53&lt;60,'P&amp;L Month'!K24*(1+'Détail CF'!$C53),IF($D53&gt;=60,'P&amp;L Month'!J24*(1+'Détail CF'!$C53),0)))</f>
        <v>0</v>
      </c>
      <c r="K53" s="102">
        <f>-IF($D53&lt;30,'P&amp;L Month'!M24*(1+'Détail CF'!$C53),IF($D53&lt;60,'P&amp;L Month'!L24*(1+'Détail CF'!$C53),IF($D53&gt;=60,'P&amp;L Month'!K24*(1+'Détail CF'!$C53),0)))</f>
        <v>0</v>
      </c>
      <c r="L53" s="102">
        <f>-IF($D53&lt;30,'P&amp;L Month'!N24*(1+'Détail CF'!$C53),IF($D53&lt;60,'P&amp;L Month'!M24*(1+'Détail CF'!$C53),IF($D53&gt;=60,'P&amp;L Month'!L24*(1+'Détail CF'!$C53),0)))</f>
        <v>0</v>
      </c>
      <c r="M53" s="102">
        <f>-IF($D53&lt;30,'P&amp;L Month'!O24*(1+'Détail CF'!$C53),IF($D53&lt;60,'P&amp;L Month'!N24*(1+'Détail CF'!$C53),IF($D53&gt;=60,'P&amp;L Month'!M24*(1+'Détail CF'!$C53),0)))</f>
        <v>0</v>
      </c>
      <c r="N53" s="102">
        <f>-IF($D53&lt;30,'P&amp;L Month'!P24*(1+'Détail CF'!$C53),IF($D53&lt;60,'P&amp;L Month'!O24*(1+'Détail CF'!$C53),IF($D53&gt;=60,'P&amp;L Month'!N24*(1+'Détail CF'!$C53),0)))</f>
        <v>0</v>
      </c>
      <c r="O53" s="102">
        <f>-IF($D53&lt;30,'P&amp;L Month'!Q24*(1+'Détail CF'!$C53),IF($D53&lt;60,'P&amp;L Month'!P24*(1+'Détail CF'!$C53),IF($D53&gt;=60,'P&amp;L Month'!O24*(1+'Détail CF'!$C53),0)))</f>
        <v>0</v>
      </c>
      <c r="P53" s="102">
        <f>-IF($D53&lt;30,'P&amp;L Month'!R24*(1+'Détail CF'!$C53),IF($D53&lt;60,'P&amp;L Month'!Q24*(1+'Détail CF'!$C53),IF($D53&gt;=60,'P&amp;L Month'!P24*(1+'Détail CF'!$C53),0)))</f>
        <v>0</v>
      </c>
      <c r="Q53" s="102">
        <f>-IF($D53&lt;30,'P&amp;L Month'!S24*(1+'Détail CF'!$C53),IF($D53&lt;60,'P&amp;L Month'!R24*(1+'Détail CF'!$C53),IF($D53&gt;=60,'P&amp;L Month'!Q24*(1+'Détail CF'!$C53),0)))</f>
        <v>0</v>
      </c>
      <c r="R53" s="102">
        <f>-IF($D53&lt;30,'P&amp;L Month'!T24*(1+'Détail CF'!$C53),IF($D53&lt;60,'P&amp;L Month'!S24*(1+'Détail CF'!$C53),IF($D53&gt;=60,'P&amp;L Month'!R24*(1+'Détail CF'!$C53),0)))</f>
        <v>0</v>
      </c>
      <c r="S53" s="102">
        <f>-IF($D53&lt;30,'P&amp;L Month'!U24*(1+'Détail CF'!$C53),IF($D53&lt;60,'P&amp;L Month'!T24*(1+'Détail CF'!$C53),IF($D53&gt;=60,'P&amp;L Month'!S24*(1+'Détail CF'!$C53),0)))</f>
        <v>0</v>
      </c>
      <c r="T53" s="102">
        <f>-IF($D53&lt;30,'P&amp;L Month'!V24*(1+'Détail CF'!$C53),IF($D53&lt;60,'P&amp;L Month'!U24*(1+'Détail CF'!$C53),IF($D53&gt;=60,'P&amp;L Month'!T24*(1+'Détail CF'!$C53),0)))</f>
        <v>0</v>
      </c>
      <c r="U53" s="102">
        <f>-IF($D53&lt;30,'P&amp;L Month'!W24*(1+'Détail CF'!$C53),IF($D53&lt;60,'P&amp;L Month'!V24*(1+'Détail CF'!$C53),IF($D53&gt;=60,'P&amp;L Month'!U24*(1+'Détail CF'!$C53),0)))</f>
        <v>0</v>
      </c>
      <c r="V53" s="102">
        <f>-IF($D53&lt;30,'P&amp;L Month'!X24*(1+'Détail CF'!$C53),IF($D53&lt;60,'P&amp;L Month'!W24*(1+'Détail CF'!$C53),IF($D53&gt;=60,'P&amp;L Month'!V24*(1+'Détail CF'!$C53),0)))</f>
        <v>0</v>
      </c>
      <c r="W53" s="102">
        <f>-IF($D53&lt;30,'P&amp;L Month'!Y24*(1+'Détail CF'!$C53),IF($D53&lt;60,'P&amp;L Month'!X24*(1+'Détail CF'!$C53),IF($D53&gt;=60,'P&amp;L Month'!W24*(1+'Détail CF'!$C53),0)))</f>
        <v>0</v>
      </c>
      <c r="X53" s="102">
        <f>-IF($D53&lt;30,'P&amp;L Month'!Z24*(1+'Détail CF'!$C53),IF($D53&lt;60,'P&amp;L Month'!Y24*(1+'Détail CF'!$C53),IF($D53&gt;=60,'P&amp;L Month'!X24*(1+'Détail CF'!$C53),0)))</f>
        <v>0</v>
      </c>
      <c r="Y53" s="102">
        <f>-IF($D53&lt;30,'P&amp;L Month'!AA24*(1+'Détail CF'!$C53),IF($D53&lt;60,'P&amp;L Month'!Z24*(1+'Détail CF'!$C53),IF($D53&gt;=60,'P&amp;L Month'!Y24*(1+'Détail CF'!$C53),0)))</f>
        <v>0</v>
      </c>
      <c r="Z53" s="102">
        <f>-IF($D53&lt;30,'P&amp;L Month'!AB24*(1+'Détail CF'!$C53),IF($D53&lt;60,'P&amp;L Month'!AA24*(1+'Détail CF'!$C53),IF($D53&gt;=60,'P&amp;L Month'!Z24*(1+'Détail CF'!$C53),0)))</f>
        <v>0</v>
      </c>
      <c r="AA53" s="102">
        <f>-IF($D53&lt;30,'P&amp;L Month'!AC24*(1+'Détail CF'!$C53),IF($D53&lt;60,'P&amp;L Month'!AB24*(1+'Détail CF'!$C53),IF($D53&gt;=60,'P&amp;L Month'!AA24*(1+'Détail CF'!$C53),0)))</f>
        <v>0</v>
      </c>
      <c r="AB53" s="102">
        <f>-IF($D53&lt;30,'P&amp;L Month'!AD24*(1+'Détail CF'!$C53),IF($D53&lt;60,'P&amp;L Month'!AC24*(1+'Détail CF'!$C53),IF($D53&gt;=60,'P&amp;L Month'!AB24*(1+'Détail CF'!$C53),0)))</f>
        <v>0</v>
      </c>
      <c r="AC53" s="102">
        <f>-IF($D53&lt;30,'P&amp;L Month'!AE24*(1+'Détail CF'!$C53),IF($D53&lt;60,'P&amp;L Month'!AD24*(1+'Détail CF'!$C53),IF($D53&gt;=60,'P&amp;L Month'!AC24*(1+'Détail CF'!$C53),0)))</f>
        <v>0</v>
      </c>
      <c r="AD53" s="102">
        <f>-IF($D53&lt;30,'P&amp;L Month'!AF24*(1+'Détail CF'!$C53),IF($D53&lt;60,'P&amp;L Month'!AE24*(1+'Détail CF'!$C53),IF($D53&gt;=60,'P&amp;L Month'!AD24*(1+'Détail CF'!$C53),0)))</f>
        <v>0</v>
      </c>
      <c r="AE53" s="102">
        <f>-IF($D53&lt;30,'P&amp;L Month'!AG24*(1+'Détail CF'!$C53),IF($D53&lt;60,'P&amp;L Month'!AF24*(1+'Détail CF'!$C53),IF($D53&gt;=60,'P&amp;L Month'!AE24*(1+'Détail CF'!$C53),0)))</f>
        <v>0</v>
      </c>
      <c r="AF53" s="102">
        <f>-IF($D53&lt;30,'P&amp;L Month'!AH24*(1+'Détail CF'!$C53),IF($D53&lt;60,'P&amp;L Month'!AG24*(1+'Détail CF'!$C53),IF($D53&gt;=60,'P&amp;L Month'!AF24*(1+'Détail CF'!$C53),0)))</f>
        <v>0</v>
      </c>
      <c r="AG53" s="102">
        <f>-IF($D53&lt;30,'P&amp;L Month'!AI24*(1+'Détail CF'!$C53),IF($D53&lt;60,'P&amp;L Month'!AH24*(1+'Détail CF'!$C53),IF($D53&gt;=60,'P&amp;L Month'!AG24*(1+'Détail CF'!$C53),0)))</f>
        <v>0</v>
      </c>
      <c r="AH53" s="102">
        <f>-IF($D53&lt;30,'P&amp;L Month'!AJ24*(1+'Détail CF'!$C53),IF($D53&lt;60,'P&amp;L Month'!AI24*(1+'Détail CF'!$C53),IF($D53&gt;=60,'P&amp;L Month'!AH24*(1+'Détail CF'!$C53),0)))</f>
        <v>0</v>
      </c>
      <c r="AI53" s="102">
        <f>-IF($D53&lt;30,'P&amp;L Month'!AK24*(1+'Détail CF'!$C53),IF($D53&lt;60,'P&amp;L Month'!AJ24*(1+'Détail CF'!$C53),IF($D53&gt;=60,'P&amp;L Month'!AI24*(1+'Détail CF'!$C53),0)))</f>
        <v>0</v>
      </c>
      <c r="AJ53" s="102">
        <f>-IF($D53&lt;30,'P&amp;L Month'!AL24*(1+'Détail CF'!$C53),IF($D53&lt;60,'P&amp;L Month'!AK24*(1+'Détail CF'!$C53),IF($D53&gt;=60,'P&amp;L Month'!AJ24*(1+'Détail CF'!$C53),0)))</f>
        <v>0</v>
      </c>
      <c r="AK53" s="102">
        <f>-IF($D53&lt;30,'P&amp;L Month'!AM24*(1+'Détail CF'!$C53),IF($D53&lt;60,'P&amp;L Month'!AL24*(1+'Détail CF'!$C53),IF($D53&gt;=60,'P&amp;L Month'!AK24*(1+'Détail CF'!$C53),0)))</f>
        <v>0</v>
      </c>
      <c r="AL53" s="102">
        <f>-IF($D53&lt;30,'P&amp;L Month'!AN24*(1+'Détail CF'!$C53),IF($D53&lt;60,'P&amp;L Month'!AM24*(1+'Détail CF'!$C53),IF($D53&gt;=60,'P&amp;L Month'!AL24*(1+'Détail CF'!$C53),0)))</f>
        <v>0</v>
      </c>
      <c r="AM53" s="102">
        <f>-IF($D53&lt;30,'P&amp;L Month'!AO24*(1+'Détail CF'!$C53),IF($D53&lt;60,'P&amp;L Month'!AN24*(1+'Détail CF'!$C53),IF($D53&gt;=60,'P&amp;L Month'!AM24*(1+'Détail CF'!$C53),0)))</f>
        <v>0</v>
      </c>
      <c r="AN53" s="102">
        <f>-IF($D53&lt;30,'P&amp;L Month'!AP24*(1+'Détail CF'!$C53),IF($D53&lt;60,'P&amp;L Month'!AO24*(1+'Détail CF'!$C53),IF($D53&gt;=60,'P&amp;L Month'!AN24*(1+'Détail CF'!$C53),0)))</f>
        <v>0</v>
      </c>
      <c r="AO53" s="102">
        <f>-IF($D53&lt;30,'P&amp;L Month'!AQ24*(1+'Détail CF'!$C53),IF($D53&lt;60,'P&amp;L Month'!AP24*(1+'Détail CF'!$C53),IF($D53&gt;=60,'P&amp;L Month'!AO24*(1+'Détail CF'!$C53),0)))</f>
        <v>0</v>
      </c>
      <c r="AP53" s="102">
        <f>-IF($D53&lt;30,'P&amp;L Month'!AR24*(1+'Détail CF'!$C53),IF($D53&lt;60,'P&amp;L Month'!AQ24*(1+'Détail CF'!$C53),IF($D53&gt;=60,'P&amp;L Month'!AP24*(1+'Détail CF'!$C53),0)))</f>
        <v>0</v>
      </c>
      <c r="AQ53" s="102">
        <f>-IF($D53&lt;30,'P&amp;L Month'!AS24*(1+'Détail CF'!$C53),IF($D53&lt;60,'P&amp;L Month'!AR24*(1+'Détail CF'!$C53),IF($D53&gt;=60,'P&amp;L Month'!AQ24*(1+'Détail CF'!$C53),0)))</f>
        <v>0</v>
      </c>
      <c r="AR53" s="102">
        <f>-IF($D53&lt;30,'P&amp;L Month'!AT24*(1+'Détail CF'!$C53),IF($D53&lt;60,'P&amp;L Month'!AS24*(1+'Détail CF'!$C53),IF($D53&gt;=60,'P&amp;L Month'!AR24*(1+'Détail CF'!$C53),0)))</f>
        <v>0</v>
      </c>
      <c r="AS53" s="102">
        <f>-IF($D53&lt;30,'P&amp;L Month'!AU24*(1+'Détail CF'!$C53),IF($D53&lt;60,'P&amp;L Month'!AT24*(1+'Détail CF'!$C53),IF($D53&gt;=60,'P&amp;L Month'!AS24*(1+'Détail CF'!$C53),0)))</f>
        <v>0</v>
      </c>
      <c r="AT53" s="102">
        <f>-IF($D53&lt;30,'P&amp;L Month'!AV24*(1+'Détail CF'!$C53),IF($D53&lt;60,'P&amp;L Month'!AU24*(1+'Détail CF'!$C53),IF($D53&gt;=60,'P&amp;L Month'!AT24*(1+'Détail CF'!$C53),0)))</f>
        <v>0</v>
      </c>
      <c r="AU53" s="102">
        <f>-IF($D53&lt;30,'P&amp;L Month'!AW24*(1+'Détail CF'!$C53),IF($D53&lt;60,'P&amp;L Month'!AV24*(1+'Détail CF'!$C53),IF($D53&gt;=60,'P&amp;L Month'!AU24*(1+'Détail CF'!$C53),0)))</f>
        <v>0</v>
      </c>
      <c r="AV53" s="102">
        <f>-IF($D53&lt;30,'P&amp;L Month'!AX24*(1+'Détail CF'!$C53),IF($D53&lt;60,'P&amp;L Month'!AW24*(1+'Détail CF'!$C53),IF($D53&gt;=60,'P&amp;L Month'!AV24*(1+'Détail CF'!$C53),0)))</f>
        <v>0</v>
      </c>
      <c r="AW53" s="102">
        <f>-IF($D53&lt;30,'P&amp;L Month'!AY24*(1+'Détail CF'!$C53),IF($D53&lt;60,'P&amp;L Month'!AX24*(1+'Détail CF'!$C53),IF($D53&gt;=60,'P&amp;L Month'!AW24*(1+'Détail CF'!$C53),0)))</f>
        <v>0</v>
      </c>
      <c r="AX53" s="102">
        <f>-IF($D53&lt;30,'P&amp;L Month'!AZ24*(1+'Détail CF'!$C53),IF($D53&lt;60,'P&amp;L Month'!AY24*(1+'Détail CF'!$C53),IF($D53&gt;=60,'P&amp;L Month'!AX24*(1+'Détail CF'!$C53),0)))</f>
        <v>0</v>
      </c>
      <c r="AY53" s="102">
        <f>-IF($D53&lt;30,'P&amp;L Month'!BA24*(1+'Détail CF'!$C53),IF($D53&lt;60,'P&amp;L Month'!AZ24*(1+'Détail CF'!$C53),IF($D53&gt;=60,'P&amp;L Month'!AY24*(1+'Détail CF'!$C53),0)))</f>
        <v>0</v>
      </c>
      <c r="AZ53" s="102">
        <f>-IF($D53&lt;30,'P&amp;L Month'!BB24*(1+'Détail CF'!$C53),IF($D53&lt;60,'P&amp;L Month'!BA24*(1+'Détail CF'!$C53),IF($D53&gt;=60,'P&amp;L Month'!AZ24*(1+'Détail CF'!$C53),0)))</f>
        <v>0</v>
      </c>
      <c r="BA53" s="102">
        <f>-IF($D53&lt;30,'P&amp;L Month'!BC24*(1+'Détail CF'!$C53),IF($D53&lt;60,'P&amp;L Month'!BB24*(1+'Détail CF'!$C53),IF($D53&gt;=60,'P&amp;L Month'!BA24*(1+'Détail CF'!$C53),0)))</f>
        <v>0</v>
      </c>
      <c r="BB53" s="102">
        <f>-IF($D53&lt;30,'P&amp;L Month'!BD24*(1+'Détail CF'!$C53),IF($D53&lt;60,'P&amp;L Month'!BC24*(1+'Détail CF'!$C53),IF($D53&gt;=60,'P&amp;L Month'!BB24*(1+'Détail CF'!$C53),0)))</f>
        <v>0</v>
      </c>
      <c r="BC53" s="102">
        <f>-IF($D53&lt;30,'P&amp;L Month'!BE24*(1+'Détail CF'!$C53),IF($D53&lt;60,'P&amp;L Month'!BD24*(1+'Détail CF'!$C53),IF($D53&gt;=60,'P&amp;L Month'!BC24*(1+'Détail CF'!$C53),0)))</f>
        <v>0</v>
      </c>
      <c r="BD53" s="102">
        <f>-IF($D53&lt;30,'P&amp;L Month'!BF24*(1+'Détail CF'!$C53),IF($D53&lt;60,'P&amp;L Month'!BE24*(1+'Détail CF'!$C53),IF($D53&gt;=60,'P&amp;L Month'!BD24*(1+'Détail CF'!$C53),0)))</f>
        <v>0</v>
      </c>
      <c r="BE53" s="102">
        <f>-IF($D53&lt;30,'P&amp;L Month'!BG24*(1+'Détail CF'!$C53),IF($D53&lt;60,'P&amp;L Month'!BF24*(1+'Détail CF'!$C53),IF($D53&gt;=60,'P&amp;L Month'!BE24*(1+'Détail CF'!$C53),0)))</f>
        <v>0</v>
      </c>
      <c r="BF53" s="102">
        <f>-IF($D53&lt;30,'P&amp;L Month'!BH24*(1+'Détail CF'!$C53),IF($D53&lt;60,'P&amp;L Month'!BG24*(1+'Détail CF'!$C53),IF($D53&gt;=60,'P&amp;L Month'!BF24*(1+'Détail CF'!$C53),0)))</f>
        <v>0</v>
      </c>
      <c r="BG53" s="102">
        <f>-IF($D53&lt;30,'P&amp;L Month'!BI24*(1+'Détail CF'!$C53),IF($D53&lt;60,'P&amp;L Month'!BH24*(1+'Détail CF'!$C53),IF($D53&gt;=60,'P&amp;L Month'!BG24*(1+'Détail CF'!$C53),0)))</f>
        <v>0</v>
      </c>
      <c r="BH53" s="102">
        <f>-IF($D53&lt;30,'P&amp;L Month'!BJ24*(1+'Détail CF'!$C53),IF($D53&lt;60,'P&amp;L Month'!BI24*(1+'Détail CF'!$C53),IF($D53&gt;=60,'P&amp;L Month'!BH24*(1+'Détail CF'!$C53),0)))</f>
        <v>0</v>
      </c>
      <c r="BI53" s="102">
        <f>-IF($D53&lt;30,'P&amp;L Month'!BK24*(1+'Détail CF'!$C53),IF($D53&lt;60,'P&amp;L Month'!BJ24*(1+'Détail CF'!$C53),IF($D53&gt;=60,'P&amp;L Month'!BI24*(1+'Détail CF'!$C53),0)))</f>
        <v>0</v>
      </c>
      <c r="BJ53" s="102">
        <f>-IF($D53&lt;30,'P&amp;L Month'!BL24*(1+'Détail CF'!$C53),IF($D53&lt;60,'P&amp;L Month'!BK24*(1+'Détail CF'!$C53),IF($D53&gt;=60,'P&amp;L Month'!BJ24*(1+'Détail CF'!$C53),0)))</f>
        <v>0</v>
      </c>
      <c r="BK53" s="102">
        <f>-IF($D53&lt;30,'P&amp;L Month'!BM24*(1+'Détail CF'!$C53),IF($D53&lt;60,'P&amp;L Month'!BL24*(1+'Détail CF'!$C53),IF($D53&gt;=60,'P&amp;L Month'!BK24*(1+'Détail CF'!$C53),0)))</f>
        <v>0</v>
      </c>
      <c r="BL53" s="102">
        <f>-IF($D53&lt;30,'P&amp;L Month'!BN24*(1+'Détail CF'!$C53),IF($D53&lt;60,'P&amp;L Month'!BM24*(1+'Détail CF'!$C53),IF($D53&gt;=60,'P&amp;L Month'!BL24*(1+'Détail CF'!$C53),0)))</f>
        <v>0</v>
      </c>
      <c r="BM53" s="102">
        <f>-IF($D53&lt;30,'P&amp;L Month'!BO24*(1+'Détail CF'!$C53),IF($D53&lt;60,'P&amp;L Month'!BN24*(1+'Détail CF'!$C53),IF($D53&gt;=60,'P&amp;L Month'!BM24*(1+'Détail CF'!$C53),0)))</f>
        <v>0</v>
      </c>
      <c r="BN53" s="102">
        <f>-IF($D53&lt;30,'P&amp;L Month'!BP24*(1+'Détail CF'!$C53),IF($D53&lt;60,'P&amp;L Month'!BO24*(1+'Détail CF'!$C53),IF($D53&gt;=60,'P&amp;L Month'!BN24*(1+'Détail CF'!$C53),0)))</f>
        <v>0</v>
      </c>
      <c r="BO53" s="102">
        <f>-IF($D53&lt;30,'P&amp;L Month'!BQ24*(1+'Détail CF'!$C53),IF($D53&lt;60,'P&amp;L Month'!BP24*(1+'Détail CF'!$C53),IF($D53&gt;=60,'P&amp;L Month'!BO24*(1+'Détail CF'!$C53),0)))</f>
        <v>0</v>
      </c>
      <c r="BP53" s="102">
        <f>-IF($D53&lt;30,'P&amp;L Month'!BR24*(1+'Détail CF'!$C53),IF($D53&lt;60,'P&amp;L Month'!BQ24*(1+'Détail CF'!$C53),IF($D53&gt;=60,'P&amp;L Month'!BP24*(1+'Détail CF'!$C53),0)))</f>
        <v>0</v>
      </c>
      <c r="BQ53" s="102">
        <f>-IF($D53&lt;30,'P&amp;L Month'!BS24*(1+'Détail CF'!$C53),IF($D53&lt;60,'P&amp;L Month'!BR24*(1+'Détail CF'!$C53),IF($D53&gt;=60,'P&amp;L Month'!BQ24*(1+'Détail CF'!$C53),0)))</f>
        <v>0</v>
      </c>
      <c r="BR53" s="102">
        <f>-IF($D53&lt;30,'P&amp;L Month'!BT24*(1+'Détail CF'!$C53),IF($D53&lt;60,'P&amp;L Month'!BS24*(1+'Détail CF'!$C53),IF($D53&gt;=60,'P&amp;L Month'!BR24*(1+'Détail CF'!$C53),0)))</f>
        <v>0</v>
      </c>
      <c r="BS53" s="102">
        <f>-IF($D53&lt;30,'P&amp;L Month'!BU24*(1+'Détail CF'!$C53),IF($D53&lt;60,'P&amp;L Month'!BT24*(1+'Détail CF'!$C53),IF($D53&gt;=60,'P&amp;L Month'!BS24*(1+'Détail CF'!$C53),0)))</f>
        <v>0</v>
      </c>
      <c r="BT53" s="102">
        <f>-IF($D53&lt;30,'P&amp;L Month'!BV24*(1+'Détail CF'!$C53),IF($D53&lt;60,'P&amp;L Month'!BU24*(1+'Détail CF'!$C53),IF($D53&gt;=60,'P&amp;L Month'!BT24*(1+'Détail CF'!$C53),0)))</f>
        <v>0</v>
      </c>
      <c r="BU53" s="102">
        <f>-IF($D53&lt;30,'P&amp;L Month'!BW24*(1+'Détail CF'!$C53),IF($D53&lt;60,'P&amp;L Month'!BV24*(1+'Détail CF'!$C53),IF($D53&gt;=60,'P&amp;L Month'!BU24*(1+'Détail CF'!$C53),0)))</f>
        <v>0</v>
      </c>
      <c r="BV53" s="102">
        <f>-IF($D53&lt;30,'P&amp;L Month'!BX24*(1+'Détail CF'!$C53),IF($D53&lt;60,'P&amp;L Month'!BW24*(1+'Détail CF'!$C53),IF($D53&gt;=60,'P&amp;L Month'!BV24*(1+'Détail CF'!$C53),0)))</f>
        <v>0</v>
      </c>
      <c r="BW53" s="102">
        <f>-IF($D53&lt;30,'P&amp;L Month'!BY24*(1+'Détail CF'!$C53),IF($D53&lt;60,'P&amp;L Month'!BX24*(1+'Détail CF'!$C53),IF($D53&gt;=60,'P&amp;L Month'!BW24*(1+'Détail CF'!$C53),0)))</f>
        <v>0</v>
      </c>
      <c r="BX53" s="102">
        <f>-IF($D53&lt;30,'P&amp;L Month'!BZ24*(1+'Détail CF'!$C53),IF($D53&lt;60,'P&amp;L Month'!BY24*(1+'Détail CF'!$C53),IF($D53&gt;=60,'P&amp;L Month'!BX24*(1+'Détail CF'!$C53),0)))</f>
        <v>0</v>
      </c>
      <c r="BY53" s="102">
        <f>-IF($D53&lt;30,'P&amp;L Month'!CA24*(1+'Détail CF'!$C53),IF($D53&lt;60,'P&amp;L Month'!BZ24*(1+'Détail CF'!$C53),IF($D53&gt;=60,'P&amp;L Month'!BY24*(1+'Détail CF'!$C53),0)))</f>
        <v>0</v>
      </c>
      <c r="BZ53" s="102">
        <f>-IF($D53&lt;30,'P&amp;L Month'!CB24*(1+'Détail CF'!$C53),IF($D53&lt;60,'P&amp;L Month'!CA24*(1+'Détail CF'!$C53),IF($D53&gt;=60,'P&amp;L Month'!BZ24*(1+'Détail CF'!$C53),0)))</f>
        <v>0</v>
      </c>
      <c r="CA53" s="102">
        <f>-IF($D53&lt;30,'P&amp;L Month'!CC24*(1+'Détail CF'!$C53),IF($D53&lt;60,'P&amp;L Month'!CB24*(1+'Détail CF'!$C53),IF($D53&gt;=60,'P&amp;L Month'!CA24*(1+'Détail CF'!$C53),0)))</f>
        <v>0</v>
      </c>
      <c r="CB53" s="102">
        <f>-IF($D53&lt;30,'P&amp;L Month'!CD24*(1+'Détail CF'!$C53),IF($D53&lt;60,'P&amp;L Month'!CC24*(1+'Détail CF'!$C53),IF($D53&gt;=60,'P&amp;L Month'!CB24*(1+'Détail CF'!$C53),0)))</f>
        <v>0</v>
      </c>
      <c r="CC53" s="102">
        <f>-IF($D53&lt;30,'P&amp;L Month'!CE24*(1+'Détail CF'!$C53),IF($D53&lt;60,'P&amp;L Month'!CD24*(1+'Détail CF'!$C53),IF($D53&gt;=60,'P&amp;L Month'!CC24*(1+'Détail CF'!$C53),0)))</f>
        <v>0</v>
      </c>
      <c r="CD53" s="102">
        <f>-IF($D53&lt;30,'P&amp;L Month'!CF24*(1+'Détail CF'!$C53),IF($D53&lt;60,'P&amp;L Month'!CE24*(1+'Détail CF'!$C53),IF($D53&gt;=60,'P&amp;L Month'!CD24*(1+'Détail CF'!$C53),0)))</f>
        <v>0</v>
      </c>
      <c r="CE53" s="102">
        <f>-IF($D53&lt;30,'P&amp;L Month'!CG24*(1+'Détail CF'!$C53),IF($D53&lt;60,'P&amp;L Month'!CF24*(1+'Détail CF'!$C53),IF($D53&gt;=60,'P&amp;L Month'!CE24*(1+'Détail CF'!$C53),0)))</f>
        <v>0</v>
      </c>
    </row>
    <row r="54" spans="1:83">
      <c r="B54" t="s">
        <v>159</v>
      </c>
      <c r="C54" s="182">
        <f t="shared" si="28"/>
        <v>0.19600000000000001</v>
      </c>
      <c r="D54" s="99">
        <f t="shared" si="28"/>
        <v>60</v>
      </c>
      <c r="E54" s="195" t="str">
        <f t="shared" si="28"/>
        <v>F</v>
      </c>
      <c r="F54" s="102">
        <f>-IF($D54&lt;30,'P&amp;L Month'!H27*(1+'Détail CF'!$C54),0)</f>
        <v>0</v>
      </c>
      <c r="G54" s="102">
        <f>-IF($D54&lt;30,'P&amp;L Month'!I27*(1+'Détail CF'!$C54),IF($D54&lt;60,'P&amp;L Month'!H27*(1+'Détail CF'!$C54),0))</f>
        <v>0</v>
      </c>
      <c r="H54" s="102">
        <f>-IF($D54&lt;30,'P&amp;L Month'!J27*(1+'Détail CF'!$C54),IF($D54&lt;60,'P&amp;L Month'!I27*(1+'Détail CF'!$C54),IF($D54&gt;=60,'P&amp;L Month'!H27*(1+'Détail CF'!$C54),0)))</f>
        <v>0</v>
      </c>
      <c r="I54" s="102">
        <f>-IF($D54&lt;30,'P&amp;L Month'!K27*(1+'Détail CF'!$C54),IF($D54&lt;60,'P&amp;L Month'!J27*(1+'Détail CF'!$C54),IF($D54&gt;=60,'P&amp;L Month'!I27*(1+'Détail CF'!$C54),0)))</f>
        <v>0</v>
      </c>
      <c r="J54" s="102">
        <f>-IF($D54&lt;30,'P&amp;L Month'!L27*(1+'Détail CF'!$C54),IF($D54&lt;60,'P&amp;L Month'!K27*(1+'Détail CF'!$C54),IF($D54&gt;=60,'P&amp;L Month'!J27*(1+'Détail CF'!$C54),0)))</f>
        <v>0</v>
      </c>
      <c r="K54" s="102">
        <f>-IF($D54&lt;30,'P&amp;L Month'!M27*(1+'Détail CF'!$C54),IF($D54&lt;60,'P&amp;L Month'!L27*(1+'Détail CF'!$C54),IF($D54&gt;=60,'P&amp;L Month'!K27*(1+'Détail CF'!$C54),0)))</f>
        <v>0</v>
      </c>
      <c r="L54" s="102">
        <f>-IF($D54&lt;30,'P&amp;L Month'!N27*(1+'Détail CF'!$C54),IF($D54&lt;60,'P&amp;L Month'!M27*(1+'Détail CF'!$C54),IF($D54&gt;=60,'P&amp;L Month'!L27*(1+'Détail CF'!$C54),0)))</f>
        <v>0</v>
      </c>
      <c r="M54" s="102">
        <f>-IF($D54&lt;30,'P&amp;L Month'!O27*(1+'Détail CF'!$C54),IF($D54&lt;60,'P&amp;L Month'!N27*(1+'Détail CF'!$C54),IF($D54&gt;=60,'P&amp;L Month'!M27*(1+'Détail CF'!$C54),0)))</f>
        <v>0</v>
      </c>
      <c r="N54" s="102">
        <f>-IF($D54&lt;30,'P&amp;L Month'!P27*(1+'Détail CF'!$C54),IF($D54&lt;60,'P&amp;L Month'!O27*(1+'Détail CF'!$C54),IF($D54&gt;=60,'P&amp;L Month'!N27*(1+'Détail CF'!$C54),0)))</f>
        <v>0</v>
      </c>
      <c r="O54" s="102">
        <f>-IF($D54&lt;30,'P&amp;L Month'!Q27*(1+'Détail CF'!$C54),IF($D54&lt;60,'P&amp;L Month'!P27*(1+'Détail CF'!$C54),IF($D54&gt;=60,'P&amp;L Month'!O27*(1+'Détail CF'!$C54),0)))</f>
        <v>0</v>
      </c>
      <c r="P54" s="102">
        <f>-IF($D54&lt;30,'P&amp;L Month'!R27*(1+'Détail CF'!$C54),IF($D54&lt;60,'P&amp;L Month'!Q27*(1+'Détail CF'!$C54),IF($D54&gt;=60,'P&amp;L Month'!P27*(1+'Détail CF'!$C54),0)))</f>
        <v>0</v>
      </c>
      <c r="Q54" s="102">
        <f>-IF($D54&lt;30,'P&amp;L Month'!S27*(1+'Détail CF'!$C54),IF($D54&lt;60,'P&amp;L Month'!R27*(1+'Détail CF'!$C54),IF($D54&gt;=60,'P&amp;L Month'!Q27*(1+'Détail CF'!$C54),0)))</f>
        <v>0</v>
      </c>
      <c r="R54" s="102">
        <f>-IF($D54&lt;30,'P&amp;L Month'!T27*(1+'Détail CF'!$C54),IF($D54&lt;60,'P&amp;L Month'!S27*(1+'Détail CF'!$C54),IF($D54&gt;=60,'P&amp;L Month'!R27*(1+'Détail CF'!$C54),0)))</f>
        <v>0</v>
      </c>
      <c r="S54" s="102">
        <f>-IF($D54&lt;30,'P&amp;L Month'!U27*(1+'Détail CF'!$C54),IF($D54&lt;60,'P&amp;L Month'!T27*(1+'Détail CF'!$C54),IF($D54&gt;=60,'P&amp;L Month'!S27*(1+'Détail CF'!$C54),0)))</f>
        <v>0</v>
      </c>
      <c r="T54" s="102">
        <f>-IF($D54&lt;30,'P&amp;L Month'!V27*(1+'Détail CF'!$C54),IF($D54&lt;60,'P&amp;L Month'!U27*(1+'Détail CF'!$C54),IF($D54&gt;=60,'P&amp;L Month'!T27*(1+'Détail CF'!$C54),0)))</f>
        <v>0</v>
      </c>
      <c r="U54" s="102">
        <f>-IF($D54&lt;30,'P&amp;L Month'!W27*(1+'Détail CF'!$C54),IF($D54&lt;60,'P&amp;L Month'!V27*(1+'Détail CF'!$C54),IF($D54&gt;=60,'P&amp;L Month'!U27*(1+'Détail CF'!$C54),0)))</f>
        <v>0</v>
      </c>
      <c r="V54" s="102">
        <f>-IF($D54&lt;30,'P&amp;L Month'!X27*(1+'Détail CF'!$C54),IF($D54&lt;60,'P&amp;L Month'!W27*(1+'Détail CF'!$C54),IF($D54&gt;=60,'P&amp;L Month'!V27*(1+'Détail CF'!$C54),0)))</f>
        <v>0</v>
      </c>
      <c r="W54" s="102">
        <f>-IF($D54&lt;30,'P&amp;L Month'!Y27*(1+'Détail CF'!$C54),IF($D54&lt;60,'P&amp;L Month'!X27*(1+'Détail CF'!$C54),IF($D54&gt;=60,'P&amp;L Month'!W27*(1+'Détail CF'!$C54),0)))</f>
        <v>0</v>
      </c>
      <c r="X54" s="102">
        <f>-IF($D54&lt;30,'P&amp;L Month'!Z27*(1+'Détail CF'!$C54),IF($D54&lt;60,'P&amp;L Month'!Y27*(1+'Détail CF'!$C54),IF($D54&gt;=60,'P&amp;L Month'!X27*(1+'Détail CF'!$C54),0)))</f>
        <v>0</v>
      </c>
      <c r="Y54" s="102">
        <f>-IF($D54&lt;30,'P&amp;L Month'!AA27*(1+'Détail CF'!$C54),IF($D54&lt;60,'P&amp;L Month'!Z27*(1+'Détail CF'!$C54),IF($D54&gt;=60,'P&amp;L Month'!Y27*(1+'Détail CF'!$C54),0)))</f>
        <v>0</v>
      </c>
      <c r="Z54" s="102">
        <f>-IF($D54&lt;30,'P&amp;L Month'!AB27*(1+'Détail CF'!$C54),IF($D54&lt;60,'P&amp;L Month'!AA27*(1+'Détail CF'!$C54),IF($D54&gt;=60,'P&amp;L Month'!Z27*(1+'Détail CF'!$C54),0)))</f>
        <v>0</v>
      </c>
      <c r="AA54" s="102">
        <f>-IF($D54&lt;30,'P&amp;L Month'!AC27*(1+'Détail CF'!$C54),IF($D54&lt;60,'P&amp;L Month'!AB27*(1+'Détail CF'!$C54),IF($D54&gt;=60,'P&amp;L Month'!AA27*(1+'Détail CF'!$C54),0)))</f>
        <v>0</v>
      </c>
      <c r="AB54" s="102">
        <f>-IF($D54&lt;30,'P&amp;L Month'!AD27*(1+'Détail CF'!$C54),IF($D54&lt;60,'P&amp;L Month'!AC27*(1+'Détail CF'!$C54),IF($D54&gt;=60,'P&amp;L Month'!AB27*(1+'Détail CF'!$C54),0)))</f>
        <v>0</v>
      </c>
      <c r="AC54" s="102">
        <f>-IF($D54&lt;30,'P&amp;L Month'!AE27*(1+'Détail CF'!$C54),IF($D54&lt;60,'P&amp;L Month'!AD27*(1+'Détail CF'!$C54),IF($D54&gt;=60,'P&amp;L Month'!AC27*(1+'Détail CF'!$C54),0)))</f>
        <v>0</v>
      </c>
      <c r="AD54" s="102">
        <f>-IF($D54&lt;30,'P&amp;L Month'!AF27*(1+'Détail CF'!$C54),IF($D54&lt;60,'P&amp;L Month'!AE27*(1+'Détail CF'!$C54),IF($D54&gt;=60,'P&amp;L Month'!AD27*(1+'Détail CF'!$C54),0)))</f>
        <v>0</v>
      </c>
      <c r="AE54" s="102">
        <f>-IF($D54&lt;30,'P&amp;L Month'!AG27*(1+'Détail CF'!$C54),IF($D54&lt;60,'P&amp;L Month'!AF27*(1+'Détail CF'!$C54),IF($D54&gt;=60,'P&amp;L Month'!AE27*(1+'Détail CF'!$C54),0)))</f>
        <v>0</v>
      </c>
      <c r="AF54" s="102">
        <f>-IF($D54&lt;30,'P&amp;L Month'!AH27*(1+'Détail CF'!$C54),IF($D54&lt;60,'P&amp;L Month'!AG27*(1+'Détail CF'!$C54),IF($D54&gt;=60,'P&amp;L Month'!AF27*(1+'Détail CF'!$C54),0)))</f>
        <v>0</v>
      </c>
      <c r="AG54" s="102">
        <f>-IF($D54&lt;30,'P&amp;L Month'!AI27*(1+'Détail CF'!$C54),IF($D54&lt;60,'P&amp;L Month'!AH27*(1+'Détail CF'!$C54),IF($D54&gt;=60,'P&amp;L Month'!AG27*(1+'Détail CF'!$C54),0)))</f>
        <v>0</v>
      </c>
      <c r="AH54" s="102">
        <f>-IF($D54&lt;30,'P&amp;L Month'!AJ27*(1+'Détail CF'!$C54),IF($D54&lt;60,'P&amp;L Month'!AI27*(1+'Détail CF'!$C54),IF($D54&gt;=60,'P&amp;L Month'!AH27*(1+'Détail CF'!$C54),0)))</f>
        <v>0</v>
      </c>
      <c r="AI54" s="102">
        <f>-IF($D54&lt;30,'P&amp;L Month'!AK27*(1+'Détail CF'!$C54),IF($D54&lt;60,'P&amp;L Month'!AJ27*(1+'Détail CF'!$C54),IF($D54&gt;=60,'P&amp;L Month'!AI27*(1+'Détail CF'!$C54),0)))</f>
        <v>0</v>
      </c>
      <c r="AJ54" s="102">
        <f>-IF($D54&lt;30,'P&amp;L Month'!AL27*(1+'Détail CF'!$C54),IF($D54&lt;60,'P&amp;L Month'!AK27*(1+'Détail CF'!$C54),IF($D54&gt;=60,'P&amp;L Month'!AJ27*(1+'Détail CF'!$C54),0)))</f>
        <v>0</v>
      </c>
      <c r="AK54" s="102">
        <f>-IF($D54&lt;30,'P&amp;L Month'!AM27*(1+'Détail CF'!$C54),IF($D54&lt;60,'P&amp;L Month'!AL27*(1+'Détail CF'!$C54),IF($D54&gt;=60,'P&amp;L Month'!AK27*(1+'Détail CF'!$C54),0)))</f>
        <v>0</v>
      </c>
      <c r="AL54" s="102">
        <f>-IF($D54&lt;30,'P&amp;L Month'!AN27*(1+'Détail CF'!$C54),IF($D54&lt;60,'P&amp;L Month'!AM27*(1+'Détail CF'!$C54),IF($D54&gt;=60,'P&amp;L Month'!AL27*(1+'Détail CF'!$C54),0)))</f>
        <v>-1177.0434</v>
      </c>
      <c r="AM54" s="102">
        <f>-IF($D54&lt;30,'P&amp;L Month'!AO27*(1+'Détail CF'!$C54),IF($D54&lt;60,'P&amp;L Month'!AN27*(1+'Détail CF'!$C54),IF($D54&gt;=60,'P&amp;L Month'!AM27*(1+'Détail CF'!$C54),0)))</f>
        <v>-2354.0868</v>
      </c>
      <c r="AN54" s="102">
        <f>-IF($D54&lt;30,'P&amp;L Month'!AP27*(1+'Détail CF'!$C54),IF($D54&lt;60,'P&amp;L Month'!AO27*(1+'Détail CF'!$C54),IF($D54&gt;=60,'P&amp;L Month'!AN27*(1+'Détail CF'!$C54),0)))</f>
        <v>-3531.1302000000001</v>
      </c>
      <c r="AO54" s="102">
        <f>-IF($D54&lt;30,'P&amp;L Month'!AQ27*(1+'Détail CF'!$C54),IF($D54&lt;60,'P&amp;L Month'!AP27*(1+'Détail CF'!$C54),IF($D54&gt;=60,'P&amp;L Month'!AO27*(1+'Détail CF'!$C54),0)))</f>
        <v>-4708.1736000000001</v>
      </c>
      <c r="AP54" s="102">
        <f>-IF($D54&lt;30,'P&amp;L Month'!AR27*(1+'Détail CF'!$C54),IF($D54&lt;60,'P&amp;L Month'!AQ27*(1+'Détail CF'!$C54),IF($D54&gt;=60,'P&amp;L Month'!AP27*(1+'Détail CF'!$C54),0)))</f>
        <v>-5885.2169999999996</v>
      </c>
      <c r="AQ54" s="102">
        <f>-IF($D54&lt;30,'P&amp;L Month'!AS27*(1+'Détail CF'!$C54),IF($D54&lt;60,'P&amp;L Month'!AR27*(1+'Détail CF'!$C54),IF($D54&gt;=60,'P&amp;L Month'!AQ27*(1+'Détail CF'!$C54),0)))</f>
        <v>-7062.2604000000001</v>
      </c>
      <c r="AR54" s="102">
        <f>-IF($D54&lt;30,'P&amp;L Month'!AT27*(1+'Détail CF'!$C54),IF($D54&lt;60,'P&amp;L Month'!AS27*(1+'Détail CF'!$C54),IF($D54&gt;=60,'P&amp;L Month'!AR27*(1+'Détail CF'!$C54),0)))</f>
        <v>-9416.3472000000002</v>
      </c>
      <c r="AS54" s="102">
        <f>-IF($D54&lt;30,'P&amp;L Month'!AU27*(1+'Détail CF'!$C54),IF($D54&lt;60,'P&amp;L Month'!AT27*(1+'Détail CF'!$C54),IF($D54&gt;=60,'P&amp;L Month'!AS27*(1+'Détail CF'!$C54),0)))</f>
        <v>-11770.433999999999</v>
      </c>
      <c r="AT54" s="102">
        <f>-IF($D54&lt;30,'P&amp;L Month'!AV27*(1+'Détail CF'!$C54),IF($D54&lt;60,'P&amp;L Month'!AU27*(1+'Détail CF'!$C54),IF($D54&gt;=60,'P&amp;L Month'!AT27*(1+'Détail CF'!$C54),0)))</f>
        <v>-14124.5208</v>
      </c>
      <c r="AU54" s="102">
        <f>-IF($D54&lt;30,'P&amp;L Month'!AW27*(1+'Détail CF'!$C54),IF($D54&lt;60,'P&amp;L Month'!AV27*(1+'Détail CF'!$C54),IF($D54&gt;=60,'P&amp;L Month'!AU27*(1+'Détail CF'!$C54),0)))</f>
        <v>-17655.651000000002</v>
      </c>
      <c r="AV54" s="102">
        <f>-IF($D54&lt;30,'P&amp;L Month'!AX27*(1+'Détail CF'!$C54),IF($D54&lt;60,'P&amp;L Month'!AW27*(1+'Détail CF'!$C54),IF($D54&gt;=60,'P&amp;L Month'!AV27*(1+'Détail CF'!$C54),0)))</f>
        <v>-21186.781200000001</v>
      </c>
      <c r="AW54" s="102">
        <f>-IF($D54&lt;30,'P&amp;L Month'!AY27*(1+'Détail CF'!$C54),IF($D54&lt;60,'P&amp;L Month'!AX27*(1+'Détail CF'!$C54),IF($D54&gt;=60,'P&amp;L Month'!AW27*(1+'Détail CF'!$C54),0)))</f>
        <v>-24717.911400000001</v>
      </c>
      <c r="AX54" s="102">
        <f>-IF($D54&lt;30,'P&amp;L Month'!AZ27*(1+'Détail CF'!$C54),IF($D54&lt;60,'P&amp;L Month'!AY27*(1+'Détail CF'!$C54),IF($D54&gt;=60,'P&amp;L Month'!AX27*(1+'Détail CF'!$C54),0)))</f>
        <v>-28249.0416</v>
      </c>
      <c r="AY54" s="102">
        <f>-IF($D54&lt;30,'P&amp;L Month'!BA27*(1+'Détail CF'!$C54),IF($D54&lt;60,'P&amp;L Month'!AZ27*(1+'Détail CF'!$C54),IF($D54&gt;=60,'P&amp;L Month'!AY27*(1+'Détail CF'!$C54),0)))</f>
        <v>-34135.873200000002</v>
      </c>
      <c r="AZ54" s="102">
        <f>-IF($D54&lt;30,'P&amp;L Month'!BB27*(1+'Détail CF'!$C54),IF($D54&lt;60,'P&amp;L Month'!BA27*(1+'Détail CF'!$C54),IF($D54&gt;=60,'P&amp;L Month'!AZ27*(1+'Détail CF'!$C54),0)))</f>
        <v>-40022.704799999992</v>
      </c>
      <c r="BA54" s="102">
        <f>-IF($D54&lt;30,'P&amp;L Month'!BC27*(1+'Détail CF'!$C54),IF($D54&lt;60,'P&amp;L Month'!BB27*(1+'Détail CF'!$C54),IF($D54&gt;=60,'P&amp;L Month'!BA27*(1+'Détail CF'!$C54),0)))</f>
        <v>-45909.536399999997</v>
      </c>
      <c r="BB54" s="102">
        <f>-IF($D54&lt;30,'P&amp;L Month'!BD27*(1+'Détail CF'!$C54),IF($D54&lt;60,'P&amp;L Month'!BC27*(1+'Détail CF'!$C54),IF($D54&gt;=60,'P&amp;L Month'!BB27*(1+'Détail CF'!$C54),0)))</f>
        <v>-52975.025999999998</v>
      </c>
      <c r="BC54" s="102">
        <f>-IF($D54&lt;30,'P&amp;L Month'!BE27*(1+'Détail CF'!$C54),IF($D54&lt;60,'P&amp;L Month'!BD27*(1+'Détail CF'!$C54),IF($D54&gt;=60,'P&amp;L Month'!BC27*(1+'Détail CF'!$C54),0)))</f>
        <v>-61219.173600000002</v>
      </c>
      <c r="BD54" s="102">
        <f>-IF($D54&lt;30,'P&amp;L Month'!BF27*(1+'Détail CF'!$C54),IF($D54&lt;60,'P&amp;L Month'!BE27*(1+'Détail CF'!$C54),IF($D54&gt;=60,'P&amp;L Month'!BD27*(1+'Détail CF'!$C54),0)))</f>
        <v>-67109.234400000001</v>
      </c>
      <c r="BE54" s="102">
        <f>-IF($D54&lt;30,'P&amp;L Month'!BG27*(1+'Détail CF'!$C54),IF($D54&lt;60,'P&amp;L Month'!BF27*(1+'Détail CF'!$C54),IF($D54&gt;=60,'P&amp;L Month'!BE27*(1+'Détail CF'!$C54),0)))</f>
        <v>-75356.611199999999</v>
      </c>
      <c r="BF54" s="102">
        <f>-IF($D54&lt;30,'P&amp;L Month'!BH27*(1+'Détail CF'!$C54),IF($D54&lt;60,'P&amp;L Month'!BG27*(1+'Détail CF'!$C54),IF($D54&gt;=60,'P&amp;L Month'!BF27*(1+'Détail CF'!$C54),0)))</f>
        <v>-82425.33</v>
      </c>
      <c r="BG54" s="102">
        <f>-IF($D54&lt;30,'P&amp;L Month'!BI27*(1+'Détail CF'!$C54),IF($D54&lt;60,'P&amp;L Month'!BH27*(1+'Détail CF'!$C54),IF($D54&gt;=60,'P&amp;L Month'!BG27*(1+'Détail CF'!$C54),0)))</f>
        <v>-95380.880400000009</v>
      </c>
      <c r="BH54" s="102">
        <f>-IF($D54&lt;30,'P&amp;L Month'!BJ27*(1+'Détail CF'!$C54),IF($D54&lt;60,'P&amp;L Month'!BI27*(1+'Détail CF'!$C54),IF($D54&gt;=60,'P&amp;L Month'!BH27*(1+'Détail CF'!$C54),0)))</f>
        <v>-102446.37</v>
      </c>
      <c r="BI54" s="102">
        <f>-IF($D54&lt;30,'P&amp;L Month'!BK27*(1+'Détail CF'!$C54),IF($D54&lt;60,'P&amp;L Month'!BJ27*(1+'Détail CF'!$C54),IF($D54&gt;=60,'P&amp;L Month'!BI27*(1+'Détail CF'!$C54),0)))</f>
        <v>-109511.8596</v>
      </c>
      <c r="BJ54" s="102">
        <f>-IF($D54&lt;30,'P&amp;L Month'!BL27*(1+'Détail CF'!$C54),IF($D54&lt;60,'P&amp;L Month'!BK27*(1+'Détail CF'!$C54),IF($D54&gt;=60,'P&amp;L Month'!BJ27*(1+'Détail CF'!$C54),0)))</f>
        <v>-116577.34920000001</v>
      </c>
      <c r="BK54" s="102">
        <f>-IF($D54&lt;30,'P&amp;L Month'!BM27*(1+'Détail CF'!$C54),IF($D54&lt;60,'P&amp;L Month'!BL27*(1+'Détail CF'!$C54),IF($D54&gt;=60,'P&amp;L Month'!BK27*(1+'Détail CF'!$C54),0)))</f>
        <v>-121876.4664</v>
      </c>
      <c r="BL54" s="102">
        <f>-IF($D54&lt;30,'P&amp;L Month'!BN27*(1+'Détail CF'!$C54),IF($D54&lt;60,'P&amp;L Month'!BM27*(1+'Détail CF'!$C54),IF($D54&gt;=60,'P&amp;L Month'!BL27*(1+'Détail CF'!$C54),0)))</f>
        <v>-127175.5836</v>
      </c>
      <c r="BM54" s="102">
        <f>-IF($D54&lt;30,'P&amp;L Month'!BO27*(1+'Détail CF'!$C54),IF($D54&lt;60,'P&amp;L Month'!BN27*(1+'Détail CF'!$C54),IF($D54&gt;=60,'P&amp;L Month'!BM27*(1+'Détail CF'!$C54),0)))</f>
        <v>-132474.70079999999</v>
      </c>
      <c r="BN54" s="102">
        <f>-IF($D54&lt;30,'P&amp;L Month'!BP27*(1+'Détail CF'!$C54),IF($D54&lt;60,'P&amp;L Month'!BO27*(1+'Détail CF'!$C54),IF($D54&gt;=60,'P&amp;L Month'!BN27*(1+'Détail CF'!$C54),0)))</f>
        <v>-137773.818</v>
      </c>
      <c r="BO54" s="102">
        <f>-IF($D54&lt;30,'P&amp;L Month'!BQ27*(1+'Détail CF'!$C54),IF($D54&lt;60,'P&amp;L Month'!BP27*(1+'Détail CF'!$C54),IF($D54&gt;=60,'P&amp;L Month'!BO27*(1+'Détail CF'!$C54),0)))</f>
        <v>-141306.56279999999</v>
      </c>
      <c r="BP54" s="102">
        <f>-IF($D54&lt;30,'P&amp;L Month'!BR27*(1+'Détail CF'!$C54),IF($D54&lt;60,'P&amp;L Month'!BQ27*(1+'Détail CF'!$C54),IF($D54&gt;=60,'P&amp;L Month'!BP27*(1+'Détail CF'!$C54),0)))</f>
        <v>-144839.3076</v>
      </c>
      <c r="BQ54" s="102">
        <f>-IF($D54&lt;30,'P&amp;L Month'!BS27*(1+'Détail CF'!$C54),IF($D54&lt;60,'P&amp;L Month'!BR27*(1+'Détail CF'!$C54),IF($D54&gt;=60,'P&amp;L Month'!BQ27*(1+'Détail CF'!$C54),0)))</f>
        <v>-148372.05240000002</v>
      </c>
      <c r="BR54" s="102">
        <f>-IF($D54&lt;30,'P&amp;L Month'!BT27*(1+'Détail CF'!$C54),IF($D54&lt;60,'P&amp;L Month'!BS27*(1+'Détail CF'!$C54),IF($D54&gt;=60,'P&amp;L Month'!BR27*(1+'Détail CF'!$C54),0)))</f>
        <v>-151904.7972</v>
      </c>
      <c r="BS54" s="102">
        <f>-IF($D54&lt;30,'P&amp;L Month'!BU27*(1+'Détail CF'!$C54),IF($D54&lt;60,'P&amp;L Month'!BT27*(1+'Détail CF'!$C54),IF($D54&gt;=60,'P&amp;L Month'!BS27*(1+'Détail CF'!$C54),0)))</f>
        <v>-155437.54200000002</v>
      </c>
      <c r="BT54" s="102">
        <f>-IF($D54&lt;30,'P&amp;L Month'!BV27*(1+'Détail CF'!$C54),IF($D54&lt;60,'P&amp;L Month'!BU27*(1+'Détail CF'!$C54),IF($D54&gt;=60,'P&amp;L Month'!BT27*(1+'Détail CF'!$C54),0)))</f>
        <v>-158970.2868</v>
      </c>
      <c r="BU54" s="102">
        <f>-IF($D54&lt;30,'P&amp;L Month'!BW27*(1+'Détail CF'!$C54),IF($D54&lt;60,'P&amp;L Month'!BV27*(1+'Détail CF'!$C54),IF($D54&gt;=60,'P&amp;L Month'!BU27*(1+'Détail CF'!$C54),0)))</f>
        <v>-162503.03159999999</v>
      </c>
      <c r="BV54" s="102">
        <f>-IF($D54&lt;30,'P&amp;L Month'!BX27*(1+'Détail CF'!$C54),IF($D54&lt;60,'P&amp;L Month'!BW27*(1+'Détail CF'!$C54),IF($D54&gt;=60,'P&amp;L Month'!BV27*(1+'Détail CF'!$C54),0)))</f>
        <v>-164975.95296</v>
      </c>
      <c r="BW54" s="102">
        <f>-IF($D54&lt;30,'P&amp;L Month'!BY27*(1+'Détail CF'!$C54),IF($D54&lt;60,'P&amp;L Month'!BX27*(1+'Détail CF'!$C54),IF($D54&gt;=60,'P&amp;L Month'!BW27*(1+'Détail CF'!$C54),0)))</f>
        <v>-167802.14880000002</v>
      </c>
      <c r="BX54" s="102">
        <f>-IF($D54&lt;30,'P&amp;L Month'!BZ27*(1+'Détail CF'!$C54),IF($D54&lt;60,'P&amp;L Month'!BY27*(1+'Détail CF'!$C54),IF($D54&gt;=60,'P&amp;L Month'!BX27*(1+'Détail CF'!$C54),0)))</f>
        <v>-169568.52120000002</v>
      </c>
      <c r="BY54" s="102">
        <f>-IF($D54&lt;30,'P&amp;L Month'!CA27*(1+'Détail CF'!$C54),IF($D54&lt;60,'P&amp;L Month'!BZ27*(1+'Détail CF'!$C54),IF($D54&gt;=60,'P&amp;L Month'!BY27*(1+'Détail CF'!$C54),0)))</f>
        <v>-171334.89360000001</v>
      </c>
      <c r="BZ54" s="102">
        <f>-IF($D54&lt;30,'P&amp;L Month'!CB27*(1+'Détail CF'!$C54),IF($D54&lt;60,'P&amp;L Month'!CA27*(1+'Détail CF'!$C54),IF($D54&gt;=60,'P&amp;L Month'!BZ27*(1+'Détail CF'!$C54),0)))</f>
        <v>-173101.266</v>
      </c>
      <c r="CA54" s="102">
        <f>-IF($D54&lt;30,'P&amp;L Month'!CC27*(1+'Détail CF'!$C54),IF($D54&lt;60,'P&amp;L Month'!CB27*(1+'Détail CF'!$C54),IF($D54&gt;=60,'P&amp;L Month'!CA27*(1+'Détail CF'!$C54),0)))</f>
        <v>-174867.63840000003</v>
      </c>
      <c r="CB54" s="102">
        <f>-IF($D54&lt;30,'P&amp;L Month'!CD27*(1+'Détail CF'!$C54),IF($D54&lt;60,'P&amp;L Month'!CC27*(1+'Détail CF'!$C54),IF($D54&gt;=60,'P&amp;L Month'!CB27*(1+'Détail CF'!$C54),0)))</f>
        <v>-176634.01080000002</v>
      </c>
      <c r="CC54" s="102">
        <f>-IF($D54&lt;30,'P&amp;L Month'!CE27*(1+'Détail CF'!$C54),IF($D54&lt;60,'P&amp;L Month'!CD27*(1+'Détail CF'!$C54),IF($D54&gt;=60,'P&amp;L Month'!CC27*(1+'Détail CF'!$C54),0)))</f>
        <v>-178400.38320000001</v>
      </c>
      <c r="CD54" s="102">
        <f>-IF($D54&lt;30,'P&amp;L Month'!CF27*(1+'Détail CF'!$C54),IF($D54&lt;60,'P&amp;L Month'!CE27*(1+'Détail CF'!$C54),IF($D54&gt;=60,'P&amp;L Month'!CD27*(1+'Détail CF'!$C54),0)))</f>
        <v>-180166.7556</v>
      </c>
      <c r="CE54" s="102">
        <f>-IF($D54&lt;30,'P&amp;L Month'!CG27*(1+'Détail CF'!$C54),IF($D54&lt;60,'P&amp;L Month'!CF27*(1+'Détail CF'!$C54),IF($D54&gt;=60,'P&amp;L Month'!CE27*(1+'Détail CF'!$C54),0)))</f>
        <v>-181226.57904000001</v>
      </c>
    </row>
    <row r="55" spans="1:83">
      <c r="B55" t="s">
        <v>160</v>
      </c>
      <c r="C55" s="182">
        <f t="shared" si="28"/>
        <v>0.19600000000000001</v>
      </c>
      <c r="D55" s="99">
        <f t="shared" si="28"/>
        <v>15</v>
      </c>
      <c r="E55" s="195" t="str">
        <f t="shared" si="28"/>
        <v>F</v>
      </c>
      <c r="F55" s="102">
        <f>-IF($D55&lt;30,'P&amp;L Month'!H28*(1+'Détail CF'!$C55),0)</f>
        <v>0</v>
      </c>
      <c r="G55" s="102">
        <f>-IF($D55&lt;30,'P&amp;L Month'!I28*(1+'Détail CF'!$C55),IF($D55&lt;60,'P&amp;L Month'!H28*(1+'Détail CF'!$C55),0))</f>
        <v>0</v>
      </c>
      <c r="H55" s="102">
        <f>-IF($D55&lt;30,'P&amp;L Month'!J28*(1+'Détail CF'!$C55),IF($D55&lt;60,'P&amp;L Month'!I28*(1+'Détail CF'!$C55),IF($D55&gt;=60,'P&amp;L Month'!H28*(1+'Détail CF'!$C55),0)))</f>
        <v>0</v>
      </c>
      <c r="I55" s="102">
        <f>-IF($D55&lt;30,'P&amp;L Month'!K28*(1+'Détail CF'!$C55),IF($D55&lt;60,'P&amp;L Month'!J28*(1+'Détail CF'!$C55),IF($D55&gt;=60,'P&amp;L Month'!I28*(1+'Détail CF'!$C55),0)))</f>
        <v>0</v>
      </c>
      <c r="J55" s="102">
        <f>-IF($D55&lt;30,'P&amp;L Month'!L28*(1+'Détail CF'!$C55),IF($D55&lt;60,'P&amp;L Month'!K28*(1+'Détail CF'!$C55),IF($D55&gt;=60,'P&amp;L Month'!J28*(1+'Détail CF'!$C55),0)))</f>
        <v>0</v>
      </c>
      <c r="K55" s="102">
        <f>-IF($D55&lt;30,'P&amp;L Month'!M28*(1+'Détail CF'!$C55),IF($D55&lt;60,'P&amp;L Month'!L28*(1+'Détail CF'!$C55),IF($D55&gt;=60,'P&amp;L Month'!K28*(1+'Détail CF'!$C55),0)))</f>
        <v>0</v>
      </c>
      <c r="L55" s="102">
        <f>-IF($D55&lt;30,'P&amp;L Month'!N28*(1+'Détail CF'!$C55),IF($D55&lt;60,'P&amp;L Month'!M28*(1+'Détail CF'!$C55),IF($D55&gt;=60,'P&amp;L Month'!L28*(1+'Détail CF'!$C55),0)))</f>
        <v>0</v>
      </c>
      <c r="M55" s="102">
        <f>-IF($D55&lt;30,'P&amp;L Month'!O28*(1+'Détail CF'!$C55),IF($D55&lt;60,'P&amp;L Month'!N28*(1+'Détail CF'!$C55),IF($D55&gt;=60,'P&amp;L Month'!M28*(1+'Détail CF'!$C55),0)))</f>
        <v>0</v>
      </c>
      <c r="N55" s="102">
        <f>-IF($D55&lt;30,'P&amp;L Month'!P28*(1+'Détail CF'!$C55),IF($D55&lt;60,'P&amp;L Month'!O28*(1+'Détail CF'!$C55),IF($D55&gt;=60,'P&amp;L Month'!N28*(1+'Détail CF'!$C55),0)))</f>
        <v>0</v>
      </c>
      <c r="O55" s="102">
        <f>-IF($D55&lt;30,'P&amp;L Month'!Q28*(1+'Détail CF'!$C55),IF($D55&lt;60,'P&amp;L Month'!P28*(1+'Détail CF'!$C55),IF($D55&gt;=60,'P&amp;L Month'!O28*(1+'Détail CF'!$C55),0)))</f>
        <v>0</v>
      </c>
      <c r="P55" s="102">
        <f>-IF($D55&lt;30,'P&amp;L Month'!R28*(1+'Détail CF'!$C55),IF($D55&lt;60,'P&amp;L Month'!Q28*(1+'Détail CF'!$C55),IF($D55&gt;=60,'P&amp;L Month'!P28*(1+'Détail CF'!$C55),0)))</f>
        <v>0</v>
      </c>
      <c r="Q55" s="102">
        <f>-IF($D55&lt;30,'P&amp;L Month'!S28*(1+'Détail CF'!$C55),IF($D55&lt;60,'P&amp;L Month'!R28*(1+'Détail CF'!$C55),IF($D55&gt;=60,'P&amp;L Month'!Q28*(1+'Détail CF'!$C55),0)))</f>
        <v>0</v>
      </c>
      <c r="R55" s="102">
        <f>-IF($D55&lt;30,'P&amp;L Month'!T28*(1+'Détail CF'!$C55),IF($D55&lt;60,'P&amp;L Month'!S28*(1+'Détail CF'!$C55),IF($D55&gt;=60,'P&amp;L Month'!R28*(1+'Détail CF'!$C55),0)))</f>
        <v>0</v>
      </c>
      <c r="S55" s="102">
        <f>-IF($D55&lt;30,'P&amp;L Month'!U28*(1+'Détail CF'!$C55),IF($D55&lt;60,'P&amp;L Month'!T28*(1+'Détail CF'!$C55),IF($D55&gt;=60,'P&amp;L Month'!S28*(1+'Détail CF'!$C55),0)))</f>
        <v>-418.59999999999997</v>
      </c>
      <c r="T55" s="102">
        <f>-IF($D55&lt;30,'P&amp;L Month'!V28*(1+'Détail CF'!$C55),IF($D55&lt;60,'P&amp;L Month'!U28*(1+'Détail CF'!$C55),IF($D55&gt;=60,'P&amp;L Month'!T28*(1+'Détail CF'!$C55),0)))</f>
        <v>-418.59999999999997</v>
      </c>
      <c r="U55" s="102">
        <f>-IF($D55&lt;30,'P&amp;L Month'!W28*(1+'Détail CF'!$C55),IF($D55&lt;60,'P&amp;L Month'!V28*(1+'Détail CF'!$C55),IF($D55&gt;=60,'P&amp;L Month'!U28*(1+'Détail CF'!$C55),0)))</f>
        <v>-418.59999999999997</v>
      </c>
      <c r="V55" s="102">
        <f>-IF($D55&lt;30,'P&amp;L Month'!X28*(1+'Détail CF'!$C55),IF($D55&lt;60,'P&amp;L Month'!W28*(1+'Détail CF'!$C55),IF($D55&gt;=60,'P&amp;L Month'!V28*(1+'Détail CF'!$C55),0)))</f>
        <v>-418.59999999999997</v>
      </c>
      <c r="W55" s="102">
        <f>-IF($D55&lt;30,'P&amp;L Month'!Y28*(1+'Détail CF'!$C55),IF($D55&lt;60,'P&amp;L Month'!X28*(1+'Détail CF'!$C55),IF($D55&gt;=60,'P&amp;L Month'!W28*(1+'Détail CF'!$C55),0)))</f>
        <v>-418.59999999999997</v>
      </c>
      <c r="X55" s="102">
        <f>-IF($D55&lt;30,'P&amp;L Month'!Z28*(1+'Détail CF'!$C55),IF($D55&lt;60,'P&amp;L Month'!Y28*(1+'Détail CF'!$C55),IF($D55&gt;=60,'P&amp;L Month'!X28*(1+'Détail CF'!$C55),0)))</f>
        <v>-418.59999999999997</v>
      </c>
      <c r="Y55" s="102">
        <f>-IF($D55&lt;30,'P&amp;L Month'!AA28*(1+'Détail CF'!$C55),IF($D55&lt;60,'P&amp;L Month'!Z28*(1+'Détail CF'!$C55),IF($D55&gt;=60,'P&amp;L Month'!Y28*(1+'Détail CF'!$C55),0)))</f>
        <v>-418.59999999999997</v>
      </c>
      <c r="Z55" s="102">
        <f>-IF($D55&lt;30,'P&amp;L Month'!AB28*(1+'Détail CF'!$C55),IF($D55&lt;60,'P&amp;L Month'!AA28*(1+'Détail CF'!$C55),IF($D55&gt;=60,'P&amp;L Month'!Z28*(1+'Détail CF'!$C55),0)))</f>
        <v>-418.59999999999997</v>
      </c>
      <c r="AA55" s="102">
        <f>-IF($D55&lt;30,'P&amp;L Month'!AC28*(1+'Détail CF'!$C55),IF($D55&lt;60,'P&amp;L Month'!AB28*(1+'Détail CF'!$C55),IF($D55&gt;=60,'P&amp;L Month'!AA28*(1+'Détail CF'!$C55),0)))</f>
        <v>-418.59999999999997</v>
      </c>
      <c r="AB55" s="102">
        <f>-IF($D55&lt;30,'P&amp;L Month'!AD28*(1+'Détail CF'!$C55),IF($D55&lt;60,'P&amp;L Month'!AC28*(1+'Détail CF'!$C55),IF($D55&gt;=60,'P&amp;L Month'!AB28*(1+'Détail CF'!$C55),0)))</f>
        <v>-418.59999999999997</v>
      </c>
      <c r="AC55" s="102">
        <f>-IF($D55&lt;30,'P&amp;L Month'!AE28*(1+'Détail CF'!$C55),IF($D55&lt;60,'P&amp;L Month'!AD28*(1+'Détail CF'!$C55),IF($D55&gt;=60,'P&amp;L Month'!AC28*(1+'Détail CF'!$C55),0)))</f>
        <v>-418.59999999999997</v>
      </c>
      <c r="AD55" s="102">
        <f>-IF($D55&lt;30,'P&amp;L Month'!AF28*(1+'Détail CF'!$C55),IF($D55&lt;60,'P&amp;L Month'!AE28*(1+'Détail CF'!$C55),IF($D55&gt;=60,'P&amp;L Month'!AD28*(1+'Détail CF'!$C55),0)))</f>
        <v>-1016.5999999999999</v>
      </c>
      <c r="AE55" s="102">
        <f>-IF($D55&lt;30,'P&amp;L Month'!AG28*(1+'Détail CF'!$C55),IF($D55&lt;60,'P&amp;L Month'!AF28*(1+'Détail CF'!$C55),IF($D55&gt;=60,'P&amp;L Month'!AE28*(1+'Détail CF'!$C55),0)))</f>
        <v>-299</v>
      </c>
      <c r="AF55" s="102">
        <f>-IF($D55&lt;30,'P&amp;L Month'!AH28*(1+'Détail CF'!$C55),IF($D55&lt;60,'P&amp;L Month'!AG28*(1+'Détail CF'!$C55),IF($D55&gt;=60,'P&amp;L Month'!AF28*(1+'Détail CF'!$C55),0)))</f>
        <v>-598</v>
      </c>
      <c r="AG55" s="102">
        <f>-IF($D55&lt;30,'P&amp;L Month'!AI28*(1+'Détail CF'!$C55),IF($D55&lt;60,'P&amp;L Month'!AH28*(1+'Détail CF'!$C55),IF($D55&gt;=60,'P&amp;L Month'!AG28*(1+'Détail CF'!$C55),0)))</f>
        <v>-897</v>
      </c>
      <c r="AH55" s="102">
        <f>-IF($D55&lt;30,'P&amp;L Month'!AJ28*(1+'Détail CF'!$C55),IF($D55&lt;60,'P&amp;L Month'!AI28*(1+'Détail CF'!$C55),IF($D55&gt;=60,'P&amp;L Month'!AH28*(1+'Détail CF'!$C55),0)))</f>
        <v>-897</v>
      </c>
      <c r="AI55" s="102">
        <f>-IF($D55&lt;30,'P&amp;L Month'!AK28*(1+'Détail CF'!$C55),IF($D55&lt;60,'P&amp;L Month'!AJ28*(1+'Détail CF'!$C55),IF($D55&gt;=60,'P&amp;L Month'!AI28*(1+'Détail CF'!$C55),0)))</f>
        <v>-1196</v>
      </c>
      <c r="AJ55" s="102">
        <f>-IF($D55&lt;30,'P&amp;L Month'!AL28*(1+'Détail CF'!$C55),IF($D55&lt;60,'P&amp;L Month'!AK28*(1+'Détail CF'!$C55),IF($D55&gt;=60,'P&amp;L Month'!AJ28*(1+'Détail CF'!$C55),0)))</f>
        <v>-1794</v>
      </c>
      <c r="AK55" s="102">
        <f>-IF($D55&lt;30,'P&amp;L Month'!AM28*(1+'Détail CF'!$C55),IF($D55&lt;60,'P&amp;L Month'!AL28*(1+'Détail CF'!$C55),IF($D55&gt;=60,'P&amp;L Month'!AK28*(1+'Détail CF'!$C55),0)))</f>
        <v>-2093</v>
      </c>
      <c r="AL55" s="102">
        <f>-IF($D55&lt;30,'P&amp;L Month'!AN28*(1+'Détail CF'!$C55),IF($D55&lt;60,'P&amp;L Month'!AM28*(1+'Détail CF'!$C55),IF($D55&gt;=60,'P&amp;L Month'!AL28*(1+'Détail CF'!$C55),0)))</f>
        <v>-2691</v>
      </c>
      <c r="AM55" s="102">
        <f>-IF($D55&lt;30,'P&amp;L Month'!AO28*(1+'Détail CF'!$C55),IF($D55&lt;60,'P&amp;L Month'!AN28*(1+'Détail CF'!$C55),IF($D55&gt;=60,'P&amp;L Month'!AM28*(1+'Détail CF'!$C55),0)))</f>
        <v>-2691</v>
      </c>
      <c r="AN55" s="102">
        <f>-IF($D55&lt;30,'P&amp;L Month'!AP28*(1+'Détail CF'!$C55),IF($D55&lt;60,'P&amp;L Month'!AO28*(1+'Détail CF'!$C55),IF($D55&gt;=60,'P&amp;L Month'!AN28*(1+'Détail CF'!$C55),0)))</f>
        <v>-2990</v>
      </c>
      <c r="AO55" s="102">
        <f>-IF($D55&lt;30,'P&amp;L Month'!AQ28*(1+'Détail CF'!$C55),IF($D55&lt;60,'P&amp;L Month'!AP28*(1+'Détail CF'!$C55),IF($D55&gt;=60,'P&amp;L Month'!AO28*(1+'Détail CF'!$C55),0)))</f>
        <v>-3588</v>
      </c>
      <c r="AP55" s="102">
        <f>-IF($D55&lt;30,'P&amp;L Month'!AR28*(1+'Détail CF'!$C55),IF($D55&lt;60,'P&amp;L Month'!AQ28*(1+'Détail CF'!$C55),IF($D55&gt;=60,'P&amp;L Month'!AP28*(1+'Détail CF'!$C55),0)))</f>
        <v>-3887</v>
      </c>
      <c r="AQ55" s="102">
        <f>-IF($D55&lt;30,'P&amp;L Month'!AS28*(1+'Détail CF'!$C55),IF($D55&lt;60,'P&amp;L Month'!AR28*(1+'Détail CF'!$C55),IF($D55&gt;=60,'P&amp;L Month'!AQ28*(1+'Détail CF'!$C55),0)))</f>
        <v>-3887</v>
      </c>
      <c r="AR55" s="102">
        <f>-IF($D55&lt;30,'P&amp;L Month'!AT28*(1+'Détail CF'!$C55),IF($D55&lt;60,'P&amp;L Month'!AS28*(1+'Détail CF'!$C55),IF($D55&gt;=60,'P&amp;L Month'!AR28*(1+'Détail CF'!$C55),0)))</f>
        <v>-4784</v>
      </c>
      <c r="AS55" s="102">
        <f>-IF($D55&lt;30,'P&amp;L Month'!AU28*(1+'Détail CF'!$C55),IF($D55&lt;60,'P&amp;L Month'!AT28*(1+'Détail CF'!$C55),IF($D55&gt;=60,'P&amp;L Month'!AS28*(1+'Détail CF'!$C55),0)))</f>
        <v>-4784</v>
      </c>
      <c r="AT55" s="102">
        <f>-IF($D55&lt;30,'P&amp;L Month'!AV28*(1+'Détail CF'!$C55),IF($D55&lt;60,'P&amp;L Month'!AU28*(1+'Détail CF'!$C55),IF($D55&gt;=60,'P&amp;L Month'!AT28*(1+'Détail CF'!$C55),0)))</f>
        <v>-4784</v>
      </c>
      <c r="AU55" s="102">
        <f>-IF($D55&lt;30,'P&amp;L Month'!AW28*(1+'Détail CF'!$C55),IF($D55&lt;60,'P&amp;L Month'!AV28*(1+'Détail CF'!$C55),IF($D55&gt;=60,'P&amp;L Month'!AU28*(1+'Détail CF'!$C55),0)))</f>
        <v>-4784</v>
      </c>
      <c r="AV55" s="102">
        <f>-IF($D55&lt;30,'P&amp;L Month'!AX28*(1+'Détail CF'!$C55),IF($D55&lt;60,'P&amp;L Month'!AW28*(1+'Détail CF'!$C55),IF($D55&gt;=60,'P&amp;L Month'!AV28*(1+'Détail CF'!$C55),0)))</f>
        <v>-5851.4299999999994</v>
      </c>
      <c r="AW55" s="102">
        <f>-IF($D55&lt;30,'P&amp;L Month'!AY28*(1+'Détail CF'!$C55),IF($D55&lt;60,'P&amp;L Month'!AX28*(1+'Détail CF'!$C55),IF($D55&gt;=60,'P&amp;L Month'!AW28*(1+'Détail CF'!$C55),0)))</f>
        <v>-5851.4299999999994</v>
      </c>
      <c r="AX55" s="102">
        <f>-IF($D55&lt;30,'P&amp;L Month'!AZ28*(1+'Détail CF'!$C55),IF($D55&lt;60,'P&amp;L Month'!AY28*(1+'Détail CF'!$C55),IF($D55&gt;=60,'P&amp;L Month'!AX28*(1+'Détail CF'!$C55),0)))</f>
        <v>-5851.4299999999994</v>
      </c>
      <c r="AY55" s="102">
        <f>-IF($D55&lt;30,'P&amp;L Month'!BA28*(1+'Détail CF'!$C55),IF($D55&lt;60,'P&amp;L Month'!AZ28*(1+'Détail CF'!$C55),IF($D55&gt;=60,'P&amp;L Month'!AY28*(1+'Détail CF'!$C55),0)))</f>
        <v>-5851.4299999999994</v>
      </c>
      <c r="AZ55" s="102">
        <f>-IF($D55&lt;30,'P&amp;L Month'!BB28*(1+'Détail CF'!$C55),IF($D55&lt;60,'P&amp;L Month'!BA28*(1+'Détail CF'!$C55),IF($D55&gt;=60,'P&amp;L Month'!AZ28*(1+'Détail CF'!$C55),0)))</f>
        <v>-6159.4</v>
      </c>
      <c r="BA55" s="102">
        <f>-IF($D55&lt;30,'P&amp;L Month'!BC28*(1+'Détail CF'!$C55),IF($D55&lt;60,'P&amp;L Month'!BB28*(1+'Détail CF'!$C55),IF($D55&gt;=60,'P&amp;L Month'!BA28*(1+'Détail CF'!$C55),0)))</f>
        <v>-6159.4</v>
      </c>
      <c r="BB55" s="102">
        <f>-IF($D55&lt;30,'P&amp;L Month'!BD28*(1+'Détail CF'!$C55),IF($D55&lt;60,'P&amp;L Month'!BC28*(1+'Détail CF'!$C55),IF($D55&gt;=60,'P&amp;L Month'!BB28*(1+'Détail CF'!$C55),0)))</f>
        <v>-6775.34</v>
      </c>
      <c r="BC55" s="102">
        <f>-IF($D55&lt;30,'P&amp;L Month'!BE28*(1+'Détail CF'!$C55),IF($D55&lt;60,'P&amp;L Month'!BD28*(1+'Détail CF'!$C55),IF($D55&gt;=60,'P&amp;L Month'!BC28*(1+'Détail CF'!$C55),0)))</f>
        <v>-6775.34</v>
      </c>
      <c r="BD55" s="102">
        <f>-IF($D55&lt;30,'P&amp;L Month'!BF28*(1+'Détail CF'!$C55),IF($D55&lt;60,'P&amp;L Month'!BE28*(1+'Détail CF'!$C55),IF($D55&gt;=60,'P&amp;L Month'!BD28*(1+'Détail CF'!$C55),0)))</f>
        <v>-7083.3099999999995</v>
      </c>
      <c r="BE55" s="102">
        <f>-IF($D55&lt;30,'P&amp;L Month'!BG28*(1+'Détail CF'!$C55),IF($D55&lt;60,'P&amp;L Month'!BF28*(1+'Détail CF'!$C55),IF($D55&gt;=60,'P&amp;L Month'!BE28*(1+'Détail CF'!$C55),0)))</f>
        <v>-7083.3099999999995</v>
      </c>
      <c r="BF55" s="102">
        <f>-IF($D55&lt;30,'P&amp;L Month'!BH28*(1+'Détail CF'!$C55),IF($D55&lt;60,'P&amp;L Month'!BG28*(1+'Détail CF'!$C55),IF($D55&gt;=60,'P&amp;L Month'!BF28*(1+'Détail CF'!$C55),0)))</f>
        <v>-7391.28</v>
      </c>
      <c r="BG55" s="102">
        <f>-IF($D55&lt;30,'P&amp;L Month'!BI28*(1+'Détail CF'!$C55),IF($D55&lt;60,'P&amp;L Month'!BH28*(1+'Détail CF'!$C55),IF($D55&gt;=60,'P&amp;L Month'!BG28*(1+'Détail CF'!$C55),0)))</f>
        <v>-7391.28</v>
      </c>
      <c r="BH55" s="102">
        <f>-IF($D55&lt;30,'P&amp;L Month'!BJ28*(1+'Détail CF'!$C55),IF($D55&lt;60,'P&amp;L Month'!BI28*(1+'Détail CF'!$C55),IF($D55&gt;=60,'P&amp;L Month'!BH28*(1+'Détail CF'!$C55),0)))</f>
        <v>-7606.5599999999995</v>
      </c>
      <c r="BI55" s="102">
        <f>-IF($D55&lt;30,'P&amp;L Month'!BK28*(1+'Détail CF'!$C55),IF($D55&lt;60,'P&amp;L Month'!BJ28*(1+'Détail CF'!$C55),IF($D55&gt;=60,'P&amp;L Month'!BI28*(1+'Détail CF'!$C55),0)))</f>
        <v>-7606.5599999999995</v>
      </c>
      <c r="BJ55" s="102">
        <f>-IF($D55&lt;30,'P&amp;L Month'!BL28*(1+'Détail CF'!$C55),IF($D55&lt;60,'P&amp;L Month'!BK28*(1+'Détail CF'!$C55),IF($D55&gt;=60,'P&amp;L Month'!BJ28*(1+'Détail CF'!$C55),0)))</f>
        <v>-7606.5599999999995</v>
      </c>
      <c r="BK55" s="102">
        <f>-IF($D55&lt;30,'P&amp;L Month'!BM28*(1+'Détail CF'!$C55),IF($D55&lt;60,'P&amp;L Month'!BL28*(1+'Détail CF'!$C55),IF($D55&gt;=60,'P&amp;L Month'!BK28*(1+'Détail CF'!$C55),0)))</f>
        <v>-7606.5599999999995</v>
      </c>
      <c r="BL55" s="102">
        <f>-IF($D55&lt;30,'P&amp;L Month'!BN28*(1+'Détail CF'!$C55),IF($D55&lt;60,'P&amp;L Month'!BM28*(1+'Détail CF'!$C55),IF($D55&gt;=60,'P&amp;L Month'!BL28*(1+'Détail CF'!$C55),0)))</f>
        <v>-7923.5</v>
      </c>
      <c r="BM55" s="102">
        <f>-IF($D55&lt;30,'P&amp;L Month'!BO28*(1+'Détail CF'!$C55),IF($D55&lt;60,'P&amp;L Month'!BN28*(1+'Détail CF'!$C55),IF($D55&gt;=60,'P&amp;L Month'!BM28*(1+'Détail CF'!$C55),0)))</f>
        <v>-7923.5</v>
      </c>
      <c r="BN55" s="102">
        <f>-IF($D55&lt;30,'P&amp;L Month'!BP28*(1+'Détail CF'!$C55),IF($D55&lt;60,'P&amp;L Month'!BO28*(1+'Détail CF'!$C55),IF($D55&gt;=60,'P&amp;L Month'!BN28*(1+'Détail CF'!$C55),0)))</f>
        <v>-7923.5</v>
      </c>
      <c r="BO55" s="102">
        <f>-IF($D55&lt;30,'P&amp;L Month'!BQ28*(1+'Détail CF'!$C55),IF($D55&lt;60,'P&amp;L Month'!BP28*(1+'Détail CF'!$C55),IF($D55&gt;=60,'P&amp;L Month'!BO28*(1+'Détail CF'!$C55),0)))</f>
        <v>-7923.5</v>
      </c>
      <c r="BP55" s="102">
        <f>-IF($D55&lt;30,'P&amp;L Month'!BR28*(1+'Détail CF'!$C55),IF($D55&lt;60,'P&amp;L Month'!BQ28*(1+'Détail CF'!$C55),IF($D55&gt;=60,'P&amp;L Month'!BP28*(1+'Détail CF'!$C55),0)))</f>
        <v>-7923.5</v>
      </c>
      <c r="BQ55" s="102">
        <f>-IF($D55&lt;30,'P&amp;L Month'!BS28*(1+'Détail CF'!$C55),IF($D55&lt;60,'P&amp;L Month'!BR28*(1+'Détail CF'!$C55),IF($D55&gt;=60,'P&amp;L Month'!BQ28*(1+'Détail CF'!$C55),0)))</f>
        <v>-7923.5</v>
      </c>
      <c r="BR55" s="102">
        <f>-IF($D55&lt;30,'P&amp;L Month'!BT28*(1+'Détail CF'!$C55),IF($D55&lt;60,'P&amp;L Month'!BS28*(1+'Détail CF'!$C55),IF($D55&gt;=60,'P&amp;L Month'!BR28*(1+'Détail CF'!$C55),0)))</f>
        <v>-7923.5</v>
      </c>
      <c r="BS55" s="102">
        <f>-IF($D55&lt;30,'P&amp;L Month'!BU28*(1+'Détail CF'!$C55),IF($D55&lt;60,'P&amp;L Month'!BT28*(1+'Détail CF'!$C55),IF($D55&gt;=60,'P&amp;L Month'!BS28*(1+'Détail CF'!$C55),0)))</f>
        <v>-7923.5</v>
      </c>
      <c r="BT55" s="102">
        <f>-IF($D55&lt;30,'P&amp;L Month'!BV28*(1+'Détail CF'!$C55),IF($D55&lt;60,'P&amp;L Month'!BU28*(1+'Détail CF'!$C55),IF($D55&gt;=60,'P&amp;L Month'!BT28*(1+'Détail CF'!$C55),0)))</f>
        <v>-8222.5</v>
      </c>
      <c r="BU55" s="102">
        <f>-IF($D55&lt;30,'P&amp;L Month'!BW28*(1+'Détail CF'!$C55),IF($D55&lt;60,'P&amp;L Month'!BV28*(1+'Détail CF'!$C55),IF($D55&gt;=60,'P&amp;L Month'!BU28*(1+'Détail CF'!$C55),0)))</f>
        <v>-8222.5</v>
      </c>
      <c r="BV55" s="102">
        <f>-IF($D55&lt;30,'P&amp;L Month'!BX28*(1+'Détail CF'!$C55),IF($D55&lt;60,'P&amp;L Month'!BW28*(1+'Détail CF'!$C55),IF($D55&gt;=60,'P&amp;L Month'!BV28*(1+'Détail CF'!$C55),0)))</f>
        <v>-8222.5</v>
      </c>
      <c r="BW55" s="102">
        <f>-IF($D55&lt;30,'P&amp;L Month'!BY28*(1+'Détail CF'!$C55),IF($D55&lt;60,'P&amp;L Month'!BX28*(1+'Détail CF'!$C55),IF($D55&gt;=60,'P&amp;L Month'!BW28*(1+'Détail CF'!$C55),0)))</f>
        <v>-8222.5</v>
      </c>
      <c r="BX55" s="102">
        <f>-IF($D55&lt;30,'P&amp;L Month'!BZ28*(1+'Détail CF'!$C55),IF($D55&lt;60,'P&amp;L Month'!BY28*(1+'Détail CF'!$C55),IF($D55&gt;=60,'P&amp;L Month'!BX28*(1+'Détail CF'!$C55),0)))</f>
        <v>-8222.5</v>
      </c>
      <c r="BY55" s="102">
        <f>-IF($D55&lt;30,'P&amp;L Month'!CA28*(1+'Détail CF'!$C55),IF($D55&lt;60,'P&amp;L Month'!BZ28*(1+'Détail CF'!$C55),IF($D55&gt;=60,'P&amp;L Month'!BY28*(1+'Détail CF'!$C55),0)))</f>
        <v>-8222.5</v>
      </c>
      <c r="BZ55" s="102">
        <f>-IF($D55&lt;30,'P&amp;L Month'!CB28*(1+'Détail CF'!$C55),IF($D55&lt;60,'P&amp;L Month'!CA28*(1+'Détail CF'!$C55),IF($D55&gt;=60,'P&amp;L Month'!BZ28*(1+'Détail CF'!$C55),0)))</f>
        <v>-8222.5</v>
      </c>
      <c r="CA55" s="102">
        <f>-IF($D55&lt;30,'P&amp;L Month'!CC28*(1+'Détail CF'!$C55),IF($D55&lt;60,'P&amp;L Month'!CB28*(1+'Détail CF'!$C55),IF($D55&gt;=60,'P&amp;L Month'!CA28*(1+'Détail CF'!$C55),0)))</f>
        <v>-8222.5</v>
      </c>
      <c r="CB55" s="102">
        <f>-IF($D55&lt;30,'P&amp;L Month'!CD28*(1+'Détail CF'!$C55),IF($D55&lt;60,'P&amp;L Month'!CC28*(1+'Détail CF'!$C55),IF($D55&gt;=60,'P&amp;L Month'!CB28*(1+'Détail CF'!$C55),0)))</f>
        <v>-8222.5</v>
      </c>
      <c r="CC55" s="102">
        <f>-IF($D55&lt;30,'P&amp;L Month'!CE28*(1+'Détail CF'!$C55),IF($D55&lt;60,'P&amp;L Month'!CD28*(1+'Détail CF'!$C55),IF($D55&gt;=60,'P&amp;L Month'!CC28*(1+'Détail CF'!$C55),0)))</f>
        <v>-8222.5</v>
      </c>
      <c r="CD55" s="102">
        <f>-IF($D55&lt;30,'P&amp;L Month'!CF28*(1+'Détail CF'!$C55),IF($D55&lt;60,'P&amp;L Month'!CE28*(1+'Détail CF'!$C55),IF($D55&gt;=60,'P&amp;L Month'!CD28*(1+'Détail CF'!$C55),0)))</f>
        <v>-8222.5</v>
      </c>
      <c r="CE55" s="102">
        <f>-IF($D55&lt;30,'P&amp;L Month'!CG28*(1+'Détail CF'!$C55),IF($D55&lt;60,'P&amp;L Month'!CF28*(1+'Détail CF'!$C55),IF($D55&gt;=60,'P&amp;L Month'!CE28*(1+'Détail CF'!$C55),0)))</f>
        <v>-8222.5</v>
      </c>
    </row>
    <row r="56" spans="1:83">
      <c r="B56" t="s">
        <v>161</v>
      </c>
      <c r="C56" s="182">
        <f t="shared" si="28"/>
        <v>0.19600000000000001</v>
      </c>
      <c r="D56" s="99">
        <f t="shared" si="28"/>
        <v>30</v>
      </c>
      <c r="E56" s="195" t="str">
        <f t="shared" si="28"/>
        <v>F</v>
      </c>
      <c r="F56" s="102">
        <f>-IF($D56&lt;30,'P&amp;L Month'!H29*(1+'Détail CF'!$C56),0)</f>
        <v>0</v>
      </c>
      <c r="G56" s="102">
        <f>-IF($D56&lt;30,'P&amp;L Month'!I29*(1+'Détail CF'!$C56),IF($D56&lt;60,'P&amp;L Month'!H29*(1+'Détail CF'!$C56),0))</f>
        <v>0</v>
      </c>
      <c r="H56" s="102">
        <f>-IF($D56&lt;30,'P&amp;L Month'!J29*(1+'Détail CF'!$C56),IF($D56&lt;60,'P&amp;L Month'!I29*(1+'Détail CF'!$C56),IF($D56&gt;=60,'P&amp;L Month'!H29*(1+'Détail CF'!$C56),0)))</f>
        <v>0</v>
      </c>
      <c r="I56" s="102">
        <f>-IF($D56&lt;30,'P&amp;L Month'!K29*(1+'Détail CF'!$C56),IF($D56&lt;60,'P&amp;L Month'!J29*(1+'Détail CF'!$C56),IF($D56&gt;=60,'P&amp;L Month'!I29*(1+'Détail CF'!$C56),0)))</f>
        <v>0</v>
      </c>
      <c r="J56" s="102">
        <f>-IF($D56&lt;30,'P&amp;L Month'!L29*(1+'Détail CF'!$C56),IF($D56&lt;60,'P&amp;L Month'!K29*(1+'Détail CF'!$C56),IF($D56&gt;=60,'P&amp;L Month'!J29*(1+'Détail CF'!$C56),0)))</f>
        <v>0</v>
      </c>
      <c r="K56" s="102">
        <f>-IF($D56&lt;30,'P&amp;L Month'!M29*(1+'Détail CF'!$C56),IF($D56&lt;60,'P&amp;L Month'!L29*(1+'Détail CF'!$C56),IF($D56&gt;=60,'P&amp;L Month'!K29*(1+'Détail CF'!$C56),0)))</f>
        <v>0</v>
      </c>
      <c r="L56" s="102">
        <f>-IF($D56&lt;30,'P&amp;L Month'!N29*(1+'Détail CF'!$C56),IF($D56&lt;60,'P&amp;L Month'!M29*(1+'Détail CF'!$C56),IF($D56&gt;=60,'P&amp;L Month'!L29*(1+'Détail CF'!$C56),0)))</f>
        <v>0</v>
      </c>
      <c r="M56" s="102">
        <f>-IF($D56&lt;30,'P&amp;L Month'!O29*(1+'Détail CF'!$C56),IF($D56&lt;60,'P&amp;L Month'!N29*(1+'Détail CF'!$C56),IF($D56&gt;=60,'P&amp;L Month'!M29*(1+'Détail CF'!$C56),0)))</f>
        <v>0</v>
      </c>
      <c r="N56" s="102">
        <f>-IF($D56&lt;30,'P&amp;L Month'!P29*(1+'Détail CF'!$C56),IF($D56&lt;60,'P&amp;L Month'!O29*(1+'Détail CF'!$C56),IF($D56&gt;=60,'P&amp;L Month'!N29*(1+'Détail CF'!$C56),0)))</f>
        <v>0</v>
      </c>
      <c r="O56" s="102">
        <f>-IF($D56&lt;30,'P&amp;L Month'!Q29*(1+'Détail CF'!$C56),IF($D56&lt;60,'P&amp;L Month'!P29*(1+'Détail CF'!$C56),IF($D56&gt;=60,'P&amp;L Month'!O29*(1+'Détail CF'!$C56),0)))</f>
        <v>0</v>
      </c>
      <c r="P56" s="102">
        <f>-IF($D56&lt;30,'P&amp;L Month'!R29*(1+'Détail CF'!$C56),IF($D56&lt;60,'P&amp;L Month'!Q29*(1+'Détail CF'!$C56),IF($D56&gt;=60,'P&amp;L Month'!P29*(1+'Détail CF'!$C56),0)))</f>
        <v>0</v>
      </c>
      <c r="Q56" s="102">
        <f>-IF($D56&lt;30,'P&amp;L Month'!S29*(1+'Détail CF'!$C56),IF($D56&lt;60,'P&amp;L Month'!R29*(1+'Détail CF'!$C56),IF($D56&gt;=60,'P&amp;L Month'!Q29*(1+'Détail CF'!$C56),0)))</f>
        <v>0</v>
      </c>
      <c r="R56" s="102">
        <f>-IF($D56&lt;30,'P&amp;L Month'!T29*(1+'Détail CF'!$C56),IF($D56&lt;60,'P&amp;L Month'!S29*(1+'Détail CF'!$C56),IF($D56&gt;=60,'P&amp;L Month'!R29*(1+'Détail CF'!$C56),0)))</f>
        <v>0</v>
      </c>
      <c r="S56" s="102">
        <f>-IF($D56&lt;30,'P&amp;L Month'!U29*(1+'Détail CF'!$C56),IF($D56&lt;60,'P&amp;L Month'!T29*(1+'Détail CF'!$C56),IF($D56&gt;=60,'P&amp;L Month'!S29*(1+'Détail CF'!$C56),0)))</f>
        <v>0</v>
      </c>
      <c r="T56" s="102">
        <f>-IF($D56&lt;30,'P&amp;L Month'!V29*(1+'Détail CF'!$C56),IF($D56&lt;60,'P&amp;L Month'!U29*(1+'Détail CF'!$C56),IF($D56&gt;=60,'P&amp;L Month'!T29*(1+'Détail CF'!$C56),0)))</f>
        <v>0</v>
      </c>
      <c r="U56" s="102">
        <f>-IF($D56&lt;30,'P&amp;L Month'!W29*(1+'Détail CF'!$C56),IF($D56&lt;60,'P&amp;L Month'!V29*(1+'Détail CF'!$C56),IF($D56&gt;=60,'P&amp;L Month'!U29*(1+'Détail CF'!$C56),0)))</f>
        <v>0</v>
      </c>
      <c r="V56" s="102">
        <f>-IF($D56&lt;30,'P&amp;L Month'!X29*(1+'Détail CF'!$C56),IF($D56&lt;60,'P&amp;L Month'!W29*(1+'Détail CF'!$C56),IF($D56&gt;=60,'P&amp;L Month'!V29*(1+'Détail CF'!$C56),0)))</f>
        <v>0</v>
      </c>
      <c r="W56" s="102">
        <f>-IF($D56&lt;30,'P&amp;L Month'!Y29*(1+'Détail CF'!$C56),IF($D56&lt;60,'P&amp;L Month'!X29*(1+'Détail CF'!$C56),IF($D56&gt;=60,'P&amp;L Month'!W29*(1+'Détail CF'!$C56),0)))</f>
        <v>0</v>
      </c>
      <c r="X56" s="102">
        <f>-IF($D56&lt;30,'P&amp;L Month'!Z29*(1+'Détail CF'!$C56),IF($D56&lt;60,'P&amp;L Month'!Y29*(1+'Détail CF'!$C56),IF($D56&gt;=60,'P&amp;L Month'!X29*(1+'Détail CF'!$C56),0)))</f>
        <v>0</v>
      </c>
      <c r="Y56" s="102">
        <f>-IF($D56&lt;30,'P&amp;L Month'!AA29*(1+'Détail CF'!$C56),IF($D56&lt;60,'P&amp;L Month'!Z29*(1+'Détail CF'!$C56),IF($D56&gt;=60,'P&amp;L Month'!Y29*(1+'Détail CF'!$C56),0)))</f>
        <v>0</v>
      </c>
      <c r="Z56" s="102">
        <f>-IF($D56&lt;30,'P&amp;L Month'!AB29*(1+'Détail CF'!$C56),IF($D56&lt;60,'P&amp;L Month'!AA29*(1+'Détail CF'!$C56),IF($D56&gt;=60,'P&amp;L Month'!Z29*(1+'Détail CF'!$C56),0)))</f>
        <v>0</v>
      </c>
      <c r="AA56" s="102">
        <f>-IF($D56&lt;30,'P&amp;L Month'!AC29*(1+'Détail CF'!$C56),IF($D56&lt;60,'P&amp;L Month'!AB29*(1+'Détail CF'!$C56),IF($D56&gt;=60,'P&amp;L Month'!AA29*(1+'Détail CF'!$C56),0)))</f>
        <v>0</v>
      </c>
      <c r="AB56" s="102">
        <f>-IF($D56&lt;30,'P&amp;L Month'!AD29*(1+'Détail CF'!$C56),IF($D56&lt;60,'P&amp;L Month'!AC29*(1+'Détail CF'!$C56),IF($D56&gt;=60,'P&amp;L Month'!AB29*(1+'Détail CF'!$C56),0)))</f>
        <v>0</v>
      </c>
      <c r="AC56" s="102">
        <f>-IF($D56&lt;30,'P&amp;L Month'!AE29*(1+'Détail CF'!$C56),IF($D56&lt;60,'P&amp;L Month'!AD29*(1+'Détail CF'!$C56),IF($D56&gt;=60,'P&amp;L Month'!AC29*(1+'Détail CF'!$C56),0)))</f>
        <v>0</v>
      </c>
      <c r="AD56" s="102">
        <f>-IF($D56&lt;30,'P&amp;L Month'!AF29*(1+'Détail CF'!$C56),IF($D56&lt;60,'P&amp;L Month'!AE29*(1+'Détail CF'!$C56),IF($D56&gt;=60,'P&amp;L Month'!AD29*(1+'Détail CF'!$C56),0)))</f>
        <v>0</v>
      </c>
      <c r="AE56" s="102">
        <f>-IF($D56&lt;30,'P&amp;L Month'!AG29*(1+'Détail CF'!$C56),IF($D56&lt;60,'P&amp;L Month'!AF29*(1+'Détail CF'!$C56),IF($D56&gt;=60,'P&amp;L Month'!AE29*(1+'Détail CF'!$C56),0)))</f>
        <v>0</v>
      </c>
      <c r="AF56" s="102">
        <f>-IF($D56&lt;30,'P&amp;L Month'!AH29*(1+'Détail CF'!$C56),IF($D56&lt;60,'P&amp;L Month'!AG29*(1+'Détail CF'!$C56),IF($D56&gt;=60,'P&amp;L Month'!AF29*(1+'Détail CF'!$C56),0)))</f>
        <v>0</v>
      </c>
      <c r="AG56" s="102">
        <f>-IF($D56&lt;30,'P&amp;L Month'!AI29*(1+'Détail CF'!$C56),IF($D56&lt;60,'P&amp;L Month'!AH29*(1+'Détail CF'!$C56),IF($D56&gt;=60,'P&amp;L Month'!AG29*(1+'Détail CF'!$C56),0)))</f>
        <v>0</v>
      </c>
      <c r="AH56" s="102">
        <f>-IF($D56&lt;30,'P&amp;L Month'!AJ29*(1+'Détail CF'!$C56),IF($D56&lt;60,'P&amp;L Month'!AI29*(1+'Détail CF'!$C56),IF($D56&gt;=60,'P&amp;L Month'!AH29*(1+'Détail CF'!$C56),0)))</f>
        <v>0</v>
      </c>
      <c r="AI56" s="102">
        <f>-IF($D56&lt;30,'P&amp;L Month'!AK29*(1+'Détail CF'!$C56),IF($D56&lt;60,'P&amp;L Month'!AJ29*(1+'Détail CF'!$C56),IF($D56&gt;=60,'P&amp;L Month'!AI29*(1+'Détail CF'!$C56),0)))</f>
        <v>0</v>
      </c>
      <c r="AJ56" s="102">
        <f>-IF($D56&lt;30,'P&amp;L Month'!AL29*(1+'Détail CF'!$C56),IF($D56&lt;60,'P&amp;L Month'!AK29*(1+'Détail CF'!$C56),IF($D56&gt;=60,'P&amp;L Month'!AJ29*(1+'Détail CF'!$C56),0)))</f>
        <v>0</v>
      </c>
      <c r="AK56" s="102">
        <f>-IF($D56&lt;30,'P&amp;L Month'!AM29*(1+'Détail CF'!$C56),IF($D56&lt;60,'P&amp;L Month'!AL29*(1+'Détail CF'!$C56),IF($D56&gt;=60,'P&amp;L Month'!AK29*(1+'Détail CF'!$C56),0)))</f>
        <v>0</v>
      </c>
      <c r="AL56" s="102">
        <f>-IF($D56&lt;30,'P&amp;L Month'!AN29*(1+'Détail CF'!$C56),IF($D56&lt;60,'P&amp;L Month'!AM29*(1+'Détail CF'!$C56),IF($D56&gt;=60,'P&amp;L Month'!AL29*(1+'Détail CF'!$C56),0)))</f>
        <v>0</v>
      </c>
      <c r="AM56" s="102">
        <f>-IF($D56&lt;30,'P&amp;L Month'!AO29*(1+'Détail CF'!$C56),IF($D56&lt;60,'P&amp;L Month'!AN29*(1+'Détail CF'!$C56),IF($D56&gt;=60,'P&amp;L Month'!AM29*(1+'Détail CF'!$C56),0)))</f>
        <v>0</v>
      </c>
      <c r="AN56" s="102">
        <f>-IF($D56&lt;30,'P&amp;L Month'!AP29*(1+'Détail CF'!$C56),IF($D56&lt;60,'P&amp;L Month'!AO29*(1+'Détail CF'!$C56),IF($D56&gt;=60,'P&amp;L Month'!AN29*(1+'Détail CF'!$C56),0)))</f>
        <v>-11960</v>
      </c>
      <c r="AO56" s="102">
        <f>-IF($D56&lt;30,'P&amp;L Month'!AQ29*(1+'Détail CF'!$C56),IF($D56&lt;60,'P&amp;L Month'!AP29*(1+'Détail CF'!$C56),IF($D56&gt;=60,'P&amp;L Month'!AO29*(1+'Détail CF'!$C56),0)))</f>
        <v>-31096</v>
      </c>
      <c r="AP56" s="102">
        <f>-IF($D56&lt;30,'P&amp;L Month'!AR29*(1+'Détail CF'!$C56),IF($D56&lt;60,'P&amp;L Month'!AQ29*(1+'Détail CF'!$C56),IF($D56&gt;=60,'P&amp;L Month'!AP29*(1+'Détail CF'!$C56),0)))</f>
        <v>-7176</v>
      </c>
      <c r="AQ56" s="102">
        <f>-IF($D56&lt;30,'P&amp;L Month'!AS29*(1+'Détail CF'!$C56),IF($D56&lt;60,'P&amp;L Month'!AR29*(1+'Détail CF'!$C56),IF($D56&gt;=60,'P&amp;L Month'!AQ29*(1+'Détail CF'!$C56),0)))</f>
        <v>-23920</v>
      </c>
      <c r="AR56" s="102">
        <f>-IF($D56&lt;30,'P&amp;L Month'!AT29*(1+'Détail CF'!$C56),IF($D56&lt;60,'P&amp;L Month'!AS29*(1+'Détail CF'!$C56),IF($D56&gt;=60,'P&amp;L Month'!AR29*(1+'Détail CF'!$C56),0)))</f>
        <v>-4784</v>
      </c>
      <c r="AS56" s="102">
        <f>-IF($D56&lt;30,'P&amp;L Month'!AU29*(1+'Détail CF'!$C56),IF($D56&lt;60,'P&amp;L Month'!AT29*(1+'Détail CF'!$C56),IF($D56&gt;=60,'P&amp;L Month'!AS29*(1+'Détail CF'!$C56),0)))</f>
        <v>-9568</v>
      </c>
      <c r="AT56" s="102">
        <f>-IF($D56&lt;30,'P&amp;L Month'!AV29*(1+'Détail CF'!$C56),IF($D56&lt;60,'P&amp;L Month'!AU29*(1+'Détail CF'!$C56),IF($D56&gt;=60,'P&amp;L Month'!AT29*(1+'Détail CF'!$C56),0)))</f>
        <v>-4784</v>
      </c>
      <c r="AU56" s="102">
        <f>-IF($D56&lt;30,'P&amp;L Month'!AW29*(1+'Détail CF'!$C56),IF($D56&lt;60,'P&amp;L Month'!AV29*(1+'Détail CF'!$C56),IF($D56&gt;=60,'P&amp;L Month'!AU29*(1+'Détail CF'!$C56),0)))</f>
        <v>-16744</v>
      </c>
      <c r="AV56" s="102">
        <f>-IF($D56&lt;30,'P&amp;L Month'!AX29*(1+'Détail CF'!$C56),IF($D56&lt;60,'P&amp;L Month'!AW29*(1+'Détail CF'!$C56),IF($D56&gt;=60,'P&amp;L Month'!AV29*(1+'Détail CF'!$C56),0)))</f>
        <v>0</v>
      </c>
      <c r="AW56" s="102">
        <f>-IF($D56&lt;30,'P&amp;L Month'!AY29*(1+'Détail CF'!$C56),IF($D56&lt;60,'P&amp;L Month'!AX29*(1+'Détail CF'!$C56),IF($D56&gt;=60,'P&amp;L Month'!AW29*(1+'Détail CF'!$C56),0)))</f>
        <v>-11960</v>
      </c>
      <c r="AX56" s="102">
        <f>-IF($D56&lt;30,'P&amp;L Month'!AZ29*(1+'Détail CF'!$C56),IF($D56&lt;60,'P&amp;L Month'!AY29*(1+'Détail CF'!$C56),IF($D56&gt;=60,'P&amp;L Month'!AX29*(1+'Détail CF'!$C56),0)))</f>
        <v>-9568</v>
      </c>
      <c r="AY56" s="102">
        <f>-IF($D56&lt;30,'P&amp;L Month'!BA29*(1+'Détail CF'!$C56),IF($D56&lt;60,'P&amp;L Month'!AZ29*(1+'Détail CF'!$C56),IF($D56&gt;=60,'P&amp;L Month'!AY29*(1+'Détail CF'!$C56),0)))</f>
        <v>-13156</v>
      </c>
      <c r="AZ56" s="102">
        <f>-IF($D56&lt;30,'P&amp;L Month'!BB29*(1+'Détail CF'!$C56),IF($D56&lt;60,'P&amp;L Month'!BA29*(1+'Détail CF'!$C56),IF($D56&gt;=60,'P&amp;L Month'!AZ29*(1+'Détail CF'!$C56),0)))</f>
        <v>-13156</v>
      </c>
      <c r="BA56" s="102">
        <f>-IF($D56&lt;30,'P&amp;L Month'!BC29*(1+'Détail CF'!$C56),IF($D56&lt;60,'P&amp;L Month'!BB29*(1+'Détail CF'!$C56),IF($D56&gt;=60,'P&amp;L Month'!BA29*(1+'Détail CF'!$C56),0)))</f>
        <v>-7176</v>
      </c>
      <c r="BB56" s="102">
        <f>-IF($D56&lt;30,'P&amp;L Month'!BD29*(1+'Détail CF'!$C56),IF($D56&lt;60,'P&amp;L Month'!BC29*(1+'Détail CF'!$C56),IF($D56&gt;=60,'P&amp;L Month'!BB29*(1+'Détail CF'!$C56),0)))</f>
        <v>-5980</v>
      </c>
      <c r="BC56" s="102">
        <f>-IF($D56&lt;30,'P&amp;L Month'!BE29*(1+'Détail CF'!$C56),IF($D56&lt;60,'P&amp;L Month'!BD29*(1+'Détail CF'!$C56),IF($D56&gt;=60,'P&amp;L Month'!BC29*(1+'Détail CF'!$C56),0)))</f>
        <v>-5980</v>
      </c>
      <c r="BD56" s="102">
        <f>-IF($D56&lt;30,'P&amp;L Month'!BF29*(1+'Détail CF'!$C56),IF($D56&lt;60,'P&amp;L Month'!BE29*(1+'Détail CF'!$C56),IF($D56&gt;=60,'P&amp;L Month'!BD29*(1+'Détail CF'!$C56),0)))</f>
        <v>0</v>
      </c>
      <c r="BE56" s="102">
        <f>-IF($D56&lt;30,'P&amp;L Month'!BG29*(1+'Détail CF'!$C56),IF($D56&lt;60,'P&amp;L Month'!BF29*(1+'Détail CF'!$C56),IF($D56&gt;=60,'P&amp;L Month'!BE29*(1+'Détail CF'!$C56),0)))</f>
        <v>0</v>
      </c>
      <c r="BF56" s="102">
        <f>-IF($D56&lt;30,'P&amp;L Month'!BH29*(1+'Détail CF'!$C56),IF($D56&lt;60,'P&amp;L Month'!BG29*(1+'Détail CF'!$C56),IF($D56&gt;=60,'P&amp;L Month'!BF29*(1+'Détail CF'!$C56),0)))</f>
        <v>0</v>
      </c>
      <c r="BG56" s="102">
        <f>-IF($D56&lt;30,'P&amp;L Month'!BI29*(1+'Détail CF'!$C56),IF($D56&lt;60,'P&amp;L Month'!BH29*(1+'Détail CF'!$C56),IF($D56&gt;=60,'P&amp;L Month'!BG29*(1+'Détail CF'!$C56),0)))</f>
        <v>0</v>
      </c>
      <c r="BH56" s="102">
        <f>-IF($D56&lt;30,'P&amp;L Month'!BJ29*(1+'Détail CF'!$C56),IF($D56&lt;60,'P&amp;L Month'!BI29*(1+'Détail CF'!$C56),IF($D56&gt;=60,'P&amp;L Month'!BH29*(1+'Détail CF'!$C56),0)))</f>
        <v>0</v>
      </c>
      <c r="BI56" s="102">
        <f>-IF($D56&lt;30,'P&amp;L Month'!BK29*(1+'Détail CF'!$C56),IF($D56&lt;60,'P&amp;L Month'!BJ29*(1+'Détail CF'!$C56),IF($D56&gt;=60,'P&amp;L Month'!BI29*(1+'Détail CF'!$C56),0)))</f>
        <v>0</v>
      </c>
      <c r="BJ56" s="102">
        <f>-IF($D56&lt;30,'P&amp;L Month'!BL29*(1+'Détail CF'!$C56),IF($D56&lt;60,'P&amp;L Month'!BK29*(1+'Détail CF'!$C56),IF($D56&gt;=60,'P&amp;L Month'!BJ29*(1+'Détail CF'!$C56),0)))</f>
        <v>0</v>
      </c>
      <c r="BK56" s="102">
        <f>-IF($D56&lt;30,'P&amp;L Month'!BM29*(1+'Détail CF'!$C56),IF($D56&lt;60,'P&amp;L Month'!BL29*(1+'Détail CF'!$C56),IF($D56&gt;=60,'P&amp;L Month'!BK29*(1+'Détail CF'!$C56),0)))</f>
        <v>0</v>
      </c>
      <c r="BL56" s="102">
        <f>-IF($D56&lt;30,'P&amp;L Month'!BN29*(1+'Détail CF'!$C56),IF($D56&lt;60,'P&amp;L Month'!BM29*(1+'Détail CF'!$C56),IF($D56&gt;=60,'P&amp;L Month'!BL29*(1+'Détail CF'!$C56),0)))</f>
        <v>0</v>
      </c>
      <c r="BM56" s="102">
        <f>-IF($D56&lt;30,'P&amp;L Month'!BO29*(1+'Détail CF'!$C56),IF($D56&lt;60,'P&amp;L Month'!BN29*(1+'Détail CF'!$C56),IF($D56&gt;=60,'P&amp;L Month'!BM29*(1+'Détail CF'!$C56),0)))</f>
        <v>0</v>
      </c>
      <c r="BN56" s="102">
        <f>-IF($D56&lt;30,'P&amp;L Month'!BP29*(1+'Détail CF'!$C56),IF($D56&lt;60,'P&amp;L Month'!BO29*(1+'Détail CF'!$C56),IF($D56&gt;=60,'P&amp;L Month'!BN29*(1+'Détail CF'!$C56),0)))</f>
        <v>0</v>
      </c>
      <c r="BO56" s="102">
        <f>-IF($D56&lt;30,'P&amp;L Month'!BQ29*(1+'Détail CF'!$C56),IF($D56&lt;60,'P&amp;L Month'!BP29*(1+'Détail CF'!$C56),IF($D56&gt;=60,'P&amp;L Month'!BO29*(1+'Détail CF'!$C56),0)))</f>
        <v>0</v>
      </c>
      <c r="BP56" s="102">
        <f>-IF($D56&lt;30,'P&amp;L Month'!BR29*(1+'Détail CF'!$C56),IF($D56&lt;60,'P&amp;L Month'!BQ29*(1+'Détail CF'!$C56),IF($D56&gt;=60,'P&amp;L Month'!BP29*(1+'Détail CF'!$C56),0)))</f>
        <v>0</v>
      </c>
      <c r="BQ56" s="102">
        <f>-IF($D56&lt;30,'P&amp;L Month'!BS29*(1+'Détail CF'!$C56),IF($D56&lt;60,'P&amp;L Month'!BR29*(1+'Détail CF'!$C56),IF($D56&gt;=60,'P&amp;L Month'!BQ29*(1+'Détail CF'!$C56),0)))</f>
        <v>0</v>
      </c>
      <c r="BR56" s="102">
        <f>-IF($D56&lt;30,'P&amp;L Month'!BT29*(1+'Détail CF'!$C56),IF($D56&lt;60,'P&amp;L Month'!BS29*(1+'Détail CF'!$C56),IF($D56&gt;=60,'P&amp;L Month'!BR29*(1+'Détail CF'!$C56),0)))</f>
        <v>0</v>
      </c>
      <c r="BS56" s="102">
        <f>-IF($D56&lt;30,'P&amp;L Month'!BU29*(1+'Détail CF'!$C56),IF($D56&lt;60,'P&amp;L Month'!BT29*(1+'Détail CF'!$C56),IF($D56&gt;=60,'P&amp;L Month'!BS29*(1+'Détail CF'!$C56),0)))</f>
        <v>0</v>
      </c>
      <c r="BT56" s="102">
        <f>-IF($D56&lt;30,'P&amp;L Month'!BV29*(1+'Détail CF'!$C56),IF($D56&lt;60,'P&amp;L Month'!BU29*(1+'Détail CF'!$C56),IF($D56&gt;=60,'P&amp;L Month'!BT29*(1+'Détail CF'!$C56),0)))</f>
        <v>0</v>
      </c>
      <c r="BU56" s="102">
        <f>-IF($D56&lt;30,'P&amp;L Month'!BW29*(1+'Détail CF'!$C56),IF($D56&lt;60,'P&amp;L Month'!BV29*(1+'Détail CF'!$C56),IF($D56&gt;=60,'P&amp;L Month'!BU29*(1+'Détail CF'!$C56),0)))</f>
        <v>0</v>
      </c>
      <c r="BV56" s="102">
        <f>-IF($D56&lt;30,'P&amp;L Month'!BX29*(1+'Détail CF'!$C56),IF($D56&lt;60,'P&amp;L Month'!BW29*(1+'Détail CF'!$C56),IF($D56&gt;=60,'P&amp;L Month'!BV29*(1+'Détail CF'!$C56),0)))</f>
        <v>0</v>
      </c>
      <c r="BW56" s="102">
        <f>-IF($D56&lt;30,'P&amp;L Month'!BY29*(1+'Détail CF'!$C56),IF($D56&lt;60,'P&amp;L Month'!BX29*(1+'Détail CF'!$C56),IF($D56&gt;=60,'P&amp;L Month'!BW29*(1+'Détail CF'!$C56),0)))</f>
        <v>0</v>
      </c>
      <c r="BX56" s="102">
        <f>-IF($D56&lt;30,'P&amp;L Month'!BZ29*(1+'Détail CF'!$C56),IF($D56&lt;60,'P&amp;L Month'!BY29*(1+'Détail CF'!$C56),IF($D56&gt;=60,'P&amp;L Month'!BX29*(1+'Détail CF'!$C56),0)))</f>
        <v>0</v>
      </c>
      <c r="BY56" s="102">
        <f>-IF($D56&lt;30,'P&amp;L Month'!CA29*(1+'Détail CF'!$C56),IF($D56&lt;60,'P&amp;L Month'!BZ29*(1+'Détail CF'!$C56),IF($D56&gt;=60,'P&amp;L Month'!BY29*(1+'Détail CF'!$C56),0)))</f>
        <v>0</v>
      </c>
      <c r="BZ56" s="102">
        <f>-IF($D56&lt;30,'P&amp;L Month'!CB29*(1+'Détail CF'!$C56),IF($D56&lt;60,'P&amp;L Month'!CA29*(1+'Détail CF'!$C56),IF($D56&gt;=60,'P&amp;L Month'!BZ29*(1+'Détail CF'!$C56),0)))</f>
        <v>0</v>
      </c>
      <c r="CA56" s="102">
        <f>-IF($D56&lt;30,'P&amp;L Month'!CC29*(1+'Détail CF'!$C56),IF($D56&lt;60,'P&amp;L Month'!CB29*(1+'Détail CF'!$C56),IF($D56&gt;=60,'P&amp;L Month'!CA29*(1+'Détail CF'!$C56),0)))</f>
        <v>0</v>
      </c>
      <c r="CB56" s="102">
        <f>-IF($D56&lt;30,'P&amp;L Month'!CD29*(1+'Détail CF'!$C56),IF($D56&lt;60,'P&amp;L Month'!CC29*(1+'Détail CF'!$C56),IF($D56&gt;=60,'P&amp;L Month'!CB29*(1+'Détail CF'!$C56),0)))</f>
        <v>0</v>
      </c>
      <c r="CC56" s="102">
        <f>-IF($D56&lt;30,'P&amp;L Month'!CE29*(1+'Détail CF'!$C56),IF($D56&lt;60,'P&amp;L Month'!CD29*(1+'Détail CF'!$C56),IF($D56&gt;=60,'P&amp;L Month'!CC29*(1+'Détail CF'!$C56),0)))</f>
        <v>0</v>
      </c>
      <c r="CD56" s="102">
        <f>-IF($D56&lt;30,'P&amp;L Month'!CF29*(1+'Détail CF'!$C56),IF($D56&lt;60,'P&amp;L Month'!CE29*(1+'Détail CF'!$C56),IF($D56&gt;=60,'P&amp;L Month'!CD29*(1+'Détail CF'!$C56),0)))</f>
        <v>0</v>
      </c>
      <c r="CE56" s="102">
        <f>-IF($D56&lt;30,'P&amp;L Month'!CG29*(1+'Détail CF'!$C56),IF($D56&lt;60,'P&amp;L Month'!CF29*(1+'Détail CF'!$C56),IF($D56&gt;=60,'P&amp;L Month'!CE29*(1+'Détail CF'!$C56),0)))</f>
        <v>0</v>
      </c>
    </row>
    <row r="57" spans="1:83">
      <c r="B57" t="s">
        <v>162</v>
      </c>
      <c r="C57" s="182">
        <f t="shared" si="28"/>
        <v>0.19600000000000001</v>
      </c>
      <c r="D57" s="99">
        <f t="shared" si="28"/>
        <v>30</v>
      </c>
      <c r="E57" s="195" t="str">
        <f t="shared" si="28"/>
        <v>F</v>
      </c>
      <c r="F57" s="102">
        <f>-IF($D57&lt;30,'P&amp;L Month'!H30*(1+'Détail CF'!$C57),0)</f>
        <v>0</v>
      </c>
      <c r="G57" s="102">
        <f>-IF($D57&lt;30,'P&amp;L Month'!I30*(1+'Détail CF'!$C57),IF($D57&lt;60,'P&amp;L Month'!H30*(1+'Détail CF'!$C57),0))</f>
        <v>0</v>
      </c>
      <c r="H57" s="102">
        <f>-IF($D57&lt;30,'P&amp;L Month'!J30*(1+'Détail CF'!$C57),IF($D57&lt;60,'P&amp;L Month'!I30*(1+'Détail CF'!$C57),IF($D57&gt;=60,'P&amp;L Month'!H30*(1+'Détail CF'!$C57),0)))</f>
        <v>0</v>
      </c>
      <c r="I57" s="102">
        <f>-IF($D57&lt;30,'P&amp;L Month'!K30*(1+'Détail CF'!$C57),IF($D57&lt;60,'P&amp;L Month'!J30*(1+'Détail CF'!$C57),IF($D57&gt;=60,'P&amp;L Month'!I30*(1+'Détail CF'!$C57),0)))</f>
        <v>0</v>
      </c>
      <c r="J57" s="102">
        <f>-IF($D57&lt;30,'P&amp;L Month'!L30*(1+'Détail CF'!$C57),IF($D57&lt;60,'P&amp;L Month'!K30*(1+'Détail CF'!$C57),IF($D57&gt;=60,'P&amp;L Month'!J30*(1+'Détail CF'!$C57),0)))</f>
        <v>0</v>
      </c>
      <c r="K57" s="102">
        <f>-IF($D57&lt;30,'P&amp;L Month'!M30*(1+'Détail CF'!$C57),IF($D57&lt;60,'P&amp;L Month'!L30*(1+'Détail CF'!$C57),IF($D57&gt;=60,'P&amp;L Month'!K30*(1+'Détail CF'!$C57),0)))</f>
        <v>0</v>
      </c>
      <c r="L57" s="102">
        <f>-IF($D57&lt;30,'P&amp;L Month'!N30*(1+'Détail CF'!$C57),IF($D57&lt;60,'P&amp;L Month'!M30*(1+'Détail CF'!$C57),IF($D57&gt;=60,'P&amp;L Month'!L30*(1+'Détail CF'!$C57),0)))</f>
        <v>0</v>
      </c>
      <c r="M57" s="102">
        <f>-IF($D57&lt;30,'P&amp;L Month'!O30*(1+'Détail CF'!$C57),IF($D57&lt;60,'P&amp;L Month'!N30*(1+'Détail CF'!$C57),IF($D57&gt;=60,'P&amp;L Month'!M30*(1+'Détail CF'!$C57),0)))</f>
        <v>0</v>
      </c>
      <c r="N57" s="102">
        <f>-IF($D57&lt;30,'P&amp;L Month'!P30*(1+'Détail CF'!$C57),IF($D57&lt;60,'P&amp;L Month'!O30*(1+'Détail CF'!$C57),IF($D57&gt;=60,'P&amp;L Month'!N30*(1+'Détail CF'!$C57),0)))</f>
        <v>0</v>
      </c>
      <c r="O57" s="102">
        <f>-IF($D57&lt;30,'P&amp;L Month'!Q30*(1+'Détail CF'!$C57),IF($D57&lt;60,'P&amp;L Month'!P30*(1+'Détail CF'!$C57),IF($D57&gt;=60,'P&amp;L Month'!O30*(1+'Détail CF'!$C57),0)))</f>
        <v>0</v>
      </c>
      <c r="P57" s="102">
        <f>-IF($D57&lt;30,'P&amp;L Month'!R30*(1+'Détail CF'!$C57),IF($D57&lt;60,'P&amp;L Month'!Q30*(1+'Détail CF'!$C57),IF($D57&gt;=60,'P&amp;L Month'!P30*(1+'Détail CF'!$C57),0)))</f>
        <v>0</v>
      </c>
      <c r="Q57" s="102">
        <f>-IF($D57&lt;30,'P&amp;L Month'!S30*(1+'Détail CF'!$C57),IF($D57&lt;60,'P&amp;L Month'!R30*(1+'Détail CF'!$C57),IF($D57&gt;=60,'P&amp;L Month'!Q30*(1+'Détail CF'!$C57),0)))</f>
        <v>0</v>
      </c>
      <c r="R57" s="102">
        <f>-IF($D57&lt;30,'P&amp;L Month'!T30*(1+'Détail CF'!$C57),IF($D57&lt;60,'P&amp;L Month'!S30*(1+'Détail CF'!$C57),IF($D57&gt;=60,'P&amp;L Month'!R30*(1+'Détail CF'!$C57),0)))</f>
        <v>0</v>
      </c>
      <c r="S57" s="102">
        <f>-IF($D57&lt;30,'P&amp;L Month'!U30*(1+'Détail CF'!$C57),IF($D57&lt;60,'P&amp;L Month'!T30*(1+'Détail CF'!$C57),IF($D57&gt;=60,'P&amp;L Month'!S30*(1+'Détail CF'!$C57),0)))</f>
        <v>0</v>
      </c>
      <c r="T57" s="102">
        <f>-IF($D57&lt;30,'P&amp;L Month'!V30*(1+'Détail CF'!$C57),IF($D57&lt;60,'P&amp;L Month'!U30*(1+'Détail CF'!$C57),IF($D57&gt;=60,'P&amp;L Month'!T30*(1+'Détail CF'!$C57),0)))</f>
        <v>0</v>
      </c>
      <c r="U57" s="102">
        <f>-IF($D57&lt;30,'P&amp;L Month'!W30*(1+'Détail CF'!$C57),IF($D57&lt;60,'P&amp;L Month'!V30*(1+'Détail CF'!$C57),IF($D57&gt;=60,'P&amp;L Month'!U30*(1+'Détail CF'!$C57),0)))</f>
        <v>0</v>
      </c>
      <c r="V57" s="102">
        <f>-IF($D57&lt;30,'P&amp;L Month'!X30*(1+'Détail CF'!$C57),IF($D57&lt;60,'P&amp;L Month'!W30*(1+'Détail CF'!$C57),IF($D57&gt;=60,'P&amp;L Month'!V30*(1+'Détail CF'!$C57),0)))</f>
        <v>0</v>
      </c>
      <c r="W57" s="102">
        <f>-IF($D57&lt;30,'P&amp;L Month'!Y30*(1+'Détail CF'!$C57),IF($D57&lt;60,'P&amp;L Month'!X30*(1+'Détail CF'!$C57),IF($D57&gt;=60,'P&amp;L Month'!W30*(1+'Détail CF'!$C57),0)))</f>
        <v>0</v>
      </c>
      <c r="X57" s="102">
        <f>-IF($D57&lt;30,'P&amp;L Month'!Z30*(1+'Détail CF'!$C57),IF($D57&lt;60,'P&amp;L Month'!Y30*(1+'Détail CF'!$C57),IF($D57&gt;=60,'P&amp;L Month'!X30*(1+'Détail CF'!$C57),0)))</f>
        <v>-2990</v>
      </c>
      <c r="Y57" s="102">
        <f>-IF($D57&lt;30,'P&amp;L Month'!AA30*(1+'Détail CF'!$C57),IF($D57&lt;60,'P&amp;L Month'!Z30*(1+'Détail CF'!$C57),IF($D57&gt;=60,'P&amp;L Month'!Y30*(1+'Détail CF'!$C57),0)))</f>
        <v>-418.59999999999997</v>
      </c>
      <c r="Z57" s="102">
        <f>-IF($D57&lt;30,'P&amp;L Month'!AB30*(1+'Détail CF'!$C57),IF($D57&lt;60,'P&amp;L Month'!AA30*(1+'Détail CF'!$C57),IF($D57&gt;=60,'P&amp;L Month'!Z30*(1+'Détail CF'!$C57),0)))</f>
        <v>-418.59999999999997</v>
      </c>
      <c r="AA57" s="102">
        <f>-IF($D57&lt;30,'P&amp;L Month'!AC30*(1+'Détail CF'!$C57),IF($D57&lt;60,'P&amp;L Month'!AB30*(1+'Détail CF'!$C57),IF($D57&gt;=60,'P&amp;L Month'!AA30*(1+'Détail CF'!$C57),0)))</f>
        <v>-478.4</v>
      </c>
      <c r="AB57" s="102">
        <f>-IF($D57&lt;30,'P&amp;L Month'!AD30*(1+'Détail CF'!$C57),IF($D57&lt;60,'P&amp;L Month'!AC30*(1+'Détail CF'!$C57),IF($D57&gt;=60,'P&amp;L Month'!AB30*(1+'Détail CF'!$C57),0)))</f>
        <v>-478.4</v>
      </c>
      <c r="AC57" s="102">
        <f>-IF($D57&lt;30,'P&amp;L Month'!AE30*(1+'Détail CF'!$C57),IF($D57&lt;60,'P&amp;L Month'!AD30*(1+'Détail CF'!$C57),IF($D57&gt;=60,'P&amp;L Month'!AC30*(1+'Détail CF'!$C57),0)))</f>
        <v>-598</v>
      </c>
      <c r="AD57" s="102">
        <f>-IF($D57&lt;30,'P&amp;L Month'!AF30*(1+'Détail CF'!$C57),IF($D57&lt;60,'P&amp;L Month'!AE30*(1+'Détail CF'!$C57),IF($D57&gt;=60,'P&amp;L Month'!AD30*(1+'Détail CF'!$C57),0)))</f>
        <v>-598</v>
      </c>
      <c r="AE57" s="102">
        <f>-IF($D57&lt;30,'P&amp;L Month'!AG30*(1+'Détail CF'!$C57),IF($D57&lt;60,'P&amp;L Month'!AF30*(1+'Détail CF'!$C57),IF($D57&gt;=60,'P&amp;L Month'!AE30*(1+'Détail CF'!$C57),0)))</f>
        <v>-717.6</v>
      </c>
      <c r="AF57" s="102">
        <f>-IF($D57&lt;30,'P&amp;L Month'!AH30*(1+'Détail CF'!$C57),IF($D57&lt;60,'P&amp;L Month'!AG30*(1+'Détail CF'!$C57),IF($D57&gt;=60,'P&amp;L Month'!AF30*(1+'Détail CF'!$C57),0)))</f>
        <v>-717.6</v>
      </c>
      <c r="AG57" s="102">
        <f>-IF($D57&lt;30,'P&amp;L Month'!AI30*(1+'Détail CF'!$C57),IF($D57&lt;60,'P&amp;L Month'!AH30*(1+'Détail CF'!$C57),IF($D57&gt;=60,'P&amp;L Month'!AG30*(1+'Détail CF'!$C57),0)))</f>
        <v>-717.6</v>
      </c>
      <c r="AH57" s="102">
        <f>-IF($D57&lt;30,'P&amp;L Month'!AJ30*(1+'Détail CF'!$C57),IF($D57&lt;60,'P&amp;L Month'!AI30*(1+'Détail CF'!$C57),IF($D57&gt;=60,'P&amp;L Month'!AH30*(1+'Détail CF'!$C57),0)))</f>
        <v>-717.6</v>
      </c>
      <c r="AI57" s="102">
        <f>-IF($D57&lt;30,'P&amp;L Month'!AK30*(1+'Détail CF'!$C57),IF($D57&lt;60,'P&amp;L Month'!AJ30*(1+'Détail CF'!$C57),IF($D57&gt;=60,'P&amp;L Month'!AI30*(1+'Détail CF'!$C57),0)))</f>
        <v>-777.4</v>
      </c>
      <c r="AJ57" s="102">
        <f>-IF($D57&lt;30,'P&amp;L Month'!AL30*(1+'Détail CF'!$C57),IF($D57&lt;60,'P&amp;L Month'!AK30*(1+'Détail CF'!$C57),IF($D57&gt;=60,'P&amp;L Month'!AJ30*(1+'Détail CF'!$C57),0)))</f>
        <v>-777.4</v>
      </c>
      <c r="AK57" s="102">
        <f>-IF($D57&lt;30,'P&amp;L Month'!AM30*(1+'Détail CF'!$C57),IF($D57&lt;60,'P&amp;L Month'!AL30*(1+'Détail CF'!$C57),IF($D57&gt;=60,'P&amp;L Month'!AK30*(1+'Détail CF'!$C57),0)))</f>
        <v>-777.4</v>
      </c>
      <c r="AL57" s="102">
        <f>-IF($D57&lt;30,'P&amp;L Month'!AN30*(1+'Détail CF'!$C57),IF($D57&lt;60,'P&amp;L Month'!AM30*(1+'Détail CF'!$C57),IF($D57&gt;=60,'P&amp;L Month'!AL30*(1+'Détail CF'!$C57),0)))</f>
        <v>-837.19999999999993</v>
      </c>
      <c r="AM57" s="102">
        <f>-IF($D57&lt;30,'P&amp;L Month'!AO30*(1+'Détail CF'!$C57),IF($D57&lt;60,'P&amp;L Month'!AN30*(1+'Détail CF'!$C57),IF($D57&gt;=60,'P&amp;L Month'!AM30*(1+'Détail CF'!$C57),0)))</f>
        <v>-837.19999999999993</v>
      </c>
      <c r="AN57" s="102">
        <f>-IF($D57&lt;30,'P&amp;L Month'!AP30*(1+'Détail CF'!$C57),IF($D57&lt;60,'P&amp;L Month'!AO30*(1+'Détail CF'!$C57),IF($D57&gt;=60,'P&amp;L Month'!AN30*(1+'Détail CF'!$C57),0)))</f>
        <v>-1076.3999999999999</v>
      </c>
      <c r="AO57" s="102">
        <f>-IF($D57&lt;30,'P&amp;L Month'!AQ30*(1+'Détail CF'!$C57),IF($D57&lt;60,'P&amp;L Month'!AP30*(1+'Détail CF'!$C57),IF($D57&gt;=60,'P&amp;L Month'!AO30*(1+'Détail CF'!$C57),0)))</f>
        <v>-1136.2</v>
      </c>
      <c r="AP57" s="102">
        <f>-IF($D57&lt;30,'P&amp;L Month'!AR30*(1+'Détail CF'!$C57),IF($D57&lt;60,'P&amp;L Month'!AQ30*(1+'Détail CF'!$C57),IF($D57&gt;=60,'P&amp;L Month'!AP30*(1+'Détail CF'!$C57),0)))</f>
        <v>-1136.2</v>
      </c>
      <c r="AQ57" s="102">
        <f>-IF($D57&lt;30,'P&amp;L Month'!AS30*(1+'Détail CF'!$C57),IF($D57&lt;60,'P&amp;L Month'!AR30*(1+'Détail CF'!$C57),IF($D57&gt;=60,'P&amp;L Month'!AQ30*(1+'Détail CF'!$C57),0)))</f>
        <v>-1136.2</v>
      </c>
      <c r="AR57" s="102">
        <f>-IF($D57&lt;30,'P&amp;L Month'!AT30*(1+'Détail CF'!$C57),IF($D57&lt;60,'P&amp;L Month'!AS30*(1+'Détail CF'!$C57),IF($D57&gt;=60,'P&amp;L Month'!AR30*(1+'Détail CF'!$C57),0)))</f>
        <v>-1196</v>
      </c>
      <c r="AS57" s="102">
        <f>-IF($D57&lt;30,'P&amp;L Month'!AU30*(1+'Détail CF'!$C57),IF($D57&lt;60,'P&amp;L Month'!AT30*(1+'Détail CF'!$C57),IF($D57&gt;=60,'P&amp;L Month'!AS30*(1+'Détail CF'!$C57),0)))</f>
        <v>-1196</v>
      </c>
      <c r="AT57" s="102">
        <f>-IF($D57&lt;30,'P&amp;L Month'!AV30*(1+'Détail CF'!$C57),IF($D57&lt;60,'P&amp;L Month'!AU30*(1+'Détail CF'!$C57),IF($D57&gt;=60,'P&amp;L Month'!AT30*(1+'Détail CF'!$C57),0)))</f>
        <v>-1196</v>
      </c>
      <c r="AU57" s="102">
        <f>-IF($D57&lt;30,'P&amp;L Month'!AW30*(1+'Détail CF'!$C57),IF($D57&lt;60,'P&amp;L Month'!AV30*(1+'Détail CF'!$C57),IF($D57&gt;=60,'P&amp;L Month'!AU30*(1+'Détail CF'!$C57),0)))</f>
        <v>-1196</v>
      </c>
      <c r="AV57" s="102">
        <f>-IF($D57&lt;30,'P&amp;L Month'!AX30*(1+'Détail CF'!$C57),IF($D57&lt;60,'P&amp;L Month'!AW30*(1+'Détail CF'!$C57),IF($D57&gt;=60,'P&amp;L Month'!AV30*(1+'Détail CF'!$C57),0)))</f>
        <v>-1196</v>
      </c>
      <c r="AW57" s="102">
        <f>-IF($D57&lt;30,'P&amp;L Month'!AY30*(1+'Détail CF'!$C57),IF($D57&lt;60,'P&amp;L Month'!AX30*(1+'Détail CF'!$C57),IF($D57&gt;=60,'P&amp;L Month'!AW30*(1+'Détail CF'!$C57),0)))</f>
        <v>-1196</v>
      </c>
      <c r="AX57" s="102">
        <f>-IF($D57&lt;30,'P&amp;L Month'!AZ30*(1+'Détail CF'!$C57),IF($D57&lt;60,'P&amp;L Month'!AY30*(1+'Détail CF'!$C57),IF($D57&gt;=60,'P&amp;L Month'!AX30*(1+'Détail CF'!$C57),0)))</f>
        <v>-1196</v>
      </c>
      <c r="AY57" s="102">
        <f>-IF($D57&lt;30,'P&amp;L Month'!BA30*(1+'Détail CF'!$C57),IF($D57&lt;60,'P&amp;L Month'!AZ30*(1+'Détail CF'!$C57),IF($D57&gt;=60,'P&amp;L Month'!AY30*(1+'Détail CF'!$C57),0)))</f>
        <v>-1196</v>
      </c>
      <c r="AZ57" s="102">
        <f>-IF($D57&lt;30,'P&amp;L Month'!BB30*(1+'Détail CF'!$C57),IF($D57&lt;60,'P&amp;L Month'!BA30*(1+'Détail CF'!$C57),IF($D57&gt;=60,'P&amp;L Month'!AZ30*(1+'Détail CF'!$C57),0)))</f>
        <v>-1196</v>
      </c>
      <c r="BA57" s="102">
        <f>-IF($D57&lt;30,'P&amp;L Month'!BC30*(1+'Détail CF'!$C57),IF($D57&lt;60,'P&amp;L Month'!BB30*(1+'Détail CF'!$C57),IF($D57&gt;=60,'P&amp;L Month'!BA30*(1+'Détail CF'!$C57),0)))</f>
        <v>-1196</v>
      </c>
      <c r="BB57" s="102">
        <f>-IF($D57&lt;30,'P&amp;L Month'!BD30*(1+'Détail CF'!$C57),IF($D57&lt;60,'P&amp;L Month'!BC30*(1+'Détail CF'!$C57),IF($D57&gt;=60,'P&amp;L Month'!BB30*(1+'Détail CF'!$C57),0)))</f>
        <v>-1196</v>
      </c>
      <c r="BC57" s="102">
        <f>-IF($D57&lt;30,'P&amp;L Month'!BE30*(1+'Détail CF'!$C57),IF($D57&lt;60,'P&amp;L Month'!BD30*(1+'Détail CF'!$C57),IF($D57&gt;=60,'P&amp;L Month'!BC30*(1+'Détail CF'!$C57),0)))</f>
        <v>-1196</v>
      </c>
      <c r="BD57" s="102">
        <f>-IF($D57&lt;30,'P&amp;L Month'!BF30*(1+'Détail CF'!$C57),IF($D57&lt;60,'P&amp;L Month'!BE30*(1+'Détail CF'!$C57),IF($D57&gt;=60,'P&amp;L Month'!BD30*(1+'Détail CF'!$C57),0)))</f>
        <v>-1196</v>
      </c>
      <c r="BE57" s="102">
        <f>-IF($D57&lt;30,'P&amp;L Month'!BG30*(1+'Détail CF'!$C57),IF($D57&lt;60,'P&amp;L Month'!BF30*(1+'Détail CF'!$C57),IF($D57&gt;=60,'P&amp;L Month'!BE30*(1+'Détail CF'!$C57),0)))</f>
        <v>-1196</v>
      </c>
      <c r="BF57" s="102">
        <f>-IF($D57&lt;30,'P&amp;L Month'!BH30*(1+'Détail CF'!$C57),IF($D57&lt;60,'P&amp;L Month'!BG30*(1+'Détail CF'!$C57),IF($D57&gt;=60,'P&amp;L Month'!BF30*(1+'Détail CF'!$C57),0)))</f>
        <v>-1196</v>
      </c>
      <c r="BG57" s="102">
        <f>-IF($D57&lt;30,'P&amp;L Month'!BI30*(1+'Détail CF'!$C57),IF($D57&lt;60,'P&amp;L Month'!BH30*(1+'Détail CF'!$C57),IF($D57&gt;=60,'P&amp;L Month'!BG30*(1+'Détail CF'!$C57),0)))</f>
        <v>-1196</v>
      </c>
      <c r="BH57" s="102">
        <f>-IF($D57&lt;30,'P&amp;L Month'!BJ30*(1+'Détail CF'!$C57),IF($D57&lt;60,'P&amp;L Month'!BI30*(1+'Détail CF'!$C57),IF($D57&gt;=60,'P&amp;L Month'!BH30*(1+'Détail CF'!$C57),0)))</f>
        <v>-1196</v>
      </c>
      <c r="BI57" s="102">
        <f>-IF($D57&lt;30,'P&amp;L Month'!BK30*(1+'Détail CF'!$C57),IF($D57&lt;60,'P&amp;L Month'!BJ30*(1+'Détail CF'!$C57),IF($D57&gt;=60,'P&amp;L Month'!BI30*(1+'Détail CF'!$C57),0)))</f>
        <v>-1196</v>
      </c>
      <c r="BJ57" s="102">
        <f>-IF($D57&lt;30,'P&amp;L Month'!BL30*(1+'Détail CF'!$C57),IF($D57&lt;60,'P&amp;L Month'!BK30*(1+'Détail CF'!$C57),IF($D57&gt;=60,'P&amp;L Month'!BJ30*(1+'Détail CF'!$C57),0)))</f>
        <v>-1196</v>
      </c>
      <c r="BK57" s="102">
        <f>-IF($D57&lt;30,'P&amp;L Month'!BM30*(1+'Détail CF'!$C57),IF($D57&lt;60,'P&amp;L Month'!BL30*(1+'Détail CF'!$C57),IF($D57&gt;=60,'P&amp;L Month'!BK30*(1+'Détail CF'!$C57),0)))</f>
        <v>-1196</v>
      </c>
      <c r="BL57" s="102">
        <f>-IF($D57&lt;30,'P&amp;L Month'!BN30*(1+'Détail CF'!$C57),IF($D57&lt;60,'P&amp;L Month'!BM30*(1+'Détail CF'!$C57),IF($D57&gt;=60,'P&amp;L Month'!BL30*(1+'Détail CF'!$C57),0)))</f>
        <v>-1196</v>
      </c>
      <c r="BM57" s="102">
        <f>-IF($D57&lt;30,'P&amp;L Month'!BO30*(1+'Détail CF'!$C57),IF($D57&lt;60,'P&amp;L Month'!BN30*(1+'Détail CF'!$C57),IF($D57&gt;=60,'P&amp;L Month'!BM30*(1+'Détail CF'!$C57),0)))</f>
        <v>-1196</v>
      </c>
      <c r="BN57" s="102">
        <f>-IF($D57&lt;30,'P&amp;L Month'!BP30*(1+'Détail CF'!$C57),IF($D57&lt;60,'P&amp;L Month'!BO30*(1+'Détail CF'!$C57),IF($D57&gt;=60,'P&amp;L Month'!BN30*(1+'Détail CF'!$C57),0)))</f>
        <v>-1196</v>
      </c>
      <c r="BO57" s="102">
        <f>-IF($D57&lt;30,'P&amp;L Month'!BQ30*(1+'Détail CF'!$C57),IF($D57&lt;60,'P&amp;L Month'!BP30*(1+'Détail CF'!$C57),IF($D57&gt;=60,'P&amp;L Month'!BO30*(1+'Détail CF'!$C57),0)))</f>
        <v>-1196</v>
      </c>
      <c r="BP57" s="102">
        <f>-IF($D57&lt;30,'P&amp;L Month'!BR30*(1+'Détail CF'!$C57),IF($D57&lt;60,'P&amp;L Month'!BQ30*(1+'Détail CF'!$C57),IF($D57&gt;=60,'P&amp;L Month'!BP30*(1+'Détail CF'!$C57),0)))</f>
        <v>-1196</v>
      </c>
      <c r="BQ57" s="102">
        <f>-IF($D57&lt;30,'P&amp;L Month'!BS30*(1+'Détail CF'!$C57),IF($D57&lt;60,'P&amp;L Month'!BR30*(1+'Détail CF'!$C57),IF($D57&gt;=60,'P&amp;L Month'!BQ30*(1+'Détail CF'!$C57),0)))</f>
        <v>-1196</v>
      </c>
      <c r="BR57" s="102">
        <f>-IF($D57&lt;30,'P&amp;L Month'!BT30*(1+'Détail CF'!$C57),IF($D57&lt;60,'P&amp;L Month'!BS30*(1+'Détail CF'!$C57),IF($D57&gt;=60,'P&amp;L Month'!BR30*(1+'Détail CF'!$C57),0)))</f>
        <v>-1196</v>
      </c>
      <c r="BS57" s="102">
        <f>-IF($D57&lt;30,'P&amp;L Month'!BU30*(1+'Détail CF'!$C57),IF($D57&lt;60,'P&amp;L Month'!BT30*(1+'Détail CF'!$C57),IF($D57&gt;=60,'P&amp;L Month'!BS30*(1+'Détail CF'!$C57),0)))</f>
        <v>-1196</v>
      </c>
      <c r="BT57" s="102">
        <f>-IF($D57&lt;30,'P&amp;L Month'!BV30*(1+'Détail CF'!$C57),IF($D57&lt;60,'P&amp;L Month'!BU30*(1+'Détail CF'!$C57),IF($D57&gt;=60,'P&amp;L Month'!BT30*(1+'Détail CF'!$C57),0)))</f>
        <v>-1196</v>
      </c>
      <c r="BU57" s="102">
        <f>-IF($D57&lt;30,'P&amp;L Month'!BW30*(1+'Détail CF'!$C57),IF($D57&lt;60,'P&amp;L Month'!BV30*(1+'Détail CF'!$C57),IF($D57&gt;=60,'P&amp;L Month'!BU30*(1+'Détail CF'!$C57),0)))</f>
        <v>-1196</v>
      </c>
      <c r="BV57" s="102">
        <f>-IF($D57&lt;30,'P&amp;L Month'!BX30*(1+'Détail CF'!$C57),IF($D57&lt;60,'P&amp;L Month'!BW30*(1+'Détail CF'!$C57),IF($D57&gt;=60,'P&amp;L Month'!BV30*(1+'Détail CF'!$C57),0)))</f>
        <v>-1196</v>
      </c>
      <c r="BW57" s="102">
        <f>-IF($D57&lt;30,'P&amp;L Month'!BY30*(1+'Détail CF'!$C57),IF($D57&lt;60,'P&amp;L Month'!BX30*(1+'Détail CF'!$C57),IF($D57&gt;=60,'P&amp;L Month'!BW30*(1+'Détail CF'!$C57),0)))</f>
        <v>-1196</v>
      </c>
      <c r="BX57" s="102">
        <f>-IF($D57&lt;30,'P&amp;L Month'!BZ30*(1+'Détail CF'!$C57),IF($D57&lt;60,'P&amp;L Month'!BY30*(1+'Détail CF'!$C57),IF($D57&gt;=60,'P&amp;L Month'!BX30*(1+'Détail CF'!$C57),0)))</f>
        <v>-1196</v>
      </c>
      <c r="BY57" s="102">
        <f>-IF($D57&lt;30,'P&amp;L Month'!CA30*(1+'Détail CF'!$C57),IF($D57&lt;60,'P&amp;L Month'!BZ30*(1+'Détail CF'!$C57),IF($D57&gt;=60,'P&amp;L Month'!BY30*(1+'Détail CF'!$C57),0)))</f>
        <v>-1196</v>
      </c>
      <c r="BZ57" s="102">
        <f>-IF($D57&lt;30,'P&amp;L Month'!CB30*(1+'Détail CF'!$C57),IF($D57&lt;60,'P&amp;L Month'!CA30*(1+'Détail CF'!$C57),IF($D57&gt;=60,'P&amp;L Month'!BZ30*(1+'Détail CF'!$C57),0)))</f>
        <v>-1196</v>
      </c>
      <c r="CA57" s="102">
        <f>-IF($D57&lt;30,'P&amp;L Month'!CC30*(1+'Détail CF'!$C57),IF($D57&lt;60,'P&amp;L Month'!CB30*(1+'Détail CF'!$C57),IF($D57&gt;=60,'P&amp;L Month'!CA30*(1+'Détail CF'!$C57),0)))</f>
        <v>-1196</v>
      </c>
      <c r="CB57" s="102">
        <f>-IF($D57&lt;30,'P&amp;L Month'!CD30*(1+'Détail CF'!$C57),IF($D57&lt;60,'P&amp;L Month'!CC30*(1+'Détail CF'!$C57),IF($D57&gt;=60,'P&amp;L Month'!CB30*(1+'Détail CF'!$C57),0)))</f>
        <v>-1196</v>
      </c>
      <c r="CC57" s="102">
        <f>-IF($D57&lt;30,'P&amp;L Month'!CE30*(1+'Détail CF'!$C57),IF($D57&lt;60,'P&amp;L Month'!CD30*(1+'Détail CF'!$C57),IF($D57&gt;=60,'P&amp;L Month'!CC30*(1+'Détail CF'!$C57),0)))</f>
        <v>-1196</v>
      </c>
      <c r="CD57" s="102">
        <f>-IF($D57&lt;30,'P&amp;L Month'!CF30*(1+'Détail CF'!$C57),IF($D57&lt;60,'P&amp;L Month'!CE30*(1+'Détail CF'!$C57),IF($D57&gt;=60,'P&amp;L Month'!CD30*(1+'Détail CF'!$C57),0)))</f>
        <v>-1196</v>
      </c>
      <c r="CE57" s="102">
        <f>-IF($D57&lt;30,'P&amp;L Month'!CG30*(1+'Détail CF'!$C57),IF($D57&lt;60,'P&amp;L Month'!CF30*(1+'Détail CF'!$C57),IF($D57&gt;=60,'P&amp;L Month'!CE30*(1+'Détail CF'!$C57),0)))</f>
        <v>-1196</v>
      </c>
    </row>
    <row r="58" spans="1:83">
      <c r="B58" t="s">
        <v>165</v>
      </c>
      <c r="C58" s="182">
        <f t="shared" si="28"/>
        <v>0.19600000000000001</v>
      </c>
      <c r="D58" s="99">
        <f t="shared" si="28"/>
        <v>30</v>
      </c>
      <c r="E58" s="195" t="str">
        <f t="shared" si="28"/>
        <v>F</v>
      </c>
      <c r="F58" s="102">
        <f>-IF($D58&lt;30,'P&amp;L Month'!H33*(1+'Détail CF'!$C58),0)</f>
        <v>0</v>
      </c>
      <c r="G58" s="102">
        <f>-IF($D58&lt;30,'P&amp;L Month'!I33*(1+'Détail CF'!$C58),IF($D58&lt;60,'P&amp;L Month'!H33*(1+'Détail CF'!$C58),0))</f>
        <v>0</v>
      </c>
      <c r="H58" s="102">
        <f>-IF($D58&lt;30,'P&amp;L Month'!J33*(1+'Détail CF'!$C58),IF($D58&lt;60,'P&amp;L Month'!I33*(1+'Détail CF'!$C58),IF($D58&gt;=60,'P&amp;L Month'!H33*(1+'Détail CF'!$C58),0)))</f>
        <v>0</v>
      </c>
      <c r="I58" s="102">
        <f>-IF($D58&lt;30,'P&amp;L Month'!K33*(1+'Détail CF'!$C58),IF($D58&lt;60,'P&amp;L Month'!J33*(1+'Détail CF'!$C58),IF($D58&gt;=60,'P&amp;L Month'!I33*(1+'Détail CF'!$C58),0)))</f>
        <v>0</v>
      </c>
      <c r="J58" s="102">
        <f>-IF($D58&lt;30,'P&amp;L Month'!L33*(1+'Détail CF'!$C58),IF($D58&lt;60,'P&amp;L Month'!K33*(1+'Détail CF'!$C58),IF($D58&gt;=60,'P&amp;L Month'!J33*(1+'Détail CF'!$C58),0)))</f>
        <v>0</v>
      </c>
      <c r="K58" s="102">
        <f>-IF($D58&lt;30,'P&amp;L Month'!M33*(1+'Détail CF'!$C58),IF($D58&lt;60,'P&amp;L Month'!L33*(1+'Détail CF'!$C58),IF($D58&gt;=60,'P&amp;L Month'!K33*(1+'Détail CF'!$C58),0)))</f>
        <v>0</v>
      </c>
      <c r="L58" s="102">
        <f>-IF($D58&lt;30,'P&amp;L Month'!N33*(1+'Détail CF'!$C58),IF($D58&lt;60,'P&amp;L Month'!M33*(1+'Détail CF'!$C58),IF($D58&gt;=60,'P&amp;L Month'!L33*(1+'Détail CF'!$C58),0)))</f>
        <v>0</v>
      </c>
      <c r="M58" s="102">
        <f>-IF($D58&lt;30,'P&amp;L Month'!O33*(1+'Détail CF'!$C58),IF($D58&lt;60,'P&amp;L Month'!N33*(1+'Détail CF'!$C58),IF($D58&gt;=60,'P&amp;L Month'!M33*(1+'Détail CF'!$C58),0)))</f>
        <v>0</v>
      </c>
      <c r="N58" s="102">
        <f>-IF($D58&lt;30,'P&amp;L Month'!P33*(1+'Détail CF'!$C58),IF($D58&lt;60,'P&amp;L Month'!O33*(1+'Détail CF'!$C58),IF($D58&gt;=60,'P&amp;L Month'!N33*(1+'Détail CF'!$C58),0)))</f>
        <v>0</v>
      </c>
      <c r="O58" s="102">
        <f>-IF($D58&lt;30,'P&amp;L Month'!Q33*(1+'Détail CF'!$C58),IF($D58&lt;60,'P&amp;L Month'!P33*(1+'Détail CF'!$C58),IF($D58&gt;=60,'P&amp;L Month'!O33*(1+'Détail CF'!$C58),0)))</f>
        <v>0</v>
      </c>
      <c r="P58" s="102">
        <f>-IF($D58&lt;30,'P&amp;L Month'!R33*(1+'Détail CF'!$C58),IF($D58&lt;60,'P&amp;L Month'!Q33*(1+'Détail CF'!$C58),IF($D58&gt;=60,'P&amp;L Month'!P33*(1+'Détail CF'!$C58),0)))</f>
        <v>0</v>
      </c>
      <c r="Q58" s="102">
        <f>-IF($D58&lt;30,'P&amp;L Month'!S33*(1+'Détail CF'!$C58),IF($D58&lt;60,'P&amp;L Month'!R33*(1+'Détail CF'!$C58),IF($D58&gt;=60,'P&amp;L Month'!Q33*(1+'Détail CF'!$C58),0)))</f>
        <v>0</v>
      </c>
      <c r="R58" s="102">
        <f>-IF($D58&lt;30,'P&amp;L Month'!T33*(1+'Détail CF'!$C58),IF($D58&lt;60,'P&amp;L Month'!S33*(1+'Détail CF'!$C58),IF($D58&gt;=60,'P&amp;L Month'!R33*(1+'Détail CF'!$C58),0)))</f>
        <v>0</v>
      </c>
      <c r="S58" s="102">
        <f>-IF($D58&lt;30,'P&amp;L Month'!U33*(1+'Détail CF'!$C58),IF($D58&lt;60,'P&amp;L Month'!T33*(1+'Détail CF'!$C58),IF($D58&gt;=60,'P&amp;L Month'!S33*(1+'Détail CF'!$C58),0)))</f>
        <v>0</v>
      </c>
      <c r="T58" s="102">
        <f>-IF($D58&lt;30,'P&amp;L Month'!V33*(1+'Détail CF'!$C58),IF($D58&lt;60,'P&amp;L Month'!U33*(1+'Détail CF'!$C58),IF($D58&gt;=60,'P&amp;L Month'!T33*(1+'Détail CF'!$C58),0)))</f>
        <v>0</v>
      </c>
      <c r="U58" s="102">
        <f>-IF($D58&lt;30,'P&amp;L Month'!W33*(1+'Détail CF'!$C58),IF($D58&lt;60,'P&amp;L Month'!V33*(1+'Détail CF'!$C58),IF($D58&gt;=60,'P&amp;L Month'!U33*(1+'Détail CF'!$C58),0)))</f>
        <v>0</v>
      </c>
      <c r="V58" s="102">
        <f>-IF($D58&lt;30,'P&amp;L Month'!X33*(1+'Détail CF'!$C58),IF($D58&lt;60,'P&amp;L Month'!W33*(1+'Détail CF'!$C58),IF($D58&gt;=60,'P&amp;L Month'!V33*(1+'Détail CF'!$C58),0)))</f>
        <v>0</v>
      </c>
      <c r="W58" s="102">
        <f>-IF($D58&lt;30,'P&amp;L Month'!Y33*(1+'Détail CF'!$C58),IF($D58&lt;60,'P&amp;L Month'!X33*(1+'Détail CF'!$C58),IF($D58&gt;=60,'P&amp;L Month'!W33*(1+'Détail CF'!$C58),0)))</f>
        <v>0</v>
      </c>
      <c r="X58" s="102">
        <f>-IF($D58&lt;30,'P&amp;L Month'!Z33*(1+'Détail CF'!$C58),IF($D58&lt;60,'P&amp;L Month'!Y33*(1+'Détail CF'!$C58),IF($D58&gt;=60,'P&amp;L Month'!X33*(1+'Détail CF'!$C58),0)))</f>
        <v>0</v>
      </c>
      <c r="Y58" s="102">
        <f>-IF($D58&lt;30,'P&amp;L Month'!AA33*(1+'Détail CF'!$C58),IF($D58&lt;60,'P&amp;L Month'!Z33*(1+'Détail CF'!$C58),IF($D58&gt;=60,'P&amp;L Month'!Y33*(1+'Détail CF'!$C58),0)))</f>
        <v>0</v>
      </c>
      <c r="Z58" s="102">
        <f>-IF($D58&lt;30,'P&amp;L Month'!AB33*(1+'Détail CF'!$C58),IF($D58&lt;60,'P&amp;L Month'!AA33*(1+'Détail CF'!$C58),IF($D58&gt;=60,'P&amp;L Month'!Z33*(1+'Détail CF'!$C58),0)))</f>
        <v>0</v>
      </c>
      <c r="AA58" s="102">
        <f>-IF($D58&lt;30,'P&amp;L Month'!AC33*(1+'Détail CF'!$C58),IF($D58&lt;60,'P&amp;L Month'!AB33*(1+'Détail CF'!$C58),IF($D58&gt;=60,'P&amp;L Month'!AA33*(1+'Détail CF'!$C58),0)))</f>
        <v>0</v>
      </c>
      <c r="AB58" s="102">
        <f>-IF($D58&lt;30,'P&amp;L Month'!AD33*(1+'Détail CF'!$C58),IF($D58&lt;60,'P&amp;L Month'!AC33*(1+'Détail CF'!$C58),IF($D58&gt;=60,'P&amp;L Month'!AB33*(1+'Détail CF'!$C58),0)))</f>
        <v>0</v>
      </c>
      <c r="AC58" s="102">
        <f>-IF($D58&lt;30,'P&amp;L Month'!AE33*(1+'Détail CF'!$C58),IF($D58&lt;60,'P&amp;L Month'!AD33*(1+'Détail CF'!$C58),IF($D58&gt;=60,'P&amp;L Month'!AC33*(1+'Détail CF'!$C58),0)))</f>
        <v>0</v>
      </c>
      <c r="AD58" s="102">
        <f>-IF($D58&lt;30,'P&amp;L Month'!AF33*(1+'Détail CF'!$C58),IF($D58&lt;60,'P&amp;L Month'!AE33*(1+'Détail CF'!$C58),IF($D58&gt;=60,'P&amp;L Month'!AD33*(1+'Détail CF'!$C58),0)))</f>
        <v>0</v>
      </c>
      <c r="AE58" s="102">
        <f>-IF($D58&lt;30,'P&amp;L Month'!AG33*(1+'Détail CF'!$C58),IF($D58&lt;60,'P&amp;L Month'!AF33*(1+'Détail CF'!$C58),IF($D58&gt;=60,'P&amp;L Month'!AE33*(1+'Détail CF'!$C58),0)))</f>
        <v>0</v>
      </c>
      <c r="AF58" s="102">
        <f>-IF($D58&lt;30,'P&amp;L Month'!AH33*(1+'Détail CF'!$C58),IF($D58&lt;60,'P&amp;L Month'!AG33*(1+'Détail CF'!$C58),IF($D58&gt;=60,'P&amp;L Month'!AF33*(1+'Détail CF'!$C58),0)))</f>
        <v>0</v>
      </c>
      <c r="AG58" s="102">
        <f>-IF($D58&lt;30,'P&amp;L Month'!AI33*(1+'Détail CF'!$C58),IF($D58&lt;60,'P&amp;L Month'!AH33*(1+'Détail CF'!$C58),IF($D58&gt;=60,'P&amp;L Month'!AG33*(1+'Détail CF'!$C58),0)))</f>
        <v>0</v>
      </c>
      <c r="AH58" s="102">
        <f>-IF($D58&lt;30,'P&amp;L Month'!AJ33*(1+'Détail CF'!$C58),IF($D58&lt;60,'P&amp;L Month'!AI33*(1+'Détail CF'!$C58),IF($D58&gt;=60,'P&amp;L Month'!AH33*(1+'Détail CF'!$C58),0)))</f>
        <v>0</v>
      </c>
      <c r="AI58" s="102">
        <f>-IF($D58&lt;30,'P&amp;L Month'!AK33*(1+'Détail CF'!$C58),IF($D58&lt;60,'P&amp;L Month'!AJ33*(1+'Détail CF'!$C58),IF($D58&gt;=60,'P&amp;L Month'!AI33*(1+'Détail CF'!$C58),0)))</f>
        <v>0</v>
      </c>
      <c r="AJ58" s="102">
        <f>-IF($D58&lt;30,'P&amp;L Month'!AL33*(1+'Détail CF'!$C58),IF($D58&lt;60,'P&amp;L Month'!AK33*(1+'Détail CF'!$C58),IF($D58&gt;=60,'P&amp;L Month'!AJ33*(1+'Détail CF'!$C58),0)))</f>
        <v>0</v>
      </c>
      <c r="AK58" s="102">
        <f>-IF($D58&lt;30,'P&amp;L Month'!AM33*(1+'Détail CF'!$C58),IF($D58&lt;60,'P&amp;L Month'!AL33*(1+'Détail CF'!$C58),IF($D58&gt;=60,'P&amp;L Month'!AK33*(1+'Détail CF'!$C58),0)))</f>
        <v>0</v>
      </c>
      <c r="AL58" s="102">
        <f>-IF($D58&lt;30,'P&amp;L Month'!AN33*(1+'Détail CF'!$C58),IF($D58&lt;60,'P&amp;L Month'!AM33*(1+'Détail CF'!$C58),IF($D58&gt;=60,'P&amp;L Month'!AL33*(1+'Détail CF'!$C58),0)))</f>
        <v>0</v>
      </c>
      <c r="AM58" s="102">
        <f>-IF($D58&lt;30,'P&amp;L Month'!AO33*(1+'Détail CF'!$C58),IF($D58&lt;60,'P&amp;L Month'!AN33*(1+'Détail CF'!$C58),IF($D58&gt;=60,'P&amp;L Month'!AM33*(1+'Détail CF'!$C58),0)))</f>
        <v>0</v>
      </c>
      <c r="AN58" s="102">
        <f>-IF($D58&lt;30,'P&amp;L Month'!AP33*(1+'Détail CF'!$C58),IF($D58&lt;60,'P&amp;L Month'!AO33*(1+'Détail CF'!$C58),IF($D58&gt;=60,'P&amp;L Month'!AN33*(1+'Détail CF'!$C58),0)))</f>
        <v>0</v>
      </c>
      <c r="AO58" s="102">
        <f>-IF($D58&lt;30,'P&amp;L Month'!AQ33*(1+'Détail CF'!$C58),IF($D58&lt;60,'P&amp;L Month'!AP33*(1+'Détail CF'!$C58),IF($D58&gt;=60,'P&amp;L Month'!AO33*(1+'Détail CF'!$C58),0)))</f>
        <v>0</v>
      </c>
      <c r="AP58" s="102">
        <f>-IF($D58&lt;30,'P&amp;L Month'!AR33*(1+'Détail CF'!$C58),IF($D58&lt;60,'P&amp;L Month'!AQ33*(1+'Détail CF'!$C58),IF($D58&gt;=60,'P&amp;L Month'!AP33*(1+'Détail CF'!$C58),0)))</f>
        <v>0</v>
      </c>
      <c r="AQ58" s="102">
        <f>-IF($D58&lt;30,'P&amp;L Month'!AS33*(1+'Détail CF'!$C58),IF($D58&lt;60,'P&amp;L Month'!AR33*(1+'Détail CF'!$C58),IF($D58&gt;=60,'P&amp;L Month'!AQ33*(1+'Détail CF'!$C58),0)))</f>
        <v>0</v>
      </c>
      <c r="AR58" s="102">
        <f>-IF($D58&lt;30,'P&amp;L Month'!AT33*(1+'Détail CF'!$C58),IF($D58&lt;60,'P&amp;L Month'!AS33*(1+'Détail CF'!$C58),IF($D58&gt;=60,'P&amp;L Month'!AR33*(1+'Détail CF'!$C58),0)))</f>
        <v>0</v>
      </c>
      <c r="AS58" s="102">
        <f>-IF($D58&lt;30,'P&amp;L Month'!AU33*(1+'Détail CF'!$C58),IF($D58&lt;60,'P&amp;L Month'!AT33*(1+'Détail CF'!$C58),IF($D58&gt;=60,'P&amp;L Month'!AS33*(1+'Détail CF'!$C58),0)))</f>
        <v>0</v>
      </c>
      <c r="AT58" s="102">
        <f>-IF($D58&lt;30,'P&amp;L Month'!AV33*(1+'Détail CF'!$C58),IF($D58&lt;60,'P&amp;L Month'!AU33*(1+'Détail CF'!$C58),IF($D58&gt;=60,'P&amp;L Month'!AT33*(1+'Détail CF'!$C58),0)))</f>
        <v>0</v>
      </c>
      <c r="AU58" s="102">
        <f>-IF($D58&lt;30,'P&amp;L Month'!AW33*(1+'Détail CF'!$C58),IF($D58&lt;60,'P&amp;L Month'!AV33*(1+'Détail CF'!$C58),IF($D58&gt;=60,'P&amp;L Month'!AU33*(1+'Détail CF'!$C58),0)))</f>
        <v>0</v>
      </c>
      <c r="AV58" s="102">
        <f>-IF($D58&lt;30,'P&amp;L Month'!AX33*(1+'Détail CF'!$C58),IF($D58&lt;60,'P&amp;L Month'!AW33*(1+'Détail CF'!$C58),IF($D58&gt;=60,'P&amp;L Month'!AV33*(1+'Détail CF'!$C58),0)))</f>
        <v>0</v>
      </c>
      <c r="AW58" s="102">
        <f>-IF($D58&lt;30,'P&amp;L Month'!AY33*(1+'Détail CF'!$C58),IF($D58&lt;60,'P&amp;L Month'!AX33*(1+'Détail CF'!$C58),IF($D58&gt;=60,'P&amp;L Month'!AW33*(1+'Détail CF'!$C58),0)))</f>
        <v>0</v>
      </c>
      <c r="AX58" s="102">
        <f>-IF($D58&lt;30,'P&amp;L Month'!AZ33*(1+'Détail CF'!$C58),IF($D58&lt;60,'P&amp;L Month'!AY33*(1+'Détail CF'!$C58),IF($D58&gt;=60,'P&amp;L Month'!AX33*(1+'Détail CF'!$C58),0)))</f>
        <v>0</v>
      </c>
      <c r="AY58" s="102">
        <f>-IF($D58&lt;30,'P&amp;L Month'!BA33*(1+'Détail CF'!$C58),IF($D58&lt;60,'P&amp;L Month'!AZ33*(1+'Détail CF'!$C58),IF($D58&gt;=60,'P&amp;L Month'!AY33*(1+'Détail CF'!$C58),0)))</f>
        <v>0</v>
      </c>
      <c r="AZ58" s="102">
        <f>-IF($D58&lt;30,'P&amp;L Month'!BB33*(1+'Détail CF'!$C58),IF($D58&lt;60,'P&amp;L Month'!BA33*(1+'Détail CF'!$C58),IF($D58&gt;=60,'P&amp;L Month'!AZ33*(1+'Détail CF'!$C58),0)))</f>
        <v>0</v>
      </c>
      <c r="BA58" s="102">
        <f>-IF($D58&lt;30,'P&amp;L Month'!BC33*(1+'Détail CF'!$C58),IF($D58&lt;60,'P&amp;L Month'!BB33*(1+'Détail CF'!$C58),IF($D58&gt;=60,'P&amp;L Month'!BA33*(1+'Détail CF'!$C58),0)))</f>
        <v>0</v>
      </c>
      <c r="BB58" s="102">
        <f>-IF($D58&lt;30,'P&amp;L Month'!BD33*(1+'Détail CF'!$C58),IF($D58&lt;60,'P&amp;L Month'!BC33*(1+'Détail CF'!$C58),IF($D58&gt;=60,'P&amp;L Month'!BB33*(1+'Détail CF'!$C58),0)))</f>
        <v>0</v>
      </c>
      <c r="BC58" s="102">
        <f>-IF($D58&lt;30,'P&amp;L Month'!BE33*(1+'Détail CF'!$C58),IF($D58&lt;60,'P&amp;L Month'!BD33*(1+'Détail CF'!$C58),IF($D58&gt;=60,'P&amp;L Month'!BC33*(1+'Détail CF'!$C58),0)))</f>
        <v>0</v>
      </c>
      <c r="BD58" s="102">
        <f>-IF($D58&lt;30,'P&amp;L Month'!BF33*(1+'Détail CF'!$C58),IF($D58&lt;60,'P&amp;L Month'!BE33*(1+'Détail CF'!$C58),IF($D58&gt;=60,'P&amp;L Month'!BD33*(1+'Détail CF'!$C58),0)))</f>
        <v>0</v>
      </c>
      <c r="BE58" s="102">
        <f>-IF($D58&lt;30,'P&amp;L Month'!BG33*(1+'Détail CF'!$C58),IF($D58&lt;60,'P&amp;L Month'!BF33*(1+'Détail CF'!$C58),IF($D58&gt;=60,'P&amp;L Month'!BE33*(1+'Détail CF'!$C58),0)))</f>
        <v>0</v>
      </c>
      <c r="BF58" s="102">
        <f>-IF($D58&lt;30,'P&amp;L Month'!BH33*(1+'Détail CF'!$C58),IF($D58&lt;60,'P&amp;L Month'!BG33*(1+'Détail CF'!$C58),IF($D58&gt;=60,'P&amp;L Month'!BF33*(1+'Détail CF'!$C58),0)))</f>
        <v>0</v>
      </c>
      <c r="BG58" s="102">
        <f>-IF($D58&lt;30,'P&amp;L Month'!BI33*(1+'Détail CF'!$C58),IF($D58&lt;60,'P&amp;L Month'!BH33*(1+'Détail CF'!$C58),IF($D58&gt;=60,'P&amp;L Month'!BG33*(1+'Détail CF'!$C58),0)))</f>
        <v>0</v>
      </c>
      <c r="BH58" s="102">
        <f>-IF($D58&lt;30,'P&amp;L Month'!BJ33*(1+'Détail CF'!$C58),IF($D58&lt;60,'P&amp;L Month'!BI33*(1+'Détail CF'!$C58),IF($D58&gt;=60,'P&amp;L Month'!BH33*(1+'Détail CF'!$C58),0)))</f>
        <v>0</v>
      </c>
      <c r="BI58" s="102">
        <f>-IF($D58&lt;30,'P&amp;L Month'!BK33*(1+'Détail CF'!$C58),IF($D58&lt;60,'P&amp;L Month'!BJ33*(1+'Détail CF'!$C58),IF($D58&gt;=60,'P&amp;L Month'!BI33*(1+'Détail CF'!$C58),0)))</f>
        <v>0</v>
      </c>
      <c r="BJ58" s="102">
        <f>-IF($D58&lt;30,'P&amp;L Month'!BL33*(1+'Détail CF'!$C58),IF($D58&lt;60,'P&amp;L Month'!BK33*(1+'Détail CF'!$C58),IF($D58&gt;=60,'P&amp;L Month'!BJ33*(1+'Détail CF'!$C58),0)))</f>
        <v>0</v>
      </c>
      <c r="BK58" s="102">
        <f>-IF($D58&lt;30,'P&amp;L Month'!BM33*(1+'Détail CF'!$C58),IF($D58&lt;60,'P&amp;L Month'!BL33*(1+'Détail CF'!$C58),IF($D58&gt;=60,'P&amp;L Month'!BK33*(1+'Détail CF'!$C58),0)))</f>
        <v>0</v>
      </c>
      <c r="BL58" s="102">
        <f>-IF($D58&lt;30,'P&amp;L Month'!BN33*(1+'Détail CF'!$C58),IF($D58&lt;60,'P&amp;L Month'!BM33*(1+'Détail CF'!$C58),IF($D58&gt;=60,'P&amp;L Month'!BL33*(1+'Détail CF'!$C58),0)))</f>
        <v>0</v>
      </c>
      <c r="BM58" s="102">
        <f>-IF($D58&lt;30,'P&amp;L Month'!BO33*(1+'Détail CF'!$C58),IF($D58&lt;60,'P&amp;L Month'!BN33*(1+'Détail CF'!$C58),IF($D58&gt;=60,'P&amp;L Month'!BM33*(1+'Détail CF'!$C58),0)))</f>
        <v>0</v>
      </c>
      <c r="BN58" s="102">
        <f>-IF($D58&lt;30,'P&amp;L Month'!BP33*(1+'Détail CF'!$C58),IF($D58&lt;60,'P&amp;L Month'!BO33*(1+'Détail CF'!$C58),IF($D58&gt;=60,'P&amp;L Month'!BN33*(1+'Détail CF'!$C58),0)))</f>
        <v>0</v>
      </c>
      <c r="BO58" s="102">
        <f>-IF($D58&lt;30,'P&amp;L Month'!BQ33*(1+'Détail CF'!$C58),IF($D58&lt;60,'P&amp;L Month'!BP33*(1+'Détail CF'!$C58),IF($D58&gt;=60,'P&amp;L Month'!BO33*(1+'Détail CF'!$C58),0)))</f>
        <v>0</v>
      </c>
      <c r="BP58" s="102">
        <f>-IF($D58&lt;30,'P&amp;L Month'!BR33*(1+'Détail CF'!$C58),IF($D58&lt;60,'P&amp;L Month'!BQ33*(1+'Détail CF'!$C58),IF($D58&gt;=60,'P&amp;L Month'!BP33*(1+'Détail CF'!$C58),0)))</f>
        <v>0</v>
      </c>
      <c r="BQ58" s="102">
        <f>-IF($D58&lt;30,'P&amp;L Month'!BS33*(1+'Détail CF'!$C58),IF($D58&lt;60,'P&amp;L Month'!BR33*(1+'Détail CF'!$C58),IF($D58&gt;=60,'P&amp;L Month'!BQ33*(1+'Détail CF'!$C58),0)))</f>
        <v>0</v>
      </c>
      <c r="BR58" s="102">
        <f>-IF($D58&lt;30,'P&amp;L Month'!BT33*(1+'Détail CF'!$C58),IF($D58&lt;60,'P&amp;L Month'!BS33*(1+'Détail CF'!$C58),IF($D58&gt;=60,'P&amp;L Month'!BR33*(1+'Détail CF'!$C58),0)))</f>
        <v>0</v>
      </c>
      <c r="BS58" s="102">
        <f>-IF($D58&lt;30,'P&amp;L Month'!BU33*(1+'Détail CF'!$C58),IF($D58&lt;60,'P&amp;L Month'!BT33*(1+'Détail CF'!$C58),IF($D58&gt;=60,'P&amp;L Month'!BS33*(1+'Détail CF'!$C58),0)))</f>
        <v>0</v>
      </c>
      <c r="BT58" s="102">
        <f>-IF($D58&lt;30,'P&amp;L Month'!BV33*(1+'Détail CF'!$C58),IF($D58&lt;60,'P&amp;L Month'!BU33*(1+'Détail CF'!$C58),IF($D58&gt;=60,'P&amp;L Month'!BT33*(1+'Détail CF'!$C58),0)))</f>
        <v>0</v>
      </c>
      <c r="BU58" s="102">
        <f>-IF($D58&lt;30,'P&amp;L Month'!BW33*(1+'Détail CF'!$C58),IF($D58&lt;60,'P&amp;L Month'!BV33*(1+'Détail CF'!$C58),IF($D58&gt;=60,'P&amp;L Month'!BU33*(1+'Détail CF'!$C58),0)))</f>
        <v>0</v>
      </c>
      <c r="BV58" s="102">
        <f>-IF($D58&lt;30,'P&amp;L Month'!BX33*(1+'Détail CF'!$C58),IF($D58&lt;60,'P&amp;L Month'!BW33*(1+'Détail CF'!$C58),IF($D58&gt;=60,'P&amp;L Month'!BV33*(1+'Détail CF'!$C58),0)))</f>
        <v>0</v>
      </c>
      <c r="BW58" s="102">
        <f>-IF($D58&lt;30,'P&amp;L Month'!BY33*(1+'Détail CF'!$C58),IF($D58&lt;60,'P&amp;L Month'!BX33*(1+'Détail CF'!$C58),IF($D58&gt;=60,'P&amp;L Month'!BW33*(1+'Détail CF'!$C58),0)))</f>
        <v>0</v>
      </c>
      <c r="BX58" s="102">
        <f>-IF($D58&lt;30,'P&amp;L Month'!BZ33*(1+'Détail CF'!$C58),IF($D58&lt;60,'P&amp;L Month'!BY33*(1+'Détail CF'!$C58),IF($D58&gt;=60,'P&amp;L Month'!BX33*(1+'Détail CF'!$C58),0)))</f>
        <v>0</v>
      </c>
      <c r="BY58" s="102">
        <f>-IF($D58&lt;30,'P&amp;L Month'!CA33*(1+'Détail CF'!$C58),IF($D58&lt;60,'P&amp;L Month'!BZ33*(1+'Détail CF'!$C58),IF($D58&gt;=60,'P&amp;L Month'!BY33*(1+'Détail CF'!$C58),0)))</f>
        <v>0</v>
      </c>
      <c r="BZ58" s="102">
        <f>-IF($D58&lt;30,'P&amp;L Month'!CB33*(1+'Détail CF'!$C58),IF($D58&lt;60,'P&amp;L Month'!CA33*(1+'Détail CF'!$C58),IF($D58&gt;=60,'P&amp;L Month'!BZ33*(1+'Détail CF'!$C58),0)))</f>
        <v>0</v>
      </c>
      <c r="CA58" s="102">
        <f>-IF($D58&lt;30,'P&amp;L Month'!CC33*(1+'Détail CF'!$C58),IF($D58&lt;60,'P&amp;L Month'!CB33*(1+'Détail CF'!$C58),IF($D58&gt;=60,'P&amp;L Month'!CA33*(1+'Détail CF'!$C58),0)))</f>
        <v>0</v>
      </c>
      <c r="CB58" s="102">
        <f>-IF($D58&lt;30,'P&amp;L Month'!CD33*(1+'Détail CF'!$C58),IF($D58&lt;60,'P&amp;L Month'!CC33*(1+'Détail CF'!$C58),IF($D58&gt;=60,'P&amp;L Month'!CB33*(1+'Détail CF'!$C58),0)))</f>
        <v>0</v>
      </c>
      <c r="CC58" s="102">
        <f>-IF($D58&lt;30,'P&amp;L Month'!CE33*(1+'Détail CF'!$C58),IF($D58&lt;60,'P&amp;L Month'!CD33*(1+'Détail CF'!$C58),IF($D58&gt;=60,'P&amp;L Month'!CC33*(1+'Détail CF'!$C58),0)))</f>
        <v>0</v>
      </c>
      <c r="CD58" s="102">
        <f>-IF($D58&lt;30,'P&amp;L Month'!CF33*(1+'Détail CF'!$C58),IF($D58&lt;60,'P&amp;L Month'!CE33*(1+'Détail CF'!$C58),IF($D58&gt;=60,'P&amp;L Month'!CD33*(1+'Détail CF'!$C58),0)))</f>
        <v>0</v>
      </c>
      <c r="CE58" s="102">
        <f>-IF($D58&lt;30,'P&amp;L Month'!CG33*(1+'Détail CF'!$C58),IF($D58&lt;60,'P&amp;L Month'!CF33*(1+'Détail CF'!$C58),IF($D58&gt;=60,'P&amp;L Month'!CE33*(1+'Détail CF'!$C58),0)))</f>
        <v>0</v>
      </c>
    </row>
    <row r="59" spans="1:83">
      <c r="B59" t="s">
        <v>189</v>
      </c>
      <c r="C59" s="182">
        <f t="shared" si="28"/>
        <v>0.19600000000000001</v>
      </c>
      <c r="D59" s="99">
        <f t="shared" si="28"/>
        <v>15</v>
      </c>
      <c r="E59" s="195" t="str">
        <f t="shared" si="28"/>
        <v>F</v>
      </c>
      <c r="F59" s="102">
        <f>-IF($D59&lt;30,'P&amp;L Month'!H35*(1+'Détail CF'!$C59),0)</f>
        <v>0</v>
      </c>
      <c r="G59" s="102">
        <f>-IF($D59&lt;30,'P&amp;L Month'!I35*(1+'Détail CF'!$C59),IF($D59&lt;60,'P&amp;L Month'!H35*(1+'Détail CF'!$C59),0))</f>
        <v>0</v>
      </c>
      <c r="H59" s="102">
        <f>-IF($D59&lt;30,'P&amp;L Month'!J35*(1+'Détail CF'!$C59),IF($D59&lt;60,'P&amp;L Month'!I35*(1+'Détail CF'!$C59),IF($D59&gt;=60,'P&amp;L Month'!H35*(1+'Détail CF'!$C59),0)))</f>
        <v>0</v>
      </c>
      <c r="I59" s="102">
        <f>-IF($D59&lt;30,'P&amp;L Month'!K35*(1+'Détail CF'!$C59),IF($D59&lt;60,'P&amp;L Month'!J35*(1+'Détail CF'!$C59),IF($D59&gt;=60,'P&amp;L Month'!I35*(1+'Détail CF'!$C59),0)))</f>
        <v>0</v>
      </c>
      <c r="J59" s="102">
        <f>-IF($D59&lt;30,'P&amp;L Month'!L35*(1+'Détail CF'!$C59),IF($D59&lt;60,'P&amp;L Month'!K35*(1+'Détail CF'!$C59),IF($D59&gt;=60,'P&amp;L Month'!J35*(1+'Détail CF'!$C59),0)))</f>
        <v>0</v>
      </c>
      <c r="K59" s="102">
        <f>-IF($D59&lt;30,'P&amp;L Month'!M35*(1+'Détail CF'!$C59),IF($D59&lt;60,'P&amp;L Month'!L35*(1+'Détail CF'!$C59),IF($D59&gt;=60,'P&amp;L Month'!K35*(1+'Détail CF'!$C59),0)))</f>
        <v>0</v>
      </c>
      <c r="L59" s="102">
        <f>-IF($D59&lt;30,'P&amp;L Month'!N35*(1+'Détail CF'!$C59),IF($D59&lt;60,'P&amp;L Month'!M35*(1+'Détail CF'!$C59),IF($D59&gt;=60,'P&amp;L Month'!L35*(1+'Détail CF'!$C59),0)))</f>
        <v>0</v>
      </c>
      <c r="M59" s="102">
        <f>-IF($D59&lt;30,'P&amp;L Month'!O35*(1+'Détail CF'!$C59),IF($D59&lt;60,'P&amp;L Month'!N35*(1+'Détail CF'!$C59),IF($D59&gt;=60,'P&amp;L Month'!M35*(1+'Détail CF'!$C59),0)))</f>
        <v>0</v>
      </c>
      <c r="N59" s="102">
        <f>-IF($D59&lt;30,'P&amp;L Month'!P35*(1+'Détail CF'!$C59),IF($D59&lt;60,'P&amp;L Month'!O35*(1+'Détail CF'!$C59),IF($D59&gt;=60,'P&amp;L Month'!N35*(1+'Détail CF'!$C59),0)))</f>
        <v>0</v>
      </c>
      <c r="O59" s="102">
        <f>-IF($D59&lt;30,'P&amp;L Month'!Q35*(1+'Détail CF'!$C59),IF($D59&lt;60,'P&amp;L Month'!P35*(1+'Détail CF'!$C59),IF($D59&gt;=60,'P&amp;L Month'!O35*(1+'Détail CF'!$C59),0)))</f>
        <v>0</v>
      </c>
      <c r="P59" s="102">
        <f>-IF($D59&lt;30,'P&amp;L Month'!R35*(1+'Détail CF'!$C59),IF($D59&lt;60,'P&amp;L Month'!Q35*(1+'Détail CF'!$C59),IF($D59&gt;=60,'P&amp;L Month'!P35*(1+'Détail CF'!$C59),0)))</f>
        <v>0</v>
      </c>
      <c r="Q59" s="102">
        <f>-IF($D59&lt;30,'P&amp;L Month'!S35*(1+'Détail CF'!$C59),IF($D59&lt;60,'P&amp;L Month'!R35*(1+'Détail CF'!$C59),IF($D59&gt;=60,'P&amp;L Month'!Q35*(1+'Détail CF'!$C59),0)))</f>
        <v>0</v>
      </c>
      <c r="R59" s="102">
        <f>-IF($D59&lt;30,'P&amp;L Month'!T35*(1+'Détail CF'!$C59),IF($D59&lt;60,'P&amp;L Month'!S35*(1+'Détail CF'!$C59),IF($D59&gt;=60,'P&amp;L Month'!R35*(1+'Détail CF'!$C59),0)))</f>
        <v>0</v>
      </c>
      <c r="S59" s="102">
        <f>-IF($D59&lt;30,'P&amp;L Month'!U35*(1+'Détail CF'!$C59),IF($D59&lt;60,'P&amp;L Month'!T35*(1+'Détail CF'!$C59),IF($D59&gt;=60,'P&amp;L Month'!S35*(1+'Détail CF'!$C59),0)))</f>
        <v>0</v>
      </c>
      <c r="T59" s="102">
        <f>-IF($D59&lt;30,'P&amp;L Month'!V35*(1+'Détail CF'!$C59),IF($D59&lt;60,'P&amp;L Month'!U35*(1+'Détail CF'!$C59),IF($D59&gt;=60,'P&amp;L Month'!T35*(1+'Détail CF'!$C59),0)))</f>
        <v>0</v>
      </c>
      <c r="U59" s="102">
        <f>-IF($D59&lt;30,'P&amp;L Month'!W35*(1+'Détail CF'!$C59),IF($D59&lt;60,'P&amp;L Month'!V35*(1+'Détail CF'!$C59),IF($D59&gt;=60,'P&amp;L Month'!U35*(1+'Détail CF'!$C59),0)))</f>
        <v>0</v>
      </c>
      <c r="V59" s="102">
        <f>-IF($D59&lt;30,'P&amp;L Month'!X35*(1+'Détail CF'!$C59),IF($D59&lt;60,'P&amp;L Month'!W35*(1+'Détail CF'!$C59),IF($D59&gt;=60,'P&amp;L Month'!V35*(1+'Détail CF'!$C59),0)))</f>
        <v>0</v>
      </c>
      <c r="W59" s="102">
        <f>-IF($D59&lt;30,'P&amp;L Month'!Y35*(1+'Détail CF'!$C59),IF($D59&lt;60,'P&amp;L Month'!X35*(1+'Détail CF'!$C59),IF($D59&gt;=60,'P&amp;L Month'!W35*(1+'Détail CF'!$C59),0)))</f>
        <v>0</v>
      </c>
      <c r="X59" s="102">
        <f>-IF($D59&lt;30,'P&amp;L Month'!Z35*(1+'Détail CF'!$C59),IF($D59&lt;60,'P&amp;L Month'!Y35*(1+'Détail CF'!$C59),IF($D59&gt;=60,'P&amp;L Month'!X35*(1+'Détail CF'!$C59),0)))</f>
        <v>0</v>
      </c>
      <c r="Y59" s="102">
        <f>-IF($D59&lt;30,'P&amp;L Month'!AA35*(1+'Détail CF'!$C59),IF($D59&lt;60,'P&amp;L Month'!Z35*(1+'Détail CF'!$C59),IF($D59&gt;=60,'P&amp;L Month'!Y35*(1+'Détail CF'!$C59),0)))</f>
        <v>0</v>
      </c>
      <c r="Z59" s="102">
        <f>-IF($D59&lt;30,'P&amp;L Month'!AB35*(1+'Détail CF'!$C59),IF($D59&lt;60,'P&amp;L Month'!AA35*(1+'Détail CF'!$C59),IF($D59&gt;=60,'P&amp;L Month'!Z35*(1+'Détail CF'!$C59),0)))</f>
        <v>0</v>
      </c>
      <c r="AA59" s="102">
        <f>-IF($D59&lt;30,'P&amp;L Month'!AC35*(1+'Détail CF'!$C59),IF($D59&lt;60,'P&amp;L Month'!AB35*(1+'Détail CF'!$C59),IF($D59&gt;=60,'P&amp;L Month'!AA35*(1+'Détail CF'!$C59),0)))</f>
        <v>-33.488</v>
      </c>
      <c r="AB59" s="102">
        <f>-IF($D59&lt;30,'P&amp;L Month'!AD35*(1+'Détail CF'!$C59),IF($D59&lt;60,'P&amp;L Month'!AC35*(1+'Détail CF'!$C59),IF($D59&gt;=60,'P&amp;L Month'!AB35*(1+'Détail CF'!$C59),0)))</f>
        <v>-33.488</v>
      </c>
      <c r="AC59" s="102">
        <f>-IF($D59&lt;30,'P&amp;L Month'!AE35*(1+'Détail CF'!$C59),IF($D59&lt;60,'P&amp;L Month'!AD35*(1+'Détail CF'!$C59),IF($D59&gt;=60,'P&amp;L Month'!AC35*(1+'Détail CF'!$C59),0)))</f>
        <v>-33.488</v>
      </c>
      <c r="AD59" s="102">
        <f>-IF($D59&lt;30,'P&amp;L Month'!AF35*(1+'Détail CF'!$C59),IF($D59&lt;60,'P&amp;L Month'!AE35*(1+'Détail CF'!$C59),IF($D59&gt;=60,'P&amp;L Month'!AD35*(1+'Détail CF'!$C59),0)))</f>
        <v>-81.328000000000003</v>
      </c>
      <c r="AE59" s="102">
        <f>-IF($D59&lt;30,'P&amp;L Month'!AG35*(1+'Détail CF'!$C59),IF($D59&lt;60,'P&amp;L Month'!AF35*(1+'Détail CF'!$C59),IF($D59&gt;=60,'P&amp;L Month'!AE35*(1+'Détail CF'!$C59),0)))</f>
        <v>-23.919999999999998</v>
      </c>
      <c r="AF59" s="102">
        <f>-IF($D59&lt;30,'P&amp;L Month'!AH35*(1+'Détail CF'!$C59),IF($D59&lt;60,'P&amp;L Month'!AG35*(1+'Détail CF'!$C59),IF($D59&gt;=60,'P&amp;L Month'!AF35*(1+'Détail CF'!$C59),0)))</f>
        <v>-47.839999999999996</v>
      </c>
      <c r="AG59" s="102">
        <f>-IF($D59&lt;30,'P&amp;L Month'!AI35*(1+'Détail CF'!$C59),IF($D59&lt;60,'P&amp;L Month'!AH35*(1+'Détail CF'!$C59),IF($D59&gt;=60,'P&amp;L Month'!AG35*(1+'Détail CF'!$C59),0)))</f>
        <v>-71.759999999999991</v>
      </c>
      <c r="AH59" s="102">
        <f>-IF($D59&lt;30,'P&amp;L Month'!AJ35*(1+'Détail CF'!$C59),IF($D59&lt;60,'P&amp;L Month'!AI35*(1+'Détail CF'!$C59),IF($D59&gt;=60,'P&amp;L Month'!AH35*(1+'Détail CF'!$C59),0)))</f>
        <v>-71.759999999999991</v>
      </c>
      <c r="AI59" s="102">
        <f>-IF($D59&lt;30,'P&amp;L Month'!AK35*(1+'Détail CF'!$C59),IF($D59&lt;60,'P&amp;L Month'!AJ35*(1+'Détail CF'!$C59),IF($D59&gt;=60,'P&amp;L Month'!AI35*(1+'Détail CF'!$C59),0)))</f>
        <v>-95.679999999999993</v>
      </c>
      <c r="AJ59" s="102">
        <f>-IF($D59&lt;30,'P&amp;L Month'!AL35*(1+'Détail CF'!$C59),IF($D59&lt;60,'P&amp;L Month'!AK35*(1+'Détail CF'!$C59),IF($D59&gt;=60,'P&amp;L Month'!AJ35*(1+'Détail CF'!$C59),0)))</f>
        <v>-143.51999999999998</v>
      </c>
      <c r="AK59" s="102">
        <f>-IF($D59&lt;30,'P&amp;L Month'!AM35*(1+'Détail CF'!$C59),IF($D59&lt;60,'P&amp;L Month'!AL35*(1+'Détail CF'!$C59),IF($D59&gt;=60,'P&amp;L Month'!AK35*(1+'Détail CF'!$C59),0)))</f>
        <v>-167.44</v>
      </c>
      <c r="AL59" s="102">
        <f>-IF($D59&lt;30,'P&amp;L Month'!AN35*(1+'Détail CF'!$C59),IF($D59&lt;60,'P&amp;L Month'!AM35*(1+'Détail CF'!$C59),IF($D59&gt;=60,'P&amp;L Month'!AL35*(1+'Détail CF'!$C59),0)))</f>
        <v>-215.28</v>
      </c>
      <c r="AM59" s="102">
        <f>-IF($D59&lt;30,'P&amp;L Month'!AO35*(1+'Détail CF'!$C59),IF($D59&lt;60,'P&amp;L Month'!AN35*(1+'Détail CF'!$C59),IF($D59&gt;=60,'P&amp;L Month'!AM35*(1+'Détail CF'!$C59),0)))</f>
        <v>-215.28</v>
      </c>
      <c r="AN59" s="102">
        <f>-IF($D59&lt;30,'P&amp;L Month'!AP35*(1+'Détail CF'!$C59),IF($D59&lt;60,'P&amp;L Month'!AO35*(1+'Détail CF'!$C59),IF($D59&gt;=60,'P&amp;L Month'!AN35*(1+'Détail CF'!$C59),0)))</f>
        <v>-239.2</v>
      </c>
      <c r="AO59" s="102">
        <f>-IF($D59&lt;30,'P&amp;L Month'!AQ35*(1+'Détail CF'!$C59),IF($D59&lt;60,'P&amp;L Month'!AP35*(1+'Détail CF'!$C59),IF($D59&gt;=60,'P&amp;L Month'!AO35*(1+'Détail CF'!$C59),0)))</f>
        <v>-287.03999999999996</v>
      </c>
      <c r="AP59" s="102">
        <f>-IF($D59&lt;30,'P&amp;L Month'!AR35*(1+'Détail CF'!$C59),IF($D59&lt;60,'P&amp;L Month'!AQ35*(1+'Détail CF'!$C59),IF($D59&gt;=60,'P&amp;L Month'!AP35*(1+'Détail CF'!$C59),0)))</f>
        <v>-310.95999999999998</v>
      </c>
      <c r="AQ59" s="102">
        <f>-IF($D59&lt;30,'P&amp;L Month'!AS35*(1+'Détail CF'!$C59),IF($D59&lt;60,'P&amp;L Month'!AR35*(1+'Détail CF'!$C59),IF($D59&gt;=60,'P&amp;L Month'!AQ35*(1+'Détail CF'!$C59),0)))</f>
        <v>-310.95999999999998</v>
      </c>
      <c r="AR59" s="102">
        <f>-IF($D59&lt;30,'P&amp;L Month'!AT35*(1+'Détail CF'!$C59),IF($D59&lt;60,'P&amp;L Month'!AS35*(1+'Détail CF'!$C59),IF($D59&gt;=60,'P&amp;L Month'!AR35*(1+'Détail CF'!$C59),0)))</f>
        <v>-382.71999999999997</v>
      </c>
      <c r="AS59" s="102">
        <f>-IF($D59&lt;30,'P&amp;L Month'!AU35*(1+'Détail CF'!$C59),IF($D59&lt;60,'P&amp;L Month'!AT35*(1+'Détail CF'!$C59),IF($D59&gt;=60,'P&amp;L Month'!AS35*(1+'Détail CF'!$C59),0)))</f>
        <v>-382.71999999999997</v>
      </c>
      <c r="AT59" s="102">
        <f>-IF($D59&lt;30,'P&amp;L Month'!AV35*(1+'Détail CF'!$C59),IF($D59&lt;60,'P&amp;L Month'!AU35*(1+'Détail CF'!$C59),IF($D59&gt;=60,'P&amp;L Month'!AT35*(1+'Détail CF'!$C59),0)))</f>
        <v>-382.71999999999997</v>
      </c>
      <c r="AU59" s="102">
        <f>-IF($D59&lt;30,'P&amp;L Month'!AW35*(1+'Détail CF'!$C59),IF($D59&lt;60,'P&amp;L Month'!AV35*(1+'Détail CF'!$C59),IF($D59&gt;=60,'P&amp;L Month'!AU35*(1+'Détail CF'!$C59),0)))</f>
        <v>-382.71999999999997</v>
      </c>
      <c r="AV59" s="102">
        <f>-IF($D59&lt;30,'P&amp;L Month'!AX35*(1+'Détail CF'!$C59),IF($D59&lt;60,'P&amp;L Month'!AW35*(1+'Détail CF'!$C59),IF($D59&gt;=60,'P&amp;L Month'!AV35*(1+'Détail CF'!$C59),0)))</f>
        <v>-468.11440000000005</v>
      </c>
      <c r="AW59" s="102">
        <f>-IF($D59&lt;30,'P&amp;L Month'!AY35*(1+'Détail CF'!$C59),IF($D59&lt;60,'P&amp;L Month'!AX35*(1+'Détail CF'!$C59),IF($D59&gt;=60,'P&amp;L Month'!AW35*(1+'Détail CF'!$C59),0)))</f>
        <v>-468.11440000000005</v>
      </c>
      <c r="AX59" s="102">
        <f>-IF($D59&lt;30,'P&amp;L Month'!AZ35*(1+'Détail CF'!$C59),IF($D59&lt;60,'P&amp;L Month'!AY35*(1+'Détail CF'!$C59),IF($D59&gt;=60,'P&amp;L Month'!AX35*(1+'Détail CF'!$C59),0)))</f>
        <v>-468.11440000000005</v>
      </c>
      <c r="AY59" s="102">
        <f>-IF($D59&lt;30,'P&amp;L Month'!BA35*(1+'Détail CF'!$C59),IF($D59&lt;60,'P&amp;L Month'!AZ35*(1+'Détail CF'!$C59),IF($D59&gt;=60,'P&amp;L Month'!AY35*(1+'Détail CF'!$C59),0)))</f>
        <v>-468.11440000000005</v>
      </c>
      <c r="AZ59" s="102">
        <f>-IF($D59&lt;30,'P&amp;L Month'!BB35*(1+'Détail CF'!$C59),IF($D59&lt;60,'P&amp;L Month'!BA35*(1+'Détail CF'!$C59),IF($D59&gt;=60,'P&amp;L Month'!AZ35*(1+'Détail CF'!$C59),0)))</f>
        <v>-492.75199999999995</v>
      </c>
      <c r="BA59" s="102">
        <f>-IF($D59&lt;30,'P&amp;L Month'!BC35*(1+'Détail CF'!$C59),IF($D59&lt;60,'P&amp;L Month'!BB35*(1+'Détail CF'!$C59),IF($D59&gt;=60,'P&amp;L Month'!BA35*(1+'Détail CF'!$C59),0)))</f>
        <v>-492.75199999999995</v>
      </c>
      <c r="BB59" s="102">
        <f>-IF($D59&lt;30,'P&amp;L Month'!BD35*(1+'Détail CF'!$C59),IF($D59&lt;60,'P&amp;L Month'!BC35*(1+'Détail CF'!$C59),IF($D59&gt;=60,'P&amp;L Month'!BB35*(1+'Détail CF'!$C59),0)))</f>
        <v>-542.02719999999999</v>
      </c>
      <c r="BC59" s="102">
        <f>-IF($D59&lt;30,'P&amp;L Month'!BE35*(1+'Détail CF'!$C59),IF($D59&lt;60,'P&amp;L Month'!BD35*(1+'Détail CF'!$C59),IF($D59&gt;=60,'P&amp;L Month'!BC35*(1+'Détail CF'!$C59),0)))</f>
        <v>-542.02719999999999</v>
      </c>
      <c r="BD59" s="102">
        <f>-IF($D59&lt;30,'P&amp;L Month'!BF35*(1+'Détail CF'!$C59),IF($D59&lt;60,'P&amp;L Month'!BE35*(1+'Détail CF'!$C59),IF($D59&gt;=60,'P&amp;L Month'!BD35*(1+'Détail CF'!$C59),0)))</f>
        <v>-566.66480000000001</v>
      </c>
      <c r="BE59" s="102">
        <f>-IF($D59&lt;30,'P&amp;L Month'!BG35*(1+'Détail CF'!$C59),IF($D59&lt;60,'P&amp;L Month'!BF35*(1+'Détail CF'!$C59),IF($D59&gt;=60,'P&amp;L Month'!BE35*(1+'Détail CF'!$C59),0)))</f>
        <v>-566.66480000000001</v>
      </c>
      <c r="BF59" s="102">
        <f>-IF($D59&lt;30,'P&amp;L Month'!BH35*(1+'Détail CF'!$C59),IF($D59&lt;60,'P&amp;L Month'!BG35*(1+'Détail CF'!$C59),IF($D59&gt;=60,'P&amp;L Month'!BF35*(1+'Détail CF'!$C59),0)))</f>
        <v>-591.30240000000003</v>
      </c>
      <c r="BG59" s="102">
        <f>-IF($D59&lt;30,'P&amp;L Month'!BI35*(1+'Détail CF'!$C59),IF($D59&lt;60,'P&amp;L Month'!BH35*(1+'Détail CF'!$C59),IF($D59&gt;=60,'P&amp;L Month'!BG35*(1+'Détail CF'!$C59),0)))</f>
        <v>-591.30240000000003</v>
      </c>
      <c r="BH59" s="102">
        <f>-IF($D59&lt;30,'P&amp;L Month'!BJ35*(1+'Détail CF'!$C59),IF($D59&lt;60,'P&amp;L Month'!BI35*(1+'Détail CF'!$C59),IF($D59&gt;=60,'P&amp;L Month'!BH35*(1+'Détail CF'!$C59),0)))</f>
        <v>-608.52480000000003</v>
      </c>
      <c r="BI59" s="102">
        <f>-IF($D59&lt;30,'P&amp;L Month'!BK35*(1+'Détail CF'!$C59),IF($D59&lt;60,'P&amp;L Month'!BJ35*(1+'Détail CF'!$C59),IF($D59&gt;=60,'P&amp;L Month'!BI35*(1+'Détail CF'!$C59),0)))</f>
        <v>-608.52480000000003</v>
      </c>
      <c r="BJ59" s="102">
        <f>-IF($D59&lt;30,'P&amp;L Month'!BL35*(1+'Détail CF'!$C59),IF($D59&lt;60,'P&amp;L Month'!BK35*(1+'Détail CF'!$C59),IF($D59&gt;=60,'P&amp;L Month'!BJ35*(1+'Détail CF'!$C59),0)))</f>
        <v>-608.52480000000003</v>
      </c>
      <c r="BK59" s="102">
        <f>-IF($D59&lt;30,'P&amp;L Month'!BM35*(1+'Détail CF'!$C59),IF($D59&lt;60,'P&amp;L Month'!BL35*(1+'Détail CF'!$C59),IF($D59&gt;=60,'P&amp;L Month'!BK35*(1+'Détail CF'!$C59),0)))</f>
        <v>-608.52480000000003</v>
      </c>
      <c r="BL59" s="102">
        <f>-IF($D59&lt;30,'P&amp;L Month'!BN35*(1+'Détail CF'!$C59),IF($D59&lt;60,'P&amp;L Month'!BM35*(1+'Détail CF'!$C59),IF($D59&gt;=60,'P&amp;L Month'!BL35*(1+'Détail CF'!$C59),0)))</f>
        <v>-633.88</v>
      </c>
      <c r="BM59" s="102">
        <f>-IF($D59&lt;30,'P&amp;L Month'!BO35*(1+'Détail CF'!$C59),IF($D59&lt;60,'P&amp;L Month'!BN35*(1+'Détail CF'!$C59),IF($D59&gt;=60,'P&amp;L Month'!BM35*(1+'Détail CF'!$C59),0)))</f>
        <v>-633.88</v>
      </c>
      <c r="BN59" s="102">
        <f>-IF($D59&lt;30,'P&amp;L Month'!BP35*(1+'Détail CF'!$C59),IF($D59&lt;60,'P&amp;L Month'!BO35*(1+'Détail CF'!$C59),IF($D59&gt;=60,'P&amp;L Month'!BN35*(1+'Détail CF'!$C59),0)))</f>
        <v>-633.88</v>
      </c>
      <c r="BO59" s="102">
        <f>-IF($D59&lt;30,'P&amp;L Month'!BQ35*(1+'Détail CF'!$C59),IF($D59&lt;60,'P&amp;L Month'!BP35*(1+'Détail CF'!$C59),IF($D59&gt;=60,'P&amp;L Month'!BO35*(1+'Détail CF'!$C59),0)))</f>
        <v>-633.88</v>
      </c>
      <c r="BP59" s="102">
        <f>-IF($D59&lt;30,'P&amp;L Month'!BR35*(1+'Détail CF'!$C59),IF($D59&lt;60,'P&amp;L Month'!BQ35*(1+'Détail CF'!$C59),IF($D59&gt;=60,'P&amp;L Month'!BP35*(1+'Détail CF'!$C59),0)))</f>
        <v>-633.88</v>
      </c>
      <c r="BQ59" s="102">
        <f>-IF($D59&lt;30,'P&amp;L Month'!BS35*(1+'Détail CF'!$C59),IF($D59&lt;60,'P&amp;L Month'!BR35*(1+'Détail CF'!$C59),IF($D59&gt;=60,'P&amp;L Month'!BQ35*(1+'Détail CF'!$C59),0)))</f>
        <v>-633.88</v>
      </c>
      <c r="BR59" s="102">
        <f>-IF($D59&lt;30,'P&amp;L Month'!BT35*(1+'Détail CF'!$C59),IF($D59&lt;60,'P&amp;L Month'!BS35*(1+'Détail CF'!$C59),IF($D59&gt;=60,'P&amp;L Month'!BR35*(1+'Détail CF'!$C59),0)))</f>
        <v>-633.88</v>
      </c>
      <c r="BS59" s="102">
        <f>-IF($D59&lt;30,'P&amp;L Month'!BU35*(1+'Détail CF'!$C59),IF($D59&lt;60,'P&amp;L Month'!BT35*(1+'Détail CF'!$C59),IF($D59&gt;=60,'P&amp;L Month'!BS35*(1+'Détail CF'!$C59),0)))</f>
        <v>-633.88</v>
      </c>
      <c r="BT59" s="102">
        <f>-IF($D59&lt;30,'P&amp;L Month'!BV35*(1+'Détail CF'!$C59),IF($D59&lt;60,'P&amp;L Month'!BU35*(1+'Détail CF'!$C59),IF($D59&gt;=60,'P&amp;L Month'!BT35*(1+'Détail CF'!$C59),0)))</f>
        <v>-657.8</v>
      </c>
      <c r="BU59" s="102">
        <f>-IF($D59&lt;30,'P&amp;L Month'!BW35*(1+'Détail CF'!$C59),IF($D59&lt;60,'P&amp;L Month'!BV35*(1+'Détail CF'!$C59),IF($D59&gt;=60,'P&amp;L Month'!BU35*(1+'Détail CF'!$C59),0)))</f>
        <v>-657.8</v>
      </c>
      <c r="BV59" s="102">
        <f>-IF($D59&lt;30,'P&amp;L Month'!BX35*(1+'Détail CF'!$C59),IF($D59&lt;60,'P&amp;L Month'!BW35*(1+'Détail CF'!$C59),IF($D59&gt;=60,'P&amp;L Month'!BV35*(1+'Détail CF'!$C59),0)))</f>
        <v>-657.8</v>
      </c>
      <c r="BW59" s="102">
        <f>-IF($D59&lt;30,'P&amp;L Month'!BY35*(1+'Détail CF'!$C59),IF($D59&lt;60,'P&amp;L Month'!BX35*(1+'Détail CF'!$C59),IF($D59&gt;=60,'P&amp;L Month'!BW35*(1+'Détail CF'!$C59),0)))</f>
        <v>-657.8</v>
      </c>
      <c r="BX59" s="102">
        <f>-IF($D59&lt;30,'P&amp;L Month'!BZ35*(1+'Détail CF'!$C59),IF($D59&lt;60,'P&amp;L Month'!BY35*(1+'Détail CF'!$C59),IF($D59&gt;=60,'P&amp;L Month'!BX35*(1+'Détail CF'!$C59),0)))</f>
        <v>-657.8</v>
      </c>
      <c r="BY59" s="102">
        <f>-IF($D59&lt;30,'P&amp;L Month'!CA35*(1+'Détail CF'!$C59),IF($D59&lt;60,'P&amp;L Month'!BZ35*(1+'Détail CF'!$C59),IF($D59&gt;=60,'P&amp;L Month'!BY35*(1+'Détail CF'!$C59),0)))</f>
        <v>-657.8</v>
      </c>
      <c r="BZ59" s="102">
        <f>-IF($D59&lt;30,'P&amp;L Month'!CB35*(1+'Détail CF'!$C59),IF($D59&lt;60,'P&amp;L Month'!CA35*(1+'Détail CF'!$C59),IF($D59&gt;=60,'P&amp;L Month'!BZ35*(1+'Détail CF'!$C59),0)))</f>
        <v>-657.8</v>
      </c>
      <c r="CA59" s="102">
        <f>-IF($D59&lt;30,'P&amp;L Month'!CC35*(1+'Détail CF'!$C59),IF($D59&lt;60,'P&amp;L Month'!CB35*(1+'Détail CF'!$C59),IF($D59&gt;=60,'P&amp;L Month'!CA35*(1+'Détail CF'!$C59),0)))</f>
        <v>-657.8</v>
      </c>
      <c r="CB59" s="102">
        <f>-IF($D59&lt;30,'P&amp;L Month'!CD35*(1+'Détail CF'!$C59),IF($D59&lt;60,'P&amp;L Month'!CC35*(1+'Détail CF'!$C59),IF($D59&gt;=60,'P&amp;L Month'!CB35*(1+'Détail CF'!$C59),0)))</f>
        <v>-657.8</v>
      </c>
      <c r="CC59" s="102">
        <f>-IF($D59&lt;30,'P&amp;L Month'!CE35*(1+'Détail CF'!$C59),IF($D59&lt;60,'P&amp;L Month'!CD35*(1+'Détail CF'!$C59),IF($D59&gt;=60,'P&amp;L Month'!CC35*(1+'Détail CF'!$C59),0)))</f>
        <v>-657.8</v>
      </c>
      <c r="CD59" s="102">
        <f>-IF($D59&lt;30,'P&amp;L Month'!CF35*(1+'Détail CF'!$C59),IF($D59&lt;60,'P&amp;L Month'!CE35*(1+'Détail CF'!$C59),IF($D59&gt;=60,'P&amp;L Month'!CD35*(1+'Détail CF'!$C59),0)))</f>
        <v>-657.8</v>
      </c>
      <c r="CE59" s="102">
        <f>-IF($D59&lt;30,'P&amp;L Month'!CG35*(1+'Détail CF'!$C59),IF($D59&lt;60,'P&amp;L Month'!CF35*(1+'Détail CF'!$C59),IF($D59&gt;=60,'P&amp;L Month'!CE35*(1+'Détail CF'!$C59),0)))</f>
        <v>-657.8</v>
      </c>
    </row>
    <row r="60" spans="1:83">
      <c r="B60" t="s">
        <v>167</v>
      </c>
      <c r="C60" s="182">
        <f t="shared" si="28"/>
        <v>0.19600000000000001</v>
      </c>
      <c r="D60" s="99">
        <f t="shared" si="28"/>
        <v>30</v>
      </c>
      <c r="E60" s="195" t="str">
        <f t="shared" si="28"/>
        <v>F</v>
      </c>
      <c r="F60" s="102">
        <f>-IF($D60&lt;30,'P&amp;L Month'!H36*(1+'Détail CF'!$C60),0)</f>
        <v>0</v>
      </c>
      <c r="G60" s="102">
        <f>-IF($D60&lt;30,'P&amp;L Month'!I36*(1+'Détail CF'!$C60),IF($D60&lt;60,'P&amp;L Month'!H36*(1+'Détail CF'!$C60),0))</f>
        <v>0</v>
      </c>
      <c r="H60" s="102">
        <f>-IF($D60&lt;30,'P&amp;L Month'!J36*(1+'Détail CF'!$C60),IF($D60&lt;60,'P&amp;L Month'!I36*(1+'Détail CF'!$C60),IF($D60&gt;=60,'P&amp;L Month'!H36*(1+'Détail CF'!$C60),0)))</f>
        <v>0</v>
      </c>
      <c r="I60" s="102">
        <f>-IF($D60&lt;30,'P&amp;L Month'!K36*(1+'Détail CF'!$C60),IF($D60&lt;60,'P&amp;L Month'!J36*(1+'Détail CF'!$C60),IF($D60&gt;=60,'P&amp;L Month'!I36*(1+'Détail CF'!$C60),0)))</f>
        <v>0</v>
      </c>
      <c r="J60" s="102">
        <f>-IF($D60&lt;30,'P&amp;L Month'!L36*(1+'Détail CF'!$C60),IF($D60&lt;60,'P&amp;L Month'!K36*(1+'Détail CF'!$C60),IF($D60&gt;=60,'P&amp;L Month'!J36*(1+'Détail CF'!$C60),0)))</f>
        <v>0</v>
      </c>
      <c r="K60" s="102">
        <f>-IF($D60&lt;30,'P&amp;L Month'!M36*(1+'Détail CF'!$C60),IF($D60&lt;60,'P&amp;L Month'!L36*(1+'Détail CF'!$C60),IF($D60&gt;=60,'P&amp;L Month'!K36*(1+'Détail CF'!$C60),0)))</f>
        <v>0</v>
      </c>
      <c r="L60" s="102">
        <f>-IF($D60&lt;30,'P&amp;L Month'!N36*(1+'Détail CF'!$C60),IF($D60&lt;60,'P&amp;L Month'!M36*(1+'Détail CF'!$C60),IF($D60&gt;=60,'P&amp;L Month'!L36*(1+'Détail CF'!$C60),0)))</f>
        <v>0</v>
      </c>
      <c r="M60" s="102">
        <f>-IF($D60&lt;30,'P&amp;L Month'!O36*(1+'Détail CF'!$C60),IF($D60&lt;60,'P&amp;L Month'!N36*(1+'Détail CF'!$C60),IF($D60&gt;=60,'P&amp;L Month'!M36*(1+'Détail CF'!$C60),0)))</f>
        <v>0</v>
      </c>
      <c r="N60" s="102">
        <f>-IF($D60&lt;30,'P&amp;L Month'!P36*(1+'Détail CF'!$C60),IF($D60&lt;60,'P&amp;L Month'!O36*(1+'Détail CF'!$C60),IF($D60&gt;=60,'P&amp;L Month'!N36*(1+'Détail CF'!$C60),0)))</f>
        <v>0</v>
      </c>
      <c r="O60" s="102">
        <f>-IF($D60&lt;30,'P&amp;L Month'!Q36*(1+'Détail CF'!$C60),IF($D60&lt;60,'P&amp;L Month'!P36*(1+'Détail CF'!$C60),IF($D60&gt;=60,'P&amp;L Month'!O36*(1+'Détail CF'!$C60),0)))</f>
        <v>0</v>
      </c>
      <c r="P60" s="102">
        <f>-IF($D60&lt;30,'P&amp;L Month'!R36*(1+'Détail CF'!$C60),IF($D60&lt;60,'P&amp;L Month'!Q36*(1+'Détail CF'!$C60),IF($D60&gt;=60,'P&amp;L Month'!P36*(1+'Détail CF'!$C60),0)))</f>
        <v>0</v>
      </c>
      <c r="Q60" s="102">
        <f>-IF($D60&lt;30,'P&amp;L Month'!S36*(1+'Détail CF'!$C60),IF($D60&lt;60,'P&amp;L Month'!R36*(1+'Détail CF'!$C60),IF($D60&gt;=60,'P&amp;L Month'!Q36*(1+'Détail CF'!$C60),0)))</f>
        <v>0</v>
      </c>
      <c r="R60" s="102">
        <f>-IF($D60&lt;30,'P&amp;L Month'!T36*(1+'Détail CF'!$C60),IF($D60&lt;60,'P&amp;L Month'!S36*(1+'Détail CF'!$C60),IF($D60&gt;=60,'P&amp;L Month'!R36*(1+'Détail CF'!$C60),0)))</f>
        <v>0</v>
      </c>
      <c r="S60" s="102">
        <f>-IF($D60&lt;30,'P&amp;L Month'!U36*(1+'Détail CF'!$C60),IF($D60&lt;60,'P&amp;L Month'!T36*(1+'Détail CF'!$C60),IF($D60&gt;=60,'P&amp;L Month'!S36*(1+'Détail CF'!$C60),0)))</f>
        <v>0</v>
      </c>
      <c r="T60" s="102">
        <f>-IF($D60&lt;30,'P&amp;L Month'!V36*(1+'Détail CF'!$C60),IF($D60&lt;60,'P&amp;L Month'!U36*(1+'Détail CF'!$C60),IF($D60&gt;=60,'P&amp;L Month'!T36*(1+'Détail CF'!$C60),0)))</f>
        <v>0</v>
      </c>
      <c r="U60" s="102">
        <f>-IF($D60&lt;30,'P&amp;L Month'!W36*(1+'Détail CF'!$C60),IF($D60&lt;60,'P&amp;L Month'!V36*(1+'Détail CF'!$C60),IF($D60&gt;=60,'P&amp;L Month'!U36*(1+'Détail CF'!$C60),0)))</f>
        <v>0</v>
      </c>
      <c r="V60" s="102">
        <f>-IF($D60&lt;30,'P&amp;L Month'!X36*(1+'Détail CF'!$C60),IF($D60&lt;60,'P&amp;L Month'!W36*(1+'Détail CF'!$C60),IF($D60&gt;=60,'P&amp;L Month'!V36*(1+'Détail CF'!$C60),0)))</f>
        <v>0</v>
      </c>
      <c r="W60" s="102">
        <f>-IF($D60&lt;30,'P&amp;L Month'!Y36*(1+'Détail CF'!$C60),IF($D60&lt;60,'P&amp;L Month'!X36*(1+'Détail CF'!$C60),IF($D60&gt;=60,'P&amp;L Month'!W36*(1+'Détail CF'!$C60),0)))</f>
        <v>0</v>
      </c>
      <c r="X60" s="102">
        <f>-IF($D60&lt;30,'P&amp;L Month'!Z36*(1+'Détail CF'!$C60),IF($D60&lt;60,'P&amp;L Month'!Y36*(1+'Détail CF'!$C60),IF($D60&gt;=60,'P&amp;L Month'!X36*(1+'Détail CF'!$C60),0)))</f>
        <v>0</v>
      </c>
      <c r="Y60" s="102">
        <f>-IF($D60&lt;30,'P&amp;L Month'!AA36*(1+'Détail CF'!$C60),IF($D60&lt;60,'P&amp;L Month'!Z36*(1+'Détail CF'!$C60),IF($D60&gt;=60,'P&amp;L Month'!Y36*(1+'Détail CF'!$C60),0)))</f>
        <v>0</v>
      </c>
      <c r="Z60" s="102">
        <f>-IF($D60&lt;30,'P&amp;L Month'!AB36*(1+'Détail CF'!$C60),IF($D60&lt;60,'P&amp;L Month'!AA36*(1+'Détail CF'!$C60),IF($D60&gt;=60,'P&amp;L Month'!Z36*(1+'Détail CF'!$C60),0)))</f>
        <v>0</v>
      </c>
      <c r="AA60" s="102">
        <f>-IF($D60&lt;30,'P&amp;L Month'!AC36*(1+'Détail CF'!$C60),IF($D60&lt;60,'P&amp;L Month'!AB36*(1+'Détail CF'!$C60),IF($D60&gt;=60,'P&amp;L Month'!AA36*(1+'Détail CF'!$C60),0)))</f>
        <v>0</v>
      </c>
      <c r="AB60" s="102">
        <f>-IF($D60&lt;30,'P&amp;L Month'!AD36*(1+'Détail CF'!$C60),IF($D60&lt;60,'P&amp;L Month'!AC36*(1+'Détail CF'!$C60),IF($D60&gt;=60,'P&amp;L Month'!AB36*(1+'Détail CF'!$C60),0)))</f>
        <v>-12.558</v>
      </c>
      <c r="AC60" s="102">
        <f>-IF($D60&lt;30,'P&amp;L Month'!AE36*(1+'Détail CF'!$C60),IF($D60&lt;60,'P&amp;L Month'!AD36*(1+'Détail CF'!$C60),IF($D60&gt;=60,'P&amp;L Month'!AC36*(1+'Détail CF'!$C60),0)))</f>
        <v>-12.558</v>
      </c>
      <c r="AD60" s="102">
        <f>-IF($D60&lt;30,'P&amp;L Month'!AF36*(1+'Détail CF'!$C60),IF($D60&lt;60,'P&amp;L Month'!AE36*(1+'Détail CF'!$C60),IF($D60&gt;=60,'P&amp;L Month'!AD36*(1+'Détail CF'!$C60),0)))</f>
        <v>-12.558</v>
      </c>
      <c r="AE60" s="102">
        <f>-IF($D60&lt;30,'P&amp;L Month'!AG36*(1+'Détail CF'!$C60),IF($D60&lt;60,'P&amp;L Month'!AF36*(1+'Détail CF'!$C60),IF($D60&gt;=60,'P&amp;L Month'!AE36*(1+'Détail CF'!$C60),0)))</f>
        <v>-30.497999999999998</v>
      </c>
      <c r="AF60" s="102">
        <f>-IF($D60&lt;30,'P&amp;L Month'!AH36*(1+'Détail CF'!$C60),IF($D60&lt;60,'P&amp;L Month'!AG36*(1+'Détail CF'!$C60),IF($D60&gt;=60,'P&amp;L Month'!AF36*(1+'Détail CF'!$C60),0)))</f>
        <v>-8.9699999999999989</v>
      </c>
      <c r="AG60" s="102">
        <f>-IF($D60&lt;30,'P&amp;L Month'!AI36*(1+'Détail CF'!$C60),IF($D60&lt;60,'P&amp;L Month'!AH36*(1+'Détail CF'!$C60),IF($D60&gt;=60,'P&amp;L Month'!AG36*(1+'Détail CF'!$C60),0)))</f>
        <v>-17.939999999999998</v>
      </c>
      <c r="AH60" s="102">
        <f>-IF($D60&lt;30,'P&amp;L Month'!AJ36*(1+'Détail CF'!$C60),IF($D60&lt;60,'P&amp;L Month'!AI36*(1+'Détail CF'!$C60),IF($D60&gt;=60,'P&amp;L Month'!AH36*(1+'Détail CF'!$C60),0)))</f>
        <v>-26.91</v>
      </c>
      <c r="AI60" s="102">
        <f>-IF($D60&lt;30,'P&amp;L Month'!AK36*(1+'Détail CF'!$C60),IF($D60&lt;60,'P&amp;L Month'!AJ36*(1+'Détail CF'!$C60),IF($D60&gt;=60,'P&amp;L Month'!AI36*(1+'Détail CF'!$C60),0)))</f>
        <v>-26.91</v>
      </c>
      <c r="AJ60" s="102">
        <f>-IF($D60&lt;30,'P&amp;L Month'!AL36*(1+'Détail CF'!$C60),IF($D60&lt;60,'P&amp;L Month'!AK36*(1+'Détail CF'!$C60),IF($D60&gt;=60,'P&amp;L Month'!AJ36*(1+'Détail CF'!$C60),0)))</f>
        <v>-35.879999999999995</v>
      </c>
      <c r="AK60" s="102">
        <f>-IF($D60&lt;30,'P&amp;L Month'!AM36*(1+'Détail CF'!$C60),IF($D60&lt;60,'P&amp;L Month'!AL36*(1+'Détail CF'!$C60),IF($D60&gt;=60,'P&amp;L Month'!AK36*(1+'Détail CF'!$C60),0)))</f>
        <v>-53.82</v>
      </c>
      <c r="AL60" s="102">
        <f>-IF($D60&lt;30,'P&amp;L Month'!AN36*(1+'Détail CF'!$C60),IF($D60&lt;60,'P&amp;L Month'!AM36*(1+'Détail CF'!$C60),IF($D60&gt;=60,'P&amp;L Month'!AL36*(1+'Détail CF'!$C60),0)))</f>
        <v>-62.79</v>
      </c>
      <c r="AM60" s="102">
        <f>-IF($D60&lt;30,'P&amp;L Month'!AO36*(1+'Détail CF'!$C60),IF($D60&lt;60,'P&amp;L Month'!AN36*(1+'Détail CF'!$C60),IF($D60&gt;=60,'P&amp;L Month'!AM36*(1+'Détail CF'!$C60),0)))</f>
        <v>-80.72999999999999</v>
      </c>
      <c r="AN60" s="102">
        <f>-IF($D60&lt;30,'P&amp;L Month'!AP36*(1+'Détail CF'!$C60),IF($D60&lt;60,'P&amp;L Month'!AO36*(1+'Détail CF'!$C60),IF($D60&gt;=60,'P&amp;L Month'!AN36*(1+'Détail CF'!$C60),0)))</f>
        <v>-80.72999999999999</v>
      </c>
      <c r="AO60" s="102">
        <f>-IF($D60&lt;30,'P&amp;L Month'!AQ36*(1+'Détail CF'!$C60),IF($D60&lt;60,'P&amp;L Month'!AP36*(1+'Détail CF'!$C60),IF($D60&gt;=60,'P&amp;L Month'!AO36*(1+'Détail CF'!$C60),0)))</f>
        <v>-89.7</v>
      </c>
      <c r="AP60" s="102">
        <f>-IF($D60&lt;30,'P&amp;L Month'!AR36*(1+'Détail CF'!$C60),IF($D60&lt;60,'P&amp;L Month'!AQ36*(1+'Détail CF'!$C60),IF($D60&gt;=60,'P&amp;L Month'!AP36*(1+'Détail CF'!$C60),0)))</f>
        <v>-107.64</v>
      </c>
      <c r="AQ60" s="102">
        <f>-IF($D60&lt;30,'P&amp;L Month'!AS36*(1+'Détail CF'!$C60),IF($D60&lt;60,'P&amp;L Month'!AR36*(1+'Détail CF'!$C60),IF($D60&gt;=60,'P&amp;L Month'!AQ36*(1+'Détail CF'!$C60),0)))</f>
        <v>-116.61</v>
      </c>
      <c r="AR60" s="102">
        <f>-IF($D60&lt;30,'P&amp;L Month'!AT36*(1+'Détail CF'!$C60),IF($D60&lt;60,'P&amp;L Month'!AS36*(1+'Détail CF'!$C60),IF($D60&gt;=60,'P&amp;L Month'!AR36*(1+'Détail CF'!$C60),0)))</f>
        <v>-116.61</v>
      </c>
      <c r="AS60" s="102">
        <f>-IF($D60&lt;30,'P&amp;L Month'!AU36*(1+'Détail CF'!$C60),IF($D60&lt;60,'P&amp;L Month'!AT36*(1+'Détail CF'!$C60),IF($D60&gt;=60,'P&amp;L Month'!AS36*(1+'Détail CF'!$C60),0)))</f>
        <v>-143.51999999999998</v>
      </c>
      <c r="AT60" s="102">
        <f>-IF($D60&lt;30,'P&amp;L Month'!AV36*(1+'Détail CF'!$C60),IF($D60&lt;60,'P&amp;L Month'!AU36*(1+'Détail CF'!$C60),IF($D60&gt;=60,'P&amp;L Month'!AT36*(1+'Détail CF'!$C60),0)))</f>
        <v>-143.51999999999998</v>
      </c>
      <c r="AU60" s="102">
        <f>-IF($D60&lt;30,'P&amp;L Month'!AW36*(1+'Détail CF'!$C60),IF($D60&lt;60,'P&amp;L Month'!AV36*(1+'Détail CF'!$C60),IF($D60&gt;=60,'P&amp;L Month'!AU36*(1+'Détail CF'!$C60),0)))</f>
        <v>-143.51999999999998</v>
      </c>
      <c r="AV60" s="102">
        <f>-IF($D60&lt;30,'P&amp;L Month'!AX36*(1+'Détail CF'!$C60),IF($D60&lt;60,'P&amp;L Month'!AW36*(1+'Détail CF'!$C60),IF($D60&gt;=60,'P&amp;L Month'!AV36*(1+'Détail CF'!$C60),0)))</f>
        <v>-143.51999999999998</v>
      </c>
      <c r="AW60" s="102">
        <f>-IF($D60&lt;30,'P&amp;L Month'!AY36*(1+'Détail CF'!$C60),IF($D60&lt;60,'P&amp;L Month'!AX36*(1+'Détail CF'!$C60),IF($D60&gt;=60,'P&amp;L Month'!AW36*(1+'Détail CF'!$C60),0)))</f>
        <v>-175.5429</v>
      </c>
      <c r="AX60" s="102">
        <f>-IF($D60&lt;30,'P&amp;L Month'!AZ36*(1+'Détail CF'!$C60),IF($D60&lt;60,'P&amp;L Month'!AY36*(1+'Détail CF'!$C60),IF($D60&gt;=60,'P&amp;L Month'!AX36*(1+'Détail CF'!$C60),0)))</f>
        <v>-175.5429</v>
      </c>
      <c r="AY60" s="102">
        <f>-IF($D60&lt;30,'P&amp;L Month'!BA36*(1+'Détail CF'!$C60),IF($D60&lt;60,'P&amp;L Month'!AZ36*(1+'Détail CF'!$C60),IF($D60&gt;=60,'P&amp;L Month'!AY36*(1+'Détail CF'!$C60),0)))</f>
        <v>-175.5429</v>
      </c>
      <c r="AZ60" s="102">
        <f>-IF($D60&lt;30,'P&amp;L Month'!BB36*(1+'Détail CF'!$C60),IF($D60&lt;60,'P&amp;L Month'!BA36*(1+'Détail CF'!$C60),IF($D60&gt;=60,'P&amp;L Month'!AZ36*(1+'Détail CF'!$C60),0)))</f>
        <v>-175.5429</v>
      </c>
      <c r="BA60" s="102">
        <f>-IF($D60&lt;30,'P&amp;L Month'!BC36*(1+'Détail CF'!$C60),IF($D60&lt;60,'P&amp;L Month'!BB36*(1+'Détail CF'!$C60),IF($D60&gt;=60,'P&amp;L Month'!BA36*(1+'Détail CF'!$C60),0)))</f>
        <v>-184.78199999999998</v>
      </c>
      <c r="BB60" s="102">
        <f>-IF($D60&lt;30,'P&amp;L Month'!BD36*(1+'Détail CF'!$C60),IF($D60&lt;60,'P&amp;L Month'!BC36*(1+'Détail CF'!$C60),IF($D60&gt;=60,'P&amp;L Month'!BB36*(1+'Détail CF'!$C60),0)))</f>
        <v>-184.78199999999998</v>
      </c>
      <c r="BC60" s="102">
        <f>-IF($D60&lt;30,'P&amp;L Month'!BE36*(1+'Détail CF'!$C60),IF($D60&lt;60,'P&amp;L Month'!BD36*(1+'Détail CF'!$C60),IF($D60&gt;=60,'P&amp;L Month'!BC36*(1+'Détail CF'!$C60),0)))</f>
        <v>-203.26019999999997</v>
      </c>
      <c r="BD60" s="102">
        <f>-IF($D60&lt;30,'P&amp;L Month'!BF36*(1+'Détail CF'!$C60),IF($D60&lt;60,'P&amp;L Month'!BE36*(1+'Détail CF'!$C60),IF($D60&gt;=60,'P&amp;L Month'!BD36*(1+'Détail CF'!$C60),0)))</f>
        <v>-203.26019999999997</v>
      </c>
      <c r="BE60" s="102">
        <f>-IF($D60&lt;30,'P&amp;L Month'!BG36*(1+'Détail CF'!$C60),IF($D60&lt;60,'P&amp;L Month'!BF36*(1+'Détail CF'!$C60),IF($D60&gt;=60,'P&amp;L Month'!BE36*(1+'Détail CF'!$C60),0)))</f>
        <v>-212.49929999999998</v>
      </c>
      <c r="BF60" s="102">
        <f>-IF($D60&lt;30,'P&amp;L Month'!BH36*(1+'Détail CF'!$C60),IF($D60&lt;60,'P&amp;L Month'!BG36*(1+'Détail CF'!$C60),IF($D60&gt;=60,'P&amp;L Month'!BF36*(1+'Détail CF'!$C60),0)))</f>
        <v>-212.49929999999998</v>
      </c>
      <c r="BG60" s="102">
        <f>-IF($D60&lt;30,'P&amp;L Month'!BI36*(1+'Détail CF'!$C60),IF($D60&lt;60,'P&amp;L Month'!BH36*(1+'Détail CF'!$C60),IF($D60&gt;=60,'P&amp;L Month'!BG36*(1+'Détail CF'!$C60),0)))</f>
        <v>-221.73839999999998</v>
      </c>
      <c r="BH60" s="102">
        <f>-IF($D60&lt;30,'P&amp;L Month'!BJ36*(1+'Détail CF'!$C60),IF($D60&lt;60,'P&amp;L Month'!BI36*(1+'Détail CF'!$C60),IF($D60&gt;=60,'P&amp;L Month'!BH36*(1+'Détail CF'!$C60),0)))</f>
        <v>-221.73839999999998</v>
      </c>
      <c r="BI60" s="102">
        <f>-IF($D60&lt;30,'P&amp;L Month'!BK36*(1+'Détail CF'!$C60),IF($D60&lt;60,'P&amp;L Month'!BJ36*(1+'Détail CF'!$C60),IF($D60&gt;=60,'P&amp;L Month'!BI36*(1+'Détail CF'!$C60),0)))</f>
        <v>-228.19679999999997</v>
      </c>
      <c r="BJ60" s="102">
        <f>-IF($D60&lt;30,'P&amp;L Month'!BL36*(1+'Détail CF'!$C60),IF($D60&lt;60,'P&amp;L Month'!BK36*(1+'Détail CF'!$C60),IF($D60&gt;=60,'P&amp;L Month'!BJ36*(1+'Détail CF'!$C60),0)))</f>
        <v>-228.19679999999997</v>
      </c>
      <c r="BK60" s="102">
        <f>-IF($D60&lt;30,'P&amp;L Month'!BM36*(1+'Détail CF'!$C60),IF($D60&lt;60,'P&amp;L Month'!BL36*(1+'Détail CF'!$C60),IF($D60&gt;=60,'P&amp;L Month'!BK36*(1+'Détail CF'!$C60),0)))</f>
        <v>-228.19679999999997</v>
      </c>
      <c r="BL60" s="102">
        <f>-IF($D60&lt;30,'P&amp;L Month'!BN36*(1+'Détail CF'!$C60),IF($D60&lt;60,'P&amp;L Month'!BM36*(1+'Détail CF'!$C60),IF($D60&gt;=60,'P&amp;L Month'!BL36*(1+'Détail CF'!$C60),0)))</f>
        <v>-228.19679999999997</v>
      </c>
      <c r="BM60" s="102">
        <f>-IF($D60&lt;30,'P&amp;L Month'!BO36*(1+'Détail CF'!$C60),IF($D60&lt;60,'P&amp;L Month'!BN36*(1+'Détail CF'!$C60),IF($D60&gt;=60,'P&amp;L Month'!BM36*(1+'Détail CF'!$C60),0)))</f>
        <v>-237.70499999999998</v>
      </c>
      <c r="BN60" s="102">
        <f>-IF($D60&lt;30,'P&amp;L Month'!BP36*(1+'Détail CF'!$C60),IF($D60&lt;60,'P&amp;L Month'!BO36*(1+'Détail CF'!$C60),IF($D60&gt;=60,'P&amp;L Month'!BN36*(1+'Détail CF'!$C60),0)))</f>
        <v>-237.70499999999998</v>
      </c>
      <c r="BO60" s="102">
        <f>-IF($D60&lt;30,'P&amp;L Month'!BQ36*(1+'Détail CF'!$C60),IF($D60&lt;60,'P&amp;L Month'!BP36*(1+'Détail CF'!$C60),IF($D60&gt;=60,'P&amp;L Month'!BO36*(1+'Détail CF'!$C60),0)))</f>
        <v>-237.70499999999998</v>
      </c>
      <c r="BP60" s="102">
        <f>-IF($D60&lt;30,'P&amp;L Month'!BR36*(1+'Détail CF'!$C60),IF($D60&lt;60,'P&amp;L Month'!BQ36*(1+'Détail CF'!$C60),IF($D60&gt;=60,'P&amp;L Month'!BP36*(1+'Détail CF'!$C60),0)))</f>
        <v>-237.70499999999998</v>
      </c>
      <c r="BQ60" s="102">
        <f>-IF($D60&lt;30,'P&amp;L Month'!BS36*(1+'Détail CF'!$C60),IF($D60&lt;60,'P&amp;L Month'!BR36*(1+'Détail CF'!$C60),IF($D60&gt;=60,'P&amp;L Month'!BQ36*(1+'Détail CF'!$C60),0)))</f>
        <v>-237.70499999999998</v>
      </c>
      <c r="BR60" s="102">
        <f>-IF($D60&lt;30,'P&amp;L Month'!BT36*(1+'Détail CF'!$C60),IF($D60&lt;60,'P&amp;L Month'!BS36*(1+'Détail CF'!$C60),IF($D60&gt;=60,'P&amp;L Month'!BR36*(1+'Détail CF'!$C60),0)))</f>
        <v>-237.70499999999998</v>
      </c>
      <c r="BS60" s="102">
        <f>-IF($D60&lt;30,'P&amp;L Month'!BU36*(1+'Détail CF'!$C60),IF($D60&lt;60,'P&amp;L Month'!BT36*(1+'Détail CF'!$C60),IF($D60&gt;=60,'P&amp;L Month'!BS36*(1+'Détail CF'!$C60),0)))</f>
        <v>-237.70499999999998</v>
      </c>
      <c r="BT60" s="102">
        <f>-IF($D60&lt;30,'P&amp;L Month'!BV36*(1+'Détail CF'!$C60),IF($D60&lt;60,'P&amp;L Month'!BU36*(1+'Détail CF'!$C60),IF($D60&gt;=60,'P&amp;L Month'!BT36*(1+'Détail CF'!$C60),0)))</f>
        <v>-237.70499999999998</v>
      </c>
      <c r="BU60" s="102">
        <f>-IF($D60&lt;30,'P&amp;L Month'!BW36*(1+'Détail CF'!$C60),IF($D60&lt;60,'P&amp;L Month'!BV36*(1+'Détail CF'!$C60),IF($D60&gt;=60,'P&amp;L Month'!BU36*(1+'Détail CF'!$C60),0)))</f>
        <v>-246.67499999999998</v>
      </c>
      <c r="BV60" s="102">
        <f>-IF($D60&lt;30,'P&amp;L Month'!BX36*(1+'Détail CF'!$C60),IF($D60&lt;60,'P&amp;L Month'!BW36*(1+'Détail CF'!$C60),IF($D60&gt;=60,'P&amp;L Month'!BV36*(1+'Détail CF'!$C60),0)))</f>
        <v>-246.67499999999998</v>
      </c>
      <c r="BW60" s="102">
        <f>-IF($D60&lt;30,'P&amp;L Month'!BY36*(1+'Détail CF'!$C60),IF($D60&lt;60,'P&amp;L Month'!BX36*(1+'Détail CF'!$C60),IF($D60&gt;=60,'P&amp;L Month'!BW36*(1+'Détail CF'!$C60),0)))</f>
        <v>-246.67499999999998</v>
      </c>
      <c r="BX60" s="102">
        <f>-IF($D60&lt;30,'P&amp;L Month'!BZ36*(1+'Détail CF'!$C60),IF($D60&lt;60,'P&amp;L Month'!BY36*(1+'Détail CF'!$C60),IF($D60&gt;=60,'P&amp;L Month'!BX36*(1+'Détail CF'!$C60),0)))</f>
        <v>-246.67499999999998</v>
      </c>
      <c r="BY60" s="102">
        <f>-IF($D60&lt;30,'P&amp;L Month'!CA36*(1+'Détail CF'!$C60),IF($D60&lt;60,'P&amp;L Month'!BZ36*(1+'Détail CF'!$C60),IF($D60&gt;=60,'P&amp;L Month'!BY36*(1+'Détail CF'!$C60),0)))</f>
        <v>-246.67499999999998</v>
      </c>
      <c r="BZ60" s="102">
        <f>-IF($D60&lt;30,'P&amp;L Month'!CB36*(1+'Détail CF'!$C60),IF($D60&lt;60,'P&amp;L Month'!CA36*(1+'Détail CF'!$C60),IF($D60&gt;=60,'P&amp;L Month'!BZ36*(1+'Détail CF'!$C60),0)))</f>
        <v>-246.67499999999998</v>
      </c>
      <c r="CA60" s="102">
        <f>-IF($D60&lt;30,'P&amp;L Month'!CC36*(1+'Détail CF'!$C60),IF($D60&lt;60,'P&amp;L Month'!CB36*(1+'Détail CF'!$C60),IF($D60&gt;=60,'P&amp;L Month'!CA36*(1+'Détail CF'!$C60),0)))</f>
        <v>-246.67499999999998</v>
      </c>
      <c r="CB60" s="102">
        <f>-IF($D60&lt;30,'P&amp;L Month'!CD36*(1+'Détail CF'!$C60),IF($D60&lt;60,'P&amp;L Month'!CC36*(1+'Détail CF'!$C60),IF($D60&gt;=60,'P&amp;L Month'!CB36*(1+'Détail CF'!$C60),0)))</f>
        <v>-246.67499999999998</v>
      </c>
      <c r="CC60" s="102">
        <f>-IF($D60&lt;30,'P&amp;L Month'!CE36*(1+'Détail CF'!$C60),IF($D60&lt;60,'P&amp;L Month'!CD36*(1+'Détail CF'!$C60),IF($D60&gt;=60,'P&amp;L Month'!CC36*(1+'Détail CF'!$C60),0)))</f>
        <v>-246.67499999999998</v>
      </c>
      <c r="CD60" s="102">
        <f>-IF($D60&lt;30,'P&amp;L Month'!CF36*(1+'Détail CF'!$C60),IF($D60&lt;60,'P&amp;L Month'!CE36*(1+'Détail CF'!$C60),IF($D60&gt;=60,'P&amp;L Month'!CD36*(1+'Détail CF'!$C60),0)))</f>
        <v>-246.67499999999998</v>
      </c>
      <c r="CE60" s="102">
        <f>-IF($D60&lt;30,'P&amp;L Month'!CG36*(1+'Détail CF'!$C60),IF($D60&lt;60,'P&amp;L Month'!CF36*(1+'Détail CF'!$C60),IF($D60&gt;=60,'P&amp;L Month'!CE36*(1+'Détail CF'!$C60),0)))</f>
        <v>-246.67499999999998</v>
      </c>
    </row>
    <row r="61" spans="1:83">
      <c r="B61" t="s">
        <v>168</v>
      </c>
      <c r="C61" s="182">
        <f t="shared" si="28"/>
        <v>0.19600000000000001</v>
      </c>
      <c r="D61" s="99">
        <f t="shared" si="28"/>
        <v>30</v>
      </c>
      <c r="E61" s="195" t="str">
        <f t="shared" si="28"/>
        <v>F</v>
      </c>
      <c r="F61" s="102">
        <f>-IF($D61&lt;30,'P&amp;L Month'!H37*(1+'Détail CF'!$C61),0)</f>
        <v>0</v>
      </c>
      <c r="G61" s="102">
        <f>-IF($D61&lt;30,'P&amp;L Month'!I37*(1+'Détail CF'!$C61),IF($D61&lt;60,'P&amp;L Month'!H37*(1+'Détail CF'!$C61),0))</f>
        <v>0</v>
      </c>
      <c r="H61" s="102">
        <f>-IF($D61&lt;30,'P&amp;L Month'!J37*(1+'Détail CF'!$C61),IF($D61&lt;60,'P&amp;L Month'!I37*(1+'Détail CF'!$C61),IF($D61&gt;=60,'P&amp;L Month'!H37*(1+'Détail CF'!$C61),0)))</f>
        <v>0</v>
      </c>
      <c r="I61" s="102">
        <f>-IF($D61&lt;30,'P&amp;L Month'!K37*(1+'Détail CF'!$C61),IF($D61&lt;60,'P&amp;L Month'!J37*(1+'Détail CF'!$C61),IF($D61&gt;=60,'P&amp;L Month'!I37*(1+'Détail CF'!$C61),0)))</f>
        <v>0</v>
      </c>
      <c r="J61" s="102">
        <f>-IF($D61&lt;30,'P&amp;L Month'!L37*(1+'Détail CF'!$C61),IF($D61&lt;60,'P&amp;L Month'!K37*(1+'Détail CF'!$C61),IF($D61&gt;=60,'P&amp;L Month'!J37*(1+'Détail CF'!$C61),0)))</f>
        <v>0</v>
      </c>
      <c r="K61" s="102">
        <f>-IF($D61&lt;30,'P&amp;L Month'!M37*(1+'Détail CF'!$C61),IF($D61&lt;60,'P&amp;L Month'!L37*(1+'Détail CF'!$C61),IF($D61&gt;=60,'P&amp;L Month'!K37*(1+'Détail CF'!$C61),0)))</f>
        <v>0</v>
      </c>
      <c r="L61" s="102">
        <f>-IF($D61&lt;30,'P&amp;L Month'!N37*(1+'Détail CF'!$C61),IF($D61&lt;60,'P&amp;L Month'!M37*(1+'Détail CF'!$C61),IF($D61&gt;=60,'P&amp;L Month'!L37*(1+'Détail CF'!$C61),0)))</f>
        <v>0</v>
      </c>
      <c r="M61" s="102">
        <f>-IF($D61&lt;30,'P&amp;L Month'!O37*(1+'Détail CF'!$C61),IF($D61&lt;60,'P&amp;L Month'!N37*(1+'Détail CF'!$C61),IF($D61&gt;=60,'P&amp;L Month'!M37*(1+'Détail CF'!$C61),0)))</f>
        <v>0</v>
      </c>
      <c r="N61" s="102">
        <f>-IF($D61&lt;30,'P&amp;L Month'!P37*(1+'Détail CF'!$C61),IF($D61&lt;60,'P&amp;L Month'!O37*(1+'Détail CF'!$C61),IF($D61&gt;=60,'P&amp;L Month'!N37*(1+'Détail CF'!$C61),0)))</f>
        <v>0</v>
      </c>
      <c r="O61" s="102">
        <f>-IF($D61&lt;30,'P&amp;L Month'!Q37*(1+'Détail CF'!$C61),IF($D61&lt;60,'P&amp;L Month'!P37*(1+'Détail CF'!$C61),IF($D61&gt;=60,'P&amp;L Month'!O37*(1+'Détail CF'!$C61),0)))</f>
        <v>0</v>
      </c>
      <c r="P61" s="102">
        <f>-IF($D61&lt;30,'P&amp;L Month'!R37*(1+'Détail CF'!$C61),IF($D61&lt;60,'P&amp;L Month'!Q37*(1+'Détail CF'!$C61),IF($D61&gt;=60,'P&amp;L Month'!P37*(1+'Détail CF'!$C61),0)))</f>
        <v>0</v>
      </c>
      <c r="Q61" s="102">
        <f>-IF($D61&lt;30,'P&amp;L Month'!S37*(1+'Détail CF'!$C61),IF($D61&lt;60,'P&amp;L Month'!R37*(1+'Détail CF'!$C61),IF($D61&gt;=60,'P&amp;L Month'!Q37*(1+'Détail CF'!$C61),0)))</f>
        <v>0</v>
      </c>
      <c r="R61" s="102">
        <f>-IF($D61&lt;30,'P&amp;L Month'!T37*(1+'Détail CF'!$C61),IF($D61&lt;60,'P&amp;L Month'!S37*(1+'Détail CF'!$C61),IF($D61&gt;=60,'P&amp;L Month'!R37*(1+'Détail CF'!$C61),0)))</f>
        <v>0</v>
      </c>
      <c r="S61" s="102">
        <f>-IF($D61&lt;30,'P&amp;L Month'!U37*(1+'Détail CF'!$C61),IF($D61&lt;60,'P&amp;L Month'!T37*(1+'Détail CF'!$C61),IF($D61&gt;=60,'P&amp;L Month'!S37*(1+'Détail CF'!$C61),0)))</f>
        <v>0</v>
      </c>
      <c r="T61" s="102">
        <f>-IF($D61&lt;30,'P&amp;L Month'!V37*(1+'Détail CF'!$C61),IF($D61&lt;60,'P&amp;L Month'!U37*(1+'Détail CF'!$C61),IF($D61&gt;=60,'P&amp;L Month'!T37*(1+'Détail CF'!$C61),0)))</f>
        <v>0</v>
      </c>
      <c r="U61" s="102">
        <f>-IF($D61&lt;30,'P&amp;L Month'!W37*(1+'Détail CF'!$C61),IF($D61&lt;60,'P&amp;L Month'!V37*(1+'Détail CF'!$C61),IF($D61&gt;=60,'P&amp;L Month'!U37*(1+'Détail CF'!$C61),0)))</f>
        <v>0</v>
      </c>
      <c r="V61" s="102">
        <f>-IF($D61&lt;30,'P&amp;L Month'!X37*(1+'Détail CF'!$C61),IF($D61&lt;60,'P&amp;L Month'!W37*(1+'Détail CF'!$C61),IF($D61&gt;=60,'P&amp;L Month'!V37*(1+'Détail CF'!$C61),0)))</f>
        <v>0</v>
      </c>
      <c r="W61" s="102">
        <f>-IF($D61&lt;30,'P&amp;L Month'!Y37*(1+'Détail CF'!$C61),IF($D61&lt;60,'P&amp;L Month'!X37*(1+'Détail CF'!$C61),IF($D61&gt;=60,'P&amp;L Month'!W37*(1+'Détail CF'!$C61),0)))</f>
        <v>0</v>
      </c>
      <c r="X61" s="102">
        <f>-IF($D61&lt;30,'P&amp;L Month'!Z37*(1+'Détail CF'!$C61),IF($D61&lt;60,'P&amp;L Month'!Y37*(1+'Détail CF'!$C61),IF($D61&gt;=60,'P&amp;L Month'!X37*(1+'Détail CF'!$C61),0)))</f>
        <v>0</v>
      </c>
      <c r="Y61" s="102">
        <f>-IF($D61&lt;30,'P&amp;L Month'!AA37*(1+'Détail CF'!$C61),IF($D61&lt;60,'P&amp;L Month'!Z37*(1+'Détail CF'!$C61),IF($D61&gt;=60,'P&amp;L Month'!Y37*(1+'Détail CF'!$C61),0)))</f>
        <v>0</v>
      </c>
      <c r="Z61" s="102">
        <f>-IF($D61&lt;30,'P&amp;L Month'!AB37*(1+'Détail CF'!$C61),IF($D61&lt;60,'P&amp;L Month'!AA37*(1+'Détail CF'!$C61),IF($D61&gt;=60,'P&amp;L Month'!Z37*(1+'Détail CF'!$C61),0)))</f>
        <v>0</v>
      </c>
      <c r="AA61" s="102">
        <f>-IF($D61&lt;30,'P&amp;L Month'!AC37*(1+'Détail CF'!$C61),IF($D61&lt;60,'P&amp;L Month'!AB37*(1+'Détail CF'!$C61),IF($D61&gt;=60,'P&amp;L Month'!AA37*(1+'Détail CF'!$C61),0)))</f>
        <v>0</v>
      </c>
      <c r="AB61" s="102">
        <f>-IF($D61&lt;30,'P&amp;L Month'!AD37*(1+'Détail CF'!$C61),IF($D61&lt;60,'P&amp;L Month'!AC37*(1+'Détail CF'!$C61),IF($D61&gt;=60,'P&amp;L Month'!AB37*(1+'Détail CF'!$C61),0)))</f>
        <v>-1.2558</v>
      </c>
      <c r="AC61" s="102">
        <f>-IF($D61&lt;30,'P&amp;L Month'!AE37*(1+'Détail CF'!$C61),IF($D61&lt;60,'P&amp;L Month'!AD37*(1+'Détail CF'!$C61),IF($D61&gt;=60,'P&amp;L Month'!AC37*(1+'Détail CF'!$C61),0)))</f>
        <v>-1.2558</v>
      </c>
      <c r="AD61" s="102">
        <f>-IF($D61&lt;30,'P&amp;L Month'!AF37*(1+'Détail CF'!$C61),IF($D61&lt;60,'P&amp;L Month'!AE37*(1+'Détail CF'!$C61),IF($D61&gt;=60,'P&amp;L Month'!AD37*(1+'Détail CF'!$C61),0)))</f>
        <v>-1.2558</v>
      </c>
      <c r="AE61" s="102">
        <f>-IF($D61&lt;30,'P&amp;L Month'!AG37*(1+'Détail CF'!$C61),IF($D61&lt;60,'P&amp;L Month'!AF37*(1+'Détail CF'!$C61),IF($D61&gt;=60,'P&amp;L Month'!AE37*(1+'Détail CF'!$C61),0)))</f>
        <v>-3.0498000000000003</v>
      </c>
      <c r="AF61" s="102">
        <f>-IF($D61&lt;30,'P&amp;L Month'!AH37*(1+'Détail CF'!$C61),IF($D61&lt;60,'P&amp;L Month'!AG37*(1+'Détail CF'!$C61),IF($D61&gt;=60,'P&amp;L Month'!AF37*(1+'Détail CF'!$C61),0)))</f>
        <v>-0.89700000000000002</v>
      </c>
      <c r="AG61" s="102">
        <f>-IF($D61&lt;30,'P&amp;L Month'!AI37*(1+'Détail CF'!$C61),IF($D61&lt;60,'P&amp;L Month'!AH37*(1+'Détail CF'!$C61),IF($D61&gt;=60,'P&amp;L Month'!AG37*(1+'Détail CF'!$C61),0)))</f>
        <v>-1.794</v>
      </c>
      <c r="AH61" s="102">
        <f>-IF($D61&lt;30,'P&amp;L Month'!AJ37*(1+'Détail CF'!$C61),IF($D61&lt;60,'P&amp;L Month'!AI37*(1+'Détail CF'!$C61),IF($D61&gt;=60,'P&amp;L Month'!AH37*(1+'Détail CF'!$C61),0)))</f>
        <v>-2.6909999999999998</v>
      </c>
      <c r="AI61" s="102">
        <f>-IF($D61&lt;30,'P&amp;L Month'!AK37*(1+'Détail CF'!$C61),IF($D61&lt;60,'P&amp;L Month'!AJ37*(1+'Détail CF'!$C61),IF($D61&gt;=60,'P&amp;L Month'!AI37*(1+'Détail CF'!$C61),0)))</f>
        <v>-2.6909999999999998</v>
      </c>
      <c r="AJ61" s="102">
        <f>-IF($D61&lt;30,'P&amp;L Month'!AL37*(1+'Détail CF'!$C61),IF($D61&lt;60,'P&amp;L Month'!AK37*(1+'Détail CF'!$C61),IF($D61&gt;=60,'P&amp;L Month'!AJ37*(1+'Détail CF'!$C61),0)))</f>
        <v>-3.5880000000000001</v>
      </c>
      <c r="AK61" s="102">
        <f>-IF($D61&lt;30,'P&amp;L Month'!AM37*(1+'Détail CF'!$C61),IF($D61&lt;60,'P&amp;L Month'!AL37*(1+'Détail CF'!$C61),IF($D61&gt;=60,'P&amp;L Month'!AK37*(1+'Détail CF'!$C61),0)))</f>
        <v>-5.3819999999999997</v>
      </c>
      <c r="AL61" s="102">
        <f>-IF($D61&lt;30,'P&amp;L Month'!AN37*(1+'Détail CF'!$C61),IF($D61&lt;60,'P&amp;L Month'!AM37*(1+'Détail CF'!$C61),IF($D61&gt;=60,'P&amp;L Month'!AL37*(1+'Détail CF'!$C61),0)))</f>
        <v>-6.2789999999999999</v>
      </c>
      <c r="AM61" s="102">
        <f>-IF($D61&lt;30,'P&amp;L Month'!AO37*(1+'Détail CF'!$C61),IF($D61&lt;60,'P&amp;L Month'!AN37*(1+'Détail CF'!$C61),IF($D61&gt;=60,'P&amp;L Month'!AM37*(1+'Détail CF'!$C61),0)))</f>
        <v>-8.0730000000000004</v>
      </c>
      <c r="AN61" s="102">
        <f>-IF($D61&lt;30,'P&amp;L Month'!AP37*(1+'Détail CF'!$C61),IF($D61&lt;60,'P&amp;L Month'!AO37*(1+'Détail CF'!$C61),IF($D61&gt;=60,'P&amp;L Month'!AN37*(1+'Détail CF'!$C61),0)))</f>
        <v>-8.0730000000000004</v>
      </c>
      <c r="AO61" s="102">
        <f>-IF($D61&lt;30,'P&amp;L Month'!AQ37*(1+'Détail CF'!$C61),IF($D61&lt;60,'P&amp;L Month'!AP37*(1+'Détail CF'!$C61),IF($D61&gt;=60,'P&amp;L Month'!AO37*(1+'Détail CF'!$C61),0)))</f>
        <v>-8.9699999999999989</v>
      </c>
      <c r="AP61" s="102">
        <f>-IF($D61&lt;30,'P&amp;L Month'!AR37*(1+'Détail CF'!$C61),IF($D61&lt;60,'P&amp;L Month'!AQ37*(1+'Détail CF'!$C61),IF($D61&gt;=60,'P&amp;L Month'!AP37*(1+'Détail CF'!$C61),0)))</f>
        <v>-10.763999999999999</v>
      </c>
      <c r="AQ61" s="102">
        <f>-IF($D61&lt;30,'P&amp;L Month'!AS37*(1+'Détail CF'!$C61),IF($D61&lt;60,'P&amp;L Month'!AR37*(1+'Détail CF'!$C61),IF($D61&gt;=60,'P&amp;L Month'!AQ37*(1+'Détail CF'!$C61),0)))</f>
        <v>-11.661</v>
      </c>
      <c r="AR61" s="102">
        <f>-IF($D61&lt;30,'P&amp;L Month'!AT37*(1+'Détail CF'!$C61),IF($D61&lt;60,'P&amp;L Month'!AS37*(1+'Détail CF'!$C61),IF($D61&gt;=60,'P&amp;L Month'!AR37*(1+'Détail CF'!$C61),0)))</f>
        <v>-11.661</v>
      </c>
      <c r="AS61" s="102">
        <f>-IF($D61&lt;30,'P&amp;L Month'!AU37*(1+'Détail CF'!$C61),IF($D61&lt;60,'P&amp;L Month'!AT37*(1+'Détail CF'!$C61),IF($D61&gt;=60,'P&amp;L Month'!AS37*(1+'Détail CF'!$C61),0)))</f>
        <v>-14.352</v>
      </c>
      <c r="AT61" s="102">
        <f>-IF($D61&lt;30,'P&amp;L Month'!AV37*(1+'Détail CF'!$C61),IF($D61&lt;60,'P&amp;L Month'!AU37*(1+'Détail CF'!$C61),IF($D61&gt;=60,'P&amp;L Month'!AT37*(1+'Détail CF'!$C61),0)))</f>
        <v>-14.352</v>
      </c>
      <c r="AU61" s="102">
        <f>-IF($D61&lt;30,'P&amp;L Month'!AW37*(1+'Détail CF'!$C61),IF($D61&lt;60,'P&amp;L Month'!AV37*(1+'Détail CF'!$C61),IF($D61&gt;=60,'P&amp;L Month'!AU37*(1+'Détail CF'!$C61),0)))</f>
        <v>-14.352</v>
      </c>
      <c r="AV61" s="102">
        <f>-IF($D61&lt;30,'P&amp;L Month'!AX37*(1+'Détail CF'!$C61),IF($D61&lt;60,'P&amp;L Month'!AW37*(1+'Détail CF'!$C61),IF($D61&gt;=60,'P&amp;L Month'!AV37*(1+'Détail CF'!$C61),0)))</f>
        <v>-14.352</v>
      </c>
      <c r="AW61" s="102">
        <f>-IF($D61&lt;30,'P&amp;L Month'!AY37*(1+'Détail CF'!$C61),IF($D61&lt;60,'P&amp;L Month'!AX37*(1+'Détail CF'!$C61),IF($D61&gt;=60,'P&amp;L Month'!AW37*(1+'Détail CF'!$C61),0)))</f>
        <v>-17.554289999999998</v>
      </c>
      <c r="AX61" s="102">
        <f>-IF($D61&lt;30,'P&amp;L Month'!AZ37*(1+'Détail CF'!$C61),IF($D61&lt;60,'P&amp;L Month'!AY37*(1+'Détail CF'!$C61),IF($D61&gt;=60,'P&amp;L Month'!AX37*(1+'Détail CF'!$C61),0)))</f>
        <v>-17.554289999999998</v>
      </c>
      <c r="AY61" s="102">
        <f>-IF($D61&lt;30,'P&amp;L Month'!BA37*(1+'Détail CF'!$C61),IF($D61&lt;60,'P&amp;L Month'!AZ37*(1+'Détail CF'!$C61),IF($D61&gt;=60,'P&amp;L Month'!AY37*(1+'Détail CF'!$C61),0)))</f>
        <v>-17.554289999999998</v>
      </c>
      <c r="AZ61" s="102">
        <f>-IF($D61&lt;30,'P&amp;L Month'!BB37*(1+'Détail CF'!$C61),IF($D61&lt;60,'P&amp;L Month'!BA37*(1+'Détail CF'!$C61),IF($D61&gt;=60,'P&amp;L Month'!AZ37*(1+'Détail CF'!$C61),0)))</f>
        <v>-17.554289999999998</v>
      </c>
      <c r="BA61" s="102">
        <f>-IF($D61&lt;30,'P&amp;L Month'!BC37*(1+'Détail CF'!$C61),IF($D61&lt;60,'P&amp;L Month'!BB37*(1+'Détail CF'!$C61),IF($D61&gt;=60,'P&amp;L Month'!BA37*(1+'Détail CF'!$C61),0)))</f>
        <v>-18.478200000000001</v>
      </c>
      <c r="BB61" s="102">
        <f>-IF($D61&lt;30,'P&amp;L Month'!BD37*(1+'Détail CF'!$C61),IF($D61&lt;60,'P&amp;L Month'!BC37*(1+'Détail CF'!$C61),IF($D61&gt;=60,'P&amp;L Month'!BB37*(1+'Détail CF'!$C61),0)))</f>
        <v>-18.478200000000001</v>
      </c>
      <c r="BC61" s="102">
        <f>-IF($D61&lt;30,'P&amp;L Month'!BE37*(1+'Détail CF'!$C61),IF($D61&lt;60,'P&amp;L Month'!BD37*(1+'Détail CF'!$C61),IF($D61&gt;=60,'P&amp;L Month'!BC37*(1+'Détail CF'!$C61),0)))</f>
        <v>-20.32602</v>
      </c>
      <c r="BD61" s="102">
        <f>-IF($D61&lt;30,'P&amp;L Month'!BF37*(1+'Détail CF'!$C61),IF($D61&lt;60,'P&amp;L Month'!BE37*(1+'Détail CF'!$C61),IF($D61&gt;=60,'P&amp;L Month'!BD37*(1+'Détail CF'!$C61),0)))</f>
        <v>-20.32602</v>
      </c>
      <c r="BE61" s="102">
        <f>-IF($D61&lt;30,'P&amp;L Month'!BG37*(1+'Détail CF'!$C61),IF($D61&lt;60,'P&amp;L Month'!BF37*(1+'Détail CF'!$C61),IF($D61&gt;=60,'P&amp;L Month'!BE37*(1+'Détail CF'!$C61),0)))</f>
        <v>-21.249930000000003</v>
      </c>
      <c r="BF61" s="102">
        <f>-IF($D61&lt;30,'P&amp;L Month'!BH37*(1+'Détail CF'!$C61),IF($D61&lt;60,'P&amp;L Month'!BG37*(1+'Détail CF'!$C61),IF($D61&gt;=60,'P&amp;L Month'!BF37*(1+'Détail CF'!$C61),0)))</f>
        <v>-21.249930000000003</v>
      </c>
      <c r="BG61" s="102">
        <f>-IF($D61&lt;30,'P&amp;L Month'!BI37*(1+'Détail CF'!$C61),IF($D61&lt;60,'P&amp;L Month'!BH37*(1+'Détail CF'!$C61),IF($D61&gt;=60,'P&amp;L Month'!BG37*(1+'Détail CF'!$C61),0)))</f>
        <v>-22.173839999999998</v>
      </c>
      <c r="BH61" s="102">
        <f>-IF($D61&lt;30,'P&amp;L Month'!BJ37*(1+'Détail CF'!$C61),IF($D61&lt;60,'P&amp;L Month'!BI37*(1+'Détail CF'!$C61),IF($D61&gt;=60,'P&amp;L Month'!BH37*(1+'Détail CF'!$C61),0)))</f>
        <v>-22.173839999999998</v>
      </c>
      <c r="BI61" s="102">
        <f>-IF($D61&lt;30,'P&amp;L Month'!BK37*(1+'Détail CF'!$C61),IF($D61&lt;60,'P&amp;L Month'!BJ37*(1+'Détail CF'!$C61),IF($D61&gt;=60,'P&amp;L Month'!BI37*(1+'Détail CF'!$C61),0)))</f>
        <v>-22.819680000000002</v>
      </c>
      <c r="BJ61" s="102">
        <f>-IF($D61&lt;30,'P&amp;L Month'!BL37*(1+'Détail CF'!$C61),IF($D61&lt;60,'P&amp;L Month'!BK37*(1+'Détail CF'!$C61),IF($D61&gt;=60,'P&amp;L Month'!BJ37*(1+'Détail CF'!$C61),0)))</f>
        <v>-22.819680000000002</v>
      </c>
      <c r="BK61" s="102">
        <f>-IF($D61&lt;30,'P&amp;L Month'!BM37*(1+'Détail CF'!$C61),IF($D61&lt;60,'P&amp;L Month'!BL37*(1+'Détail CF'!$C61),IF($D61&gt;=60,'P&amp;L Month'!BK37*(1+'Détail CF'!$C61),0)))</f>
        <v>-22.819680000000002</v>
      </c>
      <c r="BL61" s="102">
        <f>-IF($D61&lt;30,'P&amp;L Month'!BN37*(1+'Détail CF'!$C61),IF($D61&lt;60,'P&amp;L Month'!BM37*(1+'Détail CF'!$C61),IF($D61&gt;=60,'P&amp;L Month'!BL37*(1+'Détail CF'!$C61),0)))</f>
        <v>-22.819680000000002</v>
      </c>
      <c r="BM61" s="102">
        <f>-IF($D61&lt;30,'P&amp;L Month'!BO37*(1+'Détail CF'!$C61),IF($D61&lt;60,'P&amp;L Month'!BN37*(1+'Détail CF'!$C61),IF($D61&gt;=60,'P&amp;L Month'!BM37*(1+'Détail CF'!$C61),0)))</f>
        <v>-23.770499999999998</v>
      </c>
      <c r="BN61" s="102">
        <f>-IF($D61&lt;30,'P&amp;L Month'!BP37*(1+'Détail CF'!$C61),IF($D61&lt;60,'P&amp;L Month'!BO37*(1+'Détail CF'!$C61),IF($D61&gt;=60,'P&amp;L Month'!BN37*(1+'Détail CF'!$C61),0)))</f>
        <v>-23.770499999999998</v>
      </c>
      <c r="BO61" s="102">
        <f>-IF($D61&lt;30,'P&amp;L Month'!BQ37*(1+'Détail CF'!$C61),IF($D61&lt;60,'P&amp;L Month'!BP37*(1+'Détail CF'!$C61),IF($D61&gt;=60,'P&amp;L Month'!BO37*(1+'Détail CF'!$C61),0)))</f>
        <v>-23.770499999999998</v>
      </c>
      <c r="BP61" s="102">
        <f>-IF($D61&lt;30,'P&amp;L Month'!BR37*(1+'Détail CF'!$C61),IF($D61&lt;60,'P&amp;L Month'!BQ37*(1+'Détail CF'!$C61),IF($D61&gt;=60,'P&amp;L Month'!BP37*(1+'Détail CF'!$C61),0)))</f>
        <v>-23.770499999999998</v>
      </c>
      <c r="BQ61" s="102">
        <f>-IF($D61&lt;30,'P&amp;L Month'!BS37*(1+'Détail CF'!$C61),IF($D61&lt;60,'P&amp;L Month'!BR37*(1+'Détail CF'!$C61),IF($D61&gt;=60,'P&amp;L Month'!BQ37*(1+'Détail CF'!$C61),0)))</f>
        <v>-23.770499999999998</v>
      </c>
      <c r="BR61" s="102">
        <f>-IF($D61&lt;30,'P&amp;L Month'!BT37*(1+'Détail CF'!$C61),IF($D61&lt;60,'P&amp;L Month'!BS37*(1+'Détail CF'!$C61),IF($D61&gt;=60,'P&amp;L Month'!BR37*(1+'Détail CF'!$C61),0)))</f>
        <v>-23.770499999999998</v>
      </c>
      <c r="BS61" s="102">
        <f>-IF($D61&lt;30,'P&amp;L Month'!BU37*(1+'Détail CF'!$C61),IF($D61&lt;60,'P&amp;L Month'!BT37*(1+'Détail CF'!$C61),IF($D61&gt;=60,'P&amp;L Month'!BS37*(1+'Détail CF'!$C61),0)))</f>
        <v>-23.770499999999998</v>
      </c>
      <c r="BT61" s="102">
        <f>-IF($D61&lt;30,'P&amp;L Month'!BV37*(1+'Détail CF'!$C61),IF($D61&lt;60,'P&amp;L Month'!BU37*(1+'Détail CF'!$C61),IF($D61&gt;=60,'P&amp;L Month'!BT37*(1+'Détail CF'!$C61),0)))</f>
        <v>-23.770499999999998</v>
      </c>
      <c r="BU61" s="102">
        <f>-IF($D61&lt;30,'P&amp;L Month'!BW37*(1+'Détail CF'!$C61),IF($D61&lt;60,'P&amp;L Month'!BV37*(1+'Détail CF'!$C61),IF($D61&gt;=60,'P&amp;L Month'!BU37*(1+'Détail CF'!$C61),0)))</f>
        <v>-24.6675</v>
      </c>
      <c r="BV61" s="102">
        <f>-IF($D61&lt;30,'P&amp;L Month'!BX37*(1+'Détail CF'!$C61),IF($D61&lt;60,'P&amp;L Month'!BW37*(1+'Détail CF'!$C61),IF($D61&gt;=60,'P&amp;L Month'!BV37*(1+'Détail CF'!$C61),0)))</f>
        <v>-24.6675</v>
      </c>
      <c r="BW61" s="102">
        <f>-IF($D61&lt;30,'P&amp;L Month'!BY37*(1+'Détail CF'!$C61),IF($D61&lt;60,'P&amp;L Month'!BX37*(1+'Détail CF'!$C61),IF($D61&gt;=60,'P&amp;L Month'!BW37*(1+'Détail CF'!$C61),0)))</f>
        <v>-24.6675</v>
      </c>
      <c r="BX61" s="102">
        <f>-IF($D61&lt;30,'P&amp;L Month'!BZ37*(1+'Détail CF'!$C61),IF($D61&lt;60,'P&amp;L Month'!BY37*(1+'Détail CF'!$C61),IF($D61&gt;=60,'P&amp;L Month'!BX37*(1+'Détail CF'!$C61),0)))</f>
        <v>-24.6675</v>
      </c>
      <c r="BY61" s="102">
        <f>-IF($D61&lt;30,'P&amp;L Month'!CA37*(1+'Détail CF'!$C61),IF($D61&lt;60,'P&amp;L Month'!BZ37*(1+'Détail CF'!$C61),IF($D61&gt;=60,'P&amp;L Month'!BY37*(1+'Détail CF'!$C61),0)))</f>
        <v>-24.6675</v>
      </c>
      <c r="BZ61" s="102">
        <f>-IF($D61&lt;30,'P&amp;L Month'!CB37*(1+'Détail CF'!$C61),IF($D61&lt;60,'P&amp;L Month'!CA37*(1+'Détail CF'!$C61),IF($D61&gt;=60,'P&amp;L Month'!BZ37*(1+'Détail CF'!$C61),0)))</f>
        <v>-24.6675</v>
      </c>
      <c r="CA61" s="102">
        <f>-IF($D61&lt;30,'P&amp;L Month'!CC37*(1+'Détail CF'!$C61),IF($D61&lt;60,'P&amp;L Month'!CB37*(1+'Détail CF'!$C61),IF($D61&gt;=60,'P&amp;L Month'!CA37*(1+'Détail CF'!$C61),0)))</f>
        <v>-24.6675</v>
      </c>
      <c r="CB61" s="102">
        <f>-IF($D61&lt;30,'P&amp;L Month'!CD37*(1+'Détail CF'!$C61),IF($D61&lt;60,'P&amp;L Month'!CC37*(1+'Détail CF'!$C61),IF($D61&gt;=60,'P&amp;L Month'!CB37*(1+'Détail CF'!$C61),0)))</f>
        <v>-24.6675</v>
      </c>
      <c r="CC61" s="102">
        <f>-IF($D61&lt;30,'P&amp;L Month'!CE37*(1+'Détail CF'!$C61),IF($D61&lt;60,'P&amp;L Month'!CD37*(1+'Détail CF'!$C61),IF($D61&gt;=60,'P&amp;L Month'!CC37*(1+'Détail CF'!$C61),0)))</f>
        <v>-24.6675</v>
      </c>
      <c r="CD61" s="102">
        <f>-IF($D61&lt;30,'P&amp;L Month'!CF37*(1+'Détail CF'!$C61),IF($D61&lt;60,'P&amp;L Month'!CE37*(1+'Détail CF'!$C61),IF($D61&gt;=60,'P&amp;L Month'!CD37*(1+'Détail CF'!$C61),0)))</f>
        <v>-24.6675</v>
      </c>
      <c r="CE61" s="102">
        <f>-IF($D61&lt;30,'P&amp;L Month'!CG37*(1+'Détail CF'!$C61),IF($D61&lt;60,'P&amp;L Month'!CF37*(1+'Détail CF'!$C61),IF($D61&gt;=60,'P&amp;L Month'!CE37*(1+'Détail CF'!$C61),0)))</f>
        <v>-24.6675</v>
      </c>
    </row>
    <row r="62" spans="1:83">
      <c r="B62" t="s">
        <v>183</v>
      </c>
      <c r="C62" s="182">
        <f t="shared" si="28"/>
        <v>0.19600000000000001</v>
      </c>
      <c r="D62" s="99">
        <f t="shared" si="28"/>
        <v>30</v>
      </c>
      <c r="E62" s="195" t="str">
        <f t="shared" si="28"/>
        <v>F</v>
      </c>
      <c r="F62" s="102">
        <f>-IF($D62&lt;30,'P&amp;L Month'!H38*(1+'Détail CF'!$C62),0)</f>
        <v>0</v>
      </c>
      <c r="G62" s="102">
        <f>-IF($D62&lt;30,'P&amp;L Month'!I38*(1+'Détail CF'!$C62),IF($D62&lt;60,'P&amp;L Month'!H38*(1+'Détail CF'!$C62),0))</f>
        <v>0</v>
      </c>
      <c r="H62" s="102">
        <f>-IF($D62&lt;30,'P&amp;L Month'!J38*(1+'Détail CF'!$C62),IF($D62&lt;60,'P&amp;L Month'!I38*(1+'Détail CF'!$C62),IF($D62&gt;=60,'P&amp;L Month'!H38*(1+'Détail CF'!$C62),0)))</f>
        <v>0</v>
      </c>
      <c r="I62" s="102">
        <f>-IF($D62&lt;30,'P&amp;L Month'!K38*(1+'Détail CF'!$C62),IF($D62&lt;60,'P&amp;L Month'!J38*(1+'Détail CF'!$C62),IF($D62&gt;=60,'P&amp;L Month'!I38*(1+'Détail CF'!$C62),0)))</f>
        <v>0</v>
      </c>
      <c r="J62" s="102">
        <f>-IF($D62&lt;30,'P&amp;L Month'!L38*(1+'Détail CF'!$C62),IF($D62&lt;60,'P&amp;L Month'!K38*(1+'Détail CF'!$C62),IF($D62&gt;=60,'P&amp;L Month'!J38*(1+'Détail CF'!$C62),0)))</f>
        <v>0</v>
      </c>
      <c r="K62" s="102">
        <f>-IF($D62&lt;30,'P&amp;L Month'!M38*(1+'Détail CF'!$C62),IF($D62&lt;60,'P&amp;L Month'!L38*(1+'Détail CF'!$C62),IF($D62&gt;=60,'P&amp;L Month'!K38*(1+'Détail CF'!$C62),0)))</f>
        <v>0</v>
      </c>
      <c r="L62" s="102">
        <f>-IF($D62&lt;30,'P&amp;L Month'!N38*(1+'Détail CF'!$C62),IF($D62&lt;60,'P&amp;L Month'!M38*(1+'Détail CF'!$C62),IF($D62&gt;=60,'P&amp;L Month'!L38*(1+'Détail CF'!$C62),0)))</f>
        <v>0</v>
      </c>
      <c r="M62" s="102">
        <f>-IF($D62&lt;30,'P&amp;L Month'!O38*(1+'Détail CF'!$C62),IF($D62&lt;60,'P&amp;L Month'!N38*(1+'Détail CF'!$C62),IF($D62&gt;=60,'P&amp;L Month'!M38*(1+'Détail CF'!$C62),0)))</f>
        <v>0</v>
      </c>
      <c r="N62" s="102">
        <f>-IF($D62&lt;30,'P&amp;L Month'!P38*(1+'Détail CF'!$C62),IF($D62&lt;60,'P&amp;L Month'!O38*(1+'Détail CF'!$C62),IF($D62&gt;=60,'P&amp;L Month'!N38*(1+'Détail CF'!$C62),0)))</f>
        <v>0</v>
      </c>
      <c r="O62" s="102">
        <f>-IF($D62&lt;30,'P&amp;L Month'!Q38*(1+'Détail CF'!$C62),IF($D62&lt;60,'P&amp;L Month'!P38*(1+'Détail CF'!$C62),IF($D62&gt;=60,'P&amp;L Month'!O38*(1+'Détail CF'!$C62),0)))</f>
        <v>0</v>
      </c>
      <c r="P62" s="102">
        <f>-IF($D62&lt;30,'P&amp;L Month'!R38*(1+'Détail CF'!$C62),IF($D62&lt;60,'P&amp;L Month'!Q38*(1+'Détail CF'!$C62),IF($D62&gt;=60,'P&amp;L Month'!P38*(1+'Détail CF'!$C62),0)))</f>
        <v>0</v>
      </c>
      <c r="Q62" s="102">
        <f>-IF($D62&lt;30,'P&amp;L Month'!S38*(1+'Détail CF'!$C62),IF($D62&lt;60,'P&amp;L Month'!R38*(1+'Détail CF'!$C62),IF($D62&gt;=60,'P&amp;L Month'!Q38*(1+'Détail CF'!$C62),0)))</f>
        <v>0</v>
      </c>
      <c r="R62" s="102">
        <f>-IF($D62&lt;30,'P&amp;L Month'!T38*(1+'Détail CF'!$C62),IF($D62&lt;60,'P&amp;L Month'!S38*(1+'Détail CF'!$C62),IF($D62&gt;=60,'P&amp;L Month'!R38*(1+'Détail CF'!$C62),0)))</f>
        <v>0</v>
      </c>
      <c r="S62" s="102">
        <f>-IF($D62&lt;30,'P&amp;L Month'!U38*(1+'Détail CF'!$C62),IF($D62&lt;60,'P&amp;L Month'!T38*(1+'Détail CF'!$C62),IF($D62&gt;=60,'P&amp;L Month'!S38*(1+'Détail CF'!$C62),0)))</f>
        <v>0</v>
      </c>
      <c r="T62" s="102">
        <f>-IF($D62&lt;30,'P&amp;L Month'!V38*(1+'Détail CF'!$C62),IF($D62&lt;60,'P&amp;L Month'!U38*(1+'Détail CF'!$C62),IF($D62&gt;=60,'P&amp;L Month'!T38*(1+'Détail CF'!$C62),0)))</f>
        <v>0</v>
      </c>
      <c r="U62" s="102">
        <f>-IF($D62&lt;30,'P&amp;L Month'!W38*(1+'Détail CF'!$C62),IF($D62&lt;60,'P&amp;L Month'!V38*(1+'Détail CF'!$C62),IF($D62&gt;=60,'P&amp;L Month'!U38*(1+'Détail CF'!$C62),0)))</f>
        <v>0</v>
      </c>
      <c r="V62" s="102">
        <f>-IF($D62&lt;30,'P&amp;L Month'!X38*(1+'Détail CF'!$C62),IF($D62&lt;60,'P&amp;L Month'!W38*(1+'Détail CF'!$C62),IF($D62&gt;=60,'P&amp;L Month'!V38*(1+'Détail CF'!$C62),0)))</f>
        <v>0</v>
      </c>
      <c r="W62" s="102">
        <f>-IF($D62&lt;30,'P&amp;L Month'!Y38*(1+'Détail CF'!$C62),IF($D62&lt;60,'P&amp;L Month'!X38*(1+'Détail CF'!$C62),IF($D62&gt;=60,'P&amp;L Month'!W38*(1+'Détail CF'!$C62),0)))</f>
        <v>0</v>
      </c>
      <c r="X62" s="102">
        <f>-IF($D62&lt;30,'P&amp;L Month'!Z38*(1+'Détail CF'!$C62),IF($D62&lt;60,'P&amp;L Month'!Y38*(1+'Détail CF'!$C62),IF($D62&gt;=60,'P&amp;L Month'!X38*(1+'Détail CF'!$C62),0)))</f>
        <v>0</v>
      </c>
      <c r="Y62" s="102">
        <f>-IF($D62&lt;30,'P&amp;L Month'!AA38*(1+'Détail CF'!$C62),IF($D62&lt;60,'P&amp;L Month'!Z38*(1+'Détail CF'!$C62),IF($D62&gt;=60,'P&amp;L Month'!Y38*(1+'Détail CF'!$C62),0)))</f>
        <v>-107.64</v>
      </c>
      <c r="Z62" s="102">
        <f>-IF($D62&lt;30,'P&amp;L Month'!AB38*(1+'Détail CF'!$C62),IF($D62&lt;60,'P&amp;L Month'!AA38*(1+'Détail CF'!$C62),IF($D62&gt;=60,'P&amp;L Month'!Z38*(1+'Détail CF'!$C62),0)))</f>
        <v>-107.64</v>
      </c>
      <c r="AA62" s="102">
        <f>-IF($D62&lt;30,'P&amp;L Month'!AC38*(1+'Détail CF'!$C62),IF($D62&lt;60,'P&amp;L Month'!AB38*(1+'Détail CF'!$C62),IF($D62&gt;=60,'P&amp;L Month'!AA38*(1+'Détail CF'!$C62),0)))</f>
        <v>-107.64</v>
      </c>
      <c r="AB62" s="102">
        <f>-IF($D62&lt;30,'P&amp;L Month'!AD38*(1+'Détail CF'!$C62),IF($D62&lt;60,'P&amp;L Month'!AC38*(1+'Détail CF'!$C62),IF($D62&gt;=60,'P&amp;L Month'!AB38*(1+'Détail CF'!$C62),0)))</f>
        <v>-107.64</v>
      </c>
      <c r="AC62" s="102">
        <f>-IF($D62&lt;30,'P&amp;L Month'!AE38*(1+'Détail CF'!$C62),IF($D62&lt;60,'P&amp;L Month'!AD38*(1+'Détail CF'!$C62),IF($D62&gt;=60,'P&amp;L Month'!AC38*(1+'Détail CF'!$C62),0)))</f>
        <v>-107.64</v>
      </c>
      <c r="AD62" s="102">
        <f>-IF($D62&lt;30,'P&amp;L Month'!AF38*(1+'Détail CF'!$C62),IF($D62&lt;60,'P&amp;L Month'!AE38*(1+'Détail CF'!$C62),IF($D62&gt;=60,'P&amp;L Month'!AD38*(1+'Détail CF'!$C62),0)))</f>
        <v>-107.64</v>
      </c>
      <c r="AE62" s="102">
        <f>-IF($D62&lt;30,'P&amp;L Month'!AG38*(1+'Détail CF'!$C62),IF($D62&lt;60,'P&amp;L Month'!AF38*(1+'Détail CF'!$C62),IF($D62&gt;=60,'P&amp;L Month'!AE38*(1+'Détail CF'!$C62),0)))</f>
        <v>-107.64</v>
      </c>
      <c r="AF62" s="102">
        <f>-IF($D62&lt;30,'P&amp;L Month'!AH38*(1+'Détail CF'!$C62),IF($D62&lt;60,'P&amp;L Month'!AG38*(1+'Détail CF'!$C62),IF($D62&gt;=60,'P&amp;L Month'!AF38*(1+'Détail CF'!$C62),0)))</f>
        <v>-107.64</v>
      </c>
      <c r="AG62" s="102">
        <f>-IF($D62&lt;30,'P&amp;L Month'!AI38*(1+'Détail CF'!$C62),IF($D62&lt;60,'P&amp;L Month'!AH38*(1+'Détail CF'!$C62),IF($D62&gt;=60,'P&amp;L Month'!AG38*(1+'Détail CF'!$C62),0)))</f>
        <v>-161.45999999999998</v>
      </c>
      <c r="AH62" s="102">
        <f>-IF($D62&lt;30,'P&amp;L Month'!AJ38*(1+'Détail CF'!$C62),IF($D62&lt;60,'P&amp;L Month'!AI38*(1+'Détail CF'!$C62),IF($D62&gt;=60,'P&amp;L Month'!AH38*(1+'Détail CF'!$C62),0)))</f>
        <v>-215.28</v>
      </c>
      <c r="AI62" s="102">
        <f>-IF($D62&lt;30,'P&amp;L Month'!AK38*(1+'Détail CF'!$C62),IF($D62&lt;60,'P&amp;L Month'!AJ38*(1+'Détail CF'!$C62),IF($D62&gt;=60,'P&amp;L Month'!AI38*(1+'Détail CF'!$C62),0)))</f>
        <v>-215.28</v>
      </c>
      <c r="AJ62" s="102">
        <f>-IF($D62&lt;30,'P&amp;L Month'!AL38*(1+'Détail CF'!$C62),IF($D62&lt;60,'P&amp;L Month'!AK38*(1+'Détail CF'!$C62),IF($D62&gt;=60,'P&amp;L Month'!AJ38*(1+'Détail CF'!$C62),0)))</f>
        <v>-269.09999999999997</v>
      </c>
      <c r="AK62" s="102">
        <f>-IF($D62&lt;30,'P&amp;L Month'!AM38*(1+'Détail CF'!$C62),IF($D62&lt;60,'P&amp;L Month'!AL38*(1+'Détail CF'!$C62),IF($D62&gt;=60,'P&amp;L Month'!AK38*(1+'Détail CF'!$C62),0)))</f>
        <v>-376.74</v>
      </c>
      <c r="AL62" s="102">
        <f>-IF($D62&lt;30,'P&amp;L Month'!AN38*(1+'Détail CF'!$C62),IF($D62&lt;60,'P&amp;L Month'!AM38*(1+'Détail CF'!$C62),IF($D62&gt;=60,'P&amp;L Month'!AL38*(1+'Détail CF'!$C62),0)))</f>
        <v>-430.56</v>
      </c>
      <c r="AM62" s="102">
        <f>-IF($D62&lt;30,'P&amp;L Month'!AO38*(1+'Détail CF'!$C62),IF($D62&lt;60,'P&amp;L Month'!AN38*(1+'Détail CF'!$C62),IF($D62&gt;=60,'P&amp;L Month'!AM38*(1+'Détail CF'!$C62),0)))</f>
        <v>-538.19999999999993</v>
      </c>
      <c r="AN62" s="102">
        <f>-IF($D62&lt;30,'P&amp;L Month'!AP38*(1+'Détail CF'!$C62),IF($D62&lt;60,'P&amp;L Month'!AO38*(1+'Détail CF'!$C62),IF($D62&gt;=60,'P&amp;L Month'!AN38*(1+'Détail CF'!$C62),0)))</f>
        <v>-538.19999999999993</v>
      </c>
      <c r="AO62" s="102">
        <f>-IF($D62&lt;30,'P&amp;L Month'!AQ38*(1+'Détail CF'!$C62),IF($D62&lt;60,'P&amp;L Month'!AP38*(1+'Détail CF'!$C62),IF($D62&gt;=60,'P&amp;L Month'!AO38*(1+'Détail CF'!$C62),0)))</f>
        <v>-592.02</v>
      </c>
      <c r="AP62" s="102">
        <f>-IF($D62&lt;30,'P&amp;L Month'!AR38*(1+'Détail CF'!$C62),IF($D62&lt;60,'P&amp;L Month'!AQ38*(1+'Détail CF'!$C62),IF($D62&gt;=60,'P&amp;L Month'!AP38*(1+'Détail CF'!$C62),0)))</f>
        <v>-699.66</v>
      </c>
      <c r="AQ62" s="102">
        <f>-IF($D62&lt;30,'P&amp;L Month'!AS38*(1+'Détail CF'!$C62),IF($D62&lt;60,'P&amp;L Month'!AR38*(1+'Détail CF'!$C62),IF($D62&gt;=60,'P&amp;L Month'!AQ38*(1+'Détail CF'!$C62),0)))</f>
        <v>-753.48</v>
      </c>
      <c r="AR62" s="102">
        <f>-IF($D62&lt;30,'P&amp;L Month'!AT38*(1+'Détail CF'!$C62),IF($D62&lt;60,'P&amp;L Month'!AS38*(1+'Détail CF'!$C62),IF($D62&gt;=60,'P&amp;L Month'!AR38*(1+'Détail CF'!$C62),0)))</f>
        <v>-753.48</v>
      </c>
      <c r="AS62" s="102">
        <f>-IF($D62&lt;30,'P&amp;L Month'!AU38*(1+'Détail CF'!$C62),IF($D62&lt;60,'P&amp;L Month'!AT38*(1+'Détail CF'!$C62),IF($D62&gt;=60,'P&amp;L Month'!AS38*(1+'Détail CF'!$C62),0)))</f>
        <v>-914.93999999999994</v>
      </c>
      <c r="AT62" s="102">
        <f>-IF($D62&lt;30,'P&amp;L Month'!AV38*(1+'Détail CF'!$C62),IF($D62&lt;60,'P&amp;L Month'!AU38*(1+'Détail CF'!$C62),IF($D62&gt;=60,'P&amp;L Month'!AT38*(1+'Détail CF'!$C62),0)))</f>
        <v>-914.93999999999994</v>
      </c>
      <c r="AU62" s="102">
        <f>-IF($D62&lt;30,'P&amp;L Month'!AW38*(1+'Détail CF'!$C62),IF($D62&lt;60,'P&amp;L Month'!AV38*(1+'Détail CF'!$C62),IF($D62&gt;=60,'P&amp;L Month'!AU38*(1+'Détail CF'!$C62),0)))</f>
        <v>-914.93999999999994</v>
      </c>
      <c r="AV62" s="102">
        <f>-IF($D62&lt;30,'P&amp;L Month'!AX38*(1+'Détail CF'!$C62),IF($D62&lt;60,'P&amp;L Month'!AW38*(1+'Détail CF'!$C62),IF($D62&gt;=60,'P&amp;L Month'!AV38*(1+'Détail CF'!$C62),0)))</f>
        <v>-914.93999999999994</v>
      </c>
      <c r="AW62" s="102">
        <f>-IF($D62&lt;30,'P&amp;L Month'!AY38*(1+'Détail CF'!$C62),IF($D62&lt;60,'P&amp;L Month'!AX38*(1+'Détail CF'!$C62),IF($D62&gt;=60,'P&amp;L Month'!AW38*(1+'Détail CF'!$C62),0)))</f>
        <v>-1076.3999999999999</v>
      </c>
      <c r="AX62" s="102">
        <f>-IF($D62&lt;30,'P&amp;L Month'!AZ38*(1+'Détail CF'!$C62),IF($D62&lt;60,'P&amp;L Month'!AY38*(1+'Détail CF'!$C62),IF($D62&gt;=60,'P&amp;L Month'!AX38*(1+'Détail CF'!$C62),0)))</f>
        <v>-1076.3999999999999</v>
      </c>
      <c r="AY62" s="102">
        <f>-IF($D62&lt;30,'P&amp;L Month'!BA38*(1+'Détail CF'!$C62),IF($D62&lt;60,'P&amp;L Month'!AZ38*(1+'Détail CF'!$C62),IF($D62&gt;=60,'P&amp;L Month'!AY38*(1+'Détail CF'!$C62),0)))</f>
        <v>-1076.3999999999999</v>
      </c>
      <c r="AZ62" s="102">
        <f>-IF($D62&lt;30,'P&amp;L Month'!BB38*(1+'Détail CF'!$C62),IF($D62&lt;60,'P&amp;L Month'!BA38*(1+'Détail CF'!$C62),IF($D62&gt;=60,'P&amp;L Month'!AZ38*(1+'Détail CF'!$C62),0)))</f>
        <v>-1076.3999999999999</v>
      </c>
      <c r="BA62" s="102">
        <f>-IF($D62&lt;30,'P&amp;L Month'!BC38*(1+'Détail CF'!$C62),IF($D62&lt;60,'P&amp;L Month'!BB38*(1+'Détail CF'!$C62),IF($D62&gt;=60,'P&amp;L Month'!BA38*(1+'Détail CF'!$C62),0)))</f>
        <v>-1130.22</v>
      </c>
      <c r="BB62" s="102">
        <f>-IF($D62&lt;30,'P&amp;L Month'!BD38*(1+'Détail CF'!$C62),IF($D62&lt;60,'P&amp;L Month'!BC38*(1+'Détail CF'!$C62),IF($D62&gt;=60,'P&amp;L Month'!BB38*(1+'Détail CF'!$C62),0)))</f>
        <v>-1130.22</v>
      </c>
      <c r="BC62" s="102">
        <f>-IF($D62&lt;30,'P&amp;L Month'!BE38*(1+'Détail CF'!$C62),IF($D62&lt;60,'P&amp;L Month'!BD38*(1+'Détail CF'!$C62),IF($D62&gt;=60,'P&amp;L Month'!BC38*(1+'Détail CF'!$C62),0)))</f>
        <v>-1237.8599999999999</v>
      </c>
      <c r="BD62" s="102">
        <f>-IF($D62&lt;30,'P&amp;L Month'!BF38*(1+'Détail CF'!$C62),IF($D62&lt;60,'P&amp;L Month'!BE38*(1+'Détail CF'!$C62),IF($D62&gt;=60,'P&amp;L Month'!BD38*(1+'Détail CF'!$C62),0)))</f>
        <v>-1237.8599999999999</v>
      </c>
      <c r="BE62" s="102">
        <f>-IF($D62&lt;30,'P&amp;L Month'!BG38*(1+'Détail CF'!$C62),IF($D62&lt;60,'P&amp;L Month'!BF38*(1+'Détail CF'!$C62),IF($D62&gt;=60,'P&amp;L Month'!BE38*(1+'Détail CF'!$C62),0)))</f>
        <v>-1291.6799999999998</v>
      </c>
      <c r="BF62" s="102">
        <f>-IF($D62&lt;30,'P&amp;L Month'!BH38*(1+'Détail CF'!$C62),IF($D62&lt;60,'P&amp;L Month'!BG38*(1+'Détail CF'!$C62),IF($D62&gt;=60,'P&amp;L Month'!BF38*(1+'Détail CF'!$C62),0)))</f>
        <v>-1291.6799999999998</v>
      </c>
      <c r="BG62" s="102">
        <f>-IF($D62&lt;30,'P&amp;L Month'!BI38*(1+'Détail CF'!$C62),IF($D62&lt;60,'P&amp;L Month'!BH38*(1+'Détail CF'!$C62),IF($D62&gt;=60,'P&amp;L Month'!BG38*(1+'Détail CF'!$C62),0)))</f>
        <v>-1345.5</v>
      </c>
      <c r="BH62" s="102">
        <f>-IF($D62&lt;30,'P&amp;L Month'!BJ38*(1+'Détail CF'!$C62),IF($D62&lt;60,'P&amp;L Month'!BI38*(1+'Détail CF'!$C62),IF($D62&gt;=60,'P&amp;L Month'!BH38*(1+'Détail CF'!$C62),0)))</f>
        <v>-1345.5</v>
      </c>
      <c r="BI62" s="102">
        <f>-IF($D62&lt;30,'P&amp;L Month'!BK38*(1+'Détail CF'!$C62),IF($D62&lt;60,'P&amp;L Month'!BJ38*(1+'Détail CF'!$C62),IF($D62&gt;=60,'P&amp;L Month'!BI38*(1+'Détail CF'!$C62),0)))</f>
        <v>-1345.5</v>
      </c>
      <c r="BJ62" s="102">
        <f>-IF($D62&lt;30,'P&amp;L Month'!BL38*(1+'Détail CF'!$C62),IF($D62&lt;60,'P&amp;L Month'!BK38*(1+'Détail CF'!$C62),IF($D62&gt;=60,'P&amp;L Month'!BJ38*(1+'Détail CF'!$C62),0)))</f>
        <v>-1345.5</v>
      </c>
      <c r="BK62" s="102">
        <f>-IF($D62&lt;30,'P&amp;L Month'!BM38*(1+'Détail CF'!$C62),IF($D62&lt;60,'P&amp;L Month'!BL38*(1+'Détail CF'!$C62),IF($D62&gt;=60,'P&amp;L Month'!BK38*(1+'Détail CF'!$C62),0)))</f>
        <v>-1345.5</v>
      </c>
      <c r="BL62" s="102">
        <f>-IF($D62&lt;30,'P&amp;L Month'!BN38*(1+'Détail CF'!$C62),IF($D62&lt;60,'P&amp;L Month'!BM38*(1+'Détail CF'!$C62),IF($D62&gt;=60,'P&amp;L Month'!BL38*(1+'Détail CF'!$C62),0)))</f>
        <v>-1345.5</v>
      </c>
      <c r="BM62" s="102">
        <f>-IF($D62&lt;30,'P&amp;L Month'!BO38*(1+'Détail CF'!$C62),IF($D62&lt;60,'P&amp;L Month'!BN38*(1+'Détail CF'!$C62),IF($D62&gt;=60,'P&amp;L Month'!BM38*(1+'Détail CF'!$C62),0)))</f>
        <v>-1399.32</v>
      </c>
      <c r="BN62" s="102">
        <f>-IF($D62&lt;30,'P&amp;L Month'!BP38*(1+'Détail CF'!$C62),IF($D62&lt;60,'P&amp;L Month'!BO38*(1+'Détail CF'!$C62),IF($D62&gt;=60,'P&amp;L Month'!BN38*(1+'Détail CF'!$C62),0)))</f>
        <v>-1399.32</v>
      </c>
      <c r="BO62" s="102">
        <f>-IF($D62&lt;30,'P&amp;L Month'!BQ38*(1+'Détail CF'!$C62),IF($D62&lt;60,'P&amp;L Month'!BP38*(1+'Détail CF'!$C62),IF($D62&gt;=60,'P&amp;L Month'!BO38*(1+'Détail CF'!$C62),0)))</f>
        <v>-1399.32</v>
      </c>
      <c r="BP62" s="102">
        <f>-IF($D62&lt;30,'P&amp;L Month'!BR38*(1+'Détail CF'!$C62),IF($D62&lt;60,'P&amp;L Month'!BQ38*(1+'Détail CF'!$C62),IF($D62&gt;=60,'P&amp;L Month'!BP38*(1+'Détail CF'!$C62),0)))</f>
        <v>-1399.32</v>
      </c>
      <c r="BQ62" s="102">
        <f>-IF($D62&lt;30,'P&amp;L Month'!BS38*(1+'Détail CF'!$C62),IF($D62&lt;60,'P&amp;L Month'!BR38*(1+'Détail CF'!$C62),IF($D62&gt;=60,'P&amp;L Month'!BQ38*(1+'Détail CF'!$C62),0)))</f>
        <v>-1399.32</v>
      </c>
      <c r="BR62" s="102">
        <f>-IF($D62&lt;30,'P&amp;L Month'!BT38*(1+'Détail CF'!$C62),IF($D62&lt;60,'P&amp;L Month'!BS38*(1+'Détail CF'!$C62),IF($D62&gt;=60,'P&amp;L Month'!BR38*(1+'Détail CF'!$C62),0)))</f>
        <v>-1399.32</v>
      </c>
      <c r="BS62" s="102">
        <f>-IF($D62&lt;30,'P&amp;L Month'!BU38*(1+'Détail CF'!$C62),IF($D62&lt;60,'P&amp;L Month'!BT38*(1+'Détail CF'!$C62),IF($D62&gt;=60,'P&amp;L Month'!BS38*(1+'Détail CF'!$C62),0)))</f>
        <v>-1399.32</v>
      </c>
      <c r="BT62" s="102">
        <f>-IF($D62&lt;30,'P&amp;L Month'!BV38*(1+'Détail CF'!$C62),IF($D62&lt;60,'P&amp;L Month'!BU38*(1+'Détail CF'!$C62),IF($D62&gt;=60,'P&amp;L Month'!BT38*(1+'Détail CF'!$C62),0)))</f>
        <v>-1399.32</v>
      </c>
      <c r="BU62" s="102">
        <f>-IF($D62&lt;30,'P&amp;L Month'!BW38*(1+'Détail CF'!$C62),IF($D62&lt;60,'P&amp;L Month'!BV38*(1+'Détail CF'!$C62),IF($D62&gt;=60,'P&amp;L Month'!BU38*(1+'Détail CF'!$C62),0)))</f>
        <v>-1399.32</v>
      </c>
      <c r="BV62" s="102">
        <f>-IF($D62&lt;30,'P&amp;L Month'!BX38*(1+'Détail CF'!$C62),IF($D62&lt;60,'P&amp;L Month'!BW38*(1+'Détail CF'!$C62),IF($D62&gt;=60,'P&amp;L Month'!BV38*(1+'Détail CF'!$C62),0)))</f>
        <v>-1399.32</v>
      </c>
      <c r="BW62" s="102">
        <f>-IF($D62&lt;30,'P&amp;L Month'!BY38*(1+'Détail CF'!$C62),IF($D62&lt;60,'P&amp;L Month'!BX38*(1+'Détail CF'!$C62),IF($D62&gt;=60,'P&amp;L Month'!BW38*(1+'Détail CF'!$C62),0)))</f>
        <v>-1399.32</v>
      </c>
      <c r="BX62" s="102">
        <f>-IF($D62&lt;30,'P&amp;L Month'!BZ38*(1+'Détail CF'!$C62),IF($D62&lt;60,'P&amp;L Month'!BY38*(1+'Détail CF'!$C62),IF($D62&gt;=60,'P&amp;L Month'!BX38*(1+'Détail CF'!$C62),0)))</f>
        <v>-1399.32</v>
      </c>
      <c r="BY62" s="102">
        <f>-IF($D62&lt;30,'P&amp;L Month'!CA38*(1+'Détail CF'!$C62),IF($D62&lt;60,'P&amp;L Month'!BZ38*(1+'Détail CF'!$C62),IF($D62&gt;=60,'P&amp;L Month'!BY38*(1+'Détail CF'!$C62),0)))</f>
        <v>-1399.32</v>
      </c>
      <c r="BZ62" s="102">
        <f>-IF($D62&lt;30,'P&amp;L Month'!CB38*(1+'Détail CF'!$C62),IF($D62&lt;60,'P&amp;L Month'!CA38*(1+'Détail CF'!$C62),IF($D62&gt;=60,'P&amp;L Month'!BZ38*(1+'Détail CF'!$C62),0)))</f>
        <v>-1399.32</v>
      </c>
      <c r="CA62" s="102">
        <f>-IF($D62&lt;30,'P&amp;L Month'!CC38*(1+'Détail CF'!$C62),IF($D62&lt;60,'P&amp;L Month'!CB38*(1+'Détail CF'!$C62),IF($D62&gt;=60,'P&amp;L Month'!CA38*(1+'Détail CF'!$C62),0)))</f>
        <v>-1399.32</v>
      </c>
      <c r="CB62" s="102">
        <f>-IF($D62&lt;30,'P&amp;L Month'!CD38*(1+'Détail CF'!$C62),IF($D62&lt;60,'P&amp;L Month'!CC38*(1+'Détail CF'!$C62),IF($D62&gt;=60,'P&amp;L Month'!CB38*(1+'Détail CF'!$C62),0)))</f>
        <v>-1399.32</v>
      </c>
      <c r="CC62" s="102">
        <f>-IF($D62&lt;30,'P&amp;L Month'!CE38*(1+'Détail CF'!$C62),IF($D62&lt;60,'P&amp;L Month'!CD38*(1+'Détail CF'!$C62),IF($D62&gt;=60,'P&amp;L Month'!CC38*(1+'Détail CF'!$C62),0)))</f>
        <v>-1399.32</v>
      </c>
      <c r="CD62" s="102">
        <f>-IF($D62&lt;30,'P&amp;L Month'!CF38*(1+'Détail CF'!$C62),IF($D62&lt;60,'P&amp;L Month'!CE38*(1+'Détail CF'!$C62),IF($D62&gt;=60,'P&amp;L Month'!CD38*(1+'Détail CF'!$C62),0)))</f>
        <v>-1399.32</v>
      </c>
      <c r="CE62" s="102">
        <f>-IF($D62&lt;30,'P&amp;L Month'!CG38*(1+'Détail CF'!$C62),IF($D62&lt;60,'P&amp;L Month'!CF38*(1+'Détail CF'!$C62),IF($D62&gt;=60,'P&amp;L Month'!CE38*(1+'Détail CF'!$C62),0)))</f>
        <v>-1399.32</v>
      </c>
    </row>
    <row r="63" spans="1:83">
      <c r="B63" t="s">
        <v>184</v>
      </c>
      <c r="C63" s="182">
        <f t="shared" si="28"/>
        <v>0.19600000000000001</v>
      </c>
      <c r="D63" s="99">
        <f t="shared" si="28"/>
        <v>30</v>
      </c>
      <c r="E63" s="195" t="str">
        <f t="shared" si="28"/>
        <v>F</v>
      </c>
      <c r="F63" s="102">
        <f>-IF($D63&lt;30,'P&amp;L Month'!H39*(1+'Détail CF'!$C63),0)</f>
        <v>0</v>
      </c>
      <c r="G63" s="102">
        <f>-IF($D63&lt;30,'P&amp;L Month'!I39*(1+'Détail CF'!$C63),IF($D63&lt;60,'P&amp;L Month'!H39*(1+'Détail CF'!$C63),0))</f>
        <v>0</v>
      </c>
      <c r="H63" s="102">
        <f>-IF($D63&lt;30,'P&amp;L Month'!J39*(1+'Détail CF'!$C63),IF($D63&lt;60,'P&amp;L Month'!I39*(1+'Détail CF'!$C63),IF($D63&gt;=60,'P&amp;L Month'!H39*(1+'Détail CF'!$C63),0)))</f>
        <v>0</v>
      </c>
      <c r="I63" s="102">
        <f>-IF($D63&lt;30,'P&amp;L Month'!K39*(1+'Détail CF'!$C63),IF($D63&lt;60,'P&amp;L Month'!J39*(1+'Détail CF'!$C63),IF($D63&gt;=60,'P&amp;L Month'!I39*(1+'Détail CF'!$C63),0)))</f>
        <v>0</v>
      </c>
      <c r="J63" s="102">
        <f>-IF($D63&lt;30,'P&amp;L Month'!L39*(1+'Détail CF'!$C63),IF($D63&lt;60,'P&amp;L Month'!K39*(1+'Détail CF'!$C63),IF($D63&gt;=60,'P&amp;L Month'!J39*(1+'Détail CF'!$C63),0)))</f>
        <v>0</v>
      </c>
      <c r="K63" s="102">
        <f>-IF($D63&lt;30,'P&amp;L Month'!M39*(1+'Détail CF'!$C63),IF($D63&lt;60,'P&amp;L Month'!L39*(1+'Détail CF'!$C63),IF($D63&gt;=60,'P&amp;L Month'!K39*(1+'Détail CF'!$C63),0)))</f>
        <v>0</v>
      </c>
      <c r="L63" s="102">
        <f>-IF($D63&lt;30,'P&amp;L Month'!N39*(1+'Détail CF'!$C63),IF($D63&lt;60,'P&amp;L Month'!M39*(1+'Détail CF'!$C63),IF($D63&gt;=60,'P&amp;L Month'!L39*(1+'Détail CF'!$C63),0)))</f>
        <v>0</v>
      </c>
      <c r="M63" s="102">
        <f>-IF($D63&lt;30,'P&amp;L Month'!O39*(1+'Détail CF'!$C63),IF($D63&lt;60,'P&amp;L Month'!N39*(1+'Détail CF'!$C63),IF($D63&gt;=60,'P&amp;L Month'!M39*(1+'Détail CF'!$C63),0)))</f>
        <v>0</v>
      </c>
      <c r="N63" s="102">
        <f>-IF($D63&lt;30,'P&amp;L Month'!P39*(1+'Détail CF'!$C63),IF($D63&lt;60,'P&amp;L Month'!O39*(1+'Détail CF'!$C63),IF($D63&gt;=60,'P&amp;L Month'!N39*(1+'Détail CF'!$C63),0)))</f>
        <v>0</v>
      </c>
      <c r="O63" s="102">
        <f>-IF($D63&lt;30,'P&amp;L Month'!Q39*(1+'Détail CF'!$C63),IF($D63&lt;60,'P&amp;L Month'!P39*(1+'Détail CF'!$C63),IF($D63&gt;=60,'P&amp;L Month'!O39*(1+'Détail CF'!$C63),0)))</f>
        <v>0</v>
      </c>
      <c r="P63" s="102">
        <f>-IF($D63&lt;30,'P&amp;L Month'!R39*(1+'Détail CF'!$C63),IF($D63&lt;60,'P&amp;L Month'!Q39*(1+'Détail CF'!$C63),IF($D63&gt;=60,'P&amp;L Month'!P39*(1+'Détail CF'!$C63),0)))</f>
        <v>0</v>
      </c>
      <c r="Q63" s="102">
        <f>-IF($D63&lt;30,'P&amp;L Month'!S39*(1+'Détail CF'!$C63),IF($D63&lt;60,'P&amp;L Month'!R39*(1+'Détail CF'!$C63),IF($D63&gt;=60,'P&amp;L Month'!Q39*(1+'Détail CF'!$C63),0)))</f>
        <v>0</v>
      </c>
      <c r="R63" s="102">
        <f>-IF($D63&lt;30,'P&amp;L Month'!T39*(1+'Détail CF'!$C63),IF($D63&lt;60,'P&amp;L Month'!S39*(1+'Détail CF'!$C63),IF($D63&gt;=60,'P&amp;L Month'!R39*(1+'Détail CF'!$C63),0)))</f>
        <v>0</v>
      </c>
      <c r="S63" s="102">
        <f>-IF($D63&lt;30,'P&amp;L Month'!U39*(1+'Détail CF'!$C63),IF($D63&lt;60,'P&amp;L Month'!T39*(1+'Détail CF'!$C63),IF($D63&gt;=60,'P&amp;L Month'!S39*(1+'Détail CF'!$C63),0)))</f>
        <v>0</v>
      </c>
      <c r="T63" s="102">
        <f>-IF($D63&lt;30,'P&amp;L Month'!V39*(1+'Détail CF'!$C63),IF($D63&lt;60,'P&amp;L Month'!U39*(1+'Détail CF'!$C63),IF($D63&gt;=60,'P&amp;L Month'!T39*(1+'Détail CF'!$C63),0)))</f>
        <v>0</v>
      </c>
      <c r="U63" s="102">
        <f>-IF($D63&lt;30,'P&amp;L Month'!W39*(1+'Détail CF'!$C63),IF($D63&lt;60,'P&amp;L Month'!V39*(1+'Détail CF'!$C63),IF($D63&gt;=60,'P&amp;L Month'!U39*(1+'Détail CF'!$C63),0)))</f>
        <v>0</v>
      </c>
      <c r="V63" s="102">
        <f>-IF($D63&lt;30,'P&amp;L Month'!X39*(1+'Détail CF'!$C63),IF($D63&lt;60,'P&amp;L Month'!W39*(1+'Détail CF'!$C63),IF($D63&gt;=60,'P&amp;L Month'!V39*(1+'Détail CF'!$C63),0)))</f>
        <v>0</v>
      </c>
      <c r="W63" s="102">
        <f>-IF($D63&lt;30,'P&amp;L Month'!Y39*(1+'Détail CF'!$C63),IF($D63&lt;60,'P&amp;L Month'!X39*(1+'Détail CF'!$C63),IF($D63&gt;=60,'P&amp;L Month'!W39*(1+'Détail CF'!$C63),0)))</f>
        <v>0</v>
      </c>
      <c r="X63" s="102">
        <f>-IF($D63&lt;30,'P&amp;L Month'!Z39*(1+'Détail CF'!$C63),IF($D63&lt;60,'P&amp;L Month'!Y39*(1+'Détail CF'!$C63),IF($D63&gt;=60,'P&amp;L Month'!X39*(1+'Détail CF'!$C63),0)))</f>
        <v>0</v>
      </c>
      <c r="Y63" s="102">
        <f>-IF($D63&lt;30,'P&amp;L Month'!AA39*(1+'Détail CF'!$C63),IF($D63&lt;60,'P&amp;L Month'!Z39*(1+'Détail CF'!$C63),IF($D63&gt;=60,'P&amp;L Month'!Y39*(1+'Détail CF'!$C63),0)))</f>
        <v>-35.879999999999995</v>
      </c>
      <c r="Z63" s="102">
        <f>-IF($D63&lt;30,'P&amp;L Month'!AB39*(1+'Détail CF'!$C63),IF($D63&lt;60,'P&amp;L Month'!AA39*(1+'Détail CF'!$C63),IF($D63&gt;=60,'P&amp;L Month'!Z39*(1+'Détail CF'!$C63),0)))</f>
        <v>-35.879999999999995</v>
      </c>
      <c r="AA63" s="102">
        <f>-IF($D63&lt;30,'P&amp;L Month'!AC39*(1+'Détail CF'!$C63),IF($D63&lt;60,'P&amp;L Month'!AB39*(1+'Détail CF'!$C63),IF($D63&gt;=60,'P&amp;L Month'!AA39*(1+'Détail CF'!$C63),0)))</f>
        <v>-35.879999999999995</v>
      </c>
      <c r="AB63" s="102">
        <f>-IF($D63&lt;30,'P&amp;L Month'!AD39*(1+'Détail CF'!$C63),IF($D63&lt;60,'P&amp;L Month'!AC39*(1+'Détail CF'!$C63),IF($D63&gt;=60,'P&amp;L Month'!AB39*(1+'Détail CF'!$C63),0)))</f>
        <v>-35.879999999999995</v>
      </c>
      <c r="AC63" s="102">
        <f>-IF($D63&lt;30,'P&amp;L Month'!AE39*(1+'Détail CF'!$C63),IF($D63&lt;60,'P&amp;L Month'!AD39*(1+'Détail CF'!$C63),IF($D63&gt;=60,'P&amp;L Month'!AC39*(1+'Détail CF'!$C63),0)))</f>
        <v>-35.879999999999995</v>
      </c>
      <c r="AD63" s="102">
        <f>-IF($D63&lt;30,'P&amp;L Month'!AF39*(1+'Détail CF'!$C63),IF($D63&lt;60,'P&amp;L Month'!AE39*(1+'Détail CF'!$C63),IF($D63&gt;=60,'P&amp;L Month'!AD39*(1+'Détail CF'!$C63),0)))</f>
        <v>-35.879999999999995</v>
      </c>
      <c r="AE63" s="102">
        <f>-IF($D63&lt;30,'P&amp;L Month'!AG39*(1+'Détail CF'!$C63),IF($D63&lt;60,'P&amp;L Month'!AF39*(1+'Détail CF'!$C63),IF($D63&gt;=60,'P&amp;L Month'!AE39*(1+'Détail CF'!$C63),0)))</f>
        <v>-35.879999999999995</v>
      </c>
      <c r="AF63" s="102">
        <f>-IF($D63&lt;30,'P&amp;L Month'!AH39*(1+'Détail CF'!$C63),IF($D63&lt;60,'P&amp;L Month'!AG39*(1+'Détail CF'!$C63),IF($D63&gt;=60,'P&amp;L Month'!AF39*(1+'Détail CF'!$C63),0)))</f>
        <v>-35.879999999999995</v>
      </c>
      <c r="AG63" s="102">
        <f>-IF($D63&lt;30,'P&amp;L Month'!AI39*(1+'Détail CF'!$C63),IF($D63&lt;60,'P&amp;L Month'!AH39*(1+'Détail CF'!$C63),IF($D63&gt;=60,'P&amp;L Month'!AG39*(1+'Détail CF'!$C63),0)))</f>
        <v>-53.82</v>
      </c>
      <c r="AH63" s="102">
        <f>-IF($D63&lt;30,'P&amp;L Month'!AJ39*(1+'Détail CF'!$C63),IF($D63&lt;60,'P&amp;L Month'!AI39*(1+'Détail CF'!$C63),IF($D63&gt;=60,'P&amp;L Month'!AH39*(1+'Détail CF'!$C63),0)))</f>
        <v>-71.759999999999991</v>
      </c>
      <c r="AI63" s="102">
        <f>-IF($D63&lt;30,'P&amp;L Month'!AK39*(1+'Détail CF'!$C63),IF($D63&lt;60,'P&amp;L Month'!AJ39*(1+'Détail CF'!$C63),IF($D63&gt;=60,'P&amp;L Month'!AI39*(1+'Détail CF'!$C63),0)))</f>
        <v>-71.759999999999991</v>
      </c>
      <c r="AJ63" s="102">
        <f>-IF($D63&lt;30,'P&amp;L Month'!AL39*(1+'Détail CF'!$C63),IF($D63&lt;60,'P&amp;L Month'!AK39*(1+'Détail CF'!$C63),IF($D63&gt;=60,'P&amp;L Month'!AJ39*(1+'Détail CF'!$C63),0)))</f>
        <v>-89.7</v>
      </c>
      <c r="AK63" s="102">
        <f>-IF($D63&lt;30,'P&amp;L Month'!AM39*(1+'Détail CF'!$C63),IF($D63&lt;60,'P&amp;L Month'!AL39*(1+'Détail CF'!$C63),IF($D63&gt;=60,'P&amp;L Month'!AK39*(1+'Détail CF'!$C63),0)))</f>
        <v>-125.58</v>
      </c>
      <c r="AL63" s="102">
        <f>-IF($D63&lt;30,'P&amp;L Month'!AN39*(1+'Détail CF'!$C63),IF($D63&lt;60,'P&amp;L Month'!AM39*(1+'Détail CF'!$C63),IF($D63&gt;=60,'P&amp;L Month'!AL39*(1+'Détail CF'!$C63),0)))</f>
        <v>-143.51999999999998</v>
      </c>
      <c r="AM63" s="102">
        <f>-IF($D63&lt;30,'P&amp;L Month'!AO39*(1+'Détail CF'!$C63),IF($D63&lt;60,'P&amp;L Month'!AN39*(1+'Détail CF'!$C63),IF($D63&gt;=60,'P&amp;L Month'!AM39*(1+'Détail CF'!$C63),0)))</f>
        <v>-179.4</v>
      </c>
      <c r="AN63" s="102">
        <f>-IF($D63&lt;30,'P&amp;L Month'!AP39*(1+'Détail CF'!$C63),IF($D63&lt;60,'P&amp;L Month'!AO39*(1+'Détail CF'!$C63),IF($D63&gt;=60,'P&amp;L Month'!AN39*(1+'Détail CF'!$C63),0)))</f>
        <v>-179.4</v>
      </c>
      <c r="AO63" s="102">
        <f>-IF($D63&lt;30,'P&amp;L Month'!AQ39*(1+'Détail CF'!$C63),IF($D63&lt;60,'P&amp;L Month'!AP39*(1+'Détail CF'!$C63),IF($D63&gt;=60,'P&amp;L Month'!AO39*(1+'Détail CF'!$C63),0)))</f>
        <v>-197.34</v>
      </c>
      <c r="AP63" s="102">
        <f>-IF($D63&lt;30,'P&amp;L Month'!AR39*(1+'Détail CF'!$C63),IF($D63&lt;60,'P&amp;L Month'!AQ39*(1+'Détail CF'!$C63),IF($D63&gt;=60,'P&amp;L Month'!AP39*(1+'Détail CF'!$C63),0)))</f>
        <v>-233.22</v>
      </c>
      <c r="AQ63" s="102">
        <f>-IF($D63&lt;30,'P&amp;L Month'!AS39*(1+'Détail CF'!$C63),IF($D63&lt;60,'P&amp;L Month'!AR39*(1+'Détail CF'!$C63),IF($D63&gt;=60,'P&amp;L Month'!AQ39*(1+'Détail CF'!$C63),0)))</f>
        <v>-251.16</v>
      </c>
      <c r="AR63" s="102">
        <f>-IF($D63&lt;30,'P&amp;L Month'!AT39*(1+'Détail CF'!$C63),IF($D63&lt;60,'P&amp;L Month'!AS39*(1+'Détail CF'!$C63),IF($D63&gt;=60,'P&amp;L Month'!AR39*(1+'Détail CF'!$C63),0)))</f>
        <v>-251.16</v>
      </c>
      <c r="AS63" s="102">
        <f>-IF($D63&lt;30,'P&amp;L Month'!AU39*(1+'Détail CF'!$C63),IF($D63&lt;60,'P&amp;L Month'!AT39*(1+'Détail CF'!$C63),IF($D63&gt;=60,'P&amp;L Month'!AS39*(1+'Détail CF'!$C63),0)))</f>
        <v>-304.97999999999996</v>
      </c>
      <c r="AT63" s="102">
        <f>-IF($D63&lt;30,'P&amp;L Month'!AV39*(1+'Détail CF'!$C63),IF($D63&lt;60,'P&amp;L Month'!AU39*(1+'Détail CF'!$C63),IF($D63&gt;=60,'P&amp;L Month'!AT39*(1+'Détail CF'!$C63),0)))</f>
        <v>-304.97999999999996</v>
      </c>
      <c r="AU63" s="102">
        <f>-IF($D63&lt;30,'P&amp;L Month'!AW39*(1+'Détail CF'!$C63),IF($D63&lt;60,'P&amp;L Month'!AV39*(1+'Détail CF'!$C63),IF($D63&gt;=60,'P&amp;L Month'!AU39*(1+'Détail CF'!$C63),0)))</f>
        <v>-304.97999999999996</v>
      </c>
      <c r="AV63" s="102">
        <f>-IF($D63&lt;30,'P&amp;L Month'!AX39*(1+'Détail CF'!$C63),IF($D63&lt;60,'P&amp;L Month'!AW39*(1+'Détail CF'!$C63),IF($D63&gt;=60,'P&amp;L Month'!AV39*(1+'Détail CF'!$C63),0)))</f>
        <v>-304.97999999999996</v>
      </c>
      <c r="AW63" s="102">
        <f>-IF($D63&lt;30,'P&amp;L Month'!AY39*(1+'Détail CF'!$C63),IF($D63&lt;60,'P&amp;L Month'!AX39*(1+'Détail CF'!$C63),IF($D63&gt;=60,'P&amp;L Month'!AW39*(1+'Détail CF'!$C63),0)))</f>
        <v>-358.8</v>
      </c>
      <c r="AX63" s="102">
        <f>-IF($D63&lt;30,'P&amp;L Month'!AZ39*(1+'Détail CF'!$C63),IF($D63&lt;60,'P&amp;L Month'!AY39*(1+'Détail CF'!$C63),IF($D63&gt;=60,'P&amp;L Month'!AX39*(1+'Détail CF'!$C63),0)))</f>
        <v>-358.8</v>
      </c>
      <c r="AY63" s="102">
        <f>-IF($D63&lt;30,'P&amp;L Month'!BA39*(1+'Détail CF'!$C63),IF($D63&lt;60,'P&amp;L Month'!AZ39*(1+'Détail CF'!$C63),IF($D63&gt;=60,'P&amp;L Month'!AY39*(1+'Détail CF'!$C63),0)))</f>
        <v>-358.8</v>
      </c>
      <c r="AZ63" s="102">
        <f>-IF($D63&lt;30,'P&amp;L Month'!BB39*(1+'Détail CF'!$C63),IF($D63&lt;60,'P&amp;L Month'!BA39*(1+'Détail CF'!$C63),IF($D63&gt;=60,'P&amp;L Month'!AZ39*(1+'Détail CF'!$C63),0)))</f>
        <v>-358.8</v>
      </c>
      <c r="BA63" s="102">
        <f>-IF($D63&lt;30,'P&amp;L Month'!BC39*(1+'Détail CF'!$C63),IF($D63&lt;60,'P&amp;L Month'!BB39*(1+'Détail CF'!$C63),IF($D63&gt;=60,'P&amp;L Month'!BA39*(1+'Détail CF'!$C63),0)))</f>
        <v>-376.74</v>
      </c>
      <c r="BB63" s="102">
        <f>-IF($D63&lt;30,'P&amp;L Month'!BD39*(1+'Détail CF'!$C63),IF($D63&lt;60,'P&amp;L Month'!BC39*(1+'Détail CF'!$C63),IF($D63&gt;=60,'P&amp;L Month'!BB39*(1+'Détail CF'!$C63),0)))</f>
        <v>-376.74</v>
      </c>
      <c r="BC63" s="102">
        <f>-IF($D63&lt;30,'P&amp;L Month'!BE39*(1+'Détail CF'!$C63),IF($D63&lt;60,'P&amp;L Month'!BD39*(1+'Détail CF'!$C63),IF($D63&gt;=60,'P&amp;L Month'!BC39*(1+'Détail CF'!$C63),0)))</f>
        <v>-412.62</v>
      </c>
      <c r="BD63" s="102">
        <f>-IF($D63&lt;30,'P&amp;L Month'!BF39*(1+'Détail CF'!$C63),IF($D63&lt;60,'P&amp;L Month'!BE39*(1+'Détail CF'!$C63),IF($D63&gt;=60,'P&amp;L Month'!BD39*(1+'Détail CF'!$C63),0)))</f>
        <v>-412.62</v>
      </c>
      <c r="BE63" s="102">
        <f>-IF($D63&lt;30,'P&amp;L Month'!BG39*(1+'Détail CF'!$C63),IF($D63&lt;60,'P&amp;L Month'!BF39*(1+'Détail CF'!$C63),IF($D63&gt;=60,'P&amp;L Month'!BE39*(1+'Détail CF'!$C63),0)))</f>
        <v>-430.56</v>
      </c>
      <c r="BF63" s="102">
        <f>-IF($D63&lt;30,'P&amp;L Month'!BH39*(1+'Détail CF'!$C63),IF($D63&lt;60,'P&amp;L Month'!BG39*(1+'Détail CF'!$C63),IF($D63&gt;=60,'P&amp;L Month'!BF39*(1+'Détail CF'!$C63),0)))</f>
        <v>-430.56</v>
      </c>
      <c r="BG63" s="102">
        <f>-IF($D63&lt;30,'P&amp;L Month'!BI39*(1+'Détail CF'!$C63),IF($D63&lt;60,'P&amp;L Month'!BH39*(1+'Détail CF'!$C63),IF($D63&gt;=60,'P&amp;L Month'!BG39*(1+'Détail CF'!$C63),0)))</f>
        <v>-448.5</v>
      </c>
      <c r="BH63" s="102">
        <f>-IF($D63&lt;30,'P&amp;L Month'!BJ39*(1+'Détail CF'!$C63),IF($D63&lt;60,'P&amp;L Month'!BI39*(1+'Détail CF'!$C63),IF($D63&gt;=60,'P&amp;L Month'!BH39*(1+'Détail CF'!$C63),0)))</f>
        <v>-448.5</v>
      </c>
      <c r="BI63" s="102">
        <f>-IF($D63&lt;30,'P&amp;L Month'!BK39*(1+'Détail CF'!$C63),IF($D63&lt;60,'P&amp;L Month'!BJ39*(1+'Détail CF'!$C63),IF($D63&gt;=60,'P&amp;L Month'!BI39*(1+'Détail CF'!$C63),0)))</f>
        <v>-448.5</v>
      </c>
      <c r="BJ63" s="102">
        <f>-IF($D63&lt;30,'P&amp;L Month'!BL39*(1+'Détail CF'!$C63),IF($D63&lt;60,'P&amp;L Month'!BK39*(1+'Détail CF'!$C63),IF($D63&gt;=60,'P&amp;L Month'!BJ39*(1+'Détail CF'!$C63),0)))</f>
        <v>-448.5</v>
      </c>
      <c r="BK63" s="102">
        <f>-IF($D63&lt;30,'P&amp;L Month'!BM39*(1+'Détail CF'!$C63),IF($D63&lt;60,'P&amp;L Month'!BL39*(1+'Détail CF'!$C63),IF($D63&gt;=60,'P&amp;L Month'!BK39*(1+'Détail CF'!$C63),0)))</f>
        <v>-448.5</v>
      </c>
      <c r="BL63" s="102">
        <f>-IF($D63&lt;30,'P&amp;L Month'!BN39*(1+'Détail CF'!$C63),IF($D63&lt;60,'P&amp;L Month'!BM39*(1+'Détail CF'!$C63),IF($D63&gt;=60,'P&amp;L Month'!BL39*(1+'Détail CF'!$C63),0)))</f>
        <v>-448.5</v>
      </c>
      <c r="BM63" s="102">
        <f>-IF($D63&lt;30,'P&amp;L Month'!BO39*(1+'Détail CF'!$C63),IF($D63&lt;60,'P&amp;L Month'!BN39*(1+'Détail CF'!$C63),IF($D63&gt;=60,'P&amp;L Month'!BM39*(1+'Détail CF'!$C63),0)))</f>
        <v>-466.44</v>
      </c>
      <c r="BN63" s="102">
        <f>-IF($D63&lt;30,'P&amp;L Month'!BP39*(1+'Détail CF'!$C63),IF($D63&lt;60,'P&amp;L Month'!BO39*(1+'Détail CF'!$C63),IF($D63&gt;=60,'P&amp;L Month'!BN39*(1+'Détail CF'!$C63),0)))</f>
        <v>-466.44</v>
      </c>
      <c r="BO63" s="102">
        <f>-IF($D63&lt;30,'P&amp;L Month'!BQ39*(1+'Détail CF'!$C63),IF($D63&lt;60,'P&amp;L Month'!BP39*(1+'Détail CF'!$C63),IF($D63&gt;=60,'P&amp;L Month'!BO39*(1+'Détail CF'!$C63),0)))</f>
        <v>-466.44</v>
      </c>
      <c r="BP63" s="102">
        <f>-IF($D63&lt;30,'P&amp;L Month'!BR39*(1+'Détail CF'!$C63),IF($D63&lt;60,'P&amp;L Month'!BQ39*(1+'Détail CF'!$C63),IF($D63&gt;=60,'P&amp;L Month'!BP39*(1+'Détail CF'!$C63),0)))</f>
        <v>-466.44</v>
      </c>
      <c r="BQ63" s="102">
        <f>-IF($D63&lt;30,'P&amp;L Month'!BS39*(1+'Détail CF'!$C63),IF($D63&lt;60,'P&amp;L Month'!BR39*(1+'Détail CF'!$C63),IF($D63&gt;=60,'P&amp;L Month'!BQ39*(1+'Détail CF'!$C63),0)))</f>
        <v>-466.44</v>
      </c>
      <c r="BR63" s="102">
        <f>-IF($D63&lt;30,'P&amp;L Month'!BT39*(1+'Détail CF'!$C63),IF($D63&lt;60,'P&amp;L Month'!BS39*(1+'Détail CF'!$C63),IF($D63&gt;=60,'P&amp;L Month'!BR39*(1+'Détail CF'!$C63),0)))</f>
        <v>-466.44</v>
      </c>
      <c r="BS63" s="102">
        <f>-IF($D63&lt;30,'P&amp;L Month'!BU39*(1+'Détail CF'!$C63),IF($D63&lt;60,'P&amp;L Month'!BT39*(1+'Détail CF'!$C63),IF($D63&gt;=60,'P&amp;L Month'!BS39*(1+'Détail CF'!$C63),0)))</f>
        <v>-466.44</v>
      </c>
      <c r="BT63" s="102">
        <f>-IF($D63&lt;30,'P&amp;L Month'!BV39*(1+'Détail CF'!$C63),IF($D63&lt;60,'P&amp;L Month'!BU39*(1+'Détail CF'!$C63),IF($D63&gt;=60,'P&amp;L Month'!BT39*(1+'Détail CF'!$C63),0)))</f>
        <v>-466.44</v>
      </c>
      <c r="BU63" s="102">
        <f>-IF($D63&lt;30,'P&amp;L Month'!BW39*(1+'Détail CF'!$C63),IF($D63&lt;60,'P&amp;L Month'!BV39*(1+'Détail CF'!$C63),IF($D63&gt;=60,'P&amp;L Month'!BU39*(1+'Détail CF'!$C63),0)))</f>
        <v>-466.44</v>
      </c>
      <c r="BV63" s="102">
        <f>-IF($D63&lt;30,'P&amp;L Month'!BX39*(1+'Détail CF'!$C63),IF($D63&lt;60,'P&amp;L Month'!BW39*(1+'Détail CF'!$C63),IF($D63&gt;=60,'P&amp;L Month'!BV39*(1+'Détail CF'!$C63),0)))</f>
        <v>-466.44</v>
      </c>
      <c r="BW63" s="102">
        <f>-IF($D63&lt;30,'P&amp;L Month'!BY39*(1+'Détail CF'!$C63),IF($D63&lt;60,'P&amp;L Month'!BX39*(1+'Détail CF'!$C63),IF($D63&gt;=60,'P&amp;L Month'!BW39*(1+'Détail CF'!$C63),0)))</f>
        <v>-466.44</v>
      </c>
      <c r="BX63" s="102">
        <f>-IF($D63&lt;30,'P&amp;L Month'!BZ39*(1+'Détail CF'!$C63),IF($D63&lt;60,'P&amp;L Month'!BY39*(1+'Détail CF'!$C63),IF($D63&gt;=60,'P&amp;L Month'!BX39*(1+'Détail CF'!$C63),0)))</f>
        <v>-466.44</v>
      </c>
      <c r="BY63" s="102">
        <f>-IF($D63&lt;30,'P&amp;L Month'!CA39*(1+'Détail CF'!$C63),IF($D63&lt;60,'P&amp;L Month'!BZ39*(1+'Détail CF'!$C63),IF($D63&gt;=60,'P&amp;L Month'!BY39*(1+'Détail CF'!$C63),0)))</f>
        <v>-466.44</v>
      </c>
      <c r="BZ63" s="102">
        <f>-IF($D63&lt;30,'P&amp;L Month'!CB39*(1+'Détail CF'!$C63),IF($D63&lt;60,'P&amp;L Month'!CA39*(1+'Détail CF'!$C63),IF($D63&gt;=60,'P&amp;L Month'!BZ39*(1+'Détail CF'!$C63),0)))</f>
        <v>-466.44</v>
      </c>
      <c r="CA63" s="102">
        <f>-IF($D63&lt;30,'P&amp;L Month'!CC39*(1+'Détail CF'!$C63),IF($D63&lt;60,'P&amp;L Month'!CB39*(1+'Détail CF'!$C63),IF($D63&gt;=60,'P&amp;L Month'!CA39*(1+'Détail CF'!$C63),0)))</f>
        <v>-466.44</v>
      </c>
      <c r="CB63" s="102">
        <f>-IF($D63&lt;30,'P&amp;L Month'!CD39*(1+'Détail CF'!$C63),IF($D63&lt;60,'P&amp;L Month'!CC39*(1+'Détail CF'!$C63),IF($D63&gt;=60,'P&amp;L Month'!CB39*(1+'Détail CF'!$C63),0)))</f>
        <v>-466.44</v>
      </c>
      <c r="CC63" s="102">
        <f>-IF($D63&lt;30,'P&amp;L Month'!CE39*(1+'Détail CF'!$C63),IF($D63&lt;60,'P&amp;L Month'!CD39*(1+'Détail CF'!$C63),IF($D63&gt;=60,'P&amp;L Month'!CC39*(1+'Détail CF'!$C63),0)))</f>
        <v>-466.44</v>
      </c>
      <c r="CD63" s="102">
        <f>-IF($D63&lt;30,'P&amp;L Month'!CF39*(1+'Détail CF'!$C63),IF($D63&lt;60,'P&amp;L Month'!CE39*(1+'Détail CF'!$C63),IF($D63&gt;=60,'P&amp;L Month'!CD39*(1+'Détail CF'!$C63),0)))</f>
        <v>-466.44</v>
      </c>
      <c r="CE63" s="102">
        <f>-IF($D63&lt;30,'P&amp;L Month'!CG39*(1+'Détail CF'!$C63),IF($D63&lt;60,'P&amp;L Month'!CF39*(1+'Détail CF'!$C63),IF($D63&gt;=60,'P&amp;L Month'!CE39*(1+'Détail CF'!$C63),0)))</f>
        <v>-466.44</v>
      </c>
    </row>
    <row r="64" spans="1:83">
      <c r="B64" t="s">
        <v>169</v>
      </c>
      <c r="C64" s="182">
        <f t="shared" si="28"/>
        <v>0.19600000000000001</v>
      </c>
      <c r="D64" s="99">
        <f t="shared" si="28"/>
        <v>60</v>
      </c>
      <c r="E64" s="195" t="str">
        <f t="shared" si="28"/>
        <v>F</v>
      </c>
      <c r="F64" s="102">
        <f>-IF($D64&lt;30,'P&amp;L Month'!H40*(1+'Détail CF'!$C64),0)</f>
        <v>0</v>
      </c>
      <c r="G64" s="102">
        <f>-IF($D64&lt;30,'P&amp;L Month'!I40*(1+'Détail CF'!$C64),IF($D64&lt;60,'P&amp;L Month'!H40*(1+'Détail CF'!$C64),0))</f>
        <v>0</v>
      </c>
      <c r="H64" s="102">
        <f>-IF($D64&lt;30,'P&amp;L Month'!J40*(1+'Détail CF'!$C64),IF($D64&lt;60,'P&amp;L Month'!I40*(1+'Détail CF'!$C64),IF($D64&gt;=60,'P&amp;L Month'!H40*(1+'Détail CF'!$C64),0)))</f>
        <v>0</v>
      </c>
      <c r="I64" s="102">
        <f>-IF($D64&lt;30,'P&amp;L Month'!K40*(1+'Détail CF'!$C64),IF($D64&lt;60,'P&amp;L Month'!J40*(1+'Détail CF'!$C64),IF($D64&gt;=60,'P&amp;L Month'!I40*(1+'Détail CF'!$C64),0)))</f>
        <v>0</v>
      </c>
      <c r="J64" s="102">
        <f>-IF($D64&lt;30,'P&amp;L Month'!L40*(1+'Détail CF'!$C64),IF($D64&lt;60,'P&amp;L Month'!K40*(1+'Détail CF'!$C64),IF($D64&gt;=60,'P&amp;L Month'!J40*(1+'Détail CF'!$C64),0)))</f>
        <v>0</v>
      </c>
      <c r="K64" s="102">
        <f>-IF($D64&lt;30,'P&amp;L Month'!M40*(1+'Détail CF'!$C64),IF($D64&lt;60,'P&amp;L Month'!L40*(1+'Détail CF'!$C64),IF($D64&gt;=60,'P&amp;L Month'!K40*(1+'Détail CF'!$C64),0)))</f>
        <v>0</v>
      </c>
      <c r="L64" s="102">
        <f>-IF($D64&lt;30,'P&amp;L Month'!N40*(1+'Détail CF'!$C64),IF($D64&lt;60,'P&amp;L Month'!M40*(1+'Détail CF'!$C64),IF($D64&gt;=60,'P&amp;L Month'!L40*(1+'Détail CF'!$C64),0)))</f>
        <v>0</v>
      </c>
      <c r="M64" s="102">
        <f>-IF($D64&lt;30,'P&amp;L Month'!O40*(1+'Détail CF'!$C64),IF($D64&lt;60,'P&amp;L Month'!N40*(1+'Détail CF'!$C64),IF($D64&gt;=60,'P&amp;L Month'!M40*(1+'Détail CF'!$C64),0)))</f>
        <v>0</v>
      </c>
      <c r="N64" s="102">
        <f>-IF($D64&lt;30,'P&amp;L Month'!P40*(1+'Détail CF'!$C64),IF($D64&lt;60,'P&amp;L Month'!O40*(1+'Détail CF'!$C64),IF($D64&gt;=60,'P&amp;L Month'!N40*(1+'Détail CF'!$C64),0)))</f>
        <v>0</v>
      </c>
      <c r="O64" s="102">
        <f>-IF($D64&lt;30,'P&amp;L Month'!Q40*(1+'Détail CF'!$C64),IF($D64&lt;60,'P&amp;L Month'!P40*(1+'Détail CF'!$C64),IF($D64&gt;=60,'P&amp;L Month'!O40*(1+'Détail CF'!$C64),0)))</f>
        <v>0</v>
      </c>
      <c r="P64" s="102">
        <f>-IF($D64&lt;30,'P&amp;L Month'!R40*(1+'Détail CF'!$C64),IF($D64&lt;60,'P&amp;L Month'!Q40*(1+'Détail CF'!$C64),IF($D64&gt;=60,'P&amp;L Month'!P40*(1+'Détail CF'!$C64),0)))</f>
        <v>0</v>
      </c>
      <c r="Q64" s="102">
        <f>-IF($D64&lt;30,'P&amp;L Month'!S40*(1+'Détail CF'!$C64),IF($D64&lt;60,'P&amp;L Month'!R40*(1+'Détail CF'!$C64),IF($D64&gt;=60,'P&amp;L Month'!Q40*(1+'Détail CF'!$C64),0)))</f>
        <v>0</v>
      </c>
      <c r="R64" s="102">
        <f>-IF($D64&lt;30,'P&amp;L Month'!T40*(1+'Détail CF'!$C64),IF($D64&lt;60,'P&amp;L Month'!S40*(1+'Détail CF'!$C64),IF($D64&gt;=60,'P&amp;L Month'!R40*(1+'Détail CF'!$C64),0)))</f>
        <v>0</v>
      </c>
      <c r="S64" s="102">
        <f>-IF($D64&lt;30,'P&amp;L Month'!U40*(1+'Détail CF'!$C64),IF($D64&lt;60,'P&amp;L Month'!T40*(1+'Détail CF'!$C64),IF($D64&gt;=60,'P&amp;L Month'!S40*(1+'Détail CF'!$C64),0)))</f>
        <v>0</v>
      </c>
      <c r="T64" s="102">
        <f>-IF($D64&lt;30,'P&amp;L Month'!V40*(1+'Détail CF'!$C64),IF($D64&lt;60,'P&amp;L Month'!U40*(1+'Détail CF'!$C64),IF($D64&gt;=60,'P&amp;L Month'!T40*(1+'Détail CF'!$C64),0)))</f>
        <v>0</v>
      </c>
      <c r="U64" s="102">
        <f>-IF($D64&lt;30,'P&amp;L Month'!W40*(1+'Détail CF'!$C64),IF($D64&lt;60,'P&amp;L Month'!V40*(1+'Détail CF'!$C64),IF($D64&gt;=60,'P&amp;L Month'!U40*(1+'Détail CF'!$C64),0)))</f>
        <v>0</v>
      </c>
      <c r="V64" s="102">
        <f>-IF($D64&lt;30,'P&amp;L Month'!X40*(1+'Détail CF'!$C64),IF($D64&lt;60,'P&amp;L Month'!W40*(1+'Détail CF'!$C64),IF($D64&gt;=60,'P&amp;L Month'!V40*(1+'Détail CF'!$C64),0)))</f>
        <v>0</v>
      </c>
      <c r="W64" s="102">
        <f>-IF($D64&lt;30,'P&amp;L Month'!Y40*(1+'Détail CF'!$C64),IF($D64&lt;60,'P&amp;L Month'!X40*(1+'Détail CF'!$C64),IF($D64&gt;=60,'P&amp;L Month'!W40*(1+'Détail CF'!$C64),0)))</f>
        <v>0</v>
      </c>
      <c r="X64" s="102">
        <f>-IF($D64&lt;30,'P&amp;L Month'!Z40*(1+'Détail CF'!$C64),IF($D64&lt;60,'P&amp;L Month'!Y40*(1+'Détail CF'!$C64),IF($D64&gt;=60,'P&amp;L Month'!X40*(1+'Détail CF'!$C64),0)))</f>
        <v>0</v>
      </c>
      <c r="Y64" s="102">
        <f>-IF($D64&lt;30,'P&amp;L Month'!AA40*(1+'Détail CF'!$C64),IF($D64&lt;60,'P&amp;L Month'!Z40*(1+'Détail CF'!$C64),IF($D64&gt;=60,'P&amp;L Month'!Y40*(1+'Détail CF'!$C64),0)))</f>
        <v>0</v>
      </c>
      <c r="Z64" s="102">
        <f>-IF($D64&lt;30,'P&amp;L Month'!AB40*(1+'Détail CF'!$C64),IF($D64&lt;60,'P&amp;L Month'!AA40*(1+'Détail CF'!$C64),IF($D64&gt;=60,'P&amp;L Month'!Z40*(1+'Détail CF'!$C64),0)))</f>
        <v>-11.959999999999999</v>
      </c>
      <c r="AA64" s="102">
        <f>-IF($D64&lt;30,'P&amp;L Month'!AC40*(1+'Détail CF'!$C64),IF($D64&lt;60,'P&amp;L Month'!AB40*(1+'Détail CF'!$C64),IF($D64&gt;=60,'P&amp;L Month'!AA40*(1+'Détail CF'!$C64),0)))</f>
        <v>-11.959999999999999</v>
      </c>
      <c r="AB64" s="102">
        <f>-IF($D64&lt;30,'P&amp;L Month'!AD40*(1+'Détail CF'!$C64),IF($D64&lt;60,'P&amp;L Month'!AC40*(1+'Détail CF'!$C64),IF($D64&gt;=60,'P&amp;L Month'!AB40*(1+'Détail CF'!$C64),0)))</f>
        <v>-11.959999999999999</v>
      </c>
      <c r="AC64" s="102">
        <f>-IF($D64&lt;30,'P&amp;L Month'!AE40*(1+'Détail CF'!$C64),IF($D64&lt;60,'P&amp;L Month'!AD40*(1+'Détail CF'!$C64),IF($D64&gt;=60,'P&amp;L Month'!AC40*(1+'Détail CF'!$C64),0)))</f>
        <v>-11.959999999999999</v>
      </c>
      <c r="AD64" s="102">
        <f>-IF($D64&lt;30,'P&amp;L Month'!AF40*(1+'Détail CF'!$C64),IF($D64&lt;60,'P&amp;L Month'!AE40*(1+'Détail CF'!$C64),IF($D64&gt;=60,'P&amp;L Month'!AD40*(1+'Détail CF'!$C64),0)))</f>
        <v>-11.959999999999999</v>
      </c>
      <c r="AE64" s="102">
        <f>-IF($D64&lt;30,'P&amp;L Month'!AG40*(1+'Détail CF'!$C64),IF($D64&lt;60,'P&amp;L Month'!AF40*(1+'Détail CF'!$C64),IF($D64&gt;=60,'P&amp;L Month'!AE40*(1+'Détail CF'!$C64),0)))</f>
        <v>-11.959999999999999</v>
      </c>
      <c r="AF64" s="102">
        <f>-IF($D64&lt;30,'P&amp;L Month'!AH40*(1+'Détail CF'!$C64),IF($D64&lt;60,'P&amp;L Month'!AG40*(1+'Détail CF'!$C64),IF($D64&gt;=60,'P&amp;L Month'!AF40*(1+'Détail CF'!$C64),0)))</f>
        <v>-11.959999999999999</v>
      </c>
      <c r="AG64" s="102">
        <f>-IF($D64&lt;30,'P&amp;L Month'!AI40*(1+'Détail CF'!$C64),IF($D64&lt;60,'P&amp;L Month'!AH40*(1+'Détail CF'!$C64),IF($D64&gt;=60,'P&amp;L Month'!AG40*(1+'Détail CF'!$C64),0)))</f>
        <v>-11.959999999999999</v>
      </c>
      <c r="AH64" s="102">
        <f>-IF($D64&lt;30,'P&amp;L Month'!AJ40*(1+'Détail CF'!$C64),IF($D64&lt;60,'P&amp;L Month'!AI40*(1+'Détail CF'!$C64),IF($D64&gt;=60,'P&amp;L Month'!AH40*(1+'Détail CF'!$C64),0)))</f>
        <v>-17.939999999999998</v>
      </c>
      <c r="AI64" s="102">
        <f>-IF($D64&lt;30,'P&amp;L Month'!AK40*(1+'Détail CF'!$C64),IF($D64&lt;60,'P&amp;L Month'!AJ40*(1+'Détail CF'!$C64),IF($D64&gt;=60,'P&amp;L Month'!AI40*(1+'Détail CF'!$C64),0)))</f>
        <v>-23.919999999999998</v>
      </c>
      <c r="AJ64" s="102">
        <f>-IF($D64&lt;30,'P&amp;L Month'!AL40*(1+'Détail CF'!$C64),IF($D64&lt;60,'P&amp;L Month'!AK40*(1+'Détail CF'!$C64),IF($D64&gt;=60,'P&amp;L Month'!AJ40*(1+'Détail CF'!$C64),0)))</f>
        <v>-23.919999999999998</v>
      </c>
      <c r="AK64" s="102">
        <f>-IF($D64&lt;30,'P&amp;L Month'!AM40*(1+'Détail CF'!$C64),IF($D64&lt;60,'P&amp;L Month'!AL40*(1+'Détail CF'!$C64),IF($D64&gt;=60,'P&amp;L Month'!AK40*(1+'Détail CF'!$C64),0)))</f>
        <v>-29.9</v>
      </c>
      <c r="AL64" s="102">
        <f>-IF($D64&lt;30,'P&amp;L Month'!AN40*(1+'Détail CF'!$C64),IF($D64&lt;60,'P&amp;L Month'!AM40*(1+'Détail CF'!$C64),IF($D64&gt;=60,'P&amp;L Month'!AL40*(1+'Détail CF'!$C64),0)))</f>
        <v>-41.86</v>
      </c>
      <c r="AM64" s="102">
        <f>-IF($D64&lt;30,'P&amp;L Month'!AO40*(1+'Détail CF'!$C64),IF($D64&lt;60,'P&amp;L Month'!AN40*(1+'Détail CF'!$C64),IF($D64&gt;=60,'P&amp;L Month'!AM40*(1+'Détail CF'!$C64),0)))</f>
        <v>-47.839999999999996</v>
      </c>
      <c r="AN64" s="102">
        <f>-IF($D64&lt;30,'P&amp;L Month'!AP40*(1+'Détail CF'!$C64),IF($D64&lt;60,'P&amp;L Month'!AO40*(1+'Détail CF'!$C64),IF($D64&gt;=60,'P&amp;L Month'!AN40*(1+'Détail CF'!$C64),0)))</f>
        <v>-59.8</v>
      </c>
      <c r="AO64" s="102">
        <f>-IF($D64&lt;30,'P&amp;L Month'!AQ40*(1+'Détail CF'!$C64),IF($D64&lt;60,'P&amp;L Month'!AP40*(1+'Détail CF'!$C64),IF($D64&gt;=60,'P&amp;L Month'!AO40*(1+'Détail CF'!$C64),0)))</f>
        <v>-59.8</v>
      </c>
      <c r="AP64" s="102">
        <f>-IF($D64&lt;30,'P&amp;L Month'!AR40*(1+'Détail CF'!$C64),IF($D64&lt;60,'P&amp;L Month'!AQ40*(1+'Détail CF'!$C64),IF($D64&gt;=60,'P&amp;L Month'!AP40*(1+'Détail CF'!$C64),0)))</f>
        <v>-65.78</v>
      </c>
      <c r="AQ64" s="102">
        <f>-IF($D64&lt;30,'P&amp;L Month'!AS40*(1+'Détail CF'!$C64),IF($D64&lt;60,'P&amp;L Month'!AR40*(1+'Détail CF'!$C64),IF($D64&gt;=60,'P&amp;L Month'!AQ40*(1+'Détail CF'!$C64),0)))</f>
        <v>-77.739999999999995</v>
      </c>
      <c r="AR64" s="102">
        <f>-IF($D64&lt;30,'P&amp;L Month'!AT40*(1+'Détail CF'!$C64),IF($D64&lt;60,'P&amp;L Month'!AS40*(1+'Détail CF'!$C64),IF($D64&gt;=60,'P&amp;L Month'!AR40*(1+'Détail CF'!$C64),0)))</f>
        <v>-83.72</v>
      </c>
      <c r="AS64" s="102">
        <f>-IF($D64&lt;30,'P&amp;L Month'!AU40*(1+'Détail CF'!$C64),IF($D64&lt;60,'P&amp;L Month'!AT40*(1+'Détail CF'!$C64),IF($D64&gt;=60,'P&amp;L Month'!AS40*(1+'Détail CF'!$C64),0)))</f>
        <v>-83.72</v>
      </c>
      <c r="AT64" s="102">
        <f>-IF($D64&lt;30,'P&amp;L Month'!AV40*(1+'Détail CF'!$C64),IF($D64&lt;60,'P&amp;L Month'!AU40*(1+'Détail CF'!$C64),IF($D64&gt;=60,'P&amp;L Month'!AT40*(1+'Détail CF'!$C64),0)))</f>
        <v>-101.66</v>
      </c>
      <c r="AU64" s="102">
        <f>-IF($D64&lt;30,'P&amp;L Month'!AW40*(1+'Détail CF'!$C64),IF($D64&lt;60,'P&amp;L Month'!AV40*(1+'Détail CF'!$C64),IF($D64&gt;=60,'P&amp;L Month'!AU40*(1+'Détail CF'!$C64),0)))</f>
        <v>-101.66</v>
      </c>
      <c r="AV64" s="102">
        <f>-IF($D64&lt;30,'P&amp;L Month'!AX40*(1+'Détail CF'!$C64),IF($D64&lt;60,'P&amp;L Month'!AW40*(1+'Détail CF'!$C64),IF($D64&gt;=60,'P&amp;L Month'!AV40*(1+'Détail CF'!$C64),0)))</f>
        <v>-101.66</v>
      </c>
      <c r="AW64" s="102">
        <f>-IF($D64&lt;30,'P&amp;L Month'!AY40*(1+'Détail CF'!$C64),IF($D64&lt;60,'P&amp;L Month'!AX40*(1+'Détail CF'!$C64),IF($D64&gt;=60,'P&amp;L Month'!AW40*(1+'Détail CF'!$C64),0)))</f>
        <v>-101.66</v>
      </c>
      <c r="AX64" s="102">
        <f>-IF($D64&lt;30,'P&amp;L Month'!AZ40*(1+'Détail CF'!$C64),IF($D64&lt;60,'P&amp;L Month'!AY40*(1+'Détail CF'!$C64),IF($D64&gt;=60,'P&amp;L Month'!AX40*(1+'Détail CF'!$C64),0)))</f>
        <v>-119.6</v>
      </c>
      <c r="AY64" s="102">
        <f>-IF($D64&lt;30,'P&amp;L Month'!BA40*(1+'Détail CF'!$C64),IF($D64&lt;60,'P&amp;L Month'!AZ40*(1+'Détail CF'!$C64),IF($D64&gt;=60,'P&amp;L Month'!AY40*(1+'Détail CF'!$C64),0)))</f>
        <v>-119.6</v>
      </c>
      <c r="AZ64" s="102">
        <f>-IF($D64&lt;30,'P&amp;L Month'!BB40*(1+'Détail CF'!$C64),IF($D64&lt;60,'P&amp;L Month'!BA40*(1+'Détail CF'!$C64),IF($D64&gt;=60,'P&amp;L Month'!AZ40*(1+'Détail CF'!$C64),0)))</f>
        <v>-119.6</v>
      </c>
      <c r="BA64" s="102">
        <f>-IF($D64&lt;30,'P&amp;L Month'!BC40*(1+'Détail CF'!$C64),IF($D64&lt;60,'P&amp;L Month'!BB40*(1+'Détail CF'!$C64),IF($D64&gt;=60,'P&amp;L Month'!BA40*(1+'Détail CF'!$C64),0)))</f>
        <v>-119.6</v>
      </c>
      <c r="BB64" s="102">
        <f>-IF($D64&lt;30,'P&amp;L Month'!BD40*(1+'Détail CF'!$C64),IF($D64&lt;60,'P&amp;L Month'!BC40*(1+'Détail CF'!$C64),IF($D64&gt;=60,'P&amp;L Month'!BB40*(1+'Détail CF'!$C64),0)))</f>
        <v>-125.58</v>
      </c>
      <c r="BC64" s="102">
        <f>-IF($D64&lt;30,'P&amp;L Month'!BE40*(1+'Détail CF'!$C64),IF($D64&lt;60,'P&amp;L Month'!BD40*(1+'Détail CF'!$C64),IF($D64&gt;=60,'P&amp;L Month'!BC40*(1+'Détail CF'!$C64),0)))</f>
        <v>-125.58</v>
      </c>
      <c r="BD64" s="102">
        <f>-IF($D64&lt;30,'P&amp;L Month'!BF40*(1+'Détail CF'!$C64),IF($D64&lt;60,'P&amp;L Month'!BE40*(1+'Détail CF'!$C64),IF($D64&gt;=60,'P&amp;L Month'!BD40*(1+'Détail CF'!$C64),0)))</f>
        <v>-137.54</v>
      </c>
      <c r="BE64" s="102">
        <f>-IF($D64&lt;30,'P&amp;L Month'!BG40*(1+'Détail CF'!$C64),IF($D64&lt;60,'P&amp;L Month'!BF40*(1+'Détail CF'!$C64),IF($D64&gt;=60,'P&amp;L Month'!BE40*(1+'Détail CF'!$C64),0)))</f>
        <v>-137.54</v>
      </c>
      <c r="BF64" s="102">
        <f>-IF($D64&lt;30,'P&amp;L Month'!BH40*(1+'Détail CF'!$C64),IF($D64&lt;60,'P&amp;L Month'!BG40*(1+'Détail CF'!$C64),IF($D64&gt;=60,'P&amp;L Month'!BF40*(1+'Détail CF'!$C64),0)))</f>
        <v>-143.51999999999998</v>
      </c>
      <c r="BG64" s="102">
        <f>-IF($D64&lt;30,'P&amp;L Month'!BI40*(1+'Détail CF'!$C64),IF($D64&lt;60,'P&amp;L Month'!BH40*(1+'Détail CF'!$C64),IF($D64&gt;=60,'P&amp;L Month'!BG40*(1+'Détail CF'!$C64),0)))</f>
        <v>-143.51999999999998</v>
      </c>
      <c r="BH64" s="102">
        <f>-IF($D64&lt;30,'P&amp;L Month'!BJ40*(1+'Détail CF'!$C64),IF($D64&lt;60,'P&amp;L Month'!BI40*(1+'Détail CF'!$C64),IF($D64&gt;=60,'P&amp;L Month'!BH40*(1+'Détail CF'!$C64),0)))</f>
        <v>-149.5</v>
      </c>
      <c r="BI64" s="102">
        <f>-IF($D64&lt;30,'P&amp;L Month'!BK40*(1+'Détail CF'!$C64),IF($D64&lt;60,'P&amp;L Month'!BJ40*(1+'Détail CF'!$C64),IF($D64&gt;=60,'P&amp;L Month'!BI40*(1+'Détail CF'!$C64),0)))</f>
        <v>-149.5</v>
      </c>
      <c r="BJ64" s="102">
        <f>-IF($D64&lt;30,'P&amp;L Month'!BL40*(1+'Détail CF'!$C64),IF($D64&lt;60,'P&amp;L Month'!BK40*(1+'Détail CF'!$C64),IF($D64&gt;=60,'P&amp;L Month'!BJ40*(1+'Détail CF'!$C64),0)))</f>
        <v>-149.5</v>
      </c>
      <c r="BK64" s="102">
        <f>-IF($D64&lt;30,'P&amp;L Month'!BM40*(1+'Détail CF'!$C64),IF($D64&lt;60,'P&amp;L Month'!BL40*(1+'Détail CF'!$C64),IF($D64&gt;=60,'P&amp;L Month'!BK40*(1+'Détail CF'!$C64),0)))</f>
        <v>-149.5</v>
      </c>
      <c r="BL64" s="102">
        <f>-IF($D64&lt;30,'P&amp;L Month'!BN40*(1+'Détail CF'!$C64),IF($D64&lt;60,'P&amp;L Month'!BM40*(1+'Détail CF'!$C64),IF($D64&gt;=60,'P&amp;L Month'!BL40*(1+'Détail CF'!$C64),0)))</f>
        <v>-149.5</v>
      </c>
      <c r="BM64" s="102">
        <f>-IF($D64&lt;30,'P&amp;L Month'!BO40*(1+'Détail CF'!$C64),IF($D64&lt;60,'P&amp;L Month'!BN40*(1+'Détail CF'!$C64),IF($D64&gt;=60,'P&amp;L Month'!BM40*(1+'Détail CF'!$C64),0)))</f>
        <v>-149.5</v>
      </c>
      <c r="BN64" s="102">
        <f>-IF($D64&lt;30,'P&amp;L Month'!BP40*(1+'Détail CF'!$C64),IF($D64&lt;60,'P&amp;L Month'!BO40*(1+'Détail CF'!$C64),IF($D64&gt;=60,'P&amp;L Month'!BN40*(1+'Détail CF'!$C64),0)))</f>
        <v>-155.47999999999999</v>
      </c>
      <c r="BO64" s="102">
        <f>-IF($D64&lt;30,'P&amp;L Month'!BQ40*(1+'Détail CF'!$C64),IF($D64&lt;60,'P&amp;L Month'!BP40*(1+'Détail CF'!$C64),IF($D64&gt;=60,'P&amp;L Month'!BO40*(1+'Détail CF'!$C64),0)))</f>
        <v>-155.47999999999999</v>
      </c>
      <c r="BP64" s="102">
        <f>-IF($D64&lt;30,'P&amp;L Month'!BR40*(1+'Détail CF'!$C64),IF($D64&lt;60,'P&amp;L Month'!BQ40*(1+'Détail CF'!$C64),IF($D64&gt;=60,'P&amp;L Month'!BP40*(1+'Détail CF'!$C64),0)))</f>
        <v>-155.47999999999999</v>
      </c>
      <c r="BQ64" s="102">
        <f>-IF($D64&lt;30,'P&amp;L Month'!BS40*(1+'Détail CF'!$C64),IF($D64&lt;60,'P&amp;L Month'!BR40*(1+'Détail CF'!$C64),IF($D64&gt;=60,'P&amp;L Month'!BQ40*(1+'Détail CF'!$C64),0)))</f>
        <v>-155.47999999999999</v>
      </c>
      <c r="BR64" s="102">
        <f>-IF($D64&lt;30,'P&amp;L Month'!BT40*(1+'Détail CF'!$C64),IF($D64&lt;60,'P&amp;L Month'!BS40*(1+'Détail CF'!$C64),IF($D64&gt;=60,'P&amp;L Month'!BR40*(1+'Détail CF'!$C64),0)))</f>
        <v>-155.47999999999999</v>
      </c>
      <c r="BS64" s="102">
        <f>-IF($D64&lt;30,'P&amp;L Month'!BU40*(1+'Détail CF'!$C64),IF($D64&lt;60,'P&amp;L Month'!BT40*(1+'Détail CF'!$C64),IF($D64&gt;=60,'P&amp;L Month'!BS40*(1+'Détail CF'!$C64),0)))</f>
        <v>-155.47999999999999</v>
      </c>
      <c r="BT64" s="102">
        <f>-IF($D64&lt;30,'P&amp;L Month'!BV40*(1+'Détail CF'!$C64),IF($D64&lt;60,'P&amp;L Month'!BU40*(1+'Détail CF'!$C64),IF($D64&gt;=60,'P&amp;L Month'!BT40*(1+'Détail CF'!$C64),0)))</f>
        <v>-155.47999999999999</v>
      </c>
      <c r="BU64" s="102">
        <f>-IF($D64&lt;30,'P&amp;L Month'!BW40*(1+'Détail CF'!$C64),IF($D64&lt;60,'P&amp;L Month'!BV40*(1+'Détail CF'!$C64),IF($D64&gt;=60,'P&amp;L Month'!BU40*(1+'Détail CF'!$C64),0)))</f>
        <v>-155.47999999999999</v>
      </c>
      <c r="BV64" s="102">
        <f>-IF($D64&lt;30,'P&amp;L Month'!BX40*(1+'Détail CF'!$C64),IF($D64&lt;60,'P&amp;L Month'!BW40*(1+'Détail CF'!$C64),IF($D64&gt;=60,'P&amp;L Month'!BV40*(1+'Détail CF'!$C64),0)))</f>
        <v>-155.47999999999999</v>
      </c>
      <c r="BW64" s="102">
        <f>-IF($D64&lt;30,'P&amp;L Month'!BY40*(1+'Détail CF'!$C64),IF($D64&lt;60,'P&amp;L Month'!BX40*(1+'Détail CF'!$C64),IF($D64&gt;=60,'P&amp;L Month'!BW40*(1+'Détail CF'!$C64),0)))</f>
        <v>-155.47999999999999</v>
      </c>
      <c r="BX64" s="102">
        <f>-IF($D64&lt;30,'P&amp;L Month'!BZ40*(1+'Détail CF'!$C64),IF($D64&lt;60,'P&amp;L Month'!BY40*(1+'Détail CF'!$C64),IF($D64&gt;=60,'P&amp;L Month'!BX40*(1+'Détail CF'!$C64),0)))</f>
        <v>-155.47999999999999</v>
      </c>
      <c r="BY64" s="102">
        <f>-IF($D64&lt;30,'P&amp;L Month'!CA40*(1+'Détail CF'!$C64),IF($D64&lt;60,'P&amp;L Month'!BZ40*(1+'Détail CF'!$C64),IF($D64&gt;=60,'P&amp;L Month'!BY40*(1+'Détail CF'!$C64),0)))</f>
        <v>-155.47999999999999</v>
      </c>
      <c r="BZ64" s="102">
        <f>-IF($D64&lt;30,'P&amp;L Month'!CB40*(1+'Détail CF'!$C64),IF($D64&lt;60,'P&amp;L Month'!CA40*(1+'Détail CF'!$C64),IF($D64&gt;=60,'P&amp;L Month'!BZ40*(1+'Détail CF'!$C64),0)))</f>
        <v>-155.47999999999999</v>
      </c>
      <c r="CA64" s="102">
        <f>-IF($D64&lt;30,'P&amp;L Month'!CC40*(1+'Détail CF'!$C64),IF($D64&lt;60,'P&amp;L Month'!CB40*(1+'Détail CF'!$C64),IF($D64&gt;=60,'P&amp;L Month'!CA40*(1+'Détail CF'!$C64),0)))</f>
        <v>-155.47999999999999</v>
      </c>
      <c r="CB64" s="102">
        <f>-IF($D64&lt;30,'P&amp;L Month'!CD40*(1+'Détail CF'!$C64),IF($D64&lt;60,'P&amp;L Month'!CC40*(1+'Détail CF'!$C64),IF($D64&gt;=60,'P&amp;L Month'!CB40*(1+'Détail CF'!$C64),0)))</f>
        <v>-155.47999999999999</v>
      </c>
      <c r="CC64" s="102">
        <f>-IF($D64&lt;30,'P&amp;L Month'!CE40*(1+'Détail CF'!$C64),IF($D64&lt;60,'P&amp;L Month'!CD40*(1+'Détail CF'!$C64),IF($D64&gt;=60,'P&amp;L Month'!CC40*(1+'Détail CF'!$C64),0)))</f>
        <v>-155.47999999999999</v>
      </c>
      <c r="CD64" s="102">
        <f>-IF($D64&lt;30,'P&amp;L Month'!CF40*(1+'Détail CF'!$C64),IF($D64&lt;60,'P&amp;L Month'!CE40*(1+'Détail CF'!$C64),IF($D64&gt;=60,'P&amp;L Month'!CD40*(1+'Détail CF'!$C64),0)))</f>
        <v>-155.47999999999999</v>
      </c>
      <c r="CE64" s="102">
        <f>-IF($D64&lt;30,'P&amp;L Month'!CG40*(1+'Détail CF'!$C64),IF($D64&lt;60,'P&amp;L Month'!CF40*(1+'Détail CF'!$C64),IF($D64&gt;=60,'P&amp;L Month'!CE40*(1+'Détail CF'!$C64),0)))</f>
        <v>-155.47999999999999</v>
      </c>
    </row>
    <row r="65" spans="2:83">
      <c r="B65" t="s">
        <v>170</v>
      </c>
      <c r="C65" s="182">
        <f t="shared" si="28"/>
        <v>0.19600000000000001</v>
      </c>
      <c r="D65" s="99">
        <f t="shared" si="28"/>
        <v>60</v>
      </c>
      <c r="E65" s="195" t="str">
        <f t="shared" si="28"/>
        <v>F</v>
      </c>
      <c r="F65" s="102">
        <f>-IF($D65&lt;30,'P&amp;L Month'!H41*(1+'Détail CF'!$C65),0)</f>
        <v>0</v>
      </c>
      <c r="G65" s="102">
        <f>-IF($D65&lt;30,'P&amp;L Month'!I41*(1+'Détail CF'!$C65),IF($D65&lt;60,'P&amp;L Month'!H41*(1+'Détail CF'!$C65),0))</f>
        <v>0</v>
      </c>
      <c r="H65" s="102">
        <f>-IF($D65&lt;30,'P&amp;L Month'!J41*(1+'Détail CF'!$C65),IF($D65&lt;60,'P&amp;L Month'!I41*(1+'Détail CF'!$C65),IF($D65&gt;=60,'P&amp;L Month'!H41*(1+'Détail CF'!$C65),0)))</f>
        <v>0</v>
      </c>
      <c r="I65" s="102">
        <f>-IF($D65&lt;30,'P&amp;L Month'!K41*(1+'Détail CF'!$C65),IF($D65&lt;60,'P&amp;L Month'!J41*(1+'Détail CF'!$C65),IF($D65&gt;=60,'P&amp;L Month'!I41*(1+'Détail CF'!$C65),0)))</f>
        <v>0</v>
      </c>
      <c r="J65" s="102">
        <f>-IF($D65&lt;30,'P&amp;L Month'!L41*(1+'Détail CF'!$C65),IF($D65&lt;60,'P&amp;L Month'!K41*(1+'Détail CF'!$C65),IF($D65&gt;=60,'P&amp;L Month'!J41*(1+'Détail CF'!$C65),0)))</f>
        <v>0</v>
      </c>
      <c r="K65" s="102">
        <f>-IF($D65&lt;30,'P&amp;L Month'!M41*(1+'Détail CF'!$C65),IF($D65&lt;60,'P&amp;L Month'!L41*(1+'Détail CF'!$C65),IF($D65&gt;=60,'P&amp;L Month'!K41*(1+'Détail CF'!$C65),0)))</f>
        <v>0</v>
      </c>
      <c r="L65" s="102">
        <f>-IF($D65&lt;30,'P&amp;L Month'!N41*(1+'Détail CF'!$C65),IF($D65&lt;60,'P&amp;L Month'!M41*(1+'Détail CF'!$C65),IF($D65&gt;=60,'P&amp;L Month'!L41*(1+'Détail CF'!$C65),0)))</f>
        <v>0</v>
      </c>
      <c r="M65" s="102">
        <f>-IF($D65&lt;30,'P&amp;L Month'!O41*(1+'Détail CF'!$C65),IF($D65&lt;60,'P&amp;L Month'!N41*(1+'Détail CF'!$C65),IF($D65&gt;=60,'P&amp;L Month'!M41*(1+'Détail CF'!$C65),0)))</f>
        <v>0</v>
      </c>
      <c r="N65" s="102">
        <f>-IF($D65&lt;30,'P&amp;L Month'!P41*(1+'Détail CF'!$C65),IF($D65&lt;60,'P&amp;L Month'!O41*(1+'Détail CF'!$C65),IF($D65&gt;=60,'P&amp;L Month'!N41*(1+'Détail CF'!$C65),0)))</f>
        <v>0</v>
      </c>
      <c r="O65" s="102">
        <f>-IF($D65&lt;30,'P&amp;L Month'!Q41*(1+'Détail CF'!$C65),IF($D65&lt;60,'P&amp;L Month'!P41*(1+'Détail CF'!$C65),IF($D65&gt;=60,'P&amp;L Month'!O41*(1+'Détail CF'!$C65),0)))</f>
        <v>0</v>
      </c>
      <c r="P65" s="102">
        <f>-IF($D65&lt;30,'P&amp;L Month'!R41*(1+'Détail CF'!$C65),IF($D65&lt;60,'P&amp;L Month'!Q41*(1+'Détail CF'!$C65),IF($D65&gt;=60,'P&amp;L Month'!P41*(1+'Détail CF'!$C65),0)))</f>
        <v>0</v>
      </c>
      <c r="Q65" s="102">
        <f>-IF($D65&lt;30,'P&amp;L Month'!S41*(1+'Détail CF'!$C65),IF($D65&lt;60,'P&amp;L Month'!R41*(1+'Détail CF'!$C65),IF($D65&gt;=60,'P&amp;L Month'!Q41*(1+'Détail CF'!$C65),0)))</f>
        <v>0</v>
      </c>
      <c r="R65" s="102">
        <f>-IF($D65&lt;30,'P&amp;L Month'!T41*(1+'Détail CF'!$C65),IF($D65&lt;60,'P&amp;L Month'!S41*(1+'Détail CF'!$C65),IF($D65&gt;=60,'P&amp;L Month'!R41*(1+'Détail CF'!$C65),0)))</f>
        <v>0</v>
      </c>
      <c r="S65" s="102">
        <f>-IF($D65&lt;30,'P&amp;L Month'!U41*(1+'Détail CF'!$C65),IF($D65&lt;60,'P&amp;L Month'!T41*(1+'Détail CF'!$C65),IF($D65&gt;=60,'P&amp;L Month'!S41*(1+'Détail CF'!$C65),0)))</f>
        <v>0</v>
      </c>
      <c r="T65" s="102">
        <f>-IF($D65&lt;30,'P&amp;L Month'!V41*(1+'Détail CF'!$C65),IF($D65&lt;60,'P&amp;L Month'!U41*(1+'Détail CF'!$C65),IF($D65&gt;=60,'P&amp;L Month'!T41*(1+'Détail CF'!$C65),0)))</f>
        <v>0</v>
      </c>
      <c r="U65" s="102">
        <f>-IF($D65&lt;30,'P&amp;L Month'!W41*(1+'Détail CF'!$C65),IF($D65&lt;60,'P&amp;L Month'!V41*(1+'Détail CF'!$C65),IF($D65&gt;=60,'P&amp;L Month'!U41*(1+'Détail CF'!$C65),0)))</f>
        <v>0</v>
      </c>
      <c r="V65" s="102">
        <f>-IF($D65&lt;30,'P&amp;L Month'!X41*(1+'Détail CF'!$C65),IF($D65&lt;60,'P&amp;L Month'!W41*(1+'Détail CF'!$C65),IF($D65&gt;=60,'P&amp;L Month'!V41*(1+'Détail CF'!$C65),0)))</f>
        <v>0</v>
      </c>
      <c r="W65" s="102">
        <f>-IF($D65&lt;30,'P&amp;L Month'!Y41*(1+'Détail CF'!$C65),IF($D65&lt;60,'P&amp;L Month'!X41*(1+'Détail CF'!$C65),IF($D65&gt;=60,'P&amp;L Month'!W41*(1+'Détail CF'!$C65),0)))</f>
        <v>0</v>
      </c>
      <c r="X65" s="102">
        <f>-IF($D65&lt;30,'P&amp;L Month'!Z41*(1+'Détail CF'!$C65),IF($D65&lt;60,'P&amp;L Month'!Y41*(1+'Détail CF'!$C65),IF($D65&gt;=60,'P&amp;L Month'!X41*(1+'Détail CF'!$C65),0)))</f>
        <v>0</v>
      </c>
      <c r="Y65" s="102">
        <f>-IF($D65&lt;30,'P&amp;L Month'!AA41*(1+'Détail CF'!$C65),IF($D65&lt;60,'P&amp;L Month'!Z41*(1+'Détail CF'!$C65),IF($D65&gt;=60,'P&amp;L Month'!Y41*(1+'Détail CF'!$C65),0)))</f>
        <v>0</v>
      </c>
      <c r="Z65" s="102">
        <f>-IF($D65&lt;30,'P&amp;L Month'!AB41*(1+'Détail CF'!$C65),IF($D65&lt;60,'P&amp;L Month'!AA41*(1+'Détail CF'!$C65),IF($D65&gt;=60,'P&amp;L Month'!Z41*(1+'Détail CF'!$C65),0)))</f>
        <v>-16.744</v>
      </c>
      <c r="AA65" s="102">
        <f>-IF($D65&lt;30,'P&amp;L Month'!AC41*(1+'Détail CF'!$C65),IF($D65&lt;60,'P&amp;L Month'!AB41*(1+'Détail CF'!$C65),IF($D65&gt;=60,'P&amp;L Month'!AA41*(1+'Détail CF'!$C65),0)))</f>
        <v>-16.744</v>
      </c>
      <c r="AB65" s="102">
        <f>-IF($D65&lt;30,'P&amp;L Month'!AD41*(1+'Détail CF'!$C65),IF($D65&lt;60,'P&amp;L Month'!AC41*(1+'Détail CF'!$C65),IF($D65&gt;=60,'P&amp;L Month'!AB41*(1+'Détail CF'!$C65),0)))</f>
        <v>-16.744</v>
      </c>
      <c r="AC65" s="102">
        <f>-IF($D65&lt;30,'P&amp;L Month'!AE41*(1+'Détail CF'!$C65),IF($D65&lt;60,'P&amp;L Month'!AD41*(1+'Détail CF'!$C65),IF($D65&gt;=60,'P&amp;L Month'!AC41*(1+'Détail CF'!$C65),0)))</f>
        <v>-16.744</v>
      </c>
      <c r="AD65" s="102">
        <f>-IF($D65&lt;30,'P&amp;L Month'!AF41*(1+'Détail CF'!$C65),IF($D65&lt;60,'P&amp;L Month'!AE41*(1+'Détail CF'!$C65),IF($D65&gt;=60,'P&amp;L Month'!AD41*(1+'Détail CF'!$C65),0)))</f>
        <v>-16.744</v>
      </c>
      <c r="AE65" s="102">
        <f>-IF($D65&lt;30,'P&amp;L Month'!AG41*(1+'Détail CF'!$C65),IF($D65&lt;60,'P&amp;L Month'!AF41*(1+'Détail CF'!$C65),IF($D65&gt;=60,'P&amp;L Month'!AE41*(1+'Détail CF'!$C65),0)))</f>
        <v>-16.744</v>
      </c>
      <c r="AF65" s="102">
        <f>-IF($D65&lt;30,'P&amp;L Month'!AH41*(1+'Détail CF'!$C65),IF($D65&lt;60,'P&amp;L Month'!AG41*(1+'Détail CF'!$C65),IF($D65&gt;=60,'P&amp;L Month'!AF41*(1+'Détail CF'!$C65),0)))</f>
        <v>-16.744</v>
      </c>
      <c r="AG65" s="102">
        <f>-IF($D65&lt;30,'P&amp;L Month'!AI41*(1+'Détail CF'!$C65),IF($D65&lt;60,'P&amp;L Month'!AH41*(1+'Détail CF'!$C65),IF($D65&gt;=60,'P&amp;L Month'!AG41*(1+'Détail CF'!$C65),0)))</f>
        <v>-16.744</v>
      </c>
      <c r="AH65" s="102">
        <f>-IF($D65&lt;30,'P&amp;L Month'!AJ41*(1+'Détail CF'!$C65),IF($D65&lt;60,'P&amp;L Month'!AI41*(1+'Détail CF'!$C65),IF($D65&gt;=60,'P&amp;L Month'!AH41*(1+'Détail CF'!$C65),0)))</f>
        <v>-25.116</v>
      </c>
      <c r="AI65" s="102">
        <f>-IF($D65&lt;30,'P&amp;L Month'!AK41*(1+'Détail CF'!$C65),IF($D65&lt;60,'P&amp;L Month'!AJ41*(1+'Détail CF'!$C65),IF($D65&gt;=60,'P&amp;L Month'!AI41*(1+'Détail CF'!$C65),0)))</f>
        <v>-33.488</v>
      </c>
      <c r="AJ65" s="102">
        <f>-IF($D65&lt;30,'P&amp;L Month'!AL41*(1+'Détail CF'!$C65),IF($D65&lt;60,'P&amp;L Month'!AK41*(1+'Détail CF'!$C65),IF($D65&gt;=60,'P&amp;L Month'!AJ41*(1+'Détail CF'!$C65),0)))</f>
        <v>-33.488</v>
      </c>
      <c r="AK65" s="102">
        <f>-IF($D65&lt;30,'P&amp;L Month'!AM41*(1+'Détail CF'!$C65),IF($D65&lt;60,'P&amp;L Month'!AL41*(1+'Détail CF'!$C65),IF($D65&gt;=60,'P&amp;L Month'!AK41*(1+'Détail CF'!$C65),0)))</f>
        <v>-41.86</v>
      </c>
      <c r="AL65" s="102">
        <f>-IF($D65&lt;30,'P&amp;L Month'!AN41*(1+'Détail CF'!$C65),IF($D65&lt;60,'P&amp;L Month'!AM41*(1+'Détail CF'!$C65),IF($D65&gt;=60,'P&amp;L Month'!AL41*(1+'Détail CF'!$C65),0)))</f>
        <v>-58.603999999999999</v>
      </c>
      <c r="AM65" s="102">
        <f>-IF($D65&lt;30,'P&amp;L Month'!AO41*(1+'Détail CF'!$C65),IF($D65&lt;60,'P&amp;L Month'!AN41*(1+'Détail CF'!$C65),IF($D65&gt;=60,'P&amp;L Month'!AM41*(1+'Détail CF'!$C65),0)))</f>
        <v>-66.975999999999999</v>
      </c>
      <c r="AN65" s="102">
        <f>-IF($D65&lt;30,'P&amp;L Month'!AP41*(1+'Détail CF'!$C65),IF($D65&lt;60,'P&amp;L Month'!AO41*(1+'Détail CF'!$C65),IF($D65&gt;=60,'P&amp;L Month'!AN41*(1+'Détail CF'!$C65),0)))</f>
        <v>-83.72</v>
      </c>
      <c r="AO65" s="102">
        <f>-IF($D65&lt;30,'P&amp;L Month'!AQ41*(1+'Détail CF'!$C65),IF($D65&lt;60,'P&amp;L Month'!AP41*(1+'Détail CF'!$C65),IF($D65&gt;=60,'P&amp;L Month'!AO41*(1+'Détail CF'!$C65),0)))</f>
        <v>-83.72</v>
      </c>
      <c r="AP65" s="102">
        <f>-IF($D65&lt;30,'P&amp;L Month'!AR41*(1+'Détail CF'!$C65),IF($D65&lt;60,'P&amp;L Month'!AQ41*(1+'Détail CF'!$C65),IF($D65&gt;=60,'P&amp;L Month'!AP41*(1+'Détail CF'!$C65),0)))</f>
        <v>-92.091999999999999</v>
      </c>
      <c r="AQ65" s="102">
        <f>-IF($D65&lt;30,'P&amp;L Month'!AS41*(1+'Détail CF'!$C65),IF($D65&lt;60,'P&amp;L Month'!AR41*(1+'Détail CF'!$C65),IF($D65&gt;=60,'P&amp;L Month'!AQ41*(1+'Détail CF'!$C65),0)))</f>
        <v>-108.836</v>
      </c>
      <c r="AR65" s="102">
        <f>-IF($D65&lt;30,'P&amp;L Month'!AT41*(1+'Détail CF'!$C65),IF($D65&lt;60,'P&amp;L Month'!AS41*(1+'Détail CF'!$C65),IF($D65&gt;=60,'P&amp;L Month'!AR41*(1+'Détail CF'!$C65),0)))</f>
        <v>-117.208</v>
      </c>
      <c r="AS65" s="102">
        <f>-IF($D65&lt;30,'P&amp;L Month'!AU41*(1+'Détail CF'!$C65),IF($D65&lt;60,'P&amp;L Month'!AT41*(1+'Détail CF'!$C65),IF($D65&gt;=60,'P&amp;L Month'!AS41*(1+'Détail CF'!$C65),0)))</f>
        <v>-117.208</v>
      </c>
      <c r="AT65" s="102">
        <f>-IF($D65&lt;30,'P&amp;L Month'!AV41*(1+'Détail CF'!$C65),IF($D65&lt;60,'P&amp;L Month'!AU41*(1+'Détail CF'!$C65),IF($D65&gt;=60,'P&amp;L Month'!AT41*(1+'Détail CF'!$C65),0)))</f>
        <v>-142.32399999999998</v>
      </c>
      <c r="AU65" s="102">
        <f>-IF($D65&lt;30,'P&amp;L Month'!AW41*(1+'Détail CF'!$C65),IF($D65&lt;60,'P&amp;L Month'!AV41*(1+'Détail CF'!$C65),IF($D65&gt;=60,'P&amp;L Month'!AU41*(1+'Détail CF'!$C65),0)))</f>
        <v>-142.32399999999998</v>
      </c>
      <c r="AV65" s="102">
        <f>-IF($D65&lt;30,'P&amp;L Month'!AX41*(1+'Détail CF'!$C65),IF($D65&lt;60,'P&amp;L Month'!AW41*(1+'Détail CF'!$C65),IF($D65&gt;=60,'P&amp;L Month'!AV41*(1+'Détail CF'!$C65),0)))</f>
        <v>-142.32399999999998</v>
      </c>
      <c r="AW65" s="102">
        <f>-IF($D65&lt;30,'P&amp;L Month'!AY41*(1+'Détail CF'!$C65),IF($D65&lt;60,'P&amp;L Month'!AX41*(1+'Détail CF'!$C65),IF($D65&gt;=60,'P&amp;L Month'!AW41*(1+'Détail CF'!$C65),0)))</f>
        <v>-142.32399999999998</v>
      </c>
      <c r="AX65" s="102">
        <f>-IF($D65&lt;30,'P&amp;L Month'!AZ41*(1+'Détail CF'!$C65),IF($D65&lt;60,'P&amp;L Month'!AY41*(1+'Détail CF'!$C65),IF($D65&gt;=60,'P&amp;L Month'!AX41*(1+'Détail CF'!$C65),0)))</f>
        <v>-167.44</v>
      </c>
      <c r="AY65" s="102">
        <f>-IF($D65&lt;30,'P&amp;L Month'!BA41*(1+'Détail CF'!$C65),IF($D65&lt;60,'P&amp;L Month'!AZ41*(1+'Détail CF'!$C65),IF($D65&gt;=60,'P&amp;L Month'!AY41*(1+'Détail CF'!$C65),0)))</f>
        <v>-167.44</v>
      </c>
      <c r="AZ65" s="102">
        <f>-IF($D65&lt;30,'P&amp;L Month'!BB41*(1+'Détail CF'!$C65),IF($D65&lt;60,'P&amp;L Month'!BA41*(1+'Détail CF'!$C65),IF($D65&gt;=60,'P&amp;L Month'!AZ41*(1+'Détail CF'!$C65),0)))</f>
        <v>-167.44</v>
      </c>
      <c r="BA65" s="102">
        <f>-IF($D65&lt;30,'P&amp;L Month'!BC41*(1+'Détail CF'!$C65),IF($D65&lt;60,'P&amp;L Month'!BB41*(1+'Détail CF'!$C65),IF($D65&gt;=60,'P&amp;L Month'!BA41*(1+'Détail CF'!$C65),0)))</f>
        <v>-167.44</v>
      </c>
      <c r="BB65" s="102">
        <f>-IF($D65&lt;30,'P&amp;L Month'!BD41*(1+'Détail CF'!$C65),IF($D65&lt;60,'P&amp;L Month'!BC41*(1+'Détail CF'!$C65),IF($D65&gt;=60,'P&amp;L Month'!BB41*(1+'Détail CF'!$C65),0)))</f>
        <v>-175.81199999999998</v>
      </c>
      <c r="BC65" s="102">
        <f>-IF($D65&lt;30,'P&amp;L Month'!BE41*(1+'Détail CF'!$C65),IF($D65&lt;60,'P&amp;L Month'!BD41*(1+'Détail CF'!$C65),IF($D65&gt;=60,'P&amp;L Month'!BC41*(1+'Détail CF'!$C65),0)))</f>
        <v>-175.81199999999998</v>
      </c>
      <c r="BD65" s="102">
        <f>-IF($D65&lt;30,'P&amp;L Month'!BF41*(1+'Détail CF'!$C65),IF($D65&lt;60,'P&amp;L Month'!BE41*(1+'Détail CF'!$C65),IF($D65&gt;=60,'P&amp;L Month'!BD41*(1+'Détail CF'!$C65),0)))</f>
        <v>-192.55599999999998</v>
      </c>
      <c r="BE65" s="102">
        <f>-IF($D65&lt;30,'P&amp;L Month'!BG41*(1+'Détail CF'!$C65),IF($D65&lt;60,'P&amp;L Month'!BF41*(1+'Détail CF'!$C65),IF($D65&gt;=60,'P&amp;L Month'!BE41*(1+'Détail CF'!$C65),0)))</f>
        <v>-192.55599999999998</v>
      </c>
      <c r="BF65" s="102">
        <f>-IF($D65&lt;30,'P&amp;L Month'!BH41*(1+'Détail CF'!$C65),IF($D65&lt;60,'P&amp;L Month'!BG41*(1+'Détail CF'!$C65),IF($D65&gt;=60,'P&amp;L Month'!BF41*(1+'Détail CF'!$C65),0)))</f>
        <v>-200.928</v>
      </c>
      <c r="BG65" s="102">
        <f>-IF($D65&lt;30,'P&amp;L Month'!BI41*(1+'Détail CF'!$C65),IF($D65&lt;60,'P&amp;L Month'!BH41*(1+'Détail CF'!$C65),IF($D65&gt;=60,'P&amp;L Month'!BG41*(1+'Détail CF'!$C65),0)))</f>
        <v>-200.928</v>
      </c>
      <c r="BH65" s="102">
        <f>-IF($D65&lt;30,'P&amp;L Month'!BJ41*(1+'Détail CF'!$C65),IF($D65&lt;60,'P&amp;L Month'!BI41*(1+'Détail CF'!$C65),IF($D65&gt;=60,'P&amp;L Month'!BH41*(1+'Détail CF'!$C65),0)))</f>
        <v>-209.29999999999998</v>
      </c>
      <c r="BI65" s="102">
        <f>-IF($D65&lt;30,'P&amp;L Month'!BK41*(1+'Détail CF'!$C65),IF($D65&lt;60,'P&amp;L Month'!BJ41*(1+'Détail CF'!$C65),IF($D65&gt;=60,'P&amp;L Month'!BI41*(1+'Détail CF'!$C65),0)))</f>
        <v>-209.29999999999998</v>
      </c>
      <c r="BJ65" s="102">
        <f>-IF($D65&lt;30,'P&amp;L Month'!BL41*(1+'Détail CF'!$C65),IF($D65&lt;60,'P&amp;L Month'!BK41*(1+'Détail CF'!$C65),IF($D65&gt;=60,'P&amp;L Month'!BJ41*(1+'Détail CF'!$C65),0)))</f>
        <v>-209.29999999999998</v>
      </c>
      <c r="BK65" s="102">
        <f>-IF($D65&lt;30,'P&amp;L Month'!BM41*(1+'Détail CF'!$C65),IF($D65&lt;60,'P&amp;L Month'!BL41*(1+'Détail CF'!$C65),IF($D65&gt;=60,'P&amp;L Month'!BK41*(1+'Détail CF'!$C65),0)))</f>
        <v>-209.29999999999998</v>
      </c>
      <c r="BL65" s="102">
        <f>-IF($D65&lt;30,'P&amp;L Month'!BN41*(1+'Détail CF'!$C65),IF($D65&lt;60,'P&amp;L Month'!BM41*(1+'Détail CF'!$C65),IF($D65&gt;=60,'P&amp;L Month'!BL41*(1+'Détail CF'!$C65),0)))</f>
        <v>-209.29999999999998</v>
      </c>
      <c r="BM65" s="102">
        <f>-IF($D65&lt;30,'P&amp;L Month'!BO41*(1+'Détail CF'!$C65),IF($D65&lt;60,'P&amp;L Month'!BN41*(1+'Détail CF'!$C65),IF($D65&gt;=60,'P&amp;L Month'!BM41*(1+'Détail CF'!$C65),0)))</f>
        <v>-209.29999999999998</v>
      </c>
      <c r="BN65" s="102">
        <f>-IF($D65&lt;30,'P&amp;L Month'!BP41*(1+'Détail CF'!$C65),IF($D65&lt;60,'P&amp;L Month'!BO41*(1+'Détail CF'!$C65),IF($D65&gt;=60,'P&amp;L Month'!BN41*(1+'Détail CF'!$C65),0)))</f>
        <v>-217.672</v>
      </c>
      <c r="BO65" s="102">
        <f>-IF($D65&lt;30,'P&amp;L Month'!BQ41*(1+'Détail CF'!$C65),IF($D65&lt;60,'P&amp;L Month'!BP41*(1+'Détail CF'!$C65),IF($D65&gt;=60,'P&amp;L Month'!BO41*(1+'Détail CF'!$C65),0)))</f>
        <v>-217.672</v>
      </c>
      <c r="BP65" s="102">
        <f>-IF($D65&lt;30,'P&amp;L Month'!BR41*(1+'Détail CF'!$C65),IF($D65&lt;60,'P&amp;L Month'!BQ41*(1+'Détail CF'!$C65),IF($D65&gt;=60,'P&amp;L Month'!BP41*(1+'Détail CF'!$C65),0)))</f>
        <v>-217.672</v>
      </c>
      <c r="BQ65" s="102">
        <f>-IF($D65&lt;30,'P&amp;L Month'!BS41*(1+'Détail CF'!$C65),IF($D65&lt;60,'P&amp;L Month'!BR41*(1+'Détail CF'!$C65),IF($D65&gt;=60,'P&amp;L Month'!BQ41*(1+'Détail CF'!$C65),0)))</f>
        <v>-217.672</v>
      </c>
      <c r="BR65" s="102">
        <f>-IF($D65&lt;30,'P&amp;L Month'!BT41*(1+'Détail CF'!$C65),IF($D65&lt;60,'P&amp;L Month'!BS41*(1+'Détail CF'!$C65),IF($D65&gt;=60,'P&amp;L Month'!BR41*(1+'Détail CF'!$C65),0)))</f>
        <v>-217.672</v>
      </c>
      <c r="BS65" s="102">
        <f>-IF($D65&lt;30,'P&amp;L Month'!BU41*(1+'Détail CF'!$C65),IF($D65&lt;60,'P&amp;L Month'!BT41*(1+'Détail CF'!$C65),IF($D65&gt;=60,'P&amp;L Month'!BS41*(1+'Détail CF'!$C65),0)))</f>
        <v>-217.672</v>
      </c>
      <c r="BT65" s="102">
        <f>-IF($D65&lt;30,'P&amp;L Month'!BV41*(1+'Détail CF'!$C65),IF($D65&lt;60,'P&amp;L Month'!BU41*(1+'Détail CF'!$C65),IF($D65&gt;=60,'P&amp;L Month'!BT41*(1+'Détail CF'!$C65),0)))</f>
        <v>-217.672</v>
      </c>
      <c r="BU65" s="102">
        <f>-IF($D65&lt;30,'P&amp;L Month'!BW41*(1+'Détail CF'!$C65),IF($D65&lt;60,'P&amp;L Month'!BV41*(1+'Détail CF'!$C65),IF($D65&gt;=60,'P&amp;L Month'!BU41*(1+'Détail CF'!$C65),0)))</f>
        <v>-217.672</v>
      </c>
      <c r="BV65" s="102">
        <f>-IF($D65&lt;30,'P&amp;L Month'!BX41*(1+'Détail CF'!$C65),IF($D65&lt;60,'P&amp;L Month'!BW41*(1+'Détail CF'!$C65),IF($D65&gt;=60,'P&amp;L Month'!BV41*(1+'Détail CF'!$C65),0)))</f>
        <v>-217.672</v>
      </c>
      <c r="BW65" s="102">
        <f>-IF($D65&lt;30,'P&amp;L Month'!BY41*(1+'Détail CF'!$C65),IF($D65&lt;60,'P&amp;L Month'!BX41*(1+'Détail CF'!$C65),IF($D65&gt;=60,'P&amp;L Month'!BW41*(1+'Détail CF'!$C65),0)))</f>
        <v>-217.672</v>
      </c>
      <c r="BX65" s="102">
        <f>-IF($D65&lt;30,'P&amp;L Month'!BZ41*(1+'Détail CF'!$C65),IF($D65&lt;60,'P&amp;L Month'!BY41*(1+'Détail CF'!$C65),IF($D65&gt;=60,'P&amp;L Month'!BX41*(1+'Détail CF'!$C65),0)))</f>
        <v>-217.672</v>
      </c>
      <c r="BY65" s="102">
        <f>-IF($D65&lt;30,'P&amp;L Month'!CA41*(1+'Détail CF'!$C65),IF($D65&lt;60,'P&amp;L Month'!BZ41*(1+'Détail CF'!$C65),IF($D65&gt;=60,'P&amp;L Month'!BY41*(1+'Détail CF'!$C65),0)))</f>
        <v>-217.672</v>
      </c>
      <c r="BZ65" s="102">
        <f>-IF($D65&lt;30,'P&amp;L Month'!CB41*(1+'Détail CF'!$C65),IF($D65&lt;60,'P&amp;L Month'!CA41*(1+'Détail CF'!$C65),IF($D65&gt;=60,'P&amp;L Month'!BZ41*(1+'Détail CF'!$C65),0)))</f>
        <v>-217.672</v>
      </c>
      <c r="CA65" s="102">
        <f>-IF($D65&lt;30,'P&amp;L Month'!CC41*(1+'Détail CF'!$C65),IF($D65&lt;60,'P&amp;L Month'!CB41*(1+'Détail CF'!$C65),IF($D65&gt;=60,'P&amp;L Month'!CA41*(1+'Détail CF'!$C65),0)))</f>
        <v>-217.672</v>
      </c>
      <c r="CB65" s="102">
        <f>-IF($D65&lt;30,'P&amp;L Month'!CD41*(1+'Détail CF'!$C65),IF($D65&lt;60,'P&amp;L Month'!CC41*(1+'Détail CF'!$C65),IF($D65&gt;=60,'P&amp;L Month'!CB41*(1+'Détail CF'!$C65),0)))</f>
        <v>-217.672</v>
      </c>
      <c r="CC65" s="102">
        <f>-IF($D65&lt;30,'P&amp;L Month'!CE41*(1+'Détail CF'!$C65),IF($D65&lt;60,'P&amp;L Month'!CD41*(1+'Détail CF'!$C65),IF($D65&gt;=60,'P&amp;L Month'!CC41*(1+'Détail CF'!$C65),0)))</f>
        <v>-217.672</v>
      </c>
      <c r="CD65" s="102">
        <f>-IF($D65&lt;30,'P&amp;L Month'!CF41*(1+'Détail CF'!$C65),IF($D65&lt;60,'P&amp;L Month'!CE41*(1+'Détail CF'!$C65),IF($D65&gt;=60,'P&amp;L Month'!CD41*(1+'Détail CF'!$C65),0)))</f>
        <v>-217.672</v>
      </c>
      <c r="CE65" s="102">
        <f>-IF($D65&lt;30,'P&amp;L Month'!CG41*(1+'Détail CF'!$C65),IF($D65&lt;60,'P&amp;L Month'!CF41*(1+'Détail CF'!$C65),IF($D65&gt;=60,'P&amp;L Month'!CE41*(1+'Détail CF'!$C65),0)))</f>
        <v>-217.672</v>
      </c>
    </row>
    <row r="66" spans="2:83">
      <c r="B66" t="s">
        <v>294</v>
      </c>
      <c r="C66" s="182">
        <f t="shared" si="28"/>
        <v>0.19600000000000001</v>
      </c>
      <c r="D66" s="196">
        <f t="shared" si="28"/>
        <v>30</v>
      </c>
      <c r="E66" s="195" t="str">
        <f t="shared" si="28"/>
        <v>F</v>
      </c>
      <c r="F66" s="102">
        <f>-IF($D66&lt;30,fincmt!D6*(1+'Détail CF'!$C66),0)</f>
        <v>0</v>
      </c>
      <c r="G66" s="102">
        <f>-IF($D66&lt;30,fincmt!E6*(1+'Détail CF'!$C66),IF($D66&lt;60,fincmt!D6*(1+'Détail CF'!$C66),0))</f>
        <v>0</v>
      </c>
      <c r="H66" s="102">
        <f>-IF($D66&lt;30,fincmt!F6*(1+'Détail CF'!$C66),IF($D66&lt;60,fincmt!E6*(1+'Détail CF'!$C66),IF($D66&gt;=60,fincmt!D6*(1+'Détail CF'!$C66),0)))</f>
        <v>0</v>
      </c>
      <c r="I66" s="102">
        <f>-IF($D66&lt;30,fincmt!G6*(1+'Détail CF'!$C66),IF($D66&lt;60,fincmt!F6*(1+'Détail CF'!$C66),IF($D66&gt;=60,fincmt!E6*(1+'Détail CF'!$C66),0)))</f>
        <v>0</v>
      </c>
      <c r="J66" s="102">
        <f>-IF($D66&lt;30,fincmt!H6*(1+'Détail CF'!$C66),IF($D66&lt;60,fincmt!G6*(1+'Détail CF'!$C66),IF($D66&gt;=60,fincmt!F6*(1+'Détail CF'!$C66),0)))</f>
        <v>0</v>
      </c>
      <c r="K66" s="102">
        <f>-IF($D66&lt;30,fincmt!I6*(1+'Détail CF'!$C66),IF($D66&lt;60,fincmt!H6*(1+'Détail CF'!$C66),IF($D66&gt;=60,fincmt!G6*(1+'Détail CF'!$C66),0)))</f>
        <v>0</v>
      </c>
      <c r="L66" s="102">
        <f>-IF($D66&lt;30,fincmt!J6*(1+'Détail CF'!$C66),IF($D66&lt;60,fincmt!I6*(1+'Détail CF'!$C66),IF($D66&gt;=60,fincmt!H6*(1+'Détail CF'!$C66),0)))</f>
        <v>0</v>
      </c>
      <c r="M66" s="102">
        <f>-IF($D66&lt;30,fincmt!K6*(1+'Détail CF'!$C66),IF($D66&lt;60,fincmt!J6*(1+'Détail CF'!$C66),IF($D66&gt;=60,fincmt!I6*(1+'Détail CF'!$C66),0)))</f>
        <v>0</v>
      </c>
      <c r="N66" s="102">
        <f>-IF($D66&lt;30,fincmt!L6*(1+'Détail CF'!$C66),IF($D66&lt;60,fincmt!K6*(1+'Détail CF'!$C66),IF($D66&gt;=60,fincmt!J6*(1+'Détail CF'!$C66),0)))</f>
        <v>0</v>
      </c>
      <c r="O66" s="102">
        <f>-IF($D66&lt;30,fincmt!M6*(1+'Détail CF'!$C66),IF($D66&lt;60,fincmt!L6*(1+'Détail CF'!$C66),IF($D66&gt;=60,fincmt!K6*(1+'Détail CF'!$C66),0)))</f>
        <v>0</v>
      </c>
      <c r="P66" s="102">
        <f>-IF($D66&lt;30,fincmt!N6*(1+'Détail CF'!$C66),IF($D66&lt;60,fincmt!M6*(1+'Détail CF'!$C66),IF($D66&gt;=60,fincmt!L6*(1+'Détail CF'!$C66),0)))</f>
        <v>0</v>
      </c>
      <c r="Q66" s="102">
        <f>-IF($D66&lt;30,fincmt!O6*(1+'Détail CF'!$C66),IF($D66&lt;60,fincmt!N6*(1+'Détail CF'!$C66),IF($D66&gt;=60,fincmt!M6*(1+'Détail CF'!$C66),0)))</f>
        <v>0</v>
      </c>
      <c r="R66" s="102">
        <f>-IF($D66&lt;30,fincmt!P6*(1+'Détail CF'!$C66),IF($D66&lt;60,fincmt!O6*(1+'Détail CF'!$C66),IF($D66&gt;=60,fincmt!N6*(1+'Détail CF'!$C66),0)))</f>
        <v>0</v>
      </c>
      <c r="S66" s="102">
        <f>-IF($D66&lt;30,fincmt!Q6*(1+'Détail CF'!$C66),IF($D66&lt;60,fincmt!P6*(1+'Détail CF'!$C66),IF($D66&gt;=60,fincmt!O6*(1+'Détail CF'!$C66),0)))</f>
        <v>0</v>
      </c>
      <c r="T66" s="102">
        <f>-IF($D66&lt;30,fincmt!R6*(1+'Détail CF'!$C66),IF($D66&lt;60,fincmt!Q6*(1+'Détail CF'!$C66),IF($D66&gt;=60,fincmt!P6*(1+'Détail CF'!$C66),0)))</f>
        <v>0</v>
      </c>
      <c r="U66" s="102">
        <f>-IF($D66&lt;30,fincmt!S6*(1+'Détail CF'!$C66),IF($D66&lt;60,fincmt!R6*(1+'Détail CF'!$C66),IF($D66&gt;=60,fincmt!Q6*(1+'Détail CF'!$C66),0)))</f>
        <v>0</v>
      </c>
      <c r="V66" s="102">
        <f>-IF($D66&lt;30,fincmt!T6*(1+'Détail CF'!$C66),IF($D66&lt;60,fincmt!S6*(1+'Détail CF'!$C66),IF($D66&gt;=60,fincmt!R6*(1+'Détail CF'!$C66),0)))</f>
        <v>0</v>
      </c>
      <c r="W66" s="102">
        <f>-IF($D66&lt;30,fincmt!U6*(1+'Détail CF'!$C66),IF($D66&lt;60,fincmt!T6*(1+'Détail CF'!$C66),IF($D66&gt;=60,fincmt!S6*(1+'Détail CF'!$C66),0)))</f>
        <v>0</v>
      </c>
      <c r="X66" s="102">
        <f>-IF($D66&lt;30,fincmt!V6*(1+'Détail CF'!$C66),IF($D66&lt;60,fincmt!U6*(1+'Détail CF'!$C66),IF($D66&gt;=60,fincmt!T6*(1+'Détail CF'!$C66),0)))</f>
        <v>-299000</v>
      </c>
      <c r="Y66" s="102">
        <f>-IF($D66&lt;30,fincmt!W6*(1+'Détail CF'!$C66),IF($D66&lt;60,fincmt!V6*(1+'Détail CF'!$C66),IF($D66&gt;=60,fincmt!U6*(1+'Détail CF'!$C66),0)))</f>
        <v>0</v>
      </c>
      <c r="Z66" s="102">
        <f>-IF($D66&lt;30,fincmt!X6*(1+'Détail CF'!$C66),IF($D66&lt;60,fincmt!W6*(1+'Détail CF'!$C66),IF($D66&gt;=60,fincmt!V6*(1+'Détail CF'!$C66),0)))</f>
        <v>0</v>
      </c>
      <c r="AA66" s="102">
        <f>-IF($D66&lt;30,fincmt!Y6*(1+'Détail CF'!$C66),IF($D66&lt;60,fincmt!X6*(1+'Détail CF'!$C66),IF($D66&gt;=60,fincmt!W6*(1+'Détail CF'!$C66),0)))</f>
        <v>0</v>
      </c>
      <c r="AB66" s="102">
        <f>-IF($D66&lt;30,fincmt!Z6*(1+'Détail CF'!$C66),IF($D66&lt;60,fincmt!Y6*(1+'Détail CF'!$C66),IF($D66&gt;=60,fincmt!X6*(1+'Détail CF'!$C66),0)))</f>
        <v>0</v>
      </c>
      <c r="AC66" s="102">
        <f>-IF($D66&lt;30,fincmt!AA6*(1+'Détail CF'!$C66),IF($D66&lt;60,fincmt!Z6*(1+'Détail CF'!$C66),IF($D66&gt;=60,fincmt!Y6*(1+'Détail CF'!$C66),0)))</f>
        <v>0</v>
      </c>
      <c r="AD66" s="102">
        <f>-IF($D66&lt;30,fincmt!AB6*(1+'Détail CF'!$C66),IF($D66&lt;60,fincmt!AA6*(1+'Détail CF'!$C66),IF($D66&gt;=60,fincmt!Z6*(1+'Détail CF'!$C66),0)))</f>
        <v>0</v>
      </c>
      <c r="AE66" s="102">
        <f>-IF($D66&lt;30,fincmt!AC6*(1+'Détail CF'!$C66),IF($D66&lt;60,fincmt!AB6*(1+'Détail CF'!$C66),IF($D66&gt;=60,fincmt!AA6*(1+'Détail CF'!$C66),0)))</f>
        <v>0</v>
      </c>
      <c r="AF66" s="102">
        <f>-IF($D66&lt;30,fincmt!AD6*(1+'Détail CF'!$C66),IF($D66&lt;60,fincmt!AC6*(1+'Détail CF'!$C66),IF($D66&gt;=60,fincmt!AB6*(1+'Détail CF'!$C66),0)))</f>
        <v>0</v>
      </c>
      <c r="AG66" s="102">
        <f>-IF($D66&lt;30,fincmt!AE6*(1+'Détail CF'!$C66),IF($D66&lt;60,fincmt!AD6*(1+'Détail CF'!$C66),IF($D66&gt;=60,fincmt!AC6*(1+'Détail CF'!$C66),0)))</f>
        <v>-9568</v>
      </c>
      <c r="AH66" s="102">
        <f>-IF($D66&lt;30,fincmt!AF6*(1+'Détail CF'!$C66),IF($D66&lt;60,fincmt!AE6*(1+'Détail CF'!$C66),IF($D66&gt;=60,fincmt!AD6*(1+'Détail CF'!$C66),0)))</f>
        <v>0</v>
      </c>
      <c r="AI66" s="102">
        <f>-IF($D66&lt;30,fincmt!AG6*(1+'Détail CF'!$C66),IF($D66&lt;60,fincmt!AF6*(1+'Détail CF'!$C66),IF($D66&gt;=60,fincmt!AE6*(1+'Détail CF'!$C66),0)))</f>
        <v>0</v>
      </c>
      <c r="AJ66" s="102">
        <f>-IF($D66&lt;30,fincmt!AH6*(1+'Détail CF'!$C66),IF($D66&lt;60,fincmt!AG6*(1+'Détail CF'!$C66),IF($D66&gt;=60,fincmt!AF6*(1+'Détail CF'!$C66),0)))</f>
        <v>0</v>
      </c>
      <c r="AK66" s="102">
        <f>-IF($D66&lt;30,fincmt!AI6*(1+'Détail CF'!$C66),IF($D66&lt;60,fincmt!AH6*(1+'Détail CF'!$C66),IF($D66&gt;=60,fincmt!AG6*(1+'Détail CF'!$C66),0)))</f>
        <v>0</v>
      </c>
      <c r="AL66" s="102">
        <f>-IF($D66&lt;30,fincmt!AJ6*(1+'Détail CF'!$C66),IF($D66&lt;60,fincmt!AI6*(1+'Détail CF'!$C66),IF($D66&gt;=60,fincmt!AH6*(1+'Détail CF'!$C66),0)))</f>
        <v>0</v>
      </c>
      <c r="AM66" s="102">
        <f>-IF($D66&lt;30,fincmt!AK6*(1+'Détail CF'!$C66),IF($D66&lt;60,fincmt!AJ6*(1+'Détail CF'!$C66),IF($D66&gt;=60,fincmt!AI6*(1+'Détail CF'!$C66),0)))</f>
        <v>0</v>
      </c>
      <c r="AN66" s="102">
        <f>-IF($D66&lt;30,fincmt!AL6*(1+'Détail CF'!$C66),IF($D66&lt;60,fincmt!AK6*(1+'Détail CF'!$C66),IF($D66&gt;=60,fincmt!AJ6*(1+'Détail CF'!$C66),0)))</f>
        <v>0</v>
      </c>
      <c r="AO66" s="102">
        <f>-IF($D66&lt;30,fincmt!AM6*(1+'Détail CF'!$C66),IF($D66&lt;60,fincmt!AL6*(1+'Détail CF'!$C66),IF($D66&gt;=60,fincmt!AK6*(1+'Détail CF'!$C66),0)))</f>
        <v>0</v>
      </c>
      <c r="AP66" s="102">
        <f>-IF($D66&lt;30,fincmt!AN6*(1+'Détail CF'!$C66),IF($D66&lt;60,fincmt!AM6*(1+'Détail CF'!$C66),IF($D66&gt;=60,fincmt!AL6*(1+'Détail CF'!$C66),0)))</f>
        <v>0</v>
      </c>
      <c r="AQ66" s="102">
        <f>-IF($D66&lt;30,fincmt!AO6*(1+'Détail CF'!$C66),IF($D66&lt;60,fincmt!AN6*(1+'Détail CF'!$C66),IF($D66&gt;=60,fincmt!AM6*(1+'Détail CF'!$C66),0)))</f>
        <v>-28704</v>
      </c>
      <c r="AR66" s="102">
        <f>-IF($D66&lt;30,fincmt!AP6*(1+'Détail CF'!$C66),IF($D66&lt;60,fincmt!AO6*(1+'Détail CF'!$C66),IF($D66&gt;=60,fincmt!AN6*(1+'Détail CF'!$C66),0)))</f>
        <v>0</v>
      </c>
      <c r="AS66" s="102">
        <f>-IF($D66&lt;30,fincmt!AQ6*(1+'Détail CF'!$C66),IF($D66&lt;60,fincmt!AP6*(1+'Détail CF'!$C66),IF($D66&gt;=60,fincmt!AO6*(1+'Détail CF'!$C66),0)))</f>
        <v>0</v>
      </c>
      <c r="AT66" s="102">
        <f>-IF($D66&lt;30,fincmt!AR6*(1+'Détail CF'!$C66),IF($D66&lt;60,fincmt!AQ6*(1+'Détail CF'!$C66),IF($D66&gt;=60,fincmt!AP6*(1+'Détail CF'!$C66),0)))</f>
        <v>0</v>
      </c>
      <c r="AU66" s="102">
        <f>-IF($D66&lt;30,fincmt!AS6*(1+'Détail CF'!$C66),IF($D66&lt;60,fincmt!AR6*(1+'Détail CF'!$C66),IF($D66&gt;=60,fincmt!AQ6*(1+'Détail CF'!$C66),0)))</f>
        <v>0</v>
      </c>
      <c r="AV66" s="102">
        <f>-IF($D66&lt;30,fincmt!AT6*(1+'Détail CF'!$C66),IF($D66&lt;60,fincmt!AS6*(1+'Détail CF'!$C66),IF($D66&gt;=60,fincmt!AR6*(1+'Détail CF'!$C66),0)))</f>
        <v>0</v>
      </c>
      <c r="AW66" s="102">
        <f>-IF($D66&lt;30,fincmt!AU6*(1+'Détail CF'!$C66),IF($D66&lt;60,fincmt!AT6*(1+'Détail CF'!$C66),IF($D66&gt;=60,fincmt!AS6*(1+'Détail CF'!$C66),0)))</f>
        <v>0</v>
      </c>
      <c r="AX66" s="102">
        <f>-IF($D66&lt;30,fincmt!AV6*(1+'Détail CF'!$C66),IF($D66&lt;60,fincmt!AU6*(1+'Détail CF'!$C66),IF($D66&gt;=60,fincmt!AT6*(1+'Détail CF'!$C66),0)))</f>
        <v>0</v>
      </c>
      <c r="AY66" s="102">
        <f>-IF($D66&lt;30,fincmt!AW6*(1+'Détail CF'!$C66),IF($D66&lt;60,fincmt!AV6*(1+'Détail CF'!$C66),IF($D66&gt;=60,fincmt!AU6*(1+'Détail CF'!$C66),0)))</f>
        <v>0</v>
      </c>
      <c r="AZ66" s="102">
        <f>-IF($D66&lt;30,fincmt!AX6*(1+'Détail CF'!$C66),IF($D66&lt;60,fincmt!AW6*(1+'Détail CF'!$C66),IF($D66&gt;=60,fincmt!AV6*(1+'Détail CF'!$C66),0)))</f>
        <v>0</v>
      </c>
      <c r="BA66" s="102">
        <f>-IF($D66&lt;30,fincmt!AY6*(1+'Détail CF'!$C66),IF($D66&lt;60,fincmt!AX6*(1+'Détail CF'!$C66),IF($D66&gt;=60,fincmt!AW6*(1+'Détail CF'!$C66),0)))</f>
        <v>0</v>
      </c>
      <c r="BB66" s="102">
        <f>-IF($D66&lt;30,fincmt!AZ6*(1+'Détail CF'!$C66),IF($D66&lt;60,fincmt!AY6*(1+'Détail CF'!$C66),IF($D66&gt;=60,fincmt!AX6*(1+'Détail CF'!$C66),0)))</f>
        <v>0</v>
      </c>
      <c r="BC66" s="102">
        <f>-IF($D66&lt;30,fincmt!BA6*(1+'Détail CF'!$C66),IF($D66&lt;60,fincmt!AZ6*(1+'Détail CF'!$C66),IF($D66&gt;=60,fincmt!AY6*(1+'Détail CF'!$C66),0)))</f>
        <v>-21528</v>
      </c>
      <c r="BD66" s="102">
        <f>-IF($D66&lt;30,fincmt!BB6*(1+'Détail CF'!$C66),IF($D66&lt;60,fincmt!BA6*(1+'Détail CF'!$C66),IF($D66&gt;=60,fincmt!AZ6*(1+'Détail CF'!$C66),0)))</f>
        <v>0</v>
      </c>
      <c r="BE66" s="102">
        <f>-IF($D66&lt;30,fincmt!BC6*(1+'Détail CF'!$C66),IF($D66&lt;60,fincmt!BB6*(1+'Détail CF'!$C66),IF($D66&gt;=60,fincmt!BA6*(1+'Détail CF'!$C66),0)))</f>
        <v>0</v>
      </c>
      <c r="BF66" s="102">
        <f>-IF($D66&lt;30,fincmt!BD6*(1+'Détail CF'!$C66),IF($D66&lt;60,fincmt!BC6*(1+'Détail CF'!$C66),IF($D66&gt;=60,fincmt!BB6*(1+'Détail CF'!$C66),0)))</f>
        <v>0</v>
      </c>
      <c r="BG66" s="102">
        <f>-IF($D66&lt;30,fincmt!BE6*(1+'Détail CF'!$C66),IF($D66&lt;60,fincmt!BD6*(1+'Détail CF'!$C66),IF($D66&gt;=60,fincmt!BC6*(1+'Détail CF'!$C66),0)))</f>
        <v>0</v>
      </c>
      <c r="BH66" s="102">
        <f>-IF($D66&lt;30,fincmt!BF6*(1+'Détail CF'!$C66),IF($D66&lt;60,fincmt!BE6*(1+'Détail CF'!$C66),IF($D66&gt;=60,fincmt!BD6*(1+'Détail CF'!$C66),0)))</f>
        <v>0</v>
      </c>
      <c r="BI66" s="102">
        <f>-IF($D66&lt;30,fincmt!BG6*(1+'Détail CF'!$C66),IF($D66&lt;60,fincmt!BF6*(1+'Détail CF'!$C66),IF($D66&gt;=60,fincmt!BE6*(1+'Détail CF'!$C66),0)))</f>
        <v>0</v>
      </c>
      <c r="BJ66" s="102">
        <f>-IF($D66&lt;30,fincmt!BH6*(1+'Détail CF'!$C66),IF($D66&lt;60,fincmt!BG6*(1+'Détail CF'!$C66),IF($D66&gt;=60,fincmt!BF6*(1+'Détail CF'!$C66),0)))</f>
        <v>0</v>
      </c>
      <c r="BK66" s="102">
        <f>-IF($D66&lt;30,fincmt!BI6*(1+'Détail CF'!$C66),IF($D66&lt;60,fincmt!BH6*(1+'Détail CF'!$C66),IF($D66&gt;=60,fincmt!BG6*(1+'Détail CF'!$C66),0)))</f>
        <v>0</v>
      </c>
      <c r="BL66" s="102">
        <f>-IF($D66&lt;30,fincmt!BJ6*(1+'Détail CF'!$C66),IF($D66&lt;60,fincmt!BI6*(1+'Détail CF'!$C66),IF($D66&gt;=60,fincmt!BH6*(1+'Détail CF'!$C66),0)))</f>
        <v>0</v>
      </c>
      <c r="BM66" s="102">
        <f>-IF($D66&lt;30,fincmt!BK6*(1+'Détail CF'!$C66),IF($D66&lt;60,fincmt!BJ6*(1+'Détail CF'!$C66),IF($D66&gt;=60,fincmt!BI6*(1+'Détail CF'!$C66),0)))</f>
        <v>0</v>
      </c>
      <c r="BN66" s="102">
        <f>-IF($D66&lt;30,fincmt!BL6*(1+'Détail CF'!$C66),IF($D66&lt;60,fincmt!BK6*(1+'Détail CF'!$C66),IF($D66&gt;=60,fincmt!BJ6*(1+'Détail CF'!$C66),0)))</f>
        <v>0</v>
      </c>
      <c r="BO66" s="102">
        <f>-IF($D66&lt;30,fincmt!BM6*(1+'Détail CF'!$C66),IF($D66&lt;60,fincmt!BL6*(1+'Détail CF'!$C66),IF($D66&gt;=60,fincmt!BK6*(1+'Détail CF'!$C66),0)))</f>
        <v>0</v>
      </c>
      <c r="BP66" s="102">
        <f>-IF($D66&lt;30,fincmt!BN6*(1+'Détail CF'!$C66),IF($D66&lt;60,fincmt!BM6*(1+'Détail CF'!$C66),IF($D66&gt;=60,fincmt!BL6*(1+'Détail CF'!$C66),0)))</f>
        <v>0</v>
      </c>
      <c r="BQ66" s="102">
        <f>-IF($D66&lt;30,fincmt!BO6*(1+'Détail CF'!$C66),IF($D66&lt;60,fincmt!BN6*(1+'Détail CF'!$C66),IF($D66&gt;=60,fincmt!BM6*(1+'Détail CF'!$C66),0)))</f>
        <v>0</v>
      </c>
      <c r="BR66" s="102">
        <f>-IF($D66&lt;30,fincmt!BP6*(1+'Détail CF'!$C66),IF($D66&lt;60,fincmt!BO6*(1+'Détail CF'!$C66),IF($D66&gt;=60,fincmt!BN6*(1+'Détail CF'!$C66),0)))</f>
        <v>0</v>
      </c>
      <c r="BS66" s="102">
        <f>-IF($D66&lt;30,fincmt!BQ6*(1+'Détail CF'!$C66),IF($D66&lt;60,fincmt!BP6*(1+'Détail CF'!$C66),IF($D66&gt;=60,fincmt!BO6*(1+'Détail CF'!$C66),0)))</f>
        <v>0</v>
      </c>
      <c r="BT66" s="102">
        <f>-IF($D66&lt;30,fincmt!CD6*(1+'Détail CF'!$C66),IF($D66&lt;60,fincmt!BQ6*(1+'Détail CF'!$C66),IF($D66&gt;=60,fincmt!BP6*(1+'Détail CF'!$C66),0)))</f>
        <v>0</v>
      </c>
      <c r="BU66" s="102">
        <f>-IF($D66&lt;30,fincmt!CE6*(1+'Détail CF'!$C66),IF($D66&lt;60,fincmt!CD6*(1+'Détail CF'!$C66),IF($D66&gt;=60,fincmt!BQ6*(1+'Détail CF'!$C66),0)))</f>
        <v>0</v>
      </c>
      <c r="BV66" s="102">
        <f>-IF($D66&lt;30,fincmt!CF6*(1+'Détail CF'!$C66),IF($D66&lt;60,fincmt!CE6*(1+'Détail CF'!$C66),IF($D66&gt;=60,fincmt!CD6*(1+'Détail CF'!$C66),0)))</f>
        <v>0</v>
      </c>
      <c r="BW66" s="102">
        <f>-IF($D66&lt;30,fincmt!CG6*(1+'Détail CF'!$C66),IF($D66&lt;60,fincmt!CF6*(1+'Détail CF'!$C66),IF($D66&gt;=60,fincmt!CE6*(1+'Détail CF'!$C66),0)))</f>
        <v>0</v>
      </c>
      <c r="BX66" s="102">
        <f>-IF($D66&lt;30,fincmt!CH6*(1+'Détail CF'!$C66),IF($D66&lt;60,fincmt!CG6*(1+'Détail CF'!$C66),IF($D66&gt;=60,fincmt!CF6*(1+'Détail CF'!$C66),0)))</f>
        <v>0</v>
      </c>
      <c r="BY66" s="102">
        <f>-IF($D66&lt;30,fincmt!CI6*(1+'Détail CF'!$C66),IF($D66&lt;60,fincmt!CH6*(1+'Détail CF'!$C66),IF($D66&gt;=60,fincmt!CG6*(1+'Détail CF'!$C66),0)))</f>
        <v>0</v>
      </c>
      <c r="BZ66" s="102">
        <f>-IF($D66&lt;30,fincmt!CJ6*(1+'Détail CF'!$C66),IF($D66&lt;60,fincmt!CI6*(1+'Détail CF'!$C66),IF($D66&gt;=60,fincmt!CH6*(1+'Détail CF'!$C66),0)))</f>
        <v>0</v>
      </c>
      <c r="CA66" s="102">
        <f>-IF($D66&lt;30,fincmt!CK6*(1+'Détail CF'!$C66),IF($D66&lt;60,fincmt!CJ6*(1+'Détail CF'!$C66),IF($D66&gt;=60,fincmt!CI6*(1+'Détail CF'!$C66),0)))</f>
        <v>0</v>
      </c>
      <c r="CB66" s="102">
        <f>-IF($D66&lt;30,fincmt!CL6*(1+'Détail CF'!$C66),IF($D66&lt;60,fincmt!CK6*(1+'Détail CF'!$C66),IF($D66&gt;=60,fincmt!CJ6*(1+'Détail CF'!$C66),0)))</f>
        <v>0</v>
      </c>
      <c r="CC66" s="102">
        <f>-IF($D66&lt;30,fincmt!CM6*(1+'Détail CF'!$C66),IF($D66&lt;60,fincmt!CL6*(1+'Détail CF'!$C66),IF($D66&gt;=60,fincmt!CK6*(1+'Détail CF'!$C66),0)))</f>
        <v>0</v>
      </c>
      <c r="CD66" s="102">
        <f>-IF($D66&lt;30,fincmt!CN6*(1+'Détail CF'!$C66),IF($D66&lt;60,fincmt!CM6*(1+'Détail CF'!$C66),IF($D66&gt;=60,fincmt!CL6*(1+'Détail CF'!$C66),0)))</f>
        <v>0</v>
      </c>
      <c r="CE66" s="102">
        <f>-IF($D66&lt;30,fincmt!CO6*(1+'Détail CF'!$C66),IF($D66&lt;60,fincmt!CN6*(1+'Détail CF'!$C66),IF($D66&gt;=60,fincmt!CM6*(1+'Détail CF'!$C66),0)))</f>
        <v>0</v>
      </c>
    </row>
    <row r="67" spans="2:83">
      <c r="B67" t="s">
        <v>171</v>
      </c>
      <c r="C67" s="182">
        <f t="shared" si="28"/>
        <v>0.19600000000000001</v>
      </c>
      <c r="D67" s="99">
        <f t="shared" si="28"/>
        <v>30</v>
      </c>
      <c r="E67" s="195" t="str">
        <f t="shared" si="28"/>
        <v>F</v>
      </c>
      <c r="F67" s="102">
        <f>-IF($D67&lt;30,'P&amp;L Month'!H42*(1+'Détail CF'!$C67),0)</f>
        <v>0</v>
      </c>
      <c r="G67" s="102">
        <f>-IF($D67&lt;30,'P&amp;L Month'!I42*(1+'Détail CF'!$C67),IF($D67&lt;60,'P&amp;L Month'!H42*(1+'Détail CF'!$C67),0))</f>
        <v>0</v>
      </c>
      <c r="H67" s="102">
        <f>-IF($D67&lt;30,'P&amp;L Month'!J42*(1+'Détail CF'!$C67),IF($D67&lt;60,'P&amp;L Month'!I42*(1+'Détail CF'!$C67),IF($D67&gt;=60,'P&amp;L Month'!H42*(1+'Détail CF'!$C67),0)))</f>
        <v>0</v>
      </c>
      <c r="I67" s="102">
        <f>-IF($D67&lt;30,'P&amp;L Month'!K42*(1+'Détail CF'!$C67),IF($D67&lt;60,'P&amp;L Month'!J42*(1+'Détail CF'!$C67),IF($D67&gt;=60,'P&amp;L Month'!I42*(1+'Détail CF'!$C67),0)))</f>
        <v>0</v>
      </c>
      <c r="J67" s="102">
        <f>-IF($D67&lt;30,'P&amp;L Month'!L42*(1+'Détail CF'!$C67),IF($D67&lt;60,'P&amp;L Month'!K42*(1+'Détail CF'!$C67),IF($D67&gt;=60,'P&amp;L Month'!J42*(1+'Détail CF'!$C67),0)))</f>
        <v>0</v>
      </c>
      <c r="K67" s="102">
        <f>-IF($D67&lt;30,'P&amp;L Month'!M42*(1+'Détail CF'!$C67),IF($D67&lt;60,'P&amp;L Month'!L42*(1+'Détail CF'!$C67),IF($D67&gt;=60,'P&amp;L Month'!K42*(1+'Détail CF'!$C67),0)))</f>
        <v>0</v>
      </c>
      <c r="L67" s="102">
        <f>-IF($D67&lt;30,'P&amp;L Month'!N42*(1+'Détail CF'!$C67),IF($D67&lt;60,'P&amp;L Month'!M42*(1+'Détail CF'!$C67),IF($D67&gt;=60,'P&amp;L Month'!L42*(1+'Détail CF'!$C67),0)))</f>
        <v>0</v>
      </c>
      <c r="M67" s="102">
        <f>-IF($D67&lt;30,'P&amp;L Month'!O42*(1+'Détail CF'!$C67),IF($D67&lt;60,'P&amp;L Month'!N42*(1+'Détail CF'!$C67),IF($D67&gt;=60,'P&amp;L Month'!M42*(1+'Détail CF'!$C67),0)))</f>
        <v>0</v>
      </c>
      <c r="N67" s="102">
        <f>-IF($D67&lt;30,'P&amp;L Month'!P42*(1+'Détail CF'!$C67),IF($D67&lt;60,'P&amp;L Month'!O42*(1+'Détail CF'!$C67),IF($D67&gt;=60,'P&amp;L Month'!N42*(1+'Détail CF'!$C67),0)))</f>
        <v>0</v>
      </c>
      <c r="O67" s="102">
        <f>-IF($D67&lt;30,'P&amp;L Month'!Q42*(1+'Détail CF'!$C67),IF($D67&lt;60,'P&amp;L Month'!P42*(1+'Détail CF'!$C67),IF($D67&gt;=60,'P&amp;L Month'!O42*(1+'Détail CF'!$C67),0)))</f>
        <v>0</v>
      </c>
      <c r="P67" s="102">
        <f>-IF($D67&lt;30,'P&amp;L Month'!R42*(1+'Détail CF'!$C67),IF($D67&lt;60,'P&amp;L Month'!Q42*(1+'Détail CF'!$C67),IF($D67&gt;=60,'P&amp;L Month'!P42*(1+'Détail CF'!$C67),0)))</f>
        <v>0</v>
      </c>
      <c r="Q67" s="102">
        <f>-IF($D67&lt;30,'P&amp;L Month'!S42*(1+'Détail CF'!$C67),IF($D67&lt;60,'P&amp;L Month'!R42*(1+'Détail CF'!$C67),IF($D67&gt;=60,'P&amp;L Month'!Q42*(1+'Détail CF'!$C67),0)))</f>
        <v>0</v>
      </c>
      <c r="R67" s="102">
        <f>-IF($D67&lt;30,'P&amp;L Month'!T42*(1+'Détail CF'!$C67),IF($D67&lt;60,'P&amp;L Month'!S42*(1+'Détail CF'!$C67),IF($D67&gt;=60,'P&amp;L Month'!R42*(1+'Détail CF'!$C67),0)))</f>
        <v>0</v>
      </c>
      <c r="S67" s="102">
        <f>-IF($D67&lt;30,'P&amp;L Month'!U42*(1+'Détail CF'!$C67),IF($D67&lt;60,'P&amp;L Month'!T42*(1+'Détail CF'!$C67),IF($D67&gt;=60,'P&amp;L Month'!S42*(1+'Détail CF'!$C67),0)))</f>
        <v>0</v>
      </c>
      <c r="T67" s="102">
        <f>-IF($D67&lt;30,'P&amp;L Month'!V42*(1+'Détail CF'!$C67),IF($D67&lt;60,'P&amp;L Month'!U42*(1+'Détail CF'!$C67),IF($D67&gt;=60,'P&amp;L Month'!T42*(1+'Détail CF'!$C67),0)))</f>
        <v>0</v>
      </c>
      <c r="U67" s="102">
        <f>-IF($D67&lt;30,'P&amp;L Month'!W42*(1+'Détail CF'!$C67),IF($D67&lt;60,'P&amp;L Month'!V42*(1+'Détail CF'!$C67),IF($D67&gt;=60,'P&amp;L Month'!U42*(1+'Détail CF'!$C67),0)))</f>
        <v>0</v>
      </c>
      <c r="V67" s="102">
        <f>-IF($D67&lt;30,'P&amp;L Month'!X42*(1+'Détail CF'!$C67),IF($D67&lt;60,'P&amp;L Month'!W42*(1+'Détail CF'!$C67),IF($D67&gt;=60,'P&amp;L Month'!V42*(1+'Détail CF'!$C67),0)))</f>
        <v>0</v>
      </c>
      <c r="W67" s="102">
        <f>-IF($D67&lt;30,'P&amp;L Month'!Y42*(1+'Détail CF'!$C67),IF($D67&lt;60,'P&amp;L Month'!X42*(1+'Détail CF'!$C67),IF($D67&gt;=60,'P&amp;L Month'!W42*(1+'Détail CF'!$C67),0)))</f>
        <v>0</v>
      </c>
      <c r="X67" s="102">
        <f>-IF($D67&lt;30,'P&amp;L Month'!Z42*(1+'Détail CF'!$C67),IF($D67&lt;60,'P&amp;L Month'!Y42*(1+'Détail CF'!$C67),IF($D67&gt;=60,'P&amp;L Month'!X42*(1+'Détail CF'!$C67),0)))</f>
        <v>0</v>
      </c>
      <c r="Y67" s="102">
        <f>-IF($D67&lt;30,'P&amp;L Month'!AA42*(1+'Détail CF'!$C67),IF($D67&lt;60,'P&amp;L Month'!Z42*(1+'Détail CF'!$C67),IF($D67&gt;=60,'P&amp;L Month'!Y42*(1+'Détail CF'!$C67),0)))</f>
        <v>-11.959999999999999</v>
      </c>
      <c r="Z67" s="102">
        <f>-IF($D67&lt;30,'P&amp;L Month'!AB42*(1+'Détail CF'!$C67),IF($D67&lt;60,'P&amp;L Month'!AA42*(1+'Détail CF'!$C67),IF($D67&gt;=60,'P&amp;L Month'!Z42*(1+'Détail CF'!$C67),0)))</f>
        <v>-11.959999999999999</v>
      </c>
      <c r="AA67" s="102">
        <f>-IF($D67&lt;30,'P&amp;L Month'!AC42*(1+'Détail CF'!$C67),IF($D67&lt;60,'P&amp;L Month'!AB42*(1+'Détail CF'!$C67),IF($D67&gt;=60,'P&amp;L Month'!AA42*(1+'Détail CF'!$C67),0)))</f>
        <v>-11.959999999999999</v>
      </c>
      <c r="AB67" s="102">
        <f>-IF($D67&lt;30,'P&amp;L Month'!AD42*(1+'Détail CF'!$C67),IF($D67&lt;60,'P&amp;L Month'!AC42*(1+'Détail CF'!$C67),IF($D67&gt;=60,'P&amp;L Month'!AB42*(1+'Détail CF'!$C67),0)))</f>
        <v>-11.959999999999999</v>
      </c>
      <c r="AC67" s="102">
        <f>-IF($D67&lt;30,'P&amp;L Month'!AE42*(1+'Détail CF'!$C67),IF($D67&lt;60,'P&amp;L Month'!AD42*(1+'Détail CF'!$C67),IF($D67&gt;=60,'P&amp;L Month'!AC42*(1+'Détail CF'!$C67),0)))</f>
        <v>-11.959999999999999</v>
      </c>
      <c r="AD67" s="102">
        <f>-IF($D67&lt;30,'P&amp;L Month'!AF42*(1+'Détail CF'!$C67),IF($D67&lt;60,'P&amp;L Month'!AE42*(1+'Détail CF'!$C67),IF($D67&gt;=60,'P&amp;L Month'!AD42*(1+'Détail CF'!$C67),0)))</f>
        <v>-11.959999999999999</v>
      </c>
      <c r="AE67" s="102">
        <f>-IF($D67&lt;30,'P&amp;L Month'!AG42*(1+'Détail CF'!$C67),IF($D67&lt;60,'P&amp;L Month'!AF42*(1+'Détail CF'!$C67),IF($D67&gt;=60,'P&amp;L Month'!AE42*(1+'Détail CF'!$C67),0)))</f>
        <v>-11.959999999999999</v>
      </c>
      <c r="AF67" s="102">
        <f>-IF($D67&lt;30,'P&amp;L Month'!AH42*(1+'Détail CF'!$C67),IF($D67&lt;60,'P&amp;L Month'!AG42*(1+'Détail CF'!$C67),IF($D67&gt;=60,'P&amp;L Month'!AF42*(1+'Détail CF'!$C67),0)))</f>
        <v>-11.959999999999999</v>
      </c>
      <c r="AG67" s="102">
        <f>-IF($D67&lt;30,'P&amp;L Month'!AI42*(1+'Détail CF'!$C67),IF($D67&lt;60,'P&amp;L Month'!AH42*(1+'Détail CF'!$C67),IF($D67&gt;=60,'P&amp;L Month'!AG42*(1+'Détail CF'!$C67),0)))</f>
        <v>-17.939999999999998</v>
      </c>
      <c r="AH67" s="102">
        <f>-IF($D67&lt;30,'P&amp;L Month'!AJ42*(1+'Détail CF'!$C67),IF($D67&lt;60,'P&amp;L Month'!AI42*(1+'Détail CF'!$C67),IF($D67&gt;=60,'P&amp;L Month'!AH42*(1+'Détail CF'!$C67),0)))</f>
        <v>-23.919999999999998</v>
      </c>
      <c r="AI67" s="102">
        <f>-IF($D67&lt;30,'P&amp;L Month'!AK42*(1+'Détail CF'!$C67),IF($D67&lt;60,'P&amp;L Month'!AJ42*(1+'Détail CF'!$C67),IF($D67&gt;=60,'P&amp;L Month'!AI42*(1+'Détail CF'!$C67),0)))</f>
        <v>-23.919999999999998</v>
      </c>
      <c r="AJ67" s="102">
        <f>-IF($D67&lt;30,'P&amp;L Month'!AL42*(1+'Détail CF'!$C67),IF($D67&lt;60,'P&amp;L Month'!AK42*(1+'Détail CF'!$C67),IF($D67&gt;=60,'P&amp;L Month'!AJ42*(1+'Détail CF'!$C67),0)))</f>
        <v>-29.9</v>
      </c>
      <c r="AK67" s="102">
        <f>-IF($D67&lt;30,'P&amp;L Month'!AM42*(1+'Détail CF'!$C67),IF($D67&lt;60,'P&amp;L Month'!AL42*(1+'Détail CF'!$C67),IF($D67&gt;=60,'P&amp;L Month'!AK42*(1+'Détail CF'!$C67),0)))</f>
        <v>-41.86</v>
      </c>
      <c r="AL67" s="102">
        <f>-IF($D67&lt;30,'P&amp;L Month'!AN42*(1+'Détail CF'!$C67),IF($D67&lt;60,'P&amp;L Month'!AM42*(1+'Détail CF'!$C67),IF($D67&gt;=60,'P&amp;L Month'!AL42*(1+'Détail CF'!$C67),0)))</f>
        <v>-47.839999999999996</v>
      </c>
      <c r="AM67" s="102">
        <f>-IF($D67&lt;30,'P&amp;L Month'!AO42*(1+'Détail CF'!$C67),IF($D67&lt;60,'P&amp;L Month'!AN42*(1+'Détail CF'!$C67),IF($D67&gt;=60,'P&amp;L Month'!AM42*(1+'Détail CF'!$C67),0)))</f>
        <v>-59.8</v>
      </c>
      <c r="AN67" s="102">
        <f>-IF($D67&lt;30,'P&amp;L Month'!AP42*(1+'Détail CF'!$C67),IF($D67&lt;60,'P&amp;L Month'!AO42*(1+'Détail CF'!$C67),IF($D67&gt;=60,'P&amp;L Month'!AN42*(1+'Détail CF'!$C67),0)))</f>
        <v>-59.8</v>
      </c>
      <c r="AO67" s="102">
        <f>-IF($D67&lt;30,'P&amp;L Month'!AQ42*(1+'Détail CF'!$C67),IF($D67&lt;60,'P&amp;L Month'!AP42*(1+'Détail CF'!$C67),IF($D67&gt;=60,'P&amp;L Month'!AO42*(1+'Détail CF'!$C67),0)))</f>
        <v>-65.78</v>
      </c>
      <c r="AP67" s="102">
        <f>-IF($D67&lt;30,'P&amp;L Month'!AR42*(1+'Détail CF'!$C67),IF($D67&lt;60,'P&amp;L Month'!AQ42*(1+'Détail CF'!$C67),IF($D67&gt;=60,'P&amp;L Month'!AP42*(1+'Détail CF'!$C67),0)))</f>
        <v>-77.739999999999995</v>
      </c>
      <c r="AQ67" s="102">
        <f>-IF($D67&lt;30,'P&amp;L Month'!AS42*(1+'Détail CF'!$C67),IF($D67&lt;60,'P&amp;L Month'!AR42*(1+'Détail CF'!$C67),IF($D67&gt;=60,'P&amp;L Month'!AQ42*(1+'Détail CF'!$C67),0)))</f>
        <v>-83.72</v>
      </c>
      <c r="AR67" s="102">
        <f>-IF($D67&lt;30,'P&amp;L Month'!AT42*(1+'Détail CF'!$C67),IF($D67&lt;60,'P&amp;L Month'!AS42*(1+'Détail CF'!$C67),IF($D67&gt;=60,'P&amp;L Month'!AR42*(1+'Détail CF'!$C67),0)))</f>
        <v>-83.72</v>
      </c>
      <c r="AS67" s="102">
        <f>-IF($D67&lt;30,'P&amp;L Month'!AU42*(1+'Détail CF'!$C67),IF($D67&lt;60,'P&amp;L Month'!AT42*(1+'Détail CF'!$C67),IF($D67&gt;=60,'P&amp;L Month'!AS42*(1+'Détail CF'!$C67),0)))</f>
        <v>-101.66</v>
      </c>
      <c r="AT67" s="102">
        <f>-IF($D67&lt;30,'P&amp;L Month'!AV42*(1+'Détail CF'!$C67),IF($D67&lt;60,'P&amp;L Month'!AU42*(1+'Détail CF'!$C67),IF($D67&gt;=60,'P&amp;L Month'!AT42*(1+'Détail CF'!$C67),0)))</f>
        <v>-101.66</v>
      </c>
      <c r="AU67" s="102">
        <f>-IF($D67&lt;30,'P&amp;L Month'!AW42*(1+'Détail CF'!$C67),IF($D67&lt;60,'P&amp;L Month'!AV42*(1+'Détail CF'!$C67),IF($D67&gt;=60,'P&amp;L Month'!AU42*(1+'Détail CF'!$C67),0)))</f>
        <v>-101.66</v>
      </c>
      <c r="AV67" s="102">
        <f>-IF($D67&lt;30,'P&amp;L Month'!AX42*(1+'Détail CF'!$C67),IF($D67&lt;60,'P&amp;L Month'!AW42*(1+'Détail CF'!$C67),IF($D67&gt;=60,'P&amp;L Month'!AV42*(1+'Détail CF'!$C67),0)))</f>
        <v>-101.66</v>
      </c>
      <c r="AW67" s="102">
        <f>-IF($D67&lt;30,'P&amp;L Month'!AY42*(1+'Détail CF'!$C67),IF($D67&lt;60,'P&amp;L Month'!AX42*(1+'Détail CF'!$C67),IF($D67&gt;=60,'P&amp;L Month'!AW42*(1+'Détail CF'!$C67),0)))</f>
        <v>-119.6</v>
      </c>
      <c r="AX67" s="102">
        <f>-IF($D67&lt;30,'P&amp;L Month'!AZ42*(1+'Détail CF'!$C67),IF($D67&lt;60,'P&amp;L Month'!AY42*(1+'Détail CF'!$C67),IF($D67&gt;=60,'P&amp;L Month'!AX42*(1+'Détail CF'!$C67),0)))</f>
        <v>-119.6</v>
      </c>
      <c r="AY67" s="102">
        <f>-IF($D67&lt;30,'P&amp;L Month'!BA42*(1+'Détail CF'!$C67),IF($D67&lt;60,'P&amp;L Month'!AZ42*(1+'Détail CF'!$C67),IF($D67&gt;=60,'P&amp;L Month'!AY42*(1+'Détail CF'!$C67),0)))</f>
        <v>-119.6</v>
      </c>
      <c r="AZ67" s="102">
        <f>-IF($D67&lt;30,'P&amp;L Month'!BB42*(1+'Détail CF'!$C67),IF($D67&lt;60,'P&amp;L Month'!BA42*(1+'Détail CF'!$C67),IF($D67&gt;=60,'P&amp;L Month'!AZ42*(1+'Détail CF'!$C67),0)))</f>
        <v>-119.6</v>
      </c>
      <c r="BA67" s="102">
        <f>-IF($D67&lt;30,'P&amp;L Month'!BC42*(1+'Détail CF'!$C67),IF($D67&lt;60,'P&amp;L Month'!BB42*(1+'Détail CF'!$C67),IF($D67&gt;=60,'P&amp;L Month'!BA42*(1+'Détail CF'!$C67),0)))</f>
        <v>-125.58</v>
      </c>
      <c r="BB67" s="102">
        <f>-IF($D67&lt;30,'P&amp;L Month'!BD42*(1+'Détail CF'!$C67),IF($D67&lt;60,'P&amp;L Month'!BC42*(1+'Détail CF'!$C67),IF($D67&gt;=60,'P&amp;L Month'!BB42*(1+'Détail CF'!$C67),0)))</f>
        <v>-125.58</v>
      </c>
      <c r="BC67" s="102">
        <f>-IF($D67&lt;30,'P&amp;L Month'!BE42*(1+'Détail CF'!$C67),IF($D67&lt;60,'P&amp;L Month'!BD42*(1+'Détail CF'!$C67),IF($D67&gt;=60,'P&amp;L Month'!BC42*(1+'Détail CF'!$C67),0)))</f>
        <v>-137.54</v>
      </c>
      <c r="BD67" s="102">
        <f>-IF($D67&lt;30,'P&amp;L Month'!BF42*(1+'Détail CF'!$C67),IF($D67&lt;60,'P&amp;L Month'!BE42*(1+'Détail CF'!$C67),IF($D67&gt;=60,'P&amp;L Month'!BD42*(1+'Détail CF'!$C67),0)))</f>
        <v>-137.54</v>
      </c>
      <c r="BE67" s="102">
        <f>-IF($D67&lt;30,'P&amp;L Month'!BG42*(1+'Détail CF'!$C67),IF($D67&lt;60,'P&amp;L Month'!BF42*(1+'Détail CF'!$C67),IF($D67&gt;=60,'P&amp;L Month'!BE42*(1+'Détail CF'!$C67),0)))</f>
        <v>-143.51999999999998</v>
      </c>
      <c r="BF67" s="102">
        <f>-IF($D67&lt;30,'P&amp;L Month'!BH42*(1+'Détail CF'!$C67),IF($D67&lt;60,'P&amp;L Month'!BG42*(1+'Détail CF'!$C67),IF($D67&gt;=60,'P&amp;L Month'!BF42*(1+'Détail CF'!$C67),0)))</f>
        <v>-143.51999999999998</v>
      </c>
      <c r="BG67" s="102">
        <f>-IF($D67&lt;30,'P&amp;L Month'!BI42*(1+'Détail CF'!$C67),IF($D67&lt;60,'P&amp;L Month'!BH42*(1+'Détail CF'!$C67),IF($D67&gt;=60,'P&amp;L Month'!BG42*(1+'Détail CF'!$C67),0)))</f>
        <v>-149.5</v>
      </c>
      <c r="BH67" s="102">
        <f>-IF($D67&lt;30,'P&amp;L Month'!BJ42*(1+'Détail CF'!$C67),IF($D67&lt;60,'P&amp;L Month'!BI42*(1+'Détail CF'!$C67),IF($D67&gt;=60,'P&amp;L Month'!BH42*(1+'Détail CF'!$C67),0)))</f>
        <v>-149.5</v>
      </c>
      <c r="BI67" s="102">
        <f>-IF($D67&lt;30,'P&amp;L Month'!BK42*(1+'Détail CF'!$C67),IF($D67&lt;60,'P&amp;L Month'!BJ42*(1+'Détail CF'!$C67),IF($D67&gt;=60,'P&amp;L Month'!BI42*(1+'Détail CF'!$C67),0)))</f>
        <v>-149.5</v>
      </c>
      <c r="BJ67" s="102">
        <f>-IF($D67&lt;30,'P&amp;L Month'!BL42*(1+'Détail CF'!$C67),IF($D67&lt;60,'P&amp;L Month'!BK42*(1+'Détail CF'!$C67),IF($D67&gt;=60,'P&amp;L Month'!BJ42*(1+'Détail CF'!$C67),0)))</f>
        <v>-149.5</v>
      </c>
      <c r="BK67" s="102">
        <f>-IF($D67&lt;30,'P&amp;L Month'!BM42*(1+'Détail CF'!$C67),IF($D67&lt;60,'P&amp;L Month'!BL42*(1+'Détail CF'!$C67),IF($D67&gt;=60,'P&amp;L Month'!BK42*(1+'Détail CF'!$C67),0)))</f>
        <v>-149.5</v>
      </c>
      <c r="BL67" s="102">
        <f>-IF($D67&lt;30,'P&amp;L Month'!BN42*(1+'Détail CF'!$C67),IF($D67&lt;60,'P&amp;L Month'!BM42*(1+'Détail CF'!$C67),IF($D67&gt;=60,'P&amp;L Month'!BL42*(1+'Détail CF'!$C67),0)))</f>
        <v>-149.5</v>
      </c>
      <c r="BM67" s="102">
        <f>-IF($D67&lt;30,'P&amp;L Month'!BO42*(1+'Détail CF'!$C67),IF($D67&lt;60,'P&amp;L Month'!BN42*(1+'Détail CF'!$C67),IF($D67&gt;=60,'P&amp;L Month'!BM42*(1+'Détail CF'!$C67),0)))</f>
        <v>-155.47999999999999</v>
      </c>
      <c r="BN67" s="102">
        <f>-IF($D67&lt;30,'P&amp;L Month'!BP42*(1+'Détail CF'!$C67),IF($D67&lt;60,'P&amp;L Month'!BO42*(1+'Détail CF'!$C67),IF($D67&gt;=60,'P&amp;L Month'!BN42*(1+'Détail CF'!$C67),0)))</f>
        <v>-155.47999999999999</v>
      </c>
      <c r="BO67" s="102">
        <f>-IF($D67&lt;30,'P&amp;L Month'!BQ42*(1+'Détail CF'!$C67),IF($D67&lt;60,'P&amp;L Month'!BP42*(1+'Détail CF'!$C67),IF($D67&gt;=60,'P&amp;L Month'!BO42*(1+'Détail CF'!$C67),0)))</f>
        <v>-155.47999999999999</v>
      </c>
      <c r="BP67" s="102">
        <f>-IF($D67&lt;30,'P&amp;L Month'!BR42*(1+'Détail CF'!$C67),IF($D67&lt;60,'P&amp;L Month'!BQ42*(1+'Détail CF'!$C67),IF($D67&gt;=60,'P&amp;L Month'!BP42*(1+'Détail CF'!$C67),0)))</f>
        <v>-155.47999999999999</v>
      </c>
      <c r="BQ67" s="102">
        <f>-IF($D67&lt;30,'P&amp;L Month'!BS42*(1+'Détail CF'!$C67),IF($D67&lt;60,'P&amp;L Month'!BR42*(1+'Détail CF'!$C67),IF($D67&gt;=60,'P&amp;L Month'!BQ42*(1+'Détail CF'!$C67),0)))</f>
        <v>-155.47999999999999</v>
      </c>
      <c r="BR67" s="102">
        <f>-IF($D67&lt;30,'P&amp;L Month'!BT42*(1+'Détail CF'!$C67),IF($D67&lt;60,'P&amp;L Month'!BS42*(1+'Détail CF'!$C67),IF($D67&gt;=60,'P&amp;L Month'!BR42*(1+'Détail CF'!$C67),0)))</f>
        <v>-155.47999999999999</v>
      </c>
      <c r="BS67" s="102">
        <f>-IF($D67&lt;30,'P&amp;L Month'!BU42*(1+'Détail CF'!$C67),IF($D67&lt;60,'P&amp;L Month'!BT42*(1+'Détail CF'!$C67),IF($D67&gt;=60,'P&amp;L Month'!BS42*(1+'Détail CF'!$C67),0)))</f>
        <v>-155.47999999999999</v>
      </c>
      <c r="BT67" s="102">
        <f>-IF($D67&lt;30,'P&amp;L Month'!BV42*(1+'Détail CF'!$C67),IF($D67&lt;60,'P&amp;L Month'!BU42*(1+'Détail CF'!$C67),IF($D67&gt;=60,'P&amp;L Month'!BT42*(1+'Détail CF'!$C67),0)))</f>
        <v>-155.47999999999999</v>
      </c>
      <c r="BU67" s="102">
        <f>-IF($D67&lt;30,'P&amp;L Month'!BW42*(1+'Détail CF'!$C67),IF($D67&lt;60,'P&amp;L Month'!BV42*(1+'Détail CF'!$C67),IF($D67&gt;=60,'P&amp;L Month'!BU42*(1+'Détail CF'!$C67),0)))</f>
        <v>-155.47999999999999</v>
      </c>
      <c r="BV67" s="102">
        <f>-IF($D67&lt;30,'P&amp;L Month'!BX42*(1+'Détail CF'!$C67),IF($D67&lt;60,'P&amp;L Month'!BW42*(1+'Détail CF'!$C67),IF($D67&gt;=60,'P&amp;L Month'!BV42*(1+'Détail CF'!$C67),0)))</f>
        <v>-155.47999999999999</v>
      </c>
      <c r="BW67" s="102">
        <f>-IF($D67&lt;30,'P&amp;L Month'!BY42*(1+'Détail CF'!$C67),IF($D67&lt;60,'P&amp;L Month'!BX42*(1+'Détail CF'!$C67),IF($D67&gt;=60,'P&amp;L Month'!BW42*(1+'Détail CF'!$C67),0)))</f>
        <v>-155.47999999999999</v>
      </c>
      <c r="BX67" s="102">
        <f>-IF($D67&lt;30,'P&amp;L Month'!BZ42*(1+'Détail CF'!$C67),IF($D67&lt;60,'P&amp;L Month'!BY42*(1+'Détail CF'!$C67),IF($D67&gt;=60,'P&amp;L Month'!BX42*(1+'Détail CF'!$C67),0)))</f>
        <v>-155.47999999999999</v>
      </c>
      <c r="BY67" s="102">
        <f>-IF($D67&lt;30,'P&amp;L Month'!CA42*(1+'Détail CF'!$C67),IF($D67&lt;60,'P&amp;L Month'!BZ42*(1+'Détail CF'!$C67),IF($D67&gt;=60,'P&amp;L Month'!BY42*(1+'Détail CF'!$C67),0)))</f>
        <v>-155.47999999999999</v>
      </c>
      <c r="BZ67" s="102">
        <f>-IF($D67&lt;30,'P&amp;L Month'!CB42*(1+'Détail CF'!$C67),IF($D67&lt;60,'P&amp;L Month'!CA42*(1+'Détail CF'!$C67),IF($D67&gt;=60,'P&amp;L Month'!BZ42*(1+'Détail CF'!$C67),0)))</f>
        <v>-155.47999999999999</v>
      </c>
      <c r="CA67" s="102">
        <f>-IF($D67&lt;30,'P&amp;L Month'!CC42*(1+'Détail CF'!$C67),IF($D67&lt;60,'P&amp;L Month'!CB42*(1+'Détail CF'!$C67),IF($D67&gt;=60,'P&amp;L Month'!CA42*(1+'Détail CF'!$C67),0)))</f>
        <v>-155.47999999999999</v>
      </c>
      <c r="CB67" s="102">
        <f>-IF($D67&lt;30,'P&amp;L Month'!CD42*(1+'Détail CF'!$C67),IF($D67&lt;60,'P&amp;L Month'!CC42*(1+'Détail CF'!$C67),IF($D67&gt;=60,'P&amp;L Month'!CB42*(1+'Détail CF'!$C67),0)))</f>
        <v>-155.47999999999999</v>
      </c>
      <c r="CC67" s="102">
        <f>-IF($D67&lt;30,'P&amp;L Month'!CE42*(1+'Détail CF'!$C67),IF($D67&lt;60,'P&amp;L Month'!CD42*(1+'Détail CF'!$C67),IF($D67&gt;=60,'P&amp;L Month'!CC42*(1+'Détail CF'!$C67),0)))</f>
        <v>-155.47999999999999</v>
      </c>
      <c r="CD67" s="102">
        <f>-IF($D67&lt;30,'P&amp;L Month'!CF42*(1+'Détail CF'!$C67),IF($D67&lt;60,'P&amp;L Month'!CE42*(1+'Détail CF'!$C67),IF($D67&gt;=60,'P&amp;L Month'!CD42*(1+'Détail CF'!$C67),0)))</f>
        <v>-155.47999999999999</v>
      </c>
      <c r="CE67" s="102">
        <f>-IF($D67&lt;30,'P&amp;L Month'!CG42*(1+'Détail CF'!$C67),IF($D67&lt;60,'P&amp;L Month'!CF42*(1+'Détail CF'!$C67),IF($D67&gt;=60,'P&amp;L Month'!CE42*(1+'Détail CF'!$C67),0)))</f>
        <v>-155.47999999999999</v>
      </c>
    </row>
    <row r="68" spans="2:83">
      <c r="B68" t="s">
        <v>172</v>
      </c>
      <c r="C68" s="182">
        <f t="shared" ref="C68:E74" si="29">+C42</f>
        <v>0.19600000000000001</v>
      </c>
      <c r="D68" s="196"/>
      <c r="E68" s="195" t="str">
        <f t="shared" si="29"/>
        <v>F</v>
      </c>
      <c r="F68" s="102">
        <f>-IF($D68&lt;30,'P&amp;L Month'!H43*(1+'Détail CF'!$C68),0)</f>
        <v>0</v>
      </c>
      <c r="G68" s="102">
        <f>-IF($D68&lt;30,'P&amp;L Month'!I43*(1+'Détail CF'!$C68),IF($D68&lt;60,'P&amp;L Month'!H43*(1+'Détail CF'!$C68),0))</f>
        <v>0</v>
      </c>
      <c r="H68" s="102">
        <f>-IF($D68&lt;30,'P&amp;L Month'!J43*(1+'Détail CF'!$C68),IF($D68&lt;60,'P&amp;L Month'!I43*(1+'Détail CF'!$C68),IF($D68&gt;=60,'P&amp;L Month'!H43*(1+'Détail CF'!$C68),0)))</f>
        <v>0</v>
      </c>
      <c r="I68" s="102">
        <f>-IF($D68&lt;30,'P&amp;L Month'!K43*(1+'Détail CF'!$C68),IF($D68&lt;60,'P&amp;L Month'!J43*(1+'Détail CF'!$C68),IF($D68&gt;=60,'P&amp;L Month'!I43*(1+'Détail CF'!$C68),0)))</f>
        <v>0</v>
      </c>
      <c r="J68" s="102">
        <f>-IF($D68&lt;30,'P&amp;L Month'!L43*(1+'Détail CF'!$C68),IF($D68&lt;60,'P&amp;L Month'!K43*(1+'Détail CF'!$C68),IF($D68&gt;=60,'P&amp;L Month'!J43*(1+'Détail CF'!$C68),0)))</f>
        <v>0</v>
      </c>
      <c r="K68" s="102">
        <f>-IF($D68&lt;30,'P&amp;L Month'!M43*(1+'Détail CF'!$C68),IF($D68&lt;60,'P&amp;L Month'!L43*(1+'Détail CF'!$C68),IF($D68&gt;=60,'P&amp;L Month'!K43*(1+'Détail CF'!$C68),0)))</f>
        <v>0</v>
      </c>
      <c r="L68" s="102">
        <f>-IF($D68&lt;30,'P&amp;L Month'!N43*(1+'Détail CF'!$C68),IF($D68&lt;60,'P&amp;L Month'!M43*(1+'Détail CF'!$C68),IF($D68&gt;=60,'P&amp;L Month'!L43*(1+'Détail CF'!$C68),0)))</f>
        <v>0</v>
      </c>
      <c r="M68" s="102">
        <f>-IF($D68&lt;30,'P&amp;L Month'!O43*(1+'Détail CF'!$C68),IF($D68&lt;60,'P&amp;L Month'!N43*(1+'Détail CF'!$C68),IF($D68&gt;=60,'P&amp;L Month'!M43*(1+'Détail CF'!$C68),0)))</f>
        <v>0</v>
      </c>
      <c r="N68" s="102">
        <f>-IF($D68&lt;30,'P&amp;L Month'!P43*(1+'Détail CF'!$C68),IF($D68&lt;60,'P&amp;L Month'!O43*(1+'Détail CF'!$C68),IF($D68&gt;=60,'P&amp;L Month'!N43*(1+'Détail CF'!$C68),0)))</f>
        <v>0</v>
      </c>
      <c r="O68" s="102">
        <f>-IF($D68&lt;30,'P&amp;L Month'!Q43*(1+'Détail CF'!$C68),IF($D68&lt;60,'P&amp;L Month'!P43*(1+'Détail CF'!$C68),IF($D68&gt;=60,'P&amp;L Month'!O43*(1+'Détail CF'!$C68),0)))</f>
        <v>0</v>
      </c>
      <c r="P68" s="102">
        <f>-IF($D68&lt;30,'P&amp;L Month'!R43*(1+'Détail CF'!$C68),IF($D68&lt;60,'P&amp;L Month'!Q43*(1+'Détail CF'!$C68),IF($D68&gt;=60,'P&amp;L Month'!P43*(1+'Détail CF'!$C68),0)))</f>
        <v>0</v>
      </c>
      <c r="Q68" s="102">
        <f>-IF($D68&lt;30,'P&amp;L Month'!S43*(1+'Détail CF'!$C68),IF($D68&lt;60,'P&amp;L Month'!R43*(1+'Détail CF'!$C68),IF($D68&gt;=60,'P&amp;L Month'!Q43*(1+'Détail CF'!$C68),0)))</f>
        <v>0</v>
      </c>
      <c r="R68" s="102">
        <f>-IF($D68&lt;30,'P&amp;L Month'!T43*(1+'Détail CF'!$C68),IF($D68&lt;60,'P&amp;L Month'!S43*(1+'Détail CF'!$C68),IF($D68&gt;=60,'P&amp;L Month'!R43*(1+'Détail CF'!$C68),0)))</f>
        <v>0</v>
      </c>
      <c r="S68" s="102">
        <f>-IF($D68&lt;30,'P&amp;L Month'!U43*(1+'Détail CF'!$C68),IF($D68&lt;60,'P&amp;L Month'!T43*(1+'Détail CF'!$C68),IF($D68&gt;=60,'P&amp;L Month'!S43*(1+'Détail CF'!$C68),0)))</f>
        <v>0</v>
      </c>
      <c r="T68" s="102">
        <f>-IF($D68&lt;30,'P&amp;L Month'!V43*(1+'Détail CF'!$C68),IF($D68&lt;60,'P&amp;L Month'!U43*(1+'Détail CF'!$C68),IF($D68&gt;=60,'P&amp;L Month'!T43*(1+'Détail CF'!$C68),0)))</f>
        <v>0</v>
      </c>
      <c r="U68" s="102">
        <f>-IF($D68&lt;30,'P&amp;L Month'!W43*(1+'Détail CF'!$C68),IF($D68&lt;60,'P&amp;L Month'!V43*(1+'Détail CF'!$C68),IF($D68&gt;=60,'P&amp;L Month'!U43*(1+'Détail CF'!$C68),0)))</f>
        <v>0</v>
      </c>
      <c r="V68" s="102">
        <f>-IF($D68&lt;30,'P&amp;L Month'!X43*(1+'Détail CF'!$C68),IF($D68&lt;60,'P&amp;L Month'!W43*(1+'Détail CF'!$C68),IF($D68&gt;=60,'P&amp;L Month'!V43*(1+'Détail CF'!$C68),0)))</f>
        <v>0</v>
      </c>
      <c r="W68" s="102">
        <f>-IF($D68&lt;30,'P&amp;L Month'!Y43*(1+'Détail CF'!$C68),IF($D68&lt;60,'P&amp;L Month'!X43*(1+'Détail CF'!$C68),IF($D68&gt;=60,'P&amp;L Month'!W43*(1+'Détail CF'!$C68),0)))</f>
        <v>0</v>
      </c>
      <c r="X68" s="102">
        <f>-IF($D68&lt;30,'P&amp;L Month'!Z43*(1+'Détail CF'!$C68),IF($D68&lt;60,'P&amp;L Month'!Y43*(1+'Détail CF'!$C68),IF($D68&gt;=60,'P&amp;L Month'!X43*(1+'Détail CF'!$C68),0)))</f>
        <v>-239.2</v>
      </c>
      <c r="Y68" s="102">
        <f>-IF($D68&lt;30,'P&amp;L Month'!AA43*(1+'Détail CF'!$C68),IF($D68&lt;60,'P&amp;L Month'!Z43*(1+'Détail CF'!$C68),IF($D68&gt;=60,'P&amp;L Month'!Y43*(1+'Détail CF'!$C68),0)))</f>
        <v>-239.2</v>
      </c>
      <c r="Z68" s="102">
        <f>-IF($D68&lt;30,'P&amp;L Month'!AB43*(1+'Détail CF'!$C68),IF($D68&lt;60,'P&amp;L Month'!AA43*(1+'Détail CF'!$C68),IF($D68&gt;=60,'P&amp;L Month'!Z43*(1+'Détail CF'!$C68),0)))</f>
        <v>-239.2</v>
      </c>
      <c r="AA68" s="102">
        <f>-IF($D68&lt;30,'P&amp;L Month'!AC43*(1+'Détail CF'!$C68),IF($D68&lt;60,'P&amp;L Month'!AB43*(1+'Détail CF'!$C68),IF($D68&gt;=60,'P&amp;L Month'!AA43*(1+'Détail CF'!$C68),0)))</f>
        <v>-239.2</v>
      </c>
      <c r="AB68" s="102">
        <f>-IF($D68&lt;30,'P&amp;L Month'!AD43*(1+'Détail CF'!$C68),IF($D68&lt;60,'P&amp;L Month'!AC43*(1+'Détail CF'!$C68),IF($D68&gt;=60,'P&amp;L Month'!AB43*(1+'Détail CF'!$C68),0)))</f>
        <v>-358.8</v>
      </c>
      <c r="AC68" s="102">
        <f>-IF($D68&lt;30,'P&amp;L Month'!AE43*(1+'Détail CF'!$C68),IF($D68&lt;60,'P&amp;L Month'!AD43*(1+'Détail CF'!$C68),IF($D68&gt;=60,'P&amp;L Month'!AC43*(1+'Détail CF'!$C68),0)))</f>
        <v>-358.8</v>
      </c>
      <c r="AD68" s="102">
        <f>-IF($D68&lt;30,'P&amp;L Month'!AF43*(1+'Détail CF'!$C68),IF($D68&lt;60,'P&amp;L Month'!AE43*(1+'Détail CF'!$C68),IF($D68&gt;=60,'P&amp;L Month'!AD43*(1+'Détail CF'!$C68),0)))</f>
        <v>-358.8</v>
      </c>
      <c r="AE68" s="102">
        <f>-IF($D68&lt;30,'P&amp;L Month'!AG43*(1+'Détail CF'!$C68),IF($D68&lt;60,'P&amp;L Month'!AF43*(1+'Détail CF'!$C68),IF($D68&gt;=60,'P&amp;L Month'!AE43*(1+'Détail CF'!$C68),0)))</f>
        <v>-358.8</v>
      </c>
      <c r="AF68" s="102">
        <f>-IF($D68&lt;30,'P&amp;L Month'!AH43*(1+'Détail CF'!$C68),IF($D68&lt;60,'P&amp;L Month'!AG43*(1+'Détail CF'!$C68),IF($D68&gt;=60,'P&amp;L Month'!AF43*(1+'Détail CF'!$C68),0)))</f>
        <v>-358.8</v>
      </c>
      <c r="AG68" s="102">
        <f>-IF($D68&lt;30,'P&amp;L Month'!AI43*(1+'Détail CF'!$C68),IF($D68&lt;60,'P&amp;L Month'!AH43*(1+'Détail CF'!$C68),IF($D68&gt;=60,'P&amp;L Month'!AG43*(1+'Détail CF'!$C68),0)))</f>
        <v>-598</v>
      </c>
      <c r="AH68" s="102">
        <f>-IF($D68&lt;30,'P&amp;L Month'!AJ43*(1+'Détail CF'!$C68),IF($D68&lt;60,'P&amp;L Month'!AI43*(1+'Détail CF'!$C68),IF($D68&gt;=60,'P&amp;L Month'!AH43*(1+'Détail CF'!$C68),0)))</f>
        <v>-598</v>
      </c>
      <c r="AI68" s="102">
        <f>-IF($D68&lt;30,'P&amp;L Month'!AK43*(1+'Détail CF'!$C68),IF($D68&lt;60,'P&amp;L Month'!AJ43*(1+'Détail CF'!$C68),IF($D68&gt;=60,'P&amp;L Month'!AI43*(1+'Détail CF'!$C68),0)))</f>
        <v>-598</v>
      </c>
      <c r="AJ68" s="102">
        <f>-IF($D68&lt;30,'P&amp;L Month'!AL43*(1+'Détail CF'!$C68),IF($D68&lt;60,'P&amp;L Month'!AK43*(1+'Détail CF'!$C68),IF($D68&gt;=60,'P&amp;L Month'!AJ43*(1+'Détail CF'!$C68),0)))</f>
        <v>-598</v>
      </c>
      <c r="AK68" s="102">
        <f>-IF($D68&lt;30,'P&amp;L Month'!AM43*(1+'Détail CF'!$C68),IF($D68&lt;60,'P&amp;L Month'!AL43*(1+'Détail CF'!$C68),IF($D68&gt;=60,'P&amp;L Month'!AK43*(1+'Détail CF'!$C68),0)))</f>
        <v>-598</v>
      </c>
      <c r="AL68" s="102">
        <f>-IF($D68&lt;30,'P&amp;L Month'!AN43*(1+'Détail CF'!$C68),IF($D68&lt;60,'P&amp;L Month'!AM43*(1+'Détail CF'!$C68),IF($D68&gt;=60,'P&amp;L Month'!AL43*(1+'Détail CF'!$C68),0)))</f>
        <v>-598</v>
      </c>
      <c r="AM68" s="102">
        <f>-IF($D68&lt;30,'P&amp;L Month'!AO43*(1+'Détail CF'!$C68),IF($D68&lt;60,'P&amp;L Month'!AN43*(1+'Détail CF'!$C68),IF($D68&gt;=60,'P&amp;L Month'!AM43*(1+'Détail CF'!$C68),0)))</f>
        <v>-598</v>
      </c>
      <c r="AN68" s="102">
        <f>-IF($D68&lt;30,'P&amp;L Month'!AP43*(1+'Détail CF'!$C68),IF($D68&lt;60,'P&amp;L Month'!AO43*(1+'Détail CF'!$C68),IF($D68&gt;=60,'P&amp;L Month'!AN43*(1+'Détail CF'!$C68),0)))</f>
        <v>-1196</v>
      </c>
      <c r="AO68" s="102">
        <f>-IF($D68&lt;30,'P&amp;L Month'!AQ43*(1+'Détail CF'!$C68),IF($D68&lt;60,'P&amp;L Month'!AP43*(1+'Détail CF'!$C68),IF($D68&gt;=60,'P&amp;L Month'!AO43*(1+'Détail CF'!$C68),0)))</f>
        <v>-1196</v>
      </c>
      <c r="AP68" s="102">
        <f>-IF($D68&lt;30,'P&amp;L Month'!AR43*(1+'Détail CF'!$C68),IF($D68&lt;60,'P&amp;L Month'!AQ43*(1+'Détail CF'!$C68),IF($D68&gt;=60,'P&amp;L Month'!AP43*(1+'Détail CF'!$C68),0)))</f>
        <v>-1196</v>
      </c>
      <c r="AQ68" s="102">
        <f>-IF($D68&lt;30,'P&amp;L Month'!AS43*(1+'Détail CF'!$C68),IF($D68&lt;60,'P&amp;L Month'!AR43*(1+'Détail CF'!$C68),IF($D68&gt;=60,'P&amp;L Month'!AQ43*(1+'Détail CF'!$C68),0)))</f>
        <v>-1196</v>
      </c>
      <c r="AR68" s="102">
        <f>-IF($D68&lt;30,'P&amp;L Month'!AT43*(1+'Détail CF'!$C68),IF($D68&lt;60,'P&amp;L Month'!AS43*(1+'Détail CF'!$C68),IF($D68&gt;=60,'P&amp;L Month'!AR43*(1+'Détail CF'!$C68),0)))</f>
        <v>-1196</v>
      </c>
      <c r="AS68" s="102">
        <f>-IF($D68&lt;30,'P&amp;L Month'!AU43*(1+'Détail CF'!$C68),IF($D68&lt;60,'P&amp;L Month'!AT43*(1+'Détail CF'!$C68),IF($D68&gt;=60,'P&amp;L Month'!AS43*(1+'Détail CF'!$C68),0)))</f>
        <v>-1196</v>
      </c>
      <c r="AT68" s="102">
        <f>-IF($D68&lt;30,'P&amp;L Month'!AV43*(1+'Détail CF'!$C68),IF($D68&lt;60,'P&amp;L Month'!AU43*(1+'Détail CF'!$C68),IF($D68&gt;=60,'P&amp;L Month'!AT43*(1+'Détail CF'!$C68),0)))</f>
        <v>-1196</v>
      </c>
      <c r="AU68" s="102">
        <f>-IF($D68&lt;30,'P&amp;L Month'!AW43*(1+'Détail CF'!$C68),IF($D68&lt;60,'P&amp;L Month'!AV43*(1+'Détail CF'!$C68),IF($D68&gt;=60,'P&amp;L Month'!AU43*(1+'Détail CF'!$C68),0)))</f>
        <v>-1196</v>
      </c>
      <c r="AV68" s="102">
        <f>-IF($D68&lt;30,'P&amp;L Month'!AX43*(1+'Détail CF'!$C68),IF($D68&lt;60,'P&amp;L Month'!AW43*(1+'Détail CF'!$C68),IF($D68&gt;=60,'P&amp;L Month'!AV43*(1+'Détail CF'!$C68),0)))</f>
        <v>-1196</v>
      </c>
      <c r="AW68" s="102">
        <f>-IF($D68&lt;30,'P&amp;L Month'!AY43*(1+'Détail CF'!$C68),IF($D68&lt;60,'P&amp;L Month'!AX43*(1+'Détail CF'!$C68),IF($D68&gt;=60,'P&amp;L Month'!AW43*(1+'Détail CF'!$C68),0)))</f>
        <v>-1196</v>
      </c>
      <c r="AX68" s="102">
        <f>-IF($D68&lt;30,'P&amp;L Month'!AZ43*(1+'Détail CF'!$C68),IF($D68&lt;60,'P&amp;L Month'!AY43*(1+'Détail CF'!$C68),IF($D68&gt;=60,'P&amp;L Month'!AX43*(1+'Détail CF'!$C68),0)))</f>
        <v>-1196</v>
      </c>
      <c r="AY68" s="102">
        <f>-IF($D68&lt;30,'P&amp;L Month'!BA43*(1+'Détail CF'!$C68),IF($D68&lt;60,'P&amp;L Month'!AZ43*(1+'Détail CF'!$C68),IF($D68&gt;=60,'P&amp;L Month'!AY43*(1+'Détail CF'!$C68),0)))</f>
        <v>-1196</v>
      </c>
      <c r="AZ68" s="102">
        <f>-IF($D68&lt;30,'P&amp;L Month'!BB43*(1+'Détail CF'!$C68),IF($D68&lt;60,'P&amp;L Month'!BA43*(1+'Détail CF'!$C68),IF($D68&gt;=60,'P&amp;L Month'!AZ43*(1+'Détail CF'!$C68),0)))</f>
        <v>-1196</v>
      </c>
      <c r="BA68" s="102">
        <f>-IF($D68&lt;30,'P&amp;L Month'!BC43*(1+'Détail CF'!$C68),IF($D68&lt;60,'P&amp;L Month'!BB43*(1+'Détail CF'!$C68),IF($D68&gt;=60,'P&amp;L Month'!BA43*(1+'Détail CF'!$C68),0)))</f>
        <v>-1196</v>
      </c>
      <c r="BB68" s="102">
        <f>-IF($D68&lt;30,'P&amp;L Month'!BD43*(1+'Détail CF'!$C68),IF($D68&lt;60,'P&amp;L Month'!BC43*(1+'Détail CF'!$C68),IF($D68&gt;=60,'P&amp;L Month'!BB43*(1+'Détail CF'!$C68),0)))</f>
        <v>-1196</v>
      </c>
      <c r="BC68" s="102">
        <f>-IF($D68&lt;30,'P&amp;L Month'!BE43*(1+'Détail CF'!$C68),IF($D68&lt;60,'P&amp;L Month'!BD43*(1+'Détail CF'!$C68),IF($D68&gt;=60,'P&amp;L Month'!BC43*(1+'Détail CF'!$C68),0)))</f>
        <v>-1196</v>
      </c>
      <c r="BD68" s="102">
        <f>-IF($D68&lt;30,'P&amp;L Month'!BF43*(1+'Détail CF'!$C68),IF($D68&lt;60,'P&amp;L Month'!BE43*(1+'Détail CF'!$C68),IF($D68&gt;=60,'P&amp;L Month'!BD43*(1+'Détail CF'!$C68),0)))</f>
        <v>-1196</v>
      </c>
      <c r="BE68" s="102">
        <f>-IF($D68&lt;30,'P&amp;L Month'!BG43*(1+'Détail CF'!$C68),IF($D68&lt;60,'P&amp;L Month'!BF43*(1+'Détail CF'!$C68),IF($D68&gt;=60,'P&amp;L Month'!BE43*(1+'Détail CF'!$C68),0)))</f>
        <v>-1196</v>
      </c>
      <c r="BF68" s="102">
        <f>-IF($D68&lt;30,'P&amp;L Month'!BH43*(1+'Détail CF'!$C68),IF($D68&lt;60,'P&amp;L Month'!BG43*(1+'Détail CF'!$C68),IF($D68&gt;=60,'P&amp;L Month'!BF43*(1+'Détail CF'!$C68),0)))</f>
        <v>-1196</v>
      </c>
      <c r="BG68" s="102">
        <f>-IF($D68&lt;30,'P&amp;L Month'!BI43*(1+'Détail CF'!$C68),IF($D68&lt;60,'P&amp;L Month'!BH43*(1+'Détail CF'!$C68),IF($D68&gt;=60,'P&amp;L Month'!BG43*(1+'Détail CF'!$C68),0)))</f>
        <v>-1196</v>
      </c>
      <c r="BH68" s="102">
        <f>-IF($D68&lt;30,'P&amp;L Month'!BJ43*(1+'Détail CF'!$C68),IF($D68&lt;60,'P&amp;L Month'!BI43*(1+'Détail CF'!$C68),IF($D68&gt;=60,'P&amp;L Month'!BH43*(1+'Détail CF'!$C68),0)))</f>
        <v>-1196</v>
      </c>
      <c r="BI68" s="102">
        <f>-IF($D68&lt;30,'P&amp;L Month'!BK43*(1+'Détail CF'!$C68),IF($D68&lt;60,'P&amp;L Month'!BJ43*(1+'Détail CF'!$C68),IF($D68&gt;=60,'P&amp;L Month'!BI43*(1+'Détail CF'!$C68),0)))</f>
        <v>-1196</v>
      </c>
      <c r="BJ68" s="102">
        <f>-IF($D68&lt;30,'P&amp;L Month'!BL43*(1+'Détail CF'!$C68),IF($D68&lt;60,'P&amp;L Month'!BK43*(1+'Détail CF'!$C68),IF($D68&gt;=60,'P&amp;L Month'!BJ43*(1+'Détail CF'!$C68),0)))</f>
        <v>-1196</v>
      </c>
      <c r="BK68" s="102">
        <f>-IF($D68&lt;30,'P&amp;L Month'!BM43*(1+'Détail CF'!$C68),IF($D68&lt;60,'P&amp;L Month'!BL43*(1+'Détail CF'!$C68),IF($D68&gt;=60,'P&amp;L Month'!BK43*(1+'Détail CF'!$C68),0)))</f>
        <v>-1196</v>
      </c>
      <c r="BL68" s="102">
        <f>-IF($D68&lt;30,'P&amp;L Month'!BN43*(1+'Détail CF'!$C68),IF($D68&lt;60,'P&amp;L Month'!BM43*(1+'Détail CF'!$C68),IF($D68&gt;=60,'P&amp;L Month'!BL43*(1+'Détail CF'!$C68),0)))</f>
        <v>-1196</v>
      </c>
      <c r="BM68" s="102">
        <f>-IF($D68&lt;30,'P&amp;L Month'!BO43*(1+'Détail CF'!$C68),IF($D68&lt;60,'P&amp;L Month'!BN43*(1+'Détail CF'!$C68),IF($D68&gt;=60,'P&amp;L Month'!BM43*(1+'Détail CF'!$C68),0)))</f>
        <v>-1196</v>
      </c>
      <c r="BN68" s="102">
        <f>-IF($D68&lt;30,'P&amp;L Month'!BP43*(1+'Détail CF'!$C68),IF($D68&lt;60,'P&amp;L Month'!BO43*(1+'Détail CF'!$C68),IF($D68&gt;=60,'P&amp;L Month'!BN43*(1+'Détail CF'!$C68),0)))</f>
        <v>-1196</v>
      </c>
      <c r="BO68" s="102">
        <f>-IF($D68&lt;30,'P&amp;L Month'!BQ43*(1+'Détail CF'!$C68),IF($D68&lt;60,'P&amp;L Month'!BP43*(1+'Détail CF'!$C68),IF($D68&gt;=60,'P&amp;L Month'!BO43*(1+'Détail CF'!$C68),0)))</f>
        <v>-1196</v>
      </c>
      <c r="BP68" s="102">
        <f>-IF($D68&lt;30,'P&amp;L Month'!BR43*(1+'Détail CF'!$C68),IF($D68&lt;60,'P&amp;L Month'!BQ43*(1+'Détail CF'!$C68),IF($D68&gt;=60,'P&amp;L Month'!BP43*(1+'Détail CF'!$C68),0)))</f>
        <v>-1196</v>
      </c>
      <c r="BQ68" s="102">
        <f>-IF($D68&lt;30,'P&amp;L Month'!BS43*(1+'Détail CF'!$C68),IF($D68&lt;60,'P&amp;L Month'!BR43*(1+'Détail CF'!$C68),IF($D68&gt;=60,'P&amp;L Month'!BQ43*(1+'Détail CF'!$C68),0)))</f>
        <v>-1196</v>
      </c>
      <c r="BR68" s="102">
        <f>-IF($D68&lt;30,'P&amp;L Month'!BT43*(1+'Détail CF'!$C68),IF($D68&lt;60,'P&amp;L Month'!BS43*(1+'Détail CF'!$C68),IF($D68&gt;=60,'P&amp;L Month'!BR43*(1+'Détail CF'!$C68),0)))</f>
        <v>-1196</v>
      </c>
      <c r="BS68" s="102">
        <f>-IF($D68&lt;30,'P&amp;L Month'!BU43*(1+'Détail CF'!$C68),IF($D68&lt;60,'P&amp;L Month'!BT43*(1+'Détail CF'!$C68),IF($D68&gt;=60,'P&amp;L Month'!BS43*(1+'Détail CF'!$C68),0)))</f>
        <v>-1196</v>
      </c>
      <c r="BT68" s="102">
        <f>-IF($D68&lt;30,'P&amp;L Month'!BV43*(1+'Détail CF'!$C68),IF($D68&lt;60,'P&amp;L Month'!BU43*(1+'Détail CF'!$C68),IF($D68&gt;=60,'P&amp;L Month'!BT43*(1+'Détail CF'!$C68),0)))</f>
        <v>-1196</v>
      </c>
      <c r="BU68" s="102">
        <f>-IF($D68&lt;30,'P&amp;L Month'!BW43*(1+'Détail CF'!$C68),IF($D68&lt;60,'P&amp;L Month'!BV43*(1+'Détail CF'!$C68),IF($D68&gt;=60,'P&amp;L Month'!BU43*(1+'Détail CF'!$C68),0)))</f>
        <v>-1196</v>
      </c>
      <c r="BV68" s="102">
        <f>-IF($D68&lt;30,'P&amp;L Month'!BX43*(1+'Détail CF'!$C68),IF($D68&lt;60,'P&amp;L Month'!BW43*(1+'Détail CF'!$C68),IF($D68&gt;=60,'P&amp;L Month'!BV43*(1+'Détail CF'!$C68),0)))</f>
        <v>-1196</v>
      </c>
      <c r="BW68" s="102">
        <f>-IF($D68&lt;30,'P&amp;L Month'!BY43*(1+'Détail CF'!$C68),IF($D68&lt;60,'P&amp;L Month'!BX43*(1+'Détail CF'!$C68),IF($D68&gt;=60,'P&amp;L Month'!BW43*(1+'Détail CF'!$C68),0)))</f>
        <v>-1196</v>
      </c>
      <c r="BX68" s="102">
        <f>-IF($D68&lt;30,'P&amp;L Month'!BZ43*(1+'Détail CF'!$C68),IF($D68&lt;60,'P&amp;L Month'!BY43*(1+'Détail CF'!$C68),IF($D68&gt;=60,'P&amp;L Month'!BX43*(1+'Détail CF'!$C68),0)))</f>
        <v>-1196</v>
      </c>
      <c r="BY68" s="102">
        <f>-IF($D68&lt;30,'P&amp;L Month'!CA43*(1+'Détail CF'!$C68),IF($D68&lt;60,'P&amp;L Month'!BZ43*(1+'Détail CF'!$C68),IF($D68&gt;=60,'P&amp;L Month'!BY43*(1+'Détail CF'!$C68),0)))</f>
        <v>-1196</v>
      </c>
      <c r="BZ68" s="102">
        <f>-IF($D68&lt;30,'P&amp;L Month'!CB43*(1+'Détail CF'!$C68),IF($D68&lt;60,'P&amp;L Month'!CA43*(1+'Détail CF'!$C68),IF($D68&gt;=60,'P&amp;L Month'!BZ43*(1+'Détail CF'!$C68),0)))</f>
        <v>-1196</v>
      </c>
      <c r="CA68" s="102">
        <f>-IF($D68&lt;30,'P&amp;L Month'!CC43*(1+'Détail CF'!$C68),IF($D68&lt;60,'P&amp;L Month'!CB43*(1+'Détail CF'!$C68),IF($D68&gt;=60,'P&amp;L Month'!CA43*(1+'Détail CF'!$C68),0)))</f>
        <v>-1196</v>
      </c>
      <c r="CB68" s="102">
        <f>-IF($D68&lt;30,'P&amp;L Month'!CD43*(1+'Détail CF'!$C68),IF($D68&lt;60,'P&amp;L Month'!CC43*(1+'Détail CF'!$C68),IF($D68&gt;=60,'P&amp;L Month'!CB43*(1+'Détail CF'!$C68),0)))</f>
        <v>-1196</v>
      </c>
      <c r="CC68" s="102">
        <f>-IF($D68&lt;30,'P&amp;L Month'!CE43*(1+'Détail CF'!$C68),IF($D68&lt;60,'P&amp;L Month'!CD43*(1+'Détail CF'!$C68),IF($D68&gt;=60,'P&amp;L Month'!CC43*(1+'Détail CF'!$C68),0)))</f>
        <v>-1196</v>
      </c>
      <c r="CD68" s="102">
        <f>-IF($D68&lt;30,'P&amp;L Month'!CF43*(1+'Détail CF'!$C68),IF($D68&lt;60,'P&amp;L Month'!CE43*(1+'Détail CF'!$C68),IF($D68&gt;=60,'P&amp;L Month'!CD43*(1+'Détail CF'!$C68),0)))</f>
        <v>-1196</v>
      </c>
      <c r="CE68" s="102">
        <f>-IF($D68&lt;30,'P&amp;L Month'!CG43*(1+'Détail CF'!$C68),IF($D68&lt;60,'P&amp;L Month'!CF43*(1+'Détail CF'!$C68),IF($D68&gt;=60,'P&amp;L Month'!CE43*(1+'Détail CF'!$C68),0)))</f>
        <v>-1196</v>
      </c>
    </row>
    <row r="69" spans="2:83">
      <c r="B69" t="s">
        <v>173</v>
      </c>
      <c r="C69" s="182">
        <f t="shared" si="29"/>
        <v>0.19600000000000001</v>
      </c>
      <c r="D69" s="99">
        <f t="shared" si="29"/>
        <v>30</v>
      </c>
      <c r="E69" s="195" t="str">
        <f t="shared" si="29"/>
        <v>F</v>
      </c>
      <c r="F69" s="102">
        <f>-IF($D69&lt;30,'P&amp;L Month'!H44*(1+'Détail CF'!$C69),0)</f>
        <v>0</v>
      </c>
      <c r="G69" s="102">
        <f>-IF($D69&lt;30,'P&amp;L Month'!I44*(1+'Détail CF'!$C69),IF($D69&lt;60,'P&amp;L Month'!H44*(1+'Détail CF'!$C69),0))</f>
        <v>0</v>
      </c>
      <c r="H69" s="102">
        <f>-IF($D69&lt;30,'P&amp;L Month'!J44*(1+'Détail CF'!$C69),IF($D69&lt;60,'P&amp;L Month'!I44*(1+'Détail CF'!$C69),IF($D69&gt;=60,'P&amp;L Month'!H44*(1+'Détail CF'!$C69),0)))</f>
        <v>0</v>
      </c>
      <c r="I69" s="102">
        <f>-IF($D69&lt;30,'P&amp;L Month'!K44*(1+'Détail CF'!$C69),IF($D69&lt;60,'P&amp;L Month'!J44*(1+'Détail CF'!$C69),IF($D69&gt;=60,'P&amp;L Month'!I44*(1+'Détail CF'!$C69),0)))</f>
        <v>0</v>
      </c>
      <c r="J69" s="102">
        <f>-IF($D69&lt;30,'P&amp;L Month'!L44*(1+'Détail CF'!$C69),IF($D69&lt;60,'P&amp;L Month'!K44*(1+'Détail CF'!$C69),IF($D69&gt;=60,'P&amp;L Month'!J44*(1+'Détail CF'!$C69),0)))</f>
        <v>0</v>
      </c>
      <c r="K69" s="102">
        <f>-IF($D69&lt;30,'P&amp;L Month'!M44*(1+'Détail CF'!$C69),IF($D69&lt;60,'P&amp;L Month'!L44*(1+'Détail CF'!$C69),IF($D69&gt;=60,'P&amp;L Month'!K44*(1+'Détail CF'!$C69),0)))</f>
        <v>0</v>
      </c>
      <c r="L69" s="102">
        <f>-IF($D69&lt;30,'P&amp;L Month'!N44*(1+'Détail CF'!$C69),IF($D69&lt;60,'P&amp;L Month'!M44*(1+'Détail CF'!$C69),IF($D69&gt;=60,'P&amp;L Month'!L44*(1+'Détail CF'!$C69),0)))</f>
        <v>0</v>
      </c>
      <c r="M69" s="102">
        <f>-IF($D69&lt;30,'P&amp;L Month'!O44*(1+'Détail CF'!$C69),IF($D69&lt;60,'P&amp;L Month'!N44*(1+'Détail CF'!$C69),IF($D69&gt;=60,'P&amp;L Month'!M44*(1+'Détail CF'!$C69),0)))</f>
        <v>0</v>
      </c>
      <c r="N69" s="102">
        <f>-IF($D69&lt;30,'P&amp;L Month'!P44*(1+'Détail CF'!$C69),IF($D69&lt;60,'P&amp;L Month'!O44*(1+'Détail CF'!$C69),IF($D69&gt;=60,'P&amp;L Month'!N44*(1+'Détail CF'!$C69),0)))</f>
        <v>0</v>
      </c>
      <c r="O69" s="102">
        <f>-IF($D69&lt;30,'P&amp;L Month'!Q44*(1+'Détail CF'!$C69),IF($D69&lt;60,'P&amp;L Month'!P44*(1+'Détail CF'!$C69),IF($D69&gt;=60,'P&amp;L Month'!O44*(1+'Détail CF'!$C69),0)))</f>
        <v>0</v>
      </c>
      <c r="P69" s="102">
        <f>-IF($D69&lt;30,'P&amp;L Month'!R44*(1+'Détail CF'!$C69),IF($D69&lt;60,'P&amp;L Month'!Q44*(1+'Détail CF'!$C69),IF($D69&gt;=60,'P&amp;L Month'!P44*(1+'Détail CF'!$C69),0)))</f>
        <v>0</v>
      </c>
      <c r="Q69" s="102">
        <f>-IF($D69&lt;30,'P&amp;L Month'!S44*(1+'Détail CF'!$C69),IF($D69&lt;60,'P&amp;L Month'!R44*(1+'Détail CF'!$C69),IF($D69&gt;=60,'P&amp;L Month'!Q44*(1+'Détail CF'!$C69),0)))</f>
        <v>0</v>
      </c>
      <c r="R69" s="102">
        <f>-IF($D69&lt;30,'P&amp;L Month'!T44*(1+'Détail CF'!$C69),IF($D69&lt;60,'P&amp;L Month'!S44*(1+'Détail CF'!$C69),IF($D69&gt;=60,'P&amp;L Month'!R44*(1+'Détail CF'!$C69),0)))</f>
        <v>0</v>
      </c>
      <c r="S69" s="102">
        <f>-IF($D69&lt;30,'P&amp;L Month'!U44*(1+'Détail CF'!$C69),IF($D69&lt;60,'P&amp;L Month'!T44*(1+'Détail CF'!$C69),IF($D69&gt;=60,'P&amp;L Month'!S44*(1+'Détail CF'!$C69),0)))</f>
        <v>0</v>
      </c>
      <c r="T69" s="102">
        <f>-IF($D69&lt;30,'P&amp;L Month'!V44*(1+'Détail CF'!$C69),IF($D69&lt;60,'P&amp;L Month'!U44*(1+'Détail CF'!$C69),IF($D69&gt;=60,'P&amp;L Month'!T44*(1+'Détail CF'!$C69),0)))</f>
        <v>0</v>
      </c>
      <c r="U69" s="102">
        <f>-IF($D69&lt;30,'P&amp;L Month'!W44*(1+'Détail CF'!$C69),IF($D69&lt;60,'P&amp;L Month'!V44*(1+'Détail CF'!$C69),IF($D69&gt;=60,'P&amp;L Month'!U44*(1+'Détail CF'!$C69),0)))</f>
        <v>0</v>
      </c>
      <c r="V69" s="102">
        <f>-IF($D69&lt;30,'P&amp;L Month'!X44*(1+'Détail CF'!$C69),IF($D69&lt;60,'P&amp;L Month'!W44*(1+'Détail CF'!$C69),IF($D69&gt;=60,'P&amp;L Month'!V44*(1+'Détail CF'!$C69),0)))</f>
        <v>0</v>
      </c>
      <c r="W69" s="102">
        <f>-IF($D69&lt;30,'P&amp;L Month'!Y44*(1+'Détail CF'!$C69),IF($D69&lt;60,'P&amp;L Month'!X44*(1+'Détail CF'!$C69),IF($D69&gt;=60,'P&amp;L Month'!W44*(1+'Détail CF'!$C69),0)))</f>
        <v>0</v>
      </c>
      <c r="X69" s="102">
        <f>-IF($D69&lt;30,'P&amp;L Month'!Z44*(1+'Détail CF'!$C69),IF($D69&lt;60,'P&amp;L Month'!Y44*(1+'Détail CF'!$C69),IF($D69&gt;=60,'P&amp;L Month'!X44*(1+'Détail CF'!$C69),0)))</f>
        <v>-59.8</v>
      </c>
      <c r="Y69" s="102">
        <f>-IF($D69&lt;30,'P&amp;L Month'!AA44*(1+'Détail CF'!$C69),IF($D69&lt;60,'P&amp;L Month'!Z44*(1+'Détail CF'!$C69),IF($D69&gt;=60,'P&amp;L Month'!Y44*(1+'Détail CF'!$C69),0)))</f>
        <v>-59.8</v>
      </c>
      <c r="Z69" s="102">
        <f>-IF($D69&lt;30,'P&amp;L Month'!AB44*(1+'Détail CF'!$C69),IF($D69&lt;60,'P&amp;L Month'!AA44*(1+'Détail CF'!$C69),IF($D69&gt;=60,'P&amp;L Month'!Z44*(1+'Détail CF'!$C69),0)))</f>
        <v>-59.8</v>
      </c>
      <c r="AA69" s="102">
        <f>-IF($D69&lt;30,'P&amp;L Month'!AC44*(1+'Détail CF'!$C69),IF($D69&lt;60,'P&amp;L Month'!AB44*(1+'Détail CF'!$C69),IF($D69&gt;=60,'P&amp;L Month'!AA44*(1+'Détail CF'!$C69),0)))</f>
        <v>-59.8</v>
      </c>
      <c r="AB69" s="102">
        <f>-IF($D69&lt;30,'P&amp;L Month'!AD44*(1+'Détail CF'!$C69),IF($D69&lt;60,'P&amp;L Month'!AC44*(1+'Détail CF'!$C69),IF($D69&gt;=60,'P&amp;L Month'!AB44*(1+'Détail CF'!$C69),0)))</f>
        <v>-119.6</v>
      </c>
      <c r="AC69" s="102">
        <f>-IF($D69&lt;30,'P&amp;L Month'!AE44*(1+'Détail CF'!$C69),IF($D69&lt;60,'P&amp;L Month'!AD44*(1+'Détail CF'!$C69),IF($D69&gt;=60,'P&amp;L Month'!AC44*(1+'Détail CF'!$C69),0)))</f>
        <v>-119.6</v>
      </c>
      <c r="AD69" s="102">
        <f>-IF($D69&lt;30,'P&amp;L Month'!AF44*(1+'Détail CF'!$C69),IF($D69&lt;60,'P&amp;L Month'!AE44*(1+'Détail CF'!$C69),IF($D69&gt;=60,'P&amp;L Month'!AD44*(1+'Détail CF'!$C69),0)))</f>
        <v>-119.6</v>
      </c>
      <c r="AE69" s="102">
        <f>-IF($D69&lt;30,'P&amp;L Month'!AG44*(1+'Détail CF'!$C69),IF($D69&lt;60,'P&amp;L Month'!AF44*(1+'Détail CF'!$C69),IF($D69&gt;=60,'P&amp;L Month'!AE44*(1+'Détail CF'!$C69),0)))</f>
        <v>-179.4</v>
      </c>
      <c r="AF69" s="102">
        <f>-IF($D69&lt;30,'P&amp;L Month'!AH44*(1+'Détail CF'!$C69),IF($D69&lt;60,'P&amp;L Month'!AG44*(1+'Détail CF'!$C69),IF($D69&gt;=60,'P&amp;L Month'!AF44*(1+'Détail CF'!$C69),0)))</f>
        <v>-179.4</v>
      </c>
      <c r="AG69" s="102">
        <f>-IF($D69&lt;30,'P&amp;L Month'!AI44*(1+'Détail CF'!$C69),IF($D69&lt;60,'P&amp;L Month'!AH44*(1+'Détail CF'!$C69),IF($D69&gt;=60,'P&amp;L Month'!AG44*(1+'Détail CF'!$C69),0)))</f>
        <v>-179.4</v>
      </c>
      <c r="AH69" s="102">
        <f>-IF($D69&lt;30,'P&amp;L Month'!AJ44*(1+'Détail CF'!$C69),IF($D69&lt;60,'P&amp;L Month'!AI44*(1+'Détail CF'!$C69),IF($D69&gt;=60,'P&amp;L Month'!AH44*(1+'Détail CF'!$C69),0)))</f>
        <v>-179.4</v>
      </c>
      <c r="AI69" s="102">
        <f>-IF($D69&lt;30,'P&amp;L Month'!AK44*(1+'Détail CF'!$C69),IF($D69&lt;60,'P&amp;L Month'!AJ44*(1+'Détail CF'!$C69),IF($D69&gt;=60,'P&amp;L Month'!AI44*(1+'Détail CF'!$C69),0)))</f>
        <v>-239.2</v>
      </c>
      <c r="AJ69" s="102">
        <f>-IF($D69&lt;30,'P&amp;L Month'!AL44*(1+'Détail CF'!$C69),IF($D69&lt;60,'P&amp;L Month'!AK44*(1+'Détail CF'!$C69),IF($D69&gt;=60,'P&amp;L Month'!AJ44*(1+'Détail CF'!$C69),0)))</f>
        <v>-239.2</v>
      </c>
      <c r="AK69" s="102">
        <f>-IF($D69&lt;30,'P&amp;L Month'!AM44*(1+'Détail CF'!$C69),IF($D69&lt;60,'P&amp;L Month'!AL44*(1+'Détail CF'!$C69),IF($D69&gt;=60,'P&amp;L Month'!AK44*(1+'Détail CF'!$C69),0)))</f>
        <v>-239.2</v>
      </c>
      <c r="AL69" s="102">
        <f>-IF($D69&lt;30,'P&amp;L Month'!AN44*(1+'Détail CF'!$C69),IF($D69&lt;60,'P&amp;L Month'!AM44*(1+'Détail CF'!$C69),IF($D69&gt;=60,'P&amp;L Month'!AL44*(1+'Détail CF'!$C69),0)))</f>
        <v>-239.2</v>
      </c>
      <c r="AM69" s="102">
        <f>-IF($D69&lt;30,'P&amp;L Month'!AO44*(1+'Détail CF'!$C69),IF($D69&lt;60,'P&amp;L Month'!AN44*(1+'Détail CF'!$C69),IF($D69&gt;=60,'P&amp;L Month'!AM44*(1+'Détail CF'!$C69),0)))</f>
        <v>-239.2</v>
      </c>
      <c r="AN69" s="102">
        <f>-IF($D69&lt;30,'P&amp;L Month'!AP44*(1+'Détail CF'!$C69),IF($D69&lt;60,'P&amp;L Month'!AO44*(1+'Détail CF'!$C69),IF($D69&gt;=60,'P&amp;L Month'!AN44*(1+'Détail CF'!$C69),0)))</f>
        <v>-478.4</v>
      </c>
      <c r="AO69" s="102">
        <f>-IF($D69&lt;30,'P&amp;L Month'!AQ44*(1+'Détail CF'!$C69),IF($D69&lt;60,'P&amp;L Month'!AP44*(1+'Détail CF'!$C69),IF($D69&gt;=60,'P&amp;L Month'!AO44*(1+'Détail CF'!$C69),0)))</f>
        <v>-478.4</v>
      </c>
      <c r="AP69" s="102">
        <f>-IF($D69&lt;30,'P&amp;L Month'!AR44*(1+'Détail CF'!$C69),IF($D69&lt;60,'P&amp;L Month'!AQ44*(1+'Détail CF'!$C69),IF($D69&gt;=60,'P&amp;L Month'!AP44*(1+'Détail CF'!$C69),0)))</f>
        <v>-478.4</v>
      </c>
      <c r="AQ69" s="102">
        <f>-IF($D69&lt;30,'P&amp;L Month'!AS44*(1+'Détail CF'!$C69),IF($D69&lt;60,'P&amp;L Month'!AR44*(1+'Détail CF'!$C69),IF($D69&gt;=60,'P&amp;L Month'!AQ44*(1+'Détail CF'!$C69),0)))</f>
        <v>-478.4</v>
      </c>
      <c r="AR69" s="102">
        <f>-IF($D69&lt;30,'P&amp;L Month'!AT44*(1+'Détail CF'!$C69),IF($D69&lt;60,'P&amp;L Month'!AS44*(1+'Détail CF'!$C69),IF($D69&gt;=60,'P&amp;L Month'!AR44*(1+'Détail CF'!$C69),0)))</f>
        <v>-478.4</v>
      </c>
      <c r="AS69" s="102">
        <f>-IF($D69&lt;30,'P&amp;L Month'!AU44*(1+'Détail CF'!$C69),IF($D69&lt;60,'P&amp;L Month'!AT44*(1+'Détail CF'!$C69),IF($D69&gt;=60,'P&amp;L Month'!AS44*(1+'Détail CF'!$C69),0)))</f>
        <v>-478.4</v>
      </c>
      <c r="AT69" s="102">
        <f>-IF($D69&lt;30,'P&amp;L Month'!AV44*(1+'Détail CF'!$C69),IF($D69&lt;60,'P&amp;L Month'!AU44*(1+'Détail CF'!$C69),IF($D69&gt;=60,'P&amp;L Month'!AT44*(1+'Détail CF'!$C69),0)))</f>
        <v>-598</v>
      </c>
      <c r="AU69" s="102">
        <f>-IF($D69&lt;30,'P&amp;L Month'!AW44*(1+'Détail CF'!$C69),IF($D69&lt;60,'P&amp;L Month'!AV44*(1+'Détail CF'!$C69),IF($D69&gt;=60,'P&amp;L Month'!AU44*(1+'Détail CF'!$C69),0)))</f>
        <v>-598</v>
      </c>
      <c r="AV69" s="102">
        <f>-IF($D69&lt;30,'P&amp;L Month'!AX44*(1+'Détail CF'!$C69),IF($D69&lt;60,'P&amp;L Month'!AW44*(1+'Détail CF'!$C69),IF($D69&gt;=60,'P&amp;L Month'!AV44*(1+'Détail CF'!$C69),0)))</f>
        <v>-598</v>
      </c>
      <c r="AW69" s="102">
        <f>-IF($D69&lt;30,'P&amp;L Month'!AY44*(1+'Détail CF'!$C69),IF($D69&lt;60,'P&amp;L Month'!AX44*(1+'Détail CF'!$C69),IF($D69&gt;=60,'P&amp;L Month'!AW44*(1+'Détail CF'!$C69),0)))</f>
        <v>-598</v>
      </c>
      <c r="AX69" s="102">
        <f>-IF($D69&lt;30,'P&amp;L Month'!AZ44*(1+'Détail CF'!$C69),IF($D69&lt;60,'P&amp;L Month'!AY44*(1+'Détail CF'!$C69),IF($D69&gt;=60,'P&amp;L Month'!AX44*(1+'Détail CF'!$C69),0)))</f>
        <v>-598</v>
      </c>
      <c r="AY69" s="102">
        <f>-IF($D69&lt;30,'P&amp;L Month'!BA44*(1+'Détail CF'!$C69),IF($D69&lt;60,'P&amp;L Month'!AZ44*(1+'Détail CF'!$C69),IF($D69&gt;=60,'P&amp;L Month'!AY44*(1+'Détail CF'!$C69),0)))</f>
        <v>-598</v>
      </c>
      <c r="AZ69" s="102">
        <f>-IF($D69&lt;30,'P&amp;L Month'!BB44*(1+'Détail CF'!$C69),IF($D69&lt;60,'P&amp;L Month'!BA44*(1+'Détail CF'!$C69),IF($D69&gt;=60,'P&amp;L Month'!AZ44*(1+'Détail CF'!$C69),0)))</f>
        <v>-598</v>
      </c>
      <c r="BA69" s="102">
        <f>-IF($D69&lt;30,'P&amp;L Month'!BC44*(1+'Détail CF'!$C69),IF($D69&lt;60,'P&amp;L Month'!BB44*(1+'Détail CF'!$C69),IF($D69&gt;=60,'P&amp;L Month'!BA44*(1+'Détail CF'!$C69),0)))</f>
        <v>-598</v>
      </c>
      <c r="BB69" s="102">
        <f>-IF($D69&lt;30,'P&amp;L Month'!BD44*(1+'Détail CF'!$C69),IF($D69&lt;60,'P&amp;L Month'!BC44*(1+'Détail CF'!$C69),IF($D69&gt;=60,'P&amp;L Month'!BB44*(1+'Détail CF'!$C69),0)))</f>
        <v>-598</v>
      </c>
      <c r="BC69" s="102">
        <f>-IF($D69&lt;30,'P&amp;L Month'!BE44*(1+'Détail CF'!$C69),IF($D69&lt;60,'P&amp;L Month'!BD44*(1+'Détail CF'!$C69),IF($D69&gt;=60,'P&amp;L Month'!BC44*(1+'Détail CF'!$C69),0)))</f>
        <v>-598</v>
      </c>
      <c r="BD69" s="102">
        <f>-IF($D69&lt;30,'P&amp;L Month'!BF44*(1+'Détail CF'!$C69),IF($D69&lt;60,'P&amp;L Month'!BE44*(1+'Détail CF'!$C69),IF($D69&gt;=60,'P&amp;L Month'!BD44*(1+'Détail CF'!$C69),0)))</f>
        <v>-598</v>
      </c>
      <c r="BE69" s="102">
        <f>-IF($D69&lt;30,'P&amp;L Month'!BG44*(1+'Détail CF'!$C69),IF($D69&lt;60,'P&amp;L Month'!BF44*(1+'Détail CF'!$C69),IF($D69&gt;=60,'P&amp;L Month'!BE44*(1+'Détail CF'!$C69),0)))</f>
        <v>-598</v>
      </c>
      <c r="BF69" s="102">
        <f>-IF($D69&lt;30,'P&amp;L Month'!BH44*(1+'Détail CF'!$C69),IF($D69&lt;60,'P&amp;L Month'!BG44*(1+'Détail CF'!$C69),IF($D69&gt;=60,'P&amp;L Month'!BF44*(1+'Détail CF'!$C69),0)))</f>
        <v>-598</v>
      </c>
      <c r="BG69" s="102">
        <f>-IF($D69&lt;30,'P&amp;L Month'!BI44*(1+'Détail CF'!$C69),IF($D69&lt;60,'P&amp;L Month'!BH44*(1+'Détail CF'!$C69),IF($D69&gt;=60,'P&amp;L Month'!BG44*(1+'Détail CF'!$C69),0)))</f>
        <v>-598</v>
      </c>
      <c r="BH69" s="102">
        <f>-IF($D69&lt;30,'P&amp;L Month'!BJ44*(1+'Détail CF'!$C69),IF($D69&lt;60,'P&amp;L Month'!BI44*(1+'Détail CF'!$C69),IF($D69&gt;=60,'P&amp;L Month'!BH44*(1+'Détail CF'!$C69),0)))</f>
        <v>-598</v>
      </c>
      <c r="BI69" s="102">
        <f>-IF($D69&lt;30,'P&amp;L Month'!BK44*(1+'Détail CF'!$C69),IF($D69&lt;60,'P&amp;L Month'!BJ44*(1+'Détail CF'!$C69),IF($D69&gt;=60,'P&amp;L Month'!BI44*(1+'Détail CF'!$C69),0)))</f>
        <v>-598</v>
      </c>
      <c r="BJ69" s="102">
        <f>-IF($D69&lt;30,'P&amp;L Month'!BL44*(1+'Détail CF'!$C69),IF($D69&lt;60,'P&amp;L Month'!BK44*(1+'Détail CF'!$C69),IF($D69&gt;=60,'P&amp;L Month'!BJ44*(1+'Détail CF'!$C69),0)))</f>
        <v>-598</v>
      </c>
      <c r="BK69" s="102">
        <f>-IF($D69&lt;30,'P&amp;L Month'!BM44*(1+'Détail CF'!$C69),IF($D69&lt;60,'P&amp;L Month'!BL44*(1+'Détail CF'!$C69),IF($D69&gt;=60,'P&amp;L Month'!BK44*(1+'Détail CF'!$C69),0)))</f>
        <v>-598</v>
      </c>
      <c r="BL69" s="102">
        <f>-IF($D69&lt;30,'P&amp;L Month'!BN44*(1+'Détail CF'!$C69),IF($D69&lt;60,'P&amp;L Month'!BM44*(1+'Détail CF'!$C69),IF($D69&gt;=60,'P&amp;L Month'!BL44*(1+'Détail CF'!$C69),0)))</f>
        <v>-598</v>
      </c>
      <c r="BM69" s="102">
        <f>-IF($D69&lt;30,'P&amp;L Month'!BO44*(1+'Détail CF'!$C69),IF($D69&lt;60,'P&amp;L Month'!BN44*(1+'Détail CF'!$C69),IF($D69&gt;=60,'P&amp;L Month'!BM44*(1+'Détail CF'!$C69),0)))</f>
        <v>-598</v>
      </c>
      <c r="BN69" s="102">
        <f>-IF($D69&lt;30,'P&amp;L Month'!BP44*(1+'Détail CF'!$C69),IF($D69&lt;60,'P&amp;L Month'!BO44*(1+'Détail CF'!$C69),IF($D69&gt;=60,'P&amp;L Month'!BN44*(1+'Détail CF'!$C69),0)))</f>
        <v>-598</v>
      </c>
      <c r="BO69" s="102">
        <f>-IF($D69&lt;30,'P&amp;L Month'!BQ44*(1+'Détail CF'!$C69),IF($D69&lt;60,'P&amp;L Month'!BP44*(1+'Détail CF'!$C69),IF($D69&gt;=60,'P&amp;L Month'!BO44*(1+'Détail CF'!$C69),0)))</f>
        <v>-598</v>
      </c>
      <c r="BP69" s="102">
        <f>-IF($D69&lt;30,'P&amp;L Month'!BR44*(1+'Détail CF'!$C69),IF($D69&lt;60,'P&amp;L Month'!BQ44*(1+'Détail CF'!$C69),IF($D69&gt;=60,'P&amp;L Month'!BP44*(1+'Détail CF'!$C69),0)))</f>
        <v>-598</v>
      </c>
      <c r="BQ69" s="102">
        <f>-IF($D69&lt;30,'P&amp;L Month'!BS44*(1+'Détail CF'!$C69),IF($D69&lt;60,'P&amp;L Month'!BR44*(1+'Détail CF'!$C69),IF($D69&gt;=60,'P&amp;L Month'!BQ44*(1+'Détail CF'!$C69),0)))</f>
        <v>-598</v>
      </c>
      <c r="BR69" s="102">
        <f>-IF($D69&lt;30,'P&amp;L Month'!BT44*(1+'Détail CF'!$C69),IF($D69&lt;60,'P&amp;L Month'!BS44*(1+'Détail CF'!$C69),IF($D69&gt;=60,'P&amp;L Month'!BR44*(1+'Détail CF'!$C69),0)))</f>
        <v>-598</v>
      </c>
      <c r="BS69" s="102">
        <f>-IF($D69&lt;30,'P&amp;L Month'!BU44*(1+'Détail CF'!$C69),IF($D69&lt;60,'P&amp;L Month'!BT44*(1+'Détail CF'!$C69),IF($D69&gt;=60,'P&amp;L Month'!BS44*(1+'Détail CF'!$C69),0)))</f>
        <v>-598</v>
      </c>
      <c r="BT69" s="102">
        <f>-IF($D69&lt;30,'P&amp;L Month'!BV44*(1+'Détail CF'!$C69),IF($D69&lt;60,'P&amp;L Month'!BU44*(1+'Détail CF'!$C69),IF($D69&gt;=60,'P&amp;L Month'!BT44*(1+'Détail CF'!$C69),0)))</f>
        <v>-598</v>
      </c>
      <c r="BU69" s="102">
        <f>-IF($D69&lt;30,'P&amp;L Month'!BW44*(1+'Détail CF'!$C69),IF($D69&lt;60,'P&amp;L Month'!BV44*(1+'Détail CF'!$C69),IF($D69&gt;=60,'P&amp;L Month'!BU44*(1+'Détail CF'!$C69),0)))</f>
        <v>-598</v>
      </c>
      <c r="BV69" s="102">
        <f>-IF($D69&lt;30,'P&amp;L Month'!BX44*(1+'Détail CF'!$C69),IF($D69&lt;60,'P&amp;L Month'!BW44*(1+'Détail CF'!$C69),IF($D69&gt;=60,'P&amp;L Month'!BV44*(1+'Détail CF'!$C69),0)))</f>
        <v>-598</v>
      </c>
      <c r="BW69" s="102">
        <f>-IF($D69&lt;30,'P&amp;L Month'!BY44*(1+'Détail CF'!$C69),IF($D69&lt;60,'P&amp;L Month'!BX44*(1+'Détail CF'!$C69),IF($D69&gt;=60,'P&amp;L Month'!BW44*(1+'Détail CF'!$C69),0)))</f>
        <v>-598</v>
      </c>
      <c r="BX69" s="102">
        <f>-IF($D69&lt;30,'P&amp;L Month'!BZ44*(1+'Détail CF'!$C69),IF($D69&lt;60,'P&amp;L Month'!BY44*(1+'Détail CF'!$C69),IF($D69&gt;=60,'P&amp;L Month'!BX44*(1+'Détail CF'!$C69),0)))</f>
        <v>-598</v>
      </c>
      <c r="BY69" s="102">
        <f>-IF($D69&lt;30,'P&amp;L Month'!CA44*(1+'Détail CF'!$C69),IF($D69&lt;60,'P&amp;L Month'!BZ44*(1+'Détail CF'!$C69),IF($D69&gt;=60,'P&amp;L Month'!BY44*(1+'Détail CF'!$C69),0)))</f>
        <v>-598</v>
      </c>
      <c r="BZ69" s="102">
        <f>-IF($D69&lt;30,'P&amp;L Month'!CB44*(1+'Détail CF'!$C69),IF($D69&lt;60,'P&amp;L Month'!CA44*(1+'Détail CF'!$C69),IF($D69&gt;=60,'P&amp;L Month'!BZ44*(1+'Détail CF'!$C69),0)))</f>
        <v>-598</v>
      </c>
      <c r="CA69" s="102">
        <f>-IF($D69&lt;30,'P&amp;L Month'!CC44*(1+'Détail CF'!$C69),IF($D69&lt;60,'P&amp;L Month'!CB44*(1+'Détail CF'!$C69),IF($D69&gt;=60,'P&amp;L Month'!CA44*(1+'Détail CF'!$C69),0)))</f>
        <v>-598</v>
      </c>
      <c r="CB69" s="102">
        <f>-IF($D69&lt;30,'P&amp;L Month'!CD44*(1+'Détail CF'!$C69),IF($D69&lt;60,'P&amp;L Month'!CC44*(1+'Détail CF'!$C69),IF($D69&gt;=60,'P&amp;L Month'!CB44*(1+'Détail CF'!$C69),0)))</f>
        <v>-598</v>
      </c>
      <c r="CC69" s="102">
        <f>-IF($D69&lt;30,'P&amp;L Month'!CE44*(1+'Détail CF'!$C69),IF($D69&lt;60,'P&amp;L Month'!CD44*(1+'Détail CF'!$C69),IF($D69&gt;=60,'P&amp;L Month'!CC44*(1+'Détail CF'!$C69),0)))</f>
        <v>-598</v>
      </c>
      <c r="CD69" s="102">
        <f>-IF($D69&lt;30,'P&amp;L Month'!CF44*(1+'Détail CF'!$C69),IF($D69&lt;60,'P&amp;L Month'!CE44*(1+'Détail CF'!$C69),IF($D69&gt;=60,'P&amp;L Month'!CD44*(1+'Détail CF'!$C69),0)))</f>
        <v>-598</v>
      </c>
      <c r="CE69" s="102">
        <f>-IF($D69&lt;30,'P&amp;L Month'!CG44*(1+'Détail CF'!$C69),IF($D69&lt;60,'P&amp;L Month'!CF44*(1+'Détail CF'!$C69),IF($D69&gt;=60,'P&amp;L Month'!CE44*(1+'Détail CF'!$C69),0)))</f>
        <v>-598</v>
      </c>
    </row>
    <row r="70" spans="2:83">
      <c r="B70" t="s">
        <v>174</v>
      </c>
      <c r="C70" s="182">
        <f t="shared" si="29"/>
        <v>0.19600000000000001</v>
      </c>
      <c r="D70" s="99">
        <f t="shared" si="29"/>
        <v>60</v>
      </c>
      <c r="E70" s="195" t="str">
        <f t="shared" si="29"/>
        <v>F</v>
      </c>
      <c r="F70" s="102">
        <f>-IF($D70&lt;30,'P&amp;L Month'!H46*(1+'Détail CF'!$C70),0)</f>
        <v>0</v>
      </c>
      <c r="G70" s="102">
        <f>-IF($D70&lt;30,'P&amp;L Month'!I46*(1+'Détail CF'!$C70),IF($D70&lt;60,'P&amp;L Month'!H46*(1+'Détail CF'!$C70),0))</f>
        <v>0</v>
      </c>
      <c r="H70" s="102">
        <f>-IF($D70&lt;30,'P&amp;L Month'!J46*(1+'Détail CF'!$C70),IF($D70&lt;60,'P&amp;L Month'!I46*(1+'Détail CF'!$C70),IF($D70&gt;=60,'P&amp;L Month'!H46*(1+'Détail CF'!$C70),0)))</f>
        <v>0</v>
      </c>
      <c r="I70" s="102">
        <f>-IF($D70&lt;30,'P&amp;L Month'!K46*(1+'Détail CF'!$C70),IF($D70&lt;60,'P&amp;L Month'!J46*(1+'Détail CF'!$C70),IF($D70&gt;=60,'P&amp;L Month'!I46*(1+'Détail CF'!$C70),0)))</f>
        <v>0</v>
      </c>
      <c r="J70" s="102">
        <f>-IF($D70&lt;30,'P&amp;L Month'!L46*(1+'Détail CF'!$C70),IF($D70&lt;60,'P&amp;L Month'!K46*(1+'Détail CF'!$C70),IF($D70&gt;=60,'P&amp;L Month'!J46*(1+'Détail CF'!$C70),0)))</f>
        <v>0</v>
      </c>
      <c r="K70" s="102">
        <f>-IF($D70&lt;30,'P&amp;L Month'!M46*(1+'Détail CF'!$C70),IF($D70&lt;60,'P&amp;L Month'!L46*(1+'Détail CF'!$C70),IF($D70&gt;=60,'P&amp;L Month'!K46*(1+'Détail CF'!$C70),0)))</f>
        <v>0</v>
      </c>
      <c r="L70" s="102">
        <f>-IF($D70&lt;30,'P&amp;L Month'!N46*(1+'Détail CF'!$C70),IF($D70&lt;60,'P&amp;L Month'!M46*(1+'Détail CF'!$C70),IF($D70&gt;=60,'P&amp;L Month'!L46*(1+'Détail CF'!$C70),0)))</f>
        <v>0</v>
      </c>
      <c r="M70" s="102">
        <f>-IF($D70&lt;30,'P&amp;L Month'!O46*(1+'Détail CF'!$C70),IF($D70&lt;60,'P&amp;L Month'!N46*(1+'Détail CF'!$C70),IF($D70&gt;=60,'P&amp;L Month'!M46*(1+'Détail CF'!$C70),0)))</f>
        <v>0</v>
      </c>
      <c r="N70" s="102">
        <f>-IF($D70&lt;30,'P&amp;L Month'!P46*(1+'Détail CF'!$C70),IF($D70&lt;60,'P&amp;L Month'!O46*(1+'Détail CF'!$C70),IF($D70&gt;=60,'P&amp;L Month'!N46*(1+'Détail CF'!$C70),0)))</f>
        <v>0</v>
      </c>
      <c r="O70" s="102">
        <f>-IF($D70&lt;30,'P&amp;L Month'!Q46*(1+'Détail CF'!$C70),IF($D70&lt;60,'P&amp;L Month'!P46*(1+'Détail CF'!$C70),IF($D70&gt;=60,'P&amp;L Month'!O46*(1+'Détail CF'!$C70),0)))</f>
        <v>0</v>
      </c>
      <c r="P70" s="102">
        <f>-IF($D70&lt;30,'P&amp;L Month'!R46*(1+'Détail CF'!$C70),IF($D70&lt;60,'P&amp;L Month'!Q46*(1+'Détail CF'!$C70),IF($D70&gt;=60,'P&amp;L Month'!P46*(1+'Détail CF'!$C70),0)))</f>
        <v>0</v>
      </c>
      <c r="Q70" s="102">
        <f>-IF($D70&lt;30,'P&amp;L Month'!S46*(1+'Détail CF'!$C70),IF($D70&lt;60,'P&amp;L Month'!R46*(1+'Détail CF'!$C70),IF($D70&gt;=60,'P&amp;L Month'!Q46*(1+'Détail CF'!$C70),0)))</f>
        <v>0</v>
      </c>
      <c r="R70" s="102">
        <f>-IF($D70&lt;30,'P&amp;L Month'!T46*(1+'Détail CF'!$C70),IF($D70&lt;60,'P&amp;L Month'!S46*(1+'Détail CF'!$C70),IF($D70&gt;=60,'P&amp;L Month'!R46*(1+'Détail CF'!$C70),0)))</f>
        <v>0</v>
      </c>
      <c r="S70" s="102">
        <f>-IF($D70&lt;30,'P&amp;L Month'!U46*(1+'Détail CF'!$C70),IF($D70&lt;60,'P&amp;L Month'!T46*(1+'Détail CF'!$C70),IF($D70&gt;=60,'P&amp;L Month'!S46*(1+'Détail CF'!$C70),0)))</f>
        <v>0</v>
      </c>
      <c r="T70" s="102">
        <f>-IF($D70&lt;30,'P&amp;L Month'!V46*(1+'Détail CF'!$C70),IF($D70&lt;60,'P&amp;L Month'!U46*(1+'Détail CF'!$C70),IF($D70&gt;=60,'P&amp;L Month'!T46*(1+'Détail CF'!$C70),0)))</f>
        <v>0</v>
      </c>
      <c r="U70" s="102">
        <f>-IF($D70&lt;30,'P&amp;L Month'!W46*(1+'Détail CF'!$C70),IF($D70&lt;60,'P&amp;L Month'!V46*(1+'Détail CF'!$C70),IF($D70&gt;=60,'P&amp;L Month'!U46*(1+'Détail CF'!$C70),0)))</f>
        <v>0</v>
      </c>
      <c r="V70" s="102">
        <f>-IF($D70&lt;30,'P&amp;L Month'!X46*(1+'Détail CF'!$C70),IF($D70&lt;60,'P&amp;L Month'!W46*(1+'Détail CF'!$C70),IF($D70&gt;=60,'P&amp;L Month'!V46*(1+'Détail CF'!$C70),0)))</f>
        <v>0</v>
      </c>
      <c r="W70" s="102">
        <f>-IF($D70&lt;30,'P&amp;L Month'!Y46*(1+'Détail CF'!$C70),IF($D70&lt;60,'P&amp;L Month'!X46*(1+'Détail CF'!$C70),IF($D70&gt;=60,'P&amp;L Month'!W46*(1+'Détail CF'!$C70),0)))</f>
        <v>0</v>
      </c>
      <c r="X70" s="102">
        <f>-IF($D70&lt;30,'P&amp;L Month'!Z46*(1+'Détail CF'!$C70),IF($D70&lt;60,'P&amp;L Month'!Y46*(1+'Détail CF'!$C70),IF($D70&gt;=60,'P&amp;L Month'!X46*(1+'Détail CF'!$C70),0)))</f>
        <v>0</v>
      </c>
      <c r="Y70" s="102">
        <f>-IF($D70&lt;30,'P&amp;L Month'!AA46*(1+'Détail CF'!$C70),IF($D70&lt;60,'P&amp;L Month'!Z46*(1+'Détail CF'!$C70),IF($D70&gt;=60,'P&amp;L Month'!Y46*(1+'Détail CF'!$C70),0)))</f>
        <v>0</v>
      </c>
      <c r="Z70" s="102">
        <f>-IF($D70&lt;30,'P&amp;L Month'!AB46*(1+'Détail CF'!$C70),IF($D70&lt;60,'P&amp;L Month'!AA46*(1+'Détail CF'!$C70),IF($D70&gt;=60,'P&amp;L Month'!Z46*(1+'Détail CF'!$C70),0)))</f>
        <v>0</v>
      </c>
      <c r="AA70" s="102">
        <f>-IF($D70&lt;30,'P&amp;L Month'!AC46*(1+'Détail CF'!$C70),IF($D70&lt;60,'P&amp;L Month'!AB46*(1+'Détail CF'!$C70),IF($D70&gt;=60,'P&amp;L Month'!AA46*(1+'Détail CF'!$C70),0)))</f>
        <v>0</v>
      </c>
      <c r="AB70" s="102">
        <f>-IF($D70&lt;30,'P&amp;L Month'!AD46*(1+'Détail CF'!$C70),IF($D70&lt;60,'P&amp;L Month'!AC46*(1+'Détail CF'!$C70),IF($D70&gt;=60,'P&amp;L Month'!AB46*(1+'Détail CF'!$C70),0)))</f>
        <v>0</v>
      </c>
      <c r="AC70" s="102">
        <f>-IF($D70&lt;30,'P&amp;L Month'!AE46*(1+'Détail CF'!$C70),IF($D70&lt;60,'P&amp;L Month'!AD46*(1+'Détail CF'!$C70),IF($D70&gt;=60,'P&amp;L Month'!AC46*(1+'Détail CF'!$C70),0)))</f>
        <v>0</v>
      </c>
      <c r="AD70" s="102">
        <f>-IF($D70&lt;30,'P&amp;L Month'!AF46*(1+'Détail CF'!$C70),IF($D70&lt;60,'P&amp;L Month'!AE46*(1+'Détail CF'!$C70),IF($D70&gt;=60,'P&amp;L Month'!AD46*(1+'Détail CF'!$C70),0)))</f>
        <v>0</v>
      </c>
      <c r="AE70" s="102">
        <f>-IF($D70&lt;30,'P&amp;L Month'!AG46*(1+'Détail CF'!$C70),IF($D70&lt;60,'P&amp;L Month'!AF46*(1+'Détail CF'!$C70),IF($D70&gt;=60,'P&amp;L Month'!AE46*(1+'Détail CF'!$C70),0)))</f>
        <v>0</v>
      </c>
      <c r="AF70" s="102">
        <f>-IF($D70&lt;30,'P&amp;L Month'!AH46*(1+'Détail CF'!$C70),IF($D70&lt;60,'P&amp;L Month'!AG46*(1+'Détail CF'!$C70),IF($D70&gt;=60,'P&amp;L Month'!AF46*(1+'Détail CF'!$C70),0)))</f>
        <v>0</v>
      </c>
      <c r="AG70" s="102">
        <f>-IF($D70&lt;30,'P&amp;L Month'!AI46*(1+'Détail CF'!$C70),IF($D70&lt;60,'P&amp;L Month'!AH46*(1+'Détail CF'!$C70),IF($D70&gt;=60,'P&amp;L Month'!AG46*(1+'Détail CF'!$C70),0)))</f>
        <v>0</v>
      </c>
      <c r="AH70" s="102">
        <f>-IF($D70&lt;30,'P&amp;L Month'!AJ46*(1+'Détail CF'!$C70),IF($D70&lt;60,'P&amp;L Month'!AI46*(1+'Détail CF'!$C70),IF($D70&gt;=60,'P&amp;L Month'!AH46*(1+'Détail CF'!$C70),0)))</f>
        <v>0</v>
      </c>
      <c r="AI70" s="102">
        <f>-IF($D70&lt;30,'P&amp;L Month'!AK46*(1+'Détail CF'!$C70),IF($D70&lt;60,'P&amp;L Month'!AJ46*(1+'Détail CF'!$C70),IF($D70&gt;=60,'P&amp;L Month'!AI46*(1+'Détail CF'!$C70),0)))</f>
        <v>0</v>
      </c>
      <c r="AJ70" s="102">
        <f>-IF($D70&lt;30,'P&amp;L Month'!AL46*(1+'Détail CF'!$C70),IF($D70&lt;60,'P&amp;L Month'!AK46*(1+'Détail CF'!$C70),IF($D70&gt;=60,'P&amp;L Month'!AJ46*(1+'Détail CF'!$C70),0)))</f>
        <v>0</v>
      </c>
      <c r="AK70" s="102">
        <f>-IF($D70&lt;30,'P&amp;L Month'!AM46*(1+'Détail CF'!$C70),IF($D70&lt;60,'P&amp;L Month'!AL46*(1+'Détail CF'!$C70),IF($D70&gt;=60,'P&amp;L Month'!AK46*(1+'Détail CF'!$C70),0)))</f>
        <v>0</v>
      </c>
      <c r="AL70" s="102">
        <f>-IF($D70&lt;30,'P&amp;L Month'!AN46*(1+'Détail CF'!$C70),IF($D70&lt;60,'P&amp;L Month'!AM46*(1+'Détail CF'!$C70),IF($D70&gt;=60,'P&amp;L Month'!AL46*(1+'Détail CF'!$C70),0)))</f>
        <v>-17940</v>
      </c>
      <c r="AM70" s="102">
        <f>-IF($D70&lt;30,'P&amp;L Month'!AO46*(1+'Détail CF'!$C70),IF($D70&lt;60,'P&amp;L Month'!AN46*(1+'Détail CF'!$C70),IF($D70&gt;=60,'P&amp;L Month'!AM46*(1+'Détail CF'!$C70),0)))</f>
        <v>-23920</v>
      </c>
      <c r="AN70" s="102">
        <f>-IF($D70&lt;30,'P&amp;L Month'!AP46*(1+'Détail CF'!$C70),IF($D70&lt;60,'P&amp;L Month'!AO46*(1+'Détail CF'!$C70),IF($D70&gt;=60,'P&amp;L Month'!AN46*(1+'Détail CF'!$C70),0)))</f>
        <v>-29900</v>
      </c>
      <c r="AO70" s="102">
        <f>-IF($D70&lt;30,'P&amp;L Month'!AQ46*(1+'Détail CF'!$C70),IF($D70&lt;60,'P&amp;L Month'!AP46*(1+'Détail CF'!$C70),IF($D70&gt;=60,'P&amp;L Month'!AO46*(1+'Détail CF'!$C70),0)))</f>
        <v>-35880</v>
      </c>
      <c r="AP70" s="102">
        <f>-IF($D70&lt;30,'P&amp;L Month'!AR46*(1+'Détail CF'!$C70),IF($D70&lt;60,'P&amp;L Month'!AQ46*(1+'Détail CF'!$C70),IF($D70&gt;=60,'P&amp;L Month'!AP46*(1+'Détail CF'!$C70),0)))</f>
        <v>-41860</v>
      </c>
      <c r="AQ70" s="102">
        <f>-IF($D70&lt;30,'P&amp;L Month'!AS46*(1+'Détail CF'!$C70),IF($D70&lt;60,'P&amp;L Month'!AR46*(1+'Détail CF'!$C70),IF($D70&gt;=60,'P&amp;L Month'!AQ46*(1+'Détail CF'!$C70),0)))</f>
        <v>-47840</v>
      </c>
      <c r="AR70" s="102">
        <f>-IF($D70&lt;30,'P&amp;L Month'!AT46*(1+'Détail CF'!$C70),IF($D70&lt;60,'P&amp;L Month'!AS46*(1+'Détail CF'!$C70),IF($D70&gt;=60,'P&amp;L Month'!AR46*(1+'Détail CF'!$C70),0)))</f>
        <v>-50830</v>
      </c>
      <c r="AS70" s="102">
        <f>-IF($D70&lt;30,'P&amp;L Month'!AU46*(1+'Détail CF'!$C70),IF($D70&lt;60,'P&amp;L Month'!AT46*(1+'Détail CF'!$C70),IF($D70&gt;=60,'P&amp;L Month'!AS46*(1+'Détail CF'!$C70),0)))</f>
        <v>-53820</v>
      </c>
      <c r="AT70" s="102">
        <f>-IF($D70&lt;30,'P&amp;L Month'!AV46*(1+'Détail CF'!$C70),IF($D70&lt;60,'P&amp;L Month'!AU46*(1+'Détail CF'!$C70),IF($D70&gt;=60,'P&amp;L Month'!AT46*(1+'Détail CF'!$C70),0)))</f>
        <v>-56810</v>
      </c>
      <c r="AU70" s="102">
        <f>-IF($D70&lt;30,'P&amp;L Month'!AW46*(1+'Détail CF'!$C70),IF($D70&lt;60,'P&amp;L Month'!AV46*(1+'Détail CF'!$C70),IF($D70&gt;=60,'P&amp;L Month'!AU46*(1+'Détail CF'!$C70),0)))</f>
        <v>-59800</v>
      </c>
      <c r="AV70" s="102">
        <f>-IF($D70&lt;30,'P&amp;L Month'!AX46*(1+'Détail CF'!$C70),IF($D70&lt;60,'P&amp;L Month'!AW46*(1+'Détail CF'!$C70),IF($D70&gt;=60,'P&amp;L Month'!AV46*(1+'Détail CF'!$C70),0)))</f>
        <v>-59800</v>
      </c>
      <c r="AW70" s="102">
        <f>-IF($D70&lt;30,'P&amp;L Month'!AY46*(1+'Détail CF'!$C70),IF($D70&lt;60,'P&amp;L Month'!AX46*(1+'Détail CF'!$C70),IF($D70&gt;=60,'P&amp;L Month'!AW46*(1+'Détail CF'!$C70),0)))</f>
        <v>-59800</v>
      </c>
      <c r="AX70" s="102">
        <f>-IF($D70&lt;30,'P&amp;L Month'!AZ46*(1+'Détail CF'!$C70),IF($D70&lt;60,'P&amp;L Month'!AY46*(1+'Détail CF'!$C70),IF($D70&gt;=60,'P&amp;L Month'!AX46*(1+'Détail CF'!$C70),0)))</f>
        <v>-59800</v>
      </c>
      <c r="AY70" s="102">
        <f>-IF($D70&lt;30,'P&amp;L Month'!BA46*(1+'Détail CF'!$C70),IF($D70&lt;60,'P&amp;L Month'!AZ46*(1+'Détail CF'!$C70),IF($D70&gt;=60,'P&amp;L Month'!AY46*(1+'Détail CF'!$C70),0)))</f>
        <v>-59800</v>
      </c>
      <c r="AZ70" s="102">
        <f>-IF($D70&lt;30,'P&amp;L Month'!BB46*(1+'Détail CF'!$C70),IF($D70&lt;60,'P&amp;L Month'!BA46*(1+'Détail CF'!$C70),IF($D70&gt;=60,'P&amp;L Month'!AZ46*(1+'Détail CF'!$C70),0)))</f>
        <v>-59800</v>
      </c>
      <c r="BA70" s="102">
        <f>-IF($D70&lt;30,'P&amp;L Month'!BC46*(1+'Détail CF'!$C70),IF($D70&lt;60,'P&amp;L Month'!BB46*(1+'Détail CF'!$C70),IF($D70&gt;=60,'P&amp;L Month'!BA46*(1+'Détail CF'!$C70),0)))</f>
        <v>-59800</v>
      </c>
      <c r="BB70" s="102">
        <f>-IF($D70&lt;30,'P&amp;L Month'!BD46*(1+'Détail CF'!$C70),IF($D70&lt;60,'P&amp;L Month'!BC46*(1+'Détail CF'!$C70),IF($D70&gt;=60,'P&amp;L Month'!BB46*(1+'Détail CF'!$C70),0)))</f>
        <v>-59800</v>
      </c>
      <c r="BC70" s="102">
        <f>-IF($D70&lt;30,'P&amp;L Month'!BE46*(1+'Détail CF'!$C70),IF($D70&lt;60,'P&amp;L Month'!BD46*(1+'Détail CF'!$C70),IF($D70&gt;=60,'P&amp;L Month'!BC46*(1+'Détail CF'!$C70),0)))</f>
        <v>-59800</v>
      </c>
      <c r="BD70" s="102">
        <f>-IF($D70&lt;30,'P&amp;L Month'!BF46*(1+'Détail CF'!$C70),IF($D70&lt;60,'P&amp;L Month'!BE46*(1+'Détail CF'!$C70),IF($D70&gt;=60,'P&amp;L Month'!BD46*(1+'Détail CF'!$C70),0)))</f>
        <v>-59800</v>
      </c>
      <c r="BE70" s="102">
        <f>-IF($D70&lt;30,'P&amp;L Month'!BG46*(1+'Détail CF'!$C70),IF($D70&lt;60,'P&amp;L Month'!BF46*(1+'Détail CF'!$C70),IF($D70&gt;=60,'P&amp;L Month'!BE46*(1+'Détail CF'!$C70),0)))</f>
        <v>-59800</v>
      </c>
      <c r="BF70" s="102">
        <f>-IF($D70&lt;30,'P&amp;L Month'!BH46*(1+'Détail CF'!$C70),IF($D70&lt;60,'P&amp;L Month'!BG46*(1+'Détail CF'!$C70),IF($D70&gt;=60,'P&amp;L Month'!BF46*(1+'Détail CF'!$C70),0)))</f>
        <v>-59800</v>
      </c>
      <c r="BG70" s="102">
        <f>-IF($D70&lt;30,'P&amp;L Month'!BI46*(1+'Détail CF'!$C70),IF($D70&lt;60,'P&amp;L Month'!BH46*(1+'Détail CF'!$C70),IF($D70&gt;=60,'P&amp;L Month'!BG46*(1+'Détail CF'!$C70),0)))</f>
        <v>-59800</v>
      </c>
      <c r="BH70" s="102">
        <f>-IF($D70&lt;30,'P&amp;L Month'!BJ46*(1+'Détail CF'!$C70),IF($D70&lt;60,'P&amp;L Month'!BI46*(1+'Détail CF'!$C70),IF($D70&gt;=60,'P&amp;L Month'!BH46*(1+'Détail CF'!$C70),0)))</f>
        <v>-59800</v>
      </c>
      <c r="BI70" s="102">
        <f>-IF($D70&lt;30,'P&amp;L Month'!BK46*(1+'Détail CF'!$C70),IF($D70&lt;60,'P&amp;L Month'!BJ46*(1+'Détail CF'!$C70),IF($D70&gt;=60,'P&amp;L Month'!BI46*(1+'Détail CF'!$C70),0)))</f>
        <v>-59800</v>
      </c>
      <c r="BJ70" s="102">
        <f>-IF($D70&lt;30,'P&amp;L Month'!BL46*(1+'Détail CF'!$C70),IF($D70&lt;60,'P&amp;L Month'!BK46*(1+'Détail CF'!$C70),IF($D70&gt;=60,'P&amp;L Month'!BJ46*(1+'Détail CF'!$C70),0)))</f>
        <v>-59800</v>
      </c>
      <c r="BK70" s="102">
        <f>-IF($D70&lt;30,'P&amp;L Month'!BM46*(1+'Détail CF'!$C70),IF($D70&lt;60,'P&amp;L Month'!BL46*(1+'Détail CF'!$C70),IF($D70&gt;=60,'P&amp;L Month'!BK46*(1+'Détail CF'!$C70),0)))</f>
        <v>-59800</v>
      </c>
      <c r="BL70" s="102">
        <f>-IF($D70&lt;30,'P&amp;L Month'!BN46*(1+'Détail CF'!$C70),IF($D70&lt;60,'P&amp;L Month'!BM46*(1+'Détail CF'!$C70),IF($D70&gt;=60,'P&amp;L Month'!BL46*(1+'Détail CF'!$C70),0)))</f>
        <v>-59800</v>
      </c>
      <c r="BM70" s="102">
        <f>-IF($D70&lt;30,'P&amp;L Month'!BO46*(1+'Détail CF'!$C70),IF($D70&lt;60,'P&amp;L Month'!BN46*(1+'Détail CF'!$C70),IF($D70&gt;=60,'P&amp;L Month'!BM46*(1+'Détail CF'!$C70),0)))</f>
        <v>-59800</v>
      </c>
      <c r="BN70" s="102">
        <f>-IF($D70&lt;30,'P&amp;L Month'!BP46*(1+'Détail CF'!$C70),IF($D70&lt;60,'P&amp;L Month'!BO46*(1+'Détail CF'!$C70),IF($D70&gt;=60,'P&amp;L Month'!BN46*(1+'Détail CF'!$C70),0)))</f>
        <v>-59800</v>
      </c>
      <c r="BO70" s="102">
        <f>-IF($D70&lt;30,'P&amp;L Month'!BQ46*(1+'Détail CF'!$C70),IF($D70&lt;60,'P&amp;L Month'!BP46*(1+'Détail CF'!$C70),IF($D70&gt;=60,'P&amp;L Month'!BO46*(1+'Détail CF'!$C70),0)))</f>
        <v>-59800</v>
      </c>
      <c r="BP70" s="102">
        <f>-IF($D70&lt;30,'P&amp;L Month'!BR46*(1+'Détail CF'!$C70),IF($D70&lt;60,'P&amp;L Month'!BQ46*(1+'Détail CF'!$C70),IF($D70&gt;=60,'P&amp;L Month'!BP46*(1+'Détail CF'!$C70),0)))</f>
        <v>-59800</v>
      </c>
      <c r="BQ70" s="102">
        <f>-IF($D70&lt;30,'P&amp;L Month'!BS46*(1+'Détail CF'!$C70),IF($D70&lt;60,'P&amp;L Month'!BR46*(1+'Détail CF'!$C70),IF($D70&gt;=60,'P&amp;L Month'!BQ46*(1+'Détail CF'!$C70),0)))</f>
        <v>-59800</v>
      </c>
      <c r="BR70" s="102">
        <f>-IF($D70&lt;30,'P&amp;L Month'!BT46*(1+'Détail CF'!$C70),IF($D70&lt;60,'P&amp;L Month'!BS46*(1+'Détail CF'!$C70),IF($D70&gt;=60,'P&amp;L Month'!BR46*(1+'Détail CF'!$C70),0)))</f>
        <v>-59800</v>
      </c>
      <c r="BS70" s="102">
        <f>-IF($D70&lt;30,'P&amp;L Month'!BU46*(1+'Détail CF'!$C70),IF($D70&lt;60,'P&amp;L Month'!BT46*(1+'Détail CF'!$C70),IF($D70&gt;=60,'P&amp;L Month'!BS46*(1+'Détail CF'!$C70),0)))</f>
        <v>-59800</v>
      </c>
      <c r="BT70" s="102">
        <f>-IF($D70&lt;30,'P&amp;L Month'!BV46*(1+'Détail CF'!$C70),IF($D70&lt;60,'P&amp;L Month'!BU46*(1+'Détail CF'!$C70),IF($D70&gt;=60,'P&amp;L Month'!BT46*(1+'Détail CF'!$C70),0)))</f>
        <v>-59800</v>
      </c>
      <c r="BU70" s="102">
        <f>-IF($D70&lt;30,'P&amp;L Month'!BW46*(1+'Détail CF'!$C70),IF($D70&lt;60,'P&amp;L Month'!BV46*(1+'Détail CF'!$C70),IF($D70&gt;=60,'P&amp;L Month'!BU46*(1+'Détail CF'!$C70),0)))</f>
        <v>-59800</v>
      </c>
      <c r="BV70" s="102">
        <f>-IF($D70&lt;30,'P&amp;L Month'!BX46*(1+'Détail CF'!$C70),IF($D70&lt;60,'P&amp;L Month'!BW46*(1+'Détail CF'!$C70),IF($D70&gt;=60,'P&amp;L Month'!BV46*(1+'Détail CF'!$C70),0)))</f>
        <v>-59800</v>
      </c>
      <c r="BW70" s="102">
        <f>-IF($D70&lt;30,'P&amp;L Month'!BY46*(1+'Détail CF'!$C70),IF($D70&lt;60,'P&amp;L Month'!BX46*(1+'Détail CF'!$C70),IF($D70&gt;=60,'P&amp;L Month'!BW46*(1+'Détail CF'!$C70),0)))</f>
        <v>-59800</v>
      </c>
      <c r="BX70" s="102">
        <f>-IF($D70&lt;30,'P&amp;L Month'!BZ46*(1+'Détail CF'!$C70),IF($D70&lt;60,'P&amp;L Month'!BY46*(1+'Détail CF'!$C70),IF($D70&gt;=60,'P&amp;L Month'!BX46*(1+'Détail CF'!$C70),0)))</f>
        <v>-59800</v>
      </c>
      <c r="BY70" s="102">
        <f>-IF($D70&lt;30,'P&amp;L Month'!CA46*(1+'Détail CF'!$C70),IF($D70&lt;60,'P&amp;L Month'!BZ46*(1+'Détail CF'!$C70),IF($D70&gt;=60,'P&amp;L Month'!BY46*(1+'Détail CF'!$C70),0)))</f>
        <v>-59800</v>
      </c>
      <c r="BZ70" s="102">
        <f>-IF($D70&lt;30,'P&amp;L Month'!CB46*(1+'Détail CF'!$C70),IF($D70&lt;60,'P&amp;L Month'!CA46*(1+'Détail CF'!$C70),IF($D70&gt;=60,'P&amp;L Month'!BZ46*(1+'Détail CF'!$C70),0)))</f>
        <v>-59800</v>
      </c>
      <c r="CA70" s="102">
        <f>-IF($D70&lt;30,'P&amp;L Month'!CC46*(1+'Détail CF'!$C70),IF($D70&lt;60,'P&amp;L Month'!CB46*(1+'Détail CF'!$C70),IF($D70&gt;=60,'P&amp;L Month'!CA46*(1+'Détail CF'!$C70),0)))</f>
        <v>-59800</v>
      </c>
      <c r="CB70" s="102">
        <f>-IF($D70&lt;30,'P&amp;L Month'!CD46*(1+'Détail CF'!$C70),IF($D70&lt;60,'P&amp;L Month'!CC46*(1+'Détail CF'!$C70),IF($D70&gt;=60,'P&amp;L Month'!CB46*(1+'Détail CF'!$C70),0)))</f>
        <v>-59800</v>
      </c>
      <c r="CC70" s="102">
        <f>-IF($D70&lt;30,'P&amp;L Month'!CE46*(1+'Détail CF'!$C70),IF($D70&lt;60,'P&amp;L Month'!CD46*(1+'Détail CF'!$C70),IF($D70&gt;=60,'P&amp;L Month'!CC46*(1+'Détail CF'!$C70),0)))</f>
        <v>-59800</v>
      </c>
      <c r="CD70" s="102">
        <f>-IF($D70&lt;30,'P&amp;L Month'!CF46*(1+'Détail CF'!$C70),IF($D70&lt;60,'P&amp;L Month'!CE46*(1+'Détail CF'!$C70),IF($D70&gt;=60,'P&amp;L Month'!CD46*(1+'Détail CF'!$C70),0)))</f>
        <v>-59800</v>
      </c>
      <c r="CE70" s="102">
        <f>-IF($D70&lt;30,'P&amp;L Month'!CG46*(1+'Détail CF'!$C70),IF($D70&lt;60,'P&amp;L Month'!CF46*(1+'Détail CF'!$C70),IF($D70&gt;=60,'P&amp;L Month'!CE46*(1+'Détail CF'!$C70),0)))</f>
        <v>-59800</v>
      </c>
    </row>
    <row r="71" spans="2:83">
      <c r="B71" t="s">
        <v>175</v>
      </c>
      <c r="C71" s="10">
        <f t="shared" si="29"/>
        <v>0</v>
      </c>
      <c r="D71" s="196"/>
      <c r="E71" s="195" t="str">
        <f t="shared" si="29"/>
        <v>T</v>
      </c>
      <c r="F71" s="102"/>
      <c r="G71" s="102"/>
      <c r="H71" s="102"/>
      <c r="I71" s="102"/>
      <c r="J71" s="102"/>
      <c r="K71" s="102">
        <f>-SUM('P&amp;L Month'!H48:M48)</f>
        <v>0</v>
      </c>
      <c r="L71" s="102"/>
      <c r="M71" s="102"/>
      <c r="N71" s="102"/>
      <c r="O71" s="102"/>
      <c r="P71" s="102"/>
      <c r="Q71" s="102">
        <f>-SUM('P&amp;L Month'!N48:S48)</f>
        <v>0</v>
      </c>
      <c r="R71" s="102"/>
      <c r="S71" s="102"/>
      <c r="T71" s="102"/>
      <c r="U71" s="102"/>
      <c r="V71" s="102"/>
      <c r="W71" s="102">
        <f>-SUM('P&amp;L Month'!T48:Y48)</f>
        <v>0</v>
      </c>
      <c r="X71" s="102"/>
      <c r="Y71" s="102"/>
      <c r="Z71" s="102"/>
      <c r="AA71" s="102"/>
      <c r="AB71" s="102"/>
      <c r="AC71" s="102">
        <f>-SUM('P&amp;L Month'!Z48:AE48)</f>
        <v>0</v>
      </c>
      <c r="AD71" s="102"/>
      <c r="AE71" s="102"/>
      <c r="AF71" s="102"/>
      <c r="AG71" s="102"/>
      <c r="AH71" s="102"/>
      <c r="AI71" s="102">
        <f>-SUM('P&amp;L Month'!AF48:AK48)</f>
        <v>0</v>
      </c>
      <c r="AJ71" s="102"/>
      <c r="AK71" s="102"/>
      <c r="AL71" s="102"/>
      <c r="AM71" s="102"/>
      <c r="AN71" s="102"/>
      <c r="AO71" s="102">
        <f>-SUM('P&amp;L Month'!AL48:AQ48)</f>
        <v>0</v>
      </c>
      <c r="AP71" s="102"/>
      <c r="AQ71" s="102"/>
      <c r="AR71" s="102"/>
      <c r="AS71" s="102"/>
      <c r="AT71" s="102"/>
      <c r="AU71" s="102">
        <f>-SUM('P&amp;L Month'!AR48:AW48)</f>
        <v>-135.85</v>
      </c>
      <c r="AV71" s="102"/>
      <c r="AW71" s="102"/>
      <c r="AX71" s="102"/>
      <c r="AY71" s="102"/>
      <c r="AZ71" s="102"/>
      <c r="BA71" s="102">
        <f>-SUM('P&amp;L Month'!AX48:BC48)</f>
        <v>-9392.6382199999989</v>
      </c>
      <c r="BB71" s="102"/>
      <c r="BC71" s="102"/>
      <c r="BD71" s="102"/>
      <c r="BE71" s="102"/>
      <c r="BF71" s="102"/>
      <c r="BG71" s="102">
        <f>-SUM('P&amp;L Month'!BD48:BI48)</f>
        <v>-36276.340709999997</v>
      </c>
      <c r="BH71" s="102"/>
      <c r="BI71" s="102"/>
      <c r="BJ71" s="102"/>
      <c r="BK71" s="102"/>
      <c r="BL71" s="102"/>
      <c r="BM71" s="102">
        <f>-SUM('P&amp;L Month'!BJ48:BO48)</f>
        <v>-59428.80913999999</v>
      </c>
      <c r="BN71" s="102"/>
      <c r="BO71" s="102"/>
      <c r="BP71" s="102"/>
      <c r="BQ71" s="102"/>
      <c r="BR71" s="102"/>
      <c r="BS71" s="102">
        <f>-SUM('P&amp;L Month'!BP48:BU48)</f>
        <v>-73017.769499999995</v>
      </c>
      <c r="BT71" s="102"/>
      <c r="BU71" s="102"/>
      <c r="BV71" s="102"/>
      <c r="BW71" s="102"/>
      <c r="BX71" s="102"/>
      <c r="BY71" s="102">
        <f>-SUM('P&amp;L Month'!BV48:CA48)</f>
        <v>-82389.971699999995</v>
      </c>
      <c r="BZ71" s="102"/>
      <c r="CA71" s="102"/>
      <c r="CB71" s="102"/>
      <c r="CC71" s="102"/>
      <c r="CD71" s="102"/>
      <c r="CE71" s="102">
        <f>-SUM('P&amp;L Month'!CB48:CG48)</f>
        <v>-88110.27889999999</v>
      </c>
    </row>
    <row r="72" spans="2:83">
      <c r="B72" t="s">
        <v>262</v>
      </c>
      <c r="C72" s="10">
        <f t="shared" si="29"/>
        <v>0</v>
      </c>
      <c r="D72" s="196"/>
      <c r="E72" s="195" t="str">
        <f t="shared" si="29"/>
        <v>T</v>
      </c>
      <c r="F72" s="102"/>
      <c r="G72" s="102"/>
      <c r="H72" s="102"/>
      <c r="I72" s="102"/>
      <c r="J72" s="102"/>
      <c r="K72" s="102">
        <f>-SUM('P&amp;L Month'!H50:M50)</f>
        <v>0</v>
      </c>
      <c r="L72" s="102"/>
      <c r="M72" s="102"/>
      <c r="N72" s="102"/>
      <c r="O72" s="102"/>
      <c r="P72" s="102"/>
      <c r="Q72" s="102">
        <f>-SUM('P&amp;L Month'!N50:S50)</f>
        <v>0</v>
      </c>
      <c r="R72" s="102"/>
      <c r="S72" s="102"/>
      <c r="T72" s="102"/>
      <c r="U72" s="102"/>
      <c r="V72" s="102"/>
      <c r="W72" s="102">
        <f>-SUM('P&amp;L Month'!T50:Y50)</f>
        <v>0</v>
      </c>
      <c r="X72" s="102"/>
      <c r="Y72" s="102"/>
      <c r="Z72" s="102"/>
      <c r="AA72" s="102"/>
      <c r="AB72" s="102"/>
      <c r="AC72" s="102">
        <f>-SUM('P&amp;L Month'!Z50:AE50)</f>
        <v>0</v>
      </c>
      <c r="AD72" s="102"/>
      <c r="AE72" s="102"/>
      <c r="AF72" s="102"/>
      <c r="AG72" s="102"/>
      <c r="AH72" s="102"/>
      <c r="AI72" s="102">
        <f>-SUM('P&amp;L Month'!AF50:AK50)</f>
        <v>0</v>
      </c>
      <c r="AJ72" s="102"/>
      <c r="AK72" s="102"/>
      <c r="AL72" s="102"/>
      <c r="AM72" s="102"/>
      <c r="AN72" s="102"/>
      <c r="AO72" s="102">
        <f>-SUM('P&amp;L Month'!AL50:AQ50)</f>
        <v>0</v>
      </c>
      <c r="AP72" s="102"/>
      <c r="AQ72" s="102"/>
      <c r="AR72" s="102"/>
      <c r="AS72" s="102"/>
      <c r="AT72" s="102"/>
      <c r="AU72" s="102">
        <f>-SUM('P&amp;L Month'!AR50:AW50)</f>
        <v>0</v>
      </c>
      <c r="AV72" s="102"/>
      <c r="AW72" s="102"/>
      <c r="AX72" s="102"/>
      <c r="AY72" s="102"/>
      <c r="AZ72" s="102"/>
      <c r="BA72" s="102">
        <f>-SUM('P&amp;L Month'!AX50:BC50)</f>
        <v>0</v>
      </c>
      <c r="BB72" s="102"/>
      <c r="BC72" s="102"/>
      <c r="BD72" s="102"/>
      <c r="BE72" s="102"/>
      <c r="BF72" s="102"/>
      <c r="BG72" s="102">
        <f>-SUM('P&amp;L Month'!BD50:BI50)</f>
        <v>0</v>
      </c>
      <c r="BH72" s="102"/>
      <c r="BI72" s="102"/>
      <c r="BJ72" s="102"/>
      <c r="BK72" s="102"/>
      <c r="BL72" s="102"/>
      <c r="BM72" s="102">
        <f>-SUM('P&amp;L Month'!BJ50:BO50)</f>
        <v>0</v>
      </c>
      <c r="BN72" s="102"/>
      <c r="BO72" s="102"/>
      <c r="BP72" s="102"/>
      <c r="BQ72" s="102"/>
      <c r="BR72" s="102"/>
      <c r="BS72" s="102">
        <f>-SUM('P&amp;L Month'!BP50:BU50)</f>
        <v>0</v>
      </c>
      <c r="BT72" s="102"/>
      <c r="BU72" s="102"/>
      <c r="BV72" s="102"/>
      <c r="BW72" s="102"/>
      <c r="BX72" s="102"/>
      <c r="BY72" s="102">
        <f>-SUM('P&amp;L Month'!BV50:CA50)</f>
        <v>0</v>
      </c>
      <c r="BZ72" s="102"/>
      <c r="CA72" s="102"/>
      <c r="CB72" s="102"/>
      <c r="CC72" s="102"/>
      <c r="CD72" s="102"/>
      <c r="CE72" s="102">
        <f>-SUM('P&amp;L Month'!CB50:CG50)</f>
        <v>0</v>
      </c>
    </row>
    <row r="73" spans="2:83">
      <c r="B73" t="s">
        <v>263</v>
      </c>
      <c r="C73" s="10">
        <f t="shared" si="29"/>
        <v>0</v>
      </c>
      <c r="D73" s="196"/>
      <c r="E73" s="195" t="str">
        <f t="shared" si="29"/>
        <v>T</v>
      </c>
      <c r="F73" s="102"/>
      <c r="G73" s="102"/>
      <c r="H73" s="102"/>
      <c r="I73" s="102"/>
      <c r="J73" s="102"/>
      <c r="K73" s="102">
        <f>-SUM('P&amp;L Month'!H51:M51)</f>
        <v>0</v>
      </c>
      <c r="L73" s="102"/>
      <c r="M73" s="102"/>
      <c r="N73" s="102"/>
      <c r="O73" s="102"/>
      <c r="P73" s="102"/>
      <c r="Q73" s="102">
        <f>-SUM('P&amp;L Month'!N51:S51)</f>
        <v>0</v>
      </c>
      <c r="R73" s="102"/>
      <c r="S73" s="102"/>
      <c r="T73" s="102"/>
      <c r="U73" s="102"/>
      <c r="V73" s="102"/>
      <c r="W73" s="102">
        <f>-SUM('P&amp;L Month'!T51:Y51)</f>
        <v>0</v>
      </c>
      <c r="X73" s="102"/>
      <c r="Y73" s="102"/>
      <c r="Z73" s="102"/>
      <c r="AA73" s="102"/>
      <c r="AB73" s="102"/>
      <c r="AC73" s="102">
        <f>-SUM('P&amp;L Month'!Z51:AE51)</f>
        <v>0</v>
      </c>
      <c r="AD73" s="102"/>
      <c r="AE73" s="102"/>
      <c r="AF73" s="102"/>
      <c r="AG73" s="102"/>
      <c r="AH73" s="102"/>
      <c r="AI73" s="102">
        <f>-SUM('P&amp;L Month'!AF51:AK51)</f>
        <v>0</v>
      </c>
      <c r="AJ73" s="102"/>
      <c r="AK73" s="102"/>
      <c r="AL73" s="102"/>
      <c r="AM73" s="102"/>
      <c r="AN73" s="102"/>
      <c r="AO73" s="102">
        <f>-SUM('P&amp;L Month'!AL51:AQ51)</f>
        <v>0</v>
      </c>
      <c r="AP73" s="102"/>
      <c r="AQ73" s="102"/>
      <c r="AR73" s="102"/>
      <c r="AS73" s="102"/>
      <c r="AT73" s="102"/>
      <c r="AU73" s="102">
        <f>-SUM('P&amp;L Month'!AR51:AW51)</f>
        <v>0</v>
      </c>
      <c r="AV73" s="102"/>
      <c r="AW73" s="102"/>
      <c r="AX73" s="102"/>
      <c r="AY73" s="102"/>
      <c r="AZ73" s="102"/>
      <c r="BA73" s="102">
        <f>-SUM('P&amp;L Month'!AX51:BC51)</f>
        <v>0</v>
      </c>
      <c r="BB73" s="102"/>
      <c r="BC73" s="102"/>
      <c r="BD73" s="102"/>
      <c r="BE73" s="102"/>
      <c r="BF73" s="102"/>
      <c r="BG73" s="102">
        <f>-SUM('P&amp;L Month'!BD51:BI51)</f>
        <v>0</v>
      </c>
      <c r="BH73" s="102"/>
      <c r="BI73" s="102"/>
      <c r="BJ73" s="102"/>
      <c r="BK73" s="102"/>
      <c r="BL73" s="102"/>
      <c r="BM73" s="102">
        <f>-SUM('P&amp;L Month'!BJ51:BO51)</f>
        <v>0</v>
      </c>
      <c r="BN73" s="102"/>
      <c r="BO73" s="102"/>
      <c r="BP73" s="102"/>
      <c r="BQ73" s="102"/>
      <c r="BR73" s="102"/>
      <c r="BS73" s="102">
        <f>-SUM('P&amp;L Month'!BP51:BU51)</f>
        <v>0</v>
      </c>
      <c r="BT73" s="102"/>
      <c r="BU73" s="102"/>
      <c r="BV73" s="102"/>
      <c r="BW73" s="102"/>
      <c r="BX73" s="102"/>
      <c r="BY73" s="102">
        <f>-SUM('P&amp;L Month'!BV51:CA51)</f>
        <v>0</v>
      </c>
      <c r="BZ73" s="102"/>
      <c r="CA73" s="102"/>
      <c r="CB73" s="102"/>
      <c r="CC73" s="102"/>
      <c r="CD73" s="102"/>
      <c r="CE73" s="102">
        <f>-SUM('P&amp;L Month'!CB51:CG51)</f>
        <v>0</v>
      </c>
    </row>
    <row r="74" spans="2:83">
      <c r="B74" t="s">
        <v>178</v>
      </c>
      <c r="C74" s="10">
        <f t="shared" si="29"/>
        <v>0</v>
      </c>
      <c r="D74" s="196"/>
      <c r="E74" s="195" t="str">
        <f t="shared" si="29"/>
        <v>T</v>
      </c>
      <c r="F74" s="102"/>
      <c r="G74" s="102"/>
      <c r="H74" s="102"/>
      <c r="I74" s="102"/>
      <c r="J74" s="102"/>
      <c r="K74" s="102">
        <f>-SUM('P&amp;L Month'!H52:M52)</f>
        <v>0</v>
      </c>
      <c r="L74" s="102"/>
      <c r="M74" s="102"/>
      <c r="N74" s="102"/>
      <c r="O74" s="102"/>
      <c r="P74" s="102"/>
      <c r="Q74" s="102">
        <f>-SUM('P&amp;L Month'!N52:S52)</f>
        <v>0</v>
      </c>
      <c r="R74" s="102"/>
      <c r="S74" s="102"/>
      <c r="T74" s="102"/>
      <c r="U74" s="102"/>
      <c r="V74" s="102"/>
      <c r="W74" s="102">
        <f>-SUM('P&amp;L Month'!T52:Y52)</f>
        <v>0</v>
      </c>
      <c r="X74" s="102"/>
      <c r="Y74" s="102"/>
      <c r="Z74" s="102"/>
      <c r="AA74" s="102"/>
      <c r="AB74" s="102"/>
      <c r="AC74" s="102">
        <f>-SUM('P&amp;L Month'!Z52:AE52)</f>
        <v>0</v>
      </c>
      <c r="AD74" s="102"/>
      <c r="AE74" s="102"/>
      <c r="AF74" s="102"/>
      <c r="AG74" s="102"/>
      <c r="AH74" s="102"/>
      <c r="AI74" s="102">
        <f>-SUM('P&amp;L Month'!AF52:AK52)</f>
        <v>0</v>
      </c>
      <c r="AJ74" s="102"/>
      <c r="AK74" s="102"/>
      <c r="AL74" s="102"/>
      <c r="AM74" s="102"/>
      <c r="AN74" s="102"/>
      <c r="AO74" s="102">
        <f>-SUM('P&amp;L Month'!AL52:AQ52)</f>
        <v>0</v>
      </c>
      <c r="AP74" s="102"/>
      <c r="AQ74" s="102"/>
      <c r="AR74" s="102"/>
      <c r="AS74" s="102"/>
      <c r="AT74" s="102"/>
      <c r="AU74" s="102">
        <f>-SUM('P&amp;L Month'!AR52:AW52)</f>
        <v>0</v>
      </c>
      <c r="AV74" s="102"/>
      <c r="AW74" s="102"/>
      <c r="AX74" s="102"/>
      <c r="AY74" s="102"/>
      <c r="AZ74" s="102"/>
      <c r="BA74" s="102">
        <f>-SUM('P&amp;L Month'!AX52:BC52)</f>
        <v>0</v>
      </c>
      <c r="BB74" s="102"/>
      <c r="BC74" s="102"/>
      <c r="BD74" s="102"/>
      <c r="BE74" s="102"/>
      <c r="BF74" s="102"/>
      <c r="BG74" s="102">
        <f>-SUM('P&amp;L Month'!BD52:BI52)</f>
        <v>0</v>
      </c>
      <c r="BH74" s="102"/>
      <c r="BI74" s="102"/>
      <c r="BJ74" s="102"/>
      <c r="BK74" s="102"/>
      <c r="BL74" s="102"/>
      <c r="BM74" s="102">
        <f>-SUM('P&amp;L Month'!BJ52:BO52)</f>
        <v>0</v>
      </c>
      <c r="BN74" s="102"/>
      <c r="BO74" s="102"/>
      <c r="BP74" s="102"/>
      <c r="BQ74" s="102"/>
      <c r="BR74" s="102"/>
      <c r="BS74" s="102">
        <f>-SUM('P&amp;L Month'!BP52:BU52)</f>
        <v>0</v>
      </c>
      <c r="BT74" s="102"/>
      <c r="BU74" s="102"/>
      <c r="BV74" s="102"/>
      <c r="BW74" s="102"/>
      <c r="BX74" s="102"/>
      <c r="BY74" s="102">
        <f>-SUM('P&amp;L Month'!BV52:CA52)</f>
        <v>0</v>
      </c>
      <c r="BZ74" s="102"/>
      <c r="CA74" s="102"/>
      <c r="CB74" s="102"/>
      <c r="CC74" s="102"/>
      <c r="CD74" s="102"/>
      <c r="CE74" s="102">
        <f>-SUM('P&amp;L Month'!CB52:CG52)</f>
        <v>0</v>
      </c>
    </row>
    <row r="75" spans="2:83"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</row>
    <row r="76" spans="2:83"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</row>
    <row r="77" spans="2:83">
      <c r="B77" s="12" t="s">
        <v>270</v>
      </c>
      <c r="F77" s="102">
        <f>SUM($F26:F41)+SUM($F52:F67)+SUM($F43:F44)+SUM($F69:F70)+IF(SUM($F42:F42)+SUM($F68:F68)&gt;0,SUM($F42:F42) +SUM($F68:F68),0)</f>
        <v>0</v>
      </c>
      <c r="G77" s="102">
        <f>SUM($F26:G41)+SUM($F52:G67)+SUM($F43:G44)+SUM($F69:G70)+IF(SUM($F42:G42)+SUM($F68:G68)&gt;0,SUM($F42:G42) +SUM($F68:G68),0)</f>
        <v>0</v>
      </c>
      <c r="H77" s="102">
        <f>SUM($F26:H41)+SUM($F52:H67)+SUM($F43:H44)+SUM($F69:H70)+IF(SUM($F42:H42)+SUM($F68:H68)&gt;0,SUM($F42:H42) +SUM($F68:H68),0)</f>
        <v>0</v>
      </c>
      <c r="I77" s="102">
        <f>SUM($F26:I41)+SUM($F52:I67)+SUM($F43:I44)+SUM($F69:I70)+IF(SUM($F42:I42)+SUM($F68:I68)&gt;0,SUM($F42:I42) +SUM($F68:I68),0)</f>
        <v>0</v>
      </c>
      <c r="J77" s="102">
        <f>SUM($F26:J41)+SUM($F52:J67)+SUM($F43:J44)+SUM($F69:J70)+IF(SUM($F42:J42)+SUM($F68:J68)&gt;0,SUM($F42:J42) +SUM($F68:J68),0)</f>
        <v>0</v>
      </c>
      <c r="K77" s="102">
        <f>SUM($F26:K41)+SUM($F52:K67)+SUM($F43:K44)+SUM($F69:K70)+IF(SUM($F42:K42)+SUM($F68:K68)&gt;0,SUM($F42:K42) +SUM($F68:K68),0)</f>
        <v>0</v>
      </c>
      <c r="L77" s="102">
        <f>SUM($F26:L41)+SUM($F52:L67)+SUM($F43:L44)+SUM($F69:L70)+IF(SUM($F42:L42)+SUM($F68:L68)&gt;0,SUM($F42:L42) +SUM($F68:L68),0)</f>
        <v>0</v>
      </c>
      <c r="M77" s="102">
        <f>SUM($F26:M41)+SUM($F52:M67)+SUM($F43:M44)+SUM($F69:M70)+IF(SUM($F42:M42)+SUM($F68:M68)&gt;0,SUM($F42:M42) +SUM($F68:M68),0)</f>
        <v>0</v>
      </c>
      <c r="N77" s="102">
        <f>SUM($F26:N41)+SUM($F52:N67)+SUM($F43:N44)+SUM($F69:N70)+IF(SUM($F42:N42)+SUM($F68:N68)&gt;0,SUM($F42:N42) +SUM($F68:N68),0)</f>
        <v>0</v>
      </c>
      <c r="O77" s="102">
        <f>SUM($F26:O41)+SUM($F52:O67)+SUM($F43:O44)+SUM($F69:O70)+IF(SUM($F42:O42)+SUM($F68:O68)&gt;0,SUM($F42:O42) +SUM($F68:O68),0)</f>
        <v>0</v>
      </c>
      <c r="P77" s="102">
        <f>SUM($F26:P41)+SUM($F52:P67)+SUM($F43:P44)+SUM($F69:P70)+IF(SUM($F42:P42)+SUM($F68:P68)&gt;0,SUM($F42:P42) +SUM($F68:P68),0)</f>
        <v>0</v>
      </c>
      <c r="Q77" s="102">
        <f>SUM($F26:Q41)+SUM($F52:Q67)+SUM($F43:Q44)+SUM($F69:Q70)+IF(SUM($F42:Q42)+SUM($F68:Q68)&gt;0,SUM($F42:Q42) +SUM($F68:Q68),0)</f>
        <v>0</v>
      </c>
      <c r="R77" s="102">
        <f>SUM($F26:R41)+SUM($F52:R67)+SUM($F43:R44)+SUM($F69:R70)+IF(SUM($F42:R42)+SUM($F68:R68)&gt;0,SUM($F42:R42) +SUM($F68:R68),0)</f>
        <v>0</v>
      </c>
      <c r="S77" s="102">
        <f>SUM($F26:S41)+SUM($F52:S67)+SUM($F43:S44)+SUM($F69:S70)+IF(SUM($F42:S42)+SUM($F68:S68)&gt;0,SUM($F42:S42) +SUM($F68:S68),0)</f>
        <v>0</v>
      </c>
      <c r="T77" s="102">
        <f>SUM($F26:T41)+SUM($F52:T67)+SUM($F43:T44)+SUM($F69:T70)+IF(SUM($F42:T42)+SUM($F68:T68)&gt;0,SUM($F42:T42) +SUM($F68:T68),0)</f>
        <v>0</v>
      </c>
      <c r="U77" s="102">
        <f>SUM($F26:U41)+SUM($F52:U67)+SUM($F43:U44)+SUM($F69:U70)+IF(SUM($F42:U42)+SUM($F68:U68)&gt;0,SUM($F42:U42) +SUM($F68:U68),0)</f>
        <v>0</v>
      </c>
      <c r="V77" s="102">
        <f>SUM($F26:V41)+SUM($F52:V67)+SUM($F43:V44)+SUM($F69:V70)+IF(SUM($F42:V42)+SUM($F68:V68)&gt;0,SUM($F42:V42) +SUM($F68:V68),0)</f>
        <v>0</v>
      </c>
      <c r="W77" s="102">
        <f>SUM($F26:W41)+SUM($F52:W67)+SUM($F43:W44)+SUM($F69:W70)+IF(SUM($F42:W42)+SUM($F68:W68)&gt;0,SUM($F42:W42) +SUM($F68:W68),0)</f>
        <v>302049.8</v>
      </c>
      <c r="X77" s="102">
        <f>SUM($F26:X41)+SUM($F52:X67)+SUM($F43:X44)+SUM($F69:X70)+IF(SUM($F42:X42)+SUM($F68:X68)&gt;0,SUM($F42:X42) +SUM($F68:X68),0)</f>
        <v>662.58400000004337</v>
      </c>
      <c r="Y77" s="102">
        <f>SUM($F26:Y41)+SUM($F52:Y67)+SUM($F43:Y44)+SUM($F69:Y70)+IF(SUM($F42:Y42)+SUM($F68:Y68)&gt;0,SUM($F42:Y42) +SUM($F68:Y68),0)</f>
        <v>691.28800000001206</v>
      </c>
      <c r="Z77" s="102">
        <f>SUM($F26:Z41)+SUM($F52:Z67)+SUM($F43:Z44)+SUM($F69:Z70)+IF(SUM($F42:Z42)+SUM($F68:Z68)&gt;0,SUM($F42:Z42) +SUM($F68:Z68),0)</f>
        <v>751.08800000000053</v>
      </c>
      <c r="AA77" s="102">
        <f>SUM($F26:AA41)+SUM($F52:AA67)+SUM($F43:AA44)+SUM($F69:AA70)+IF(SUM($F42:AA42)+SUM($F68:AA68)&gt;0,SUM($F42:AA42) +SUM($F68:AA68),0)</f>
        <v>824.70180000000391</v>
      </c>
      <c r="AB77" s="102">
        <f>SUM($F26:AB41)+SUM($F52:AB67)+SUM($F43:AB44)+SUM($F69:AB70)+IF(SUM($F42:AB42)+SUM($F68:AB68)&gt;0,SUM($F42:AB42) +SUM($F68:AB68),0)</f>
        <v>944.30179999998086</v>
      </c>
      <c r="AC77" s="102">
        <f>SUM($F26:AC41)+SUM($F52:AC67)+SUM($F43:AC44)+SUM($F69:AC70)+IF(SUM($F42:AC42)+SUM($F68:AC68)&gt;0,SUM($F42:AC42) +SUM($F68:AC68),0)</f>
        <v>944.30180000003895</v>
      </c>
      <c r="AD77" s="102">
        <f>SUM($F26:AD41)+SUM($F52:AD67)+SUM($F43:AD44)+SUM($F69:AD70)+IF(SUM($F42:AD42)+SUM($F68:AD68)&gt;0,SUM($F42:AD42) +SUM($F68:AD68),0)</f>
        <v>1143.4358000000125</v>
      </c>
      <c r="AE77" s="102">
        <f>SUM($F26:AE41)+SUM($F52:AE67)+SUM($F43:AE44)+SUM($F69:AE70)+IF(SUM($F42:AE42)+SUM($F68:AE68)&gt;0,SUM($F42:AE42) +SUM($F68:AE68),0)</f>
        <v>1119.7550000000397</v>
      </c>
      <c r="AF77" s="102">
        <f>SUM($F26:AF41)+SUM($F52:AF67)+SUM($F43:AF44)+SUM($F69:AF70)+IF(SUM($F42:AF42)+SUM($F68:AF68)&gt;0,SUM($F42:AF42) +SUM($F68:AF68),0)</f>
        <v>10789.713999999956</v>
      </c>
      <c r="AG77" s="102">
        <f>SUM($F26:AG41)+SUM($F52:AG67)+SUM($F43:AG44)+SUM($F69:AG70)+IF(SUM($F42:AG42)+SUM($F68:AG68)&gt;0,SUM($F42:AG42) +SUM($F68:AG68),0)</f>
        <v>1338.0249999999421</v>
      </c>
      <c r="AH77" s="102">
        <f>SUM($F26:AH41)+SUM($F52:AH67)+SUM($F43:AH44)+SUM($F69:AH70)+IF(SUM($F42:AH42)+SUM($F68:AH68)&gt;0,SUM($F42:AH42) +SUM($F68:AH68),0)</f>
        <v>1471.9770000000019</v>
      </c>
      <c r="AI77" s="102">
        <f>SUM($F26:AI41)+SUM($F52:AI67)+SUM($F43:AI44)+SUM($F69:AI70)+IF(SUM($F42:AI42)+SUM($F68:AI68)&gt;0,SUM($F42:AI42) +SUM($F68:AI68),0)</f>
        <v>1573.9360000000333</v>
      </c>
      <c r="AJ77" s="102">
        <f>SUM($F26:AJ41)+SUM($F52:AJ67)+SUM($F43:AJ44)+SUM($F69:AJ70)+IF(SUM($F42:AJ42)+SUM($F68:AJ68)&gt;0,SUM($F42:AJ42) +SUM($F68:AJ68),0)</f>
        <v>20909.249399999961</v>
      </c>
      <c r="AK77" s="102">
        <f>SUM($F26:AK41)+SUM($F52:AK67)+SUM($F43:AK44)+SUM($F69:AK70)+IF(SUM($F42:AK42)+SUM($F68:AK68)&gt;0,SUM($F42:AK42) +SUM($F68:AK68),0)</f>
        <v>47373.799200000001</v>
      </c>
      <c r="AL77" s="102">
        <f>SUM($F26:AL41)+SUM($F52:AL67)+SUM($F43:AL44)+SUM($F69:AL70)+IF(SUM($F42:AL42)+SUM($F68:AL68)&gt;0,SUM($F42:AL42) +SUM($F68:AL68),0)</f>
        <v>61906.15600000001</v>
      </c>
      <c r="AM77" s="102">
        <f>SUM($F26:AM41)+SUM($F52:AM67)+SUM($F43:AM44)+SUM($F69:AM70)+IF(SUM($F42:AM42)+SUM($F68:AM68)&gt;0,SUM($F42:AM42) +SUM($F68:AM68),0)</f>
        <v>88687.34679999997</v>
      </c>
      <c r="AN77" s="102">
        <f>SUM($F26:AN41)+SUM($F52:AN67)+SUM($F43:AN44)+SUM($F69:AN70)+IF(SUM($F42:AN42)+SUM($F68:AN68)&gt;0,SUM($F42:AN42) +SUM($F68:AN68),0)</f>
        <v>122299.19260000015</v>
      </c>
      <c r="AO77" s="102">
        <f>SUM($F26:AO41)+SUM($F52:AO67)+SUM($F43:AO44)+SUM($F69:AO70)+IF(SUM($F42:AO42)+SUM($F68:AO68)&gt;0,SUM($F42:AO42) +SUM($F68:AO68),0)</f>
        <v>112911.54939999999</v>
      </c>
      <c r="AP77" s="102">
        <f>SUM($F26:AP41)+SUM($F52:AP67)+SUM($F43:AP44)+SUM($F69:AP70)+IF(SUM($F42:AP42)+SUM($F68:AP68)&gt;0,SUM($F42:AP42) +SUM($F68:AP68),0)</f>
        <v>170991.34260000021</v>
      </c>
      <c r="AQ77" s="102">
        <f>SUM($F26:AQ41)+SUM($F52:AQ67)+SUM($F43:AQ44)+SUM($F69:AQ70)+IF(SUM($F42:AQ42)+SUM($F68:AQ68)&gt;0,SUM($F42:AQ42) +SUM($F68:AQ68),0)</f>
        <v>133913.66819999955</v>
      </c>
      <c r="AR77" s="102">
        <f>SUM($F26:AR41)+SUM($F52:AR67)+SUM($F43:AR44)+SUM($F69:AR70)+IF(SUM($F42:AR42)+SUM($F68:AR68)&gt;0,SUM($F42:AR42) +SUM($F68:AR68),0)</f>
        <v>149691.71879999977</v>
      </c>
      <c r="AS77" s="102">
        <f>SUM($F26:AS41)+SUM($F52:AS67)+SUM($F43:AS44)+SUM($F69:AS70)+IF(SUM($F42:AS42)+SUM($F68:AS68)&gt;0,SUM($F42:AS42) +SUM($F68:AS68),0)</f>
        <v>156935.59180000017</v>
      </c>
      <c r="AT77" s="102">
        <f>SUM($F26:AT41)+SUM($F52:AT67)+SUM($F43:AT44)+SUM($F69:AT70)+IF(SUM($F42:AT42)+SUM($F68:AT68)&gt;0,SUM($F42:AT42) +SUM($F68:AT68),0)</f>
        <v>178947.85220000008</v>
      </c>
      <c r="AU77" s="102">
        <f>SUM($F26:AU41)+SUM($F52:AU67)+SUM($F43:AU44)+SUM($F69:AU70)+IF(SUM($F42:AU42)+SUM($F68:AU68)&gt;0,SUM($F42:AU42) +SUM($F68:AU68),0)</f>
        <v>169266.11259999999</v>
      </c>
      <c r="AV77" s="102">
        <f>SUM($F26:AV41)+SUM($F52:AV67)+SUM($F43:AV44)+SUM($F69:AV70)+IF(SUM($F42:AV42)+SUM($F68:AV68)&gt;0,SUM($F42:AV42) +SUM($F68:AV68),0)</f>
        <v>188599.87419</v>
      </c>
      <c r="AW77" s="102">
        <f>SUM($F26:AW41)+SUM($F52:AW67)+SUM($F43:AW44)+SUM($F69:AW70)+IF(SUM($F42:AW42)+SUM($F68:AW68)&gt;0,SUM($F42:AW42) +SUM($F68:AW68),0)</f>
        <v>195668.89198999992</v>
      </c>
      <c r="AX77" s="102">
        <f>SUM($F26:AX41)+SUM($F52:AX67)+SUM($F43:AX44)+SUM($F69:AX70)+IF(SUM($F42:AX42)+SUM($F68:AX68)&gt;0,SUM($F42:AX42) +SUM($F68:AX68),0)</f>
        <v>211030.55518999987</v>
      </c>
      <c r="AY77" s="102">
        <f>SUM($F26:AY41)+SUM($F52:AY67)+SUM($F43:AY44)+SUM($F69:AY70)+IF(SUM($F42:AY42)+SUM($F68:AY68)&gt;0,SUM($F42:AY42) +SUM($F68:AY68),0)</f>
        <v>222804.21838999796</v>
      </c>
      <c r="AZ77" s="102">
        <f>SUM($F26:AZ41)+SUM($F52:AZ67)+SUM($F43:AZ44)+SUM($F69:AZ70)+IF(SUM($F42:AZ42)+SUM($F68:AZ68)&gt;0,SUM($F42:AZ42) +SUM($F68:AZ68),0)</f>
        <v>229878.79459999781</v>
      </c>
      <c r="BA77" s="102">
        <f>SUM($F26:BA41)+SUM($F52:BA67)+SUM($F43:BA44)+SUM($F69:BA70)+IF(SUM($F42:BA42)+SUM($F68:BA68)&gt;0,SUM($F42:BA42) +SUM($F68:BA68),0)</f>
        <v>244006.78380000009</v>
      </c>
      <c r="BB77" s="102">
        <f>SUM($F26:BB41)+SUM($F52:BB67)+SUM($F43:BB44)+SUM($F69:BB70)+IF(SUM($F42:BB42)+SUM($F68:BB68)&gt;0,SUM($F42:BB42) +SUM($F68:BB68),0)</f>
        <v>279873.50222000014</v>
      </c>
      <c r="BC77" s="102">
        <f>SUM($F26:BC41)+SUM($F52:BC67)+SUM($F43:BC44)+SUM($F69:BC70)+IF(SUM($F42:BC42)+SUM($F68:BC68)&gt;0,SUM($F42:BC42) +SUM($F68:BC68),0)</f>
        <v>266531.64382000011</v>
      </c>
      <c r="BD77" s="102">
        <f>SUM($F26:BD41)+SUM($F52:BD67)+SUM($F43:BD44)+SUM($F69:BD70)+IF(SUM($F42:BD42)+SUM($F68:BD68)&gt;0,SUM($F42:BD42) +SUM($F68:BD68),0)</f>
        <v>281949.99443000043</v>
      </c>
      <c r="BE77" s="102">
        <f>SUM($F26:BE41)+SUM($F52:BE67)+SUM($F43:BE44)+SUM($F69:BE70)+IF(SUM($F42:BE42)+SUM($F68:BE68)&gt;0,SUM($F42:BE42) +SUM($F68:BE68),0)</f>
        <v>301988.6156299992</v>
      </c>
      <c r="BF77" s="102">
        <f>SUM($F26:BF41)+SUM($F52:BF67)+SUM($F43:BF44)+SUM($F69:BF70)+IF(SUM($F42:BF42)+SUM($F68:BF68)&gt;0,SUM($F42:BF42) +SUM($F68:BF68),0)</f>
        <v>322111.91063999711</v>
      </c>
      <c r="BG77" s="102">
        <f>SUM($F26:BG41)+SUM($F52:BG67)+SUM($F43:BG44)+SUM($F69:BG70)+IF(SUM($F42:BG42)+SUM($F68:BG68)&gt;0,SUM($F42:BG42) +SUM($F68:BG68),0)</f>
        <v>336257.24184000003</v>
      </c>
      <c r="BH77" s="102">
        <f>SUM($F26:BH41)+SUM($F52:BH67)+SUM($F43:BH44)+SUM($F69:BH70)+IF(SUM($F42:BH42)+SUM($F68:BH68)&gt;0,SUM($F42:BH42) +SUM($F68:BH68),0)</f>
        <v>350395.32527999976</v>
      </c>
      <c r="BI77" s="102">
        <f>SUM($F26:BI41)+SUM($F52:BI67)+SUM($F43:BI44)+SUM($F69:BI70)+IF(SUM($F42:BI42)+SUM($F68:BI68)&gt;0,SUM($F42:BI42) +SUM($F68:BI68),0)</f>
        <v>362759.93208000134</v>
      </c>
      <c r="BJ77" s="102">
        <f>SUM($F26:BJ41)+SUM($F52:BJ67)+SUM($F43:BJ44)+SUM($F69:BJ70)+IF(SUM($F42:BJ42)+SUM($F68:BJ68)&gt;0,SUM($F42:BJ42) +SUM($F68:BJ68),0)</f>
        <v>373358.16648000129</v>
      </c>
      <c r="BK77" s="102">
        <f>SUM($F26:BK41)+SUM($F52:BK67)+SUM($F43:BK44)+SUM($F69:BK70)+IF(SUM($F42:BK42)+SUM($F68:BK68)&gt;0,SUM($F42:BK42) +SUM($F68:BK68),0)</f>
        <v>383956.40088000055</v>
      </c>
      <c r="BL77" s="102">
        <f>SUM($F26:BL41)+SUM($F52:BL67)+SUM($F43:BL44)+SUM($F69:BL70)+IF(SUM($F42:BL42)+SUM($F68:BL68)&gt;0,SUM($F42:BL42) +SUM($F68:BL68),0)</f>
        <v>394657.18629999924</v>
      </c>
      <c r="BM77" s="102">
        <f>SUM($F26:BM41)+SUM($F52:BM67)+SUM($F43:BM44)+SUM($F69:BM70)+IF(SUM($F42:BM42)+SUM($F68:BM68)&gt;0,SUM($F42:BM42) +SUM($F68:BM68),0)</f>
        <v>403503.40029999893</v>
      </c>
      <c r="BN77" s="102">
        <f>SUM($F26:BN41)+SUM($F52:BN67)+SUM($F43:BN44)+SUM($F69:BN70)+IF(SUM($F42:BN42)+SUM($F68:BN68)&gt;0,SUM($F42:BN42) +SUM($F68:BN68),0)</f>
        <v>410568.88989999937</v>
      </c>
      <c r="BO77" s="102">
        <f>SUM($F26:BO41)+SUM($F52:BO67)+SUM($F43:BO44)+SUM($F69:BO70)+IF(SUM($F42:BO42)+SUM($F68:BO68)&gt;0,SUM($F42:BO42) +SUM($F68:BO68),0)</f>
        <v>417634.37950000027</v>
      </c>
      <c r="BP77" s="102">
        <f>SUM($F26:BP41)+SUM($F52:BP67)+SUM($F43:BP44)+SUM($F69:BP70)+IF(SUM($F42:BP42)+SUM($F68:BP68)&gt;0,SUM($F42:BP42) +SUM($F68:BP68),0)</f>
        <v>424699.86909999931</v>
      </c>
      <c r="BQ77" s="102">
        <f>SUM($F26:BQ41)+SUM($F52:BQ67)+SUM($F43:BQ44)+SUM($F69:BQ70)+IF(SUM($F42:BQ42)+SUM($F68:BQ68)&gt;0,SUM($F42:BQ42) +SUM($F68:BQ68),0)</f>
        <v>431765.35869999975</v>
      </c>
      <c r="BR77" s="102">
        <f>SUM($F26:BR41)+SUM($F52:BR67)+SUM($F43:BR44)+SUM($F69:BR70)+IF(SUM($F42:BR42)+SUM($F68:BR68)&gt;0,SUM($F42:BR42) +SUM($F68:BR68),0)</f>
        <v>438830.84829999926</v>
      </c>
      <c r="BS77" s="102">
        <f>SUM($F26:BS41)+SUM($F52:BS67)+SUM($F43:BS44)+SUM($F69:BS70)+IF(SUM($F42:BS42)+SUM($F68:BS68)&gt;0,SUM($F42:BS42) +SUM($F68:BS68),0)</f>
        <v>445896.33789999923</v>
      </c>
      <c r="BT77" s="102">
        <f>SUM($F26:BT41)+SUM($F52:BT67)+SUM($F43:BT44)+SUM($F69:BT70)+IF(SUM($F42:BT42)+SUM($F68:BT68)&gt;0,SUM($F42:BT42) +SUM($F68:BT68),0)</f>
        <v>451911.87105999887</v>
      </c>
      <c r="BU77" s="102">
        <f>SUM($F26:BU41)+SUM($F52:BU67)+SUM($F43:BU44)+SUM($F69:BU70)+IF(SUM($F42:BU42)+SUM($F68:BU68)&gt;0,SUM($F42:BU42) +SUM($F68:BU68),0)</f>
        <v>457210.98825999908</v>
      </c>
      <c r="BV77" s="102">
        <f>SUM($F26:BV41)+SUM($F52:BV67)+SUM($F43:BV44)+SUM($F69:BV70)+IF(SUM($F42:BV42)+SUM($F68:BV68)&gt;0,SUM($F42:BV42) +SUM($F68:BV68),0)</f>
        <v>461803.55649999902</v>
      </c>
      <c r="BW77" s="102">
        <f>SUM($F26:BW41)+SUM($F52:BW67)+SUM($F43:BW44)+SUM($F69:BW70)+IF(SUM($F42:BW42)+SUM($F68:BW68)&gt;0,SUM($F42:BW42) +SUM($F68:BW68),0)</f>
        <v>465336.30130000273</v>
      </c>
      <c r="BX77" s="102">
        <f>SUM($F26:BX41)+SUM($F52:BX67)+SUM($F43:BX44)+SUM($F69:BX70)+IF(SUM($F42:BX42)+SUM($F68:BX68)&gt;0,SUM($F42:BX42) +SUM($F68:BX68),0)</f>
        <v>468869.04610000271</v>
      </c>
      <c r="BY77" s="102">
        <f>SUM($F26:BY41)+SUM($F52:BY67)+SUM($F43:BY44)+SUM($F69:BY70)+IF(SUM($F42:BY42)+SUM($F68:BY68)&gt;0,SUM($F42:BY42) +SUM($F68:BY68),0)</f>
        <v>472401.79090002645</v>
      </c>
      <c r="BZ77" s="102">
        <f>SUM($F26:BZ41)+SUM($F52:BZ67)+SUM($F43:BZ44)+SUM($F69:BZ70)+IF(SUM($F42:BZ42)+SUM($F68:BZ68)&gt;0,SUM($F42:BZ42) +SUM($F68:BZ68),0)</f>
        <v>475934.53570003342</v>
      </c>
      <c r="CA77" s="102">
        <f>SUM($F26:CA41)+SUM($F52:CA67)+SUM($F43:CA44)+SUM($F69:CA70)+IF(SUM($F42:CA42)+SUM($F68:CA68)&gt;0,SUM($F42:CA42) +SUM($F68:CA68),0)</f>
        <v>479467.28050000779</v>
      </c>
      <c r="CB77" s="102">
        <f>SUM($F26:CB41)+SUM($F52:CB67)+SUM($F43:CB44)+SUM($F69:CB70)+IF(SUM($F42:CB42)+SUM($F68:CB68)&gt;0,SUM($F42:CB42) +SUM($F68:CB68),0)</f>
        <v>483000.02529999986</v>
      </c>
      <c r="CC77" s="102">
        <f>SUM($F26:CC41)+SUM($F52:CC67)+SUM($F43:CC44)+SUM($F69:CC70)+IF(SUM($F42:CC42)+SUM($F68:CC68)&gt;0,SUM($F42:CC42) +SUM($F68:CC68),0)</f>
        <v>485826.22113999352</v>
      </c>
      <c r="CD77" s="102">
        <f>SUM($F26:CD41)+SUM($F52:CD67)+SUM($F43:CD44)+SUM($F69:CD70)+IF(SUM($F42:CD42)+SUM($F68:CD68)&gt;0,SUM($F42:CD42) +SUM($F68:CD68),0)</f>
        <v>487945.86801999714</v>
      </c>
      <c r="CE77" s="102">
        <f>SUM($F26:CE41)+SUM($F52:CE67)+SUM($F43:CE44)+SUM($F69:CE70)+IF(SUM($F42:CE42)+SUM($F68:CE68)&gt;0,SUM($F42:CE42) +SUM($F68:CE68),0)</f>
        <v>490418.78938000277</v>
      </c>
    </row>
    <row r="78" spans="2:83">
      <c r="B78" s="12" t="s">
        <v>273</v>
      </c>
      <c r="F78" s="102">
        <f>+IF(SUM($F42:F42)+SUM($F68:F68)&gt;0,0,-SUM($F42:F42)-SUM($F68:F68))</f>
        <v>0</v>
      </c>
      <c r="G78" s="102">
        <f>+IF(SUM($F42:G42)+SUM($F68:G68)&gt;0,0,-SUM($F42:G42)-SUM($F68:G68))</f>
        <v>0</v>
      </c>
      <c r="H78" s="102">
        <f>+IF(SUM($F42:H42)+SUM($F68:H68)&gt;0,0,-SUM($F42:H42)-SUM($F68:H68))</f>
        <v>0</v>
      </c>
      <c r="I78" s="102">
        <f>+IF(SUM($F42:I42)+SUM($F68:I68)&gt;0,0,-SUM($F42:I42)-SUM($F68:I68))</f>
        <v>0</v>
      </c>
      <c r="J78" s="102">
        <f>+IF(SUM($F42:J42)+SUM($F68:J68)&gt;0,0,-SUM($F42:J42)-SUM($F68:J68))</f>
        <v>0</v>
      </c>
      <c r="K78" s="102">
        <f>+IF(SUM($F42:K42)+SUM($F68:K68)&gt;0,0,-SUM($F42:K42)-SUM($F68:K68))</f>
        <v>0</v>
      </c>
      <c r="L78" s="102">
        <f>+IF(SUM($F42:L42)+SUM($F68:L68)&gt;0,0,-SUM($F42:L42)-SUM($F68:L68))</f>
        <v>0</v>
      </c>
      <c r="M78" s="102">
        <f>+IF(SUM($F42:M42)+SUM($F68:M68)&gt;0,0,-SUM($F42:M42)-SUM($F68:M68))</f>
        <v>0</v>
      </c>
      <c r="N78" s="102">
        <f>+IF(SUM($F42:N42)+SUM($F68:N68)&gt;0,0,-SUM($F42:N42)-SUM($F68:N68))</f>
        <v>0</v>
      </c>
      <c r="O78" s="102">
        <f>+IF(SUM($F42:O42)+SUM($F68:O68)&gt;0,0,-SUM($F42:O42)-SUM($F68:O68))</f>
        <v>0</v>
      </c>
      <c r="P78" s="102">
        <f>+IF(SUM($F42:P42)+SUM($F68:P68)&gt;0,0,-SUM($F42:P42)-SUM($F68:P68))</f>
        <v>0</v>
      </c>
      <c r="Q78" s="102">
        <f>+IF(SUM($F42:Q42)+SUM($F68:Q68)&gt;0,0,-SUM($F42:Q42)-SUM($F68:Q68))</f>
        <v>0</v>
      </c>
      <c r="R78" s="102">
        <f>+IF(SUM($F42:R42)+SUM($F68:R68)&gt;0,0,-SUM($F42:R42)-SUM($F68:R68))</f>
        <v>0</v>
      </c>
      <c r="S78" s="102">
        <f>+IF(SUM($F42:S42)+SUM($F68:S68)&gt;0,0,-SUM($F42:S42)-SUM($F68:S68))</f>
        <v>0</v>
      </c>
      <c r="T78" s="102">
        <f>+IF(SUM($F42:T42)+SUM($F68:T68)&gt;0,0,-SUM($F42:T42)-SUM($F68:T68))</f>
        <v>0</v>
      </c>
      <c r="U78" s="102">
        <f>+IF(SUM($F42:U42)+SUM($F68:U68)&gt;0,0,-SUM($F42:U42)-SUM($F68:U68))</f>
        <v>0</v>
      </c>
      <c r="V78" s="102">
        <f>+IF(SUM($F42:V42)+SUM($F68:V68)&gt;0,0,-SUM($F42:V42)-SUM($F68:V68))</f>
        <v>0</v>
      </c>
      <c r="W78" s="102">
        <f>+IF(SUM($F42:W42)+SUM($F68:W68)&gt;0,0,-SUM($F42:W42)-SUM($F68:W68))</f>
        <v>0</v>
      </c>
      <c r="X78" s="102">
        <f>+IF(SUM($F42:X42)+SUM($F68:X68)&gt;0,0,-SUM($F42:X42)-SUM($F68:X68))</f>
        <v>0</v>
      </c>
      <c r="Y78" s="102">
        <f>+IF(SUM($F42:Y42)+SUM($F68:Y68)&gt;0,0,-SUM($F42:Y42)-SUM($F68:Y68))</f>
        <v>0</v>
      </c>
      <c r="Z78" s="102">
        <f>+IF(SUM($F42:Z42)+SUM($F68:Z68)&gt;0,0,-SUM($F42:Z42)-SUM($F68:Z68))</f>
        <v>0</v>
      </c>
      <c r="AA78" s="102">
        <f>+IF(SUM($F42:AA42)+SUM($F68:AA68)&gt;0,0,-SUM($F42:AA42)-SUM($F68:AA68))</f>
        <v>0</v>
      </c>
      <c r="AB78" s="102">
        <f>+IF(SUM($F42:AB42)+SUM($F68:AB68)&gt;0,0,-SUM($F42:AB42)-SUM($F68:AB68))</f>
        <v>0</v>
      </c>
      <c r="AC78" s="102">
        <f>+IF(SUM($F42:AC42)+SUM($F68:AC68)&gt;0,0,-SUM($F42:AC42)-SUM($F68:AC68))</f>
        <v>0</v>
      </c>
      <c r="AD78" s="102">
        <f>+IF(SUM($F42:AD42)+SUM($F68:AD68)&gt;0,0,-SUM($F42:AD42)-SUM($F68:AD68))</f>
        <v>0</v>
      </c>
      <c r="AE78" s="102">
        <f>+IF(SUM($F42:AE42)+SUM($F68:AE68)&gt;0,0,-SUM($F42:AE42)-SUM($F68:AE68))</f>
        <v>0</v>
      </c>
      <c r="AF78" s="102">
        <f>+IF(SUM($F42:AF42)+SUM($F68:AF68)&gt;0,0,-SUM($F42:AF42)-SUM($F68:AF68))</f>
        <v>0</v>
      </c>
      <c r="AG78" s="102">
        <f>+IF(SUM($F42:AG42)+SUM($F68:AG68)&gt;0,0,-SUM($F42:AG42)-SUM($F68:AG68))</f>
        <v>0</v>
      </c>
      <c r="AH78" s="102">
        <f>+IF(SUM($F42:AH42)+SUM($F68:AH68)&gt;0,0,-SUM($F42:AH42)-SUM($F68:AH68))</f>
        <v>0</v>
      </c>
      <c r="AI78" s="102">
        <f>+IF(SUM($F42:AI42)+SUM($F68:AI68)&gt;0,0,-SUM($F42:AI42)-SUM($F68:AI68))</f>
        <v>0</v>
      </c>
      <c r="AJ78" s="102">
        <f>+IF(SUM($F42:AJ42)+SUM($F68:AJ68)&gt;0,0,-SUM($F42:AJ42)-SUM($F68:AJ68))</f>
        <v>0</v>
      </c>
      <c r="AK78" s="102">
        <f>+IF(SUM($F42:AK42)+SUM($F68:AK68)&gt;0,0,-SUM($F42:AK42)-SUM($F68:AK68))</f>
        <v>0</v>
      </c>
      <c r="AL78" s="102">
        <f>+IF(SUM($F42:AL42)+SUM($F68:AL68)&gt;0,0,-SUM($F42:AL42)-SUM($F68:AL68))</f>
        <v>0</v>
      </c>
      <c r="AM78" s="102">
        <f>+IF(SUM($F42:AM42)+SUM($F68:AM68)&gt;0,0,-SUM($F42:AM42)-SUM($F68:AM68))</f>
        <v>0</v>
      </c>
      <c r="AN78" s="102">
        <f>+IF(SUM($F42:AN42)+SUM($F68:AN68)&gt;0,0,-SUM($F42:AN42)-SUM($F68:AN68))</f>
        <v>0</v>
      </c>
      <c r="AO78" s="102">
        <f>+IF(SUM($F42:AO42)+SUM($F68:AO68)&gt;0,0,-SUM($F42:AO42)-SUM($F68:AO68))</f>
        <v>0</v>
      </c>
      <c r="AP78" s="102">
        <f>+IF(SUM($F42:AP42)+SUM($F68:AP68)&gt;0,0,-SUM($F42:AP42)-SUM($F68:AP68))</f>
        <v>0</v>
      </c>
      <c r="AQ78" s="102">
        <f>+IF(SUM($F42:AQ42)+SUM($F68:AQ68)&gt;0,0,-SUM($F42:AQ42)-SUM($F68:AQ68))</f>
        <v>0</v>
      </c>
      <c r="AR78" s="102">
        <f>+IF(SUM($F42:AR42)+SUM($F68:AR68)&gt;0,0,-SUM($F42:AR42)-SUM($F68:AR68))</f>
        <v>0</v>
      </c>
      <c r="AS78" s="102">
        <f>+IF(SUM($F42:AS42)+SUM($F68:AS68)&gt;0,0,-SUM($F42:AS42)-SUM($F68:AS68))</f>
        <v>0</v>
      </c>
      <c r="AT78" s="102">
        <f>+IF(SUM($F42:AT42)+SUM($F68:AT68)&gt;0,0,-SUM($F42:AT42)-SUM($F68:AT68))</f>
        <v>0</v>
      </c>
      <c r="AU78" s="102">
        <f>+IF(SUM($F42:AU42)+SUM($F68:AU68)&gt;0,0,-SUM($F42:AU42)-SUM($F68:AU68))</f>
        <v>0</v>
      </c>
      <c r="AV78" s="102">
        <f>+IF(SUM($F42:AV42)+SUM($F68:AV68)&gt;0,0,-SUM($F42:AV42)-SUM($F68:AV68))</f>
        <v>0</v>
      </c>
      <c r="AW78" s="102">
        <f>+IF(SUM($F42:AW42)+SUM($F68:AW68)&gt;0,0,-SUM($F42:AW42)-SUM($F68:AW68))</f>
        <v>0</v>
      </c>
      <c r="AX78" s="102">
        <f>+IF(SUM($F42:AX42)+SUM($F68:AX68)&gt;0,0,-SUM($F42:AX42)-SUM($F68:AX68))</f>
        <v>0</v>
      </c>
      <c r="AY78" s="102">
        <f>+IF(SUM($F42:AY42)+SUM($F68:AY68)&gt;0,0,-SUM($F42:AY42)-SUM($F68:AY68))</f>
        <v>0</v>
      </c>
      <c r="AZ78" s="102">
        <f>+IF(SUM($F42:AZ42)+SUM($F68:AZ68)&gt;0,0,-SUM($F42:AZ42)-SUM($F68:AZ68))</f>
        <v>0</v>
      </c>
      <c r="BA78" s="102">
        <f>+IF(SUM($F42:BA42)+SUM($F68:BA68)&gt;0,0,-SUM($F42:BA42)-SUM($F68:BA68))</f>
        <v>0</v>
      </c>
      <c r="BB78" s="102">
        <f>+IF(SUM($F42:BB42)+SUM($F68:BB68)&gt;0,0,-SUM($F42:BB42)-SUM($F68:BB68))</f>
        <v>0</v>
      </c>
      <c r="BC78" s="102">
        <f>+IF(SUM($F42:BC42)+SUM($F68:BC68)&gt;0,0,-SUM($F42:BC42)-SUM($F68:BC68))</f>
        <v>0</v>
      </c>
      <c r="BD78" s="102">
        <f>+IF(SUM($F42:BD42)+SUM($F68:BD68)&gt;0,0,-SUM($F42:BD42)-SUM($F68:BD68))</f>
        <v>0</v>
      </c>
      <c r="BE78" s="102">
        <f>+IF(SUM($F42:BE42)+SUM($F68:BE68)&gt;0,0,-SUM($F42:BE42)-SUM($F68:BE68))</f>
        <v>0</v>
      </c>
      <c r="BF78" s="102">
        <f>+IF(SUM($F42:BF42)+SUM($F68:BF68)&gt;0,0,-SUM($F42:BF42)-SUM($F68:BF68))</f>
        <v>0</v>
      </c>
      <c r="BG78" s="102">
        <f>+IF(SUM($F42:BG42)+SUM($F68:BG68)&gt;0,0,-SUM($F42:BG42)-SUM($F68:BG68))</f>
        <v>0</v>
      </c>
      <c r="BH78" s="102">
        <f>+IF(SUM($F42:BH42)+SUM($F68:BH68)&gt;0,0,-SUM($F42:BH42)-SUM($F68:BH68))</f>
        <v>0</v>
      </c>
      <c r="BI78" s="102">
        <f>+IF(SUM($F42:BI42)+SUM($F68:BI68)&gt;0,0,-SUM($F42:BI42)-SUM($F68:BI68))</f>
        <v>0</v>
      </c>
      <c r="BJ78" s="102">
        <f>+IF(SUM($F42:BJ42)+SUM($F68:BJ68)&gt;0,0,-SUM($F42:BJ42)-SUM($F68:BJ68))</f>
        <v>0</v>
      </c>
      <c r="BK78" s="102">
        <f>+IF(SUM($F42:BK42)+SUM($F68:BK68)&gt;0,0,-SUM($F42:BK42)-SUM($F68:BK68))</f>
        <v>0</v>
      </c>
      <c r="BL78" s="102">
        <f>+IF(SUM($F42:BL42)+SUM($F68:BL68)&gt;0,0,-SUM($F42:BL42)-SUM($F68:BL68))</f>
        <v>0</v>
      </c>
      <c r="BM78" s="102">
        <f>+IF(SUM($F42:BM42)+SUM($F68:BM68)&gt;0,0,-SUM($F42:BM42)-SUM($F68:BM68))</f>
        <v>0</v>
      </c>
      <c r="BN78" s="102">
        <f>+IF(SUM($F42:BN42)+SUM($F68:BN68)&gt;0,0,-SUM($F42:BN42)-SUM($F68:BN68))</f>
        <v>0</v>
      </c>
      <c r="BO78" s="102">
        <f>+IF(SUM($F42:BO42)+SUM($F68:BO68)&gt;0,0,-SUM($F42:BO42)-SUM($F68:BO68))</f>
        <v>0</v>
      </c>
      <c r="BP78" s="102">
        <f>+IF(SUM($F42:BP42)+SUM($F68:BP68)&gt;0,0,-SUM($F42:BP42)-SUM($F68:BP68))</f>
        <v>0</v>
      </c>
      <c r="BQ78" s="102">
        <f>+IF(SUM($F42:BQ42)+SUM($F68:BQ68)&gt;0,0,-SUM($F42:BQ42)-SUM($F68:BQ68))</f>
        <v>0</v>
      </c>
      <c r="BR78" s="102">
        <f>+IF(SUM($F42:BR42)+SUM($F68:BR68)&gt;0,0,-SUM($F42:BR42)-SUM($F68:BR68))</f>
        <v>0</v>
      </c>
      <c r="BS78" s="102">
        <f>+IF(SUM($F42:BS42)+SUM($F68:BS68)&gt;0,0,-SUM($F42:BS42)-SUM($F68:BS68))</f>
        <v>0</v>
      </c>
      <c r="BT78" s="102">
        <f>+IF(SUM($F42:BT42)+SUM($F68:BT68)&gt;0,0,-SUM($F42:BT42)-SUM($F68:BT68))</f>
        <v>0</v>
      </c>
      <c r="BU78" s="102">
        <f>+IF(SUM($F42:BU42)+SUM($F68:BU68)&gt;0,0,-SUM($F42:BU42)-SUM($F68:BU68))</f>
        <v>0</v>
      </c>
      <c r="BV78" s="102">
        <f>+IF(SUM($F42:BV42)+SUM($F68:BV68)&gt;0,0,-SUM($F42:BV42)-SUM($F68:BV68))</f>
        <v>0</v>
      </c>
      <c r="BW78" s="102">
        <f>+IF(SUM($F42:BW42)+SUM($F68:BW68)&gt;0,0,-SUM($F42:BW42)-SUM($F68:BW68))</f>
        <v>0</v>
      </c>
      <c r="BX78" s="102">
        <f>+IF(SUM($F42:BX42)+SUM($F68:BX68)&gt;0,0,-SUM($F42:BX42)-SUM($F68:BX68))</f>
        <v>0</v>
      </c>
      <c r="BY78" s="102">
        <f>+IF(SUM($F42:BY42)+SUM($F68:BY68)&gt;0,0,-SUM($F42:BY42)-SUM($F68:BY68))</f>
        <v>0</v>
      </c>
      <c r="BZ78" s="102">
        <f>+IF(SUM($F42:BZ42)+SUM($F68:BZ68)&gt;0,0,-SUM($F42:BZ42)-SUM($F68:BZ68))</f>
        <v>0</v>
      </c>
      <c r="CA78" s="102">
        <f>+IF(SUM($F42:CA42)+SUM($F68:CA68)&gt;0,0,-SUM($F42:CA42)-SUM($F68:CA68))</f>
        <v>0</v>
      </c>
      <c r="CB78" s="102">
        <f>+IF(SUM($F42:CB42)+SUM($F68:CB68)&gt;0,0,-SUM($F42:CB42)-SUM($F68:CB68))</f>
        <v>0</v>
      </c>
      <c r="CC78" s="102">
        <f>+IF(SUM($F42:CC42)+SUM($F68:CC68)&gt;0,0,-SUM($F42:CC42)-SUM($F68:CC68))</f>
        <v>0</v>
      </c>
      <c r="CD78" s="102">
        <f>+IF(SUM($F42:CD42)+SUM($F68:CD68)&gt;0,0,-SUM($F42:CD42)-SUM($F68:CD68))</f>
        <v>0</v>
      </c>
      <c r="CE78" s="102">
        <f>+IF(SUM($F42:CE42)+SUM($F68:CE68)&gt;0,0,-SUM($F42:CE42)-SUM($F68:CE68))</f>
        <v>0</v>
      </c>
    </row>
    <row r="79" spans="2:83">
      <c r="B79" s="12" t="s">
        <v>271</v>
      </c>
      <c r="F79" s="102">
        <f>IF(SUM($F45:F48)+SUM($F71:F74)&gt;0,SUM($F45:F48)+SUM($F71:F74),0)</f>
        <v>0</v>
      </c>
      <c r="G79" s="102">
        <f>IF(SUM($F45:G48)+SUM($F71:G74)&gt;0,SUM($F45:G48)+SUM($F71:G74),0)</f>
        <v>0</v>
      </c>
      <c r="H79" s="102">
        <f>IF(SUM($F45:H48)+SUM($F71:H74)&gt;0,SUM($F45:H48)+SUM($F71:H74),0)</f>
        <v>0</v>
      </c>
      <c r="I79" s="102">
        <f>IF(SUM($F45:I48)+SUM($F71:I74)&gt;0,SUM($F45:I48)+SUM($F71:I74),0)</f>
        <v>0</v>
      </c>
      <c r="J79" s="102">
        <f>IF(SUM($F45:J48)+SUM($F71:J74)&gt;0,SUM($F45:J48)+SUM($F71:J74),0)</f>
        <v>0</v>
      </c>
      <c r="K79" s="102">
        <f>IF(SUM($F45:K48)+SUM($F71:K74)&gt;0,SUM($F45:K48)+SUM($F71:K74),0)</f>
        <v>0</v>
      </c>
      <c r="L79" s="102">
        <f>IF(SUM($F45:L48)+SUM($F71:L74)&gt;0,SUM($F45:L48)+SUM($F71:L74),0)</f>
        <v>0</v>
      </c>
      <c r="M79" s="102">
        <f>IF(SUM($F45:M48)+SUM($F71:M74)&gt;0,SUM($F45:M48)+SUM($F71:M74),0)</f>
        <v>0</v>
      </c>
      <c r="N79" s="102">
        <f>IF(SUM($F45:N48)+SUM($F71:N74)&gt;0,SUM($F45:N48)+SUM($F71:N74),0)</f>
        <v>0</v>
      </c>
      <c r="O79" s="102">
        <f>IF(SUM($F45:O48)+SUM($F71:O74)&gt;0,SUM($F45:O48)+SUM($F71:O74),0)</f>
        <v>0</v>
      </c>
      <c r="P79" s="102">
        <f>IF(SUM($F45:P48)+SUM($F71:P74)&gt;0,SUM($F45:P48)+SUM($F71:P74),0)</f>
        <v>0</v>
      </c>
      <c r="Q79" s="102">
        <f>IF(SUM($F45:Q48)+SUM($F71:Q74)&gt;0,SUM($F45:Q48)+SUM($F71:Q74),0)</f>
        <v>0</v>
      </c>
      <c r="R79" s="102">
        <f>IF(SUM($F45:R48)+SUM($F71:R74)&gt;0,SUM($F45:R48)+SUM($F71:R74),0)</f>
        <v>0</v>
      </c>
      <c r="S79" s="102">
        <f>IF(SUM($F45:S48)+SUM($F71:S74)&gt;0,SUM($F45:S48)+SUM($F71:S74),0)</f>
        <v>0</v>
      </c>
      <c r="T79" s="102">
        <f>IF(SUM($F45:T48)+SUM($F71:T74)&gt;0,SUM($F45:T48)+SUM($F71:T74),0)</f>
        <v>0</v>
      </c>
      <c r="U79" s="102">
        <f>IF(SUM($F45:U48)+SUM($F71:U74)&gt;0,SUM($F45:U48)+SUM($F71:U74),0)</f>
        <v>0</v>
      </c>
      <c r="V79" s="102">
        <f>IF(SUM($F45:V48)+SUM($F71:V74)&gt;0,SUM($F45:V48)+SUM($F71:V74),0)</f>
        <v>0</v>
      </c>
      <c r="W79" s="102">
        <f>IF(SUM($F45:W48)+SUM($F71:W74)&gt;0,SUM($F45:W48)+SUM($F71:W74),0)</f>
        <v>0</v>
      </c>
      <c r="X79" s="102">
        <f>IF(SUM($F45:X48)+SUM($F71:X74)&gt;0,SUM($F45:X48)+SUM($F71:X74),0)</f>
        <v>0</v>
      </c>
      <c r="Y79" s="102">
        <f>IF(SUM($F45:Y48)+SUM($F71:Y74)&gt;0,SUM($F45:Y48)+SUM($F71:Y74),0)</f>
        <v>0</v>
      </c>
      <c r="Z79" s="102">
        <f>IF(SUM($F45:Z48)+SUM($F71:Z74)&gt;0,SUM($F45:Z48)+SUM($F71:Z74),0)</f>
        <v>0</v>
      </c>
      <c r="AA79" s="102">
        <f>IF(SUM($F45:AA48)+SUM($F71:AA74)&gt;0,SUM($F45:AA48)+SUM($F71:AA74),0)</f>
        <v>0</v>
      </c>
      <c r="AB79" s="102">
        <f>IF(SUM($F45:AB48)+SUM($F71:AB74)&gt;0,SUM($F45:AB48)+SUM($F71:AB74),0)</f>
        <v>0</v>
      </c>
      <c r="AC79" s="102">
        <f>IF(SUM($F45:AC48)+SUM($F71:AC74)&gt;0,SUM($F45:AC48)+SUM($F71:AC74),0)</f>
        <v>0</v>
      </c>
      <c r="AD79" s="102">
        <f>IF(SUM($F45:AD48)+SUM($F71:AD74)&gt;0,SUM($F45:AD48)+SUM($F71:AD74),0)</f>
        <v>0</v>
      </c>
      <c r="AE79" s="102">
        <f>IF(SUM($F45:AE48)+SUM($F71:AE74)&gt;0,SUM($F45:AE48)+SUM($F71:AE74),0)</f>
        <v>0</v>
      </c>
      <c r="AF79" s="102">
        <f>IF(SUM($F45:AF48)+SUM($F71:AF74)&gt;0,SUM($F45:AF48)+SUM($F71:AF74),0)</f>
        <v>0</v>
      </c>
      <c r="AG79" s="102">
        <f>IF(SUM($F45:AG48)+SUM($F71:AG74)&gt;0,SUM($F45:AG48)+SUM($F71:AG74),0)</f>
        <v>0</v>
      </c>
      <c r="AH79" s="102">
        <f>IF(SUM($F45:AH48)+SUM($F71:AH74)&gt;0,SUM($F45:AH48)+SUM($F71:AH74),0)</f>
        <v>0</v>
      </c>
      <c r="AI79" s="102">
        <f>IF(SUM($F45:AI48)+SUM($F71:AI74)&gt;0,SUM($F45:AI48)+SUM($F71:AI74),0)</f>
        <v>0</v>
      </c>
      <c r="AJ79" s="102">
        <f>IF(SUM($F45:AJ48)+SUM($F71:AJ74)&gt;0,SUM($F45:AJ48)+SUM($F71:AJ74),0)</f>
        <v>0</v>
      </c>
      <c r="AK79" s="102">
        <f>IF(SUM($F45:AK48)+SUM($F71:AK74)&gt;0,SUM($F45:AK48)+SUM($F71:AK74),0)</f>
        <v>0</v>
      </c>
      <c r="AL79" s="102">
        <f>IF(SUM($F45:AL48)+SUM($F71:AL74)&gt;0,SUM($F45:AL48)+SUM($F71:AL74),0)</f>
        <v>0</v>
      </c>
      <c r="AM79" s="102">
        <f>IF(SUM($F45:AM48)+SUM($F71:AM74)&gt;0,SUM($F45:AM48)+SUM($F71:AM74),0)</f>
        <v>0</v>
      </c>
      <c r="AN79" s="102">
        <f>IF(SUM($F45:AN48)+SUM($F71:AN74)&gt;0,SUM($F45:AN48)+SUM($F71:AN74),0)</f>
        <v>0</v>
      </c>
      <c r="AO79" s="102">
        <f>IF(SUM($F45:AO48)+SUM($F71:AO74)&gt;0,SUM($F45:AO48)+SUM($F71:AO74),0)</f>
        <v>0</v>
      </c>
      <c r="AP79" s="102">
        <f>IF(SUM($F45:AP48)+SUM($F71:AP74)&gt;0,SUM($F45:AP48)+SUM($F71:AP74),0)</f>
        <v>0</v>
      </c>
      <c r="AQ79" s="102">
        <f>IF(SUM($F45:AQ48)+SUM($F71:AQ74)&gt;0,SUM($F45:AQ48)+SUM($F71:AQ74),0)</f>
        <v>0</v>
      </c>
      <c r="AR79" s="102">
        <f>IF(SUM($F45:AR48)+SUM($F71:AR74)&gt;0,SUM($F45:AR48)+SUM($F71:AR74),0)</f>
        <v>0</v>
      </c>
      <c r="AS79" s="102">
        <f>IF(SUM($F45:AS48)+SUM($F71:AS74)&gt;0,SUM($F45:AS48)+SUM($F71:AS74),0)</f>
        <v>0</v>
      </c>
      <c r="AT79" s="102">
        <f>IF(SUM($F45:AT48)+SUM($F71:AT74)&gt;0,SUM($F45:AT48)+SUM($F71:AT74),0)</f>
        <v>0</v>
      </c>
      <c r="AU79" s="102">
        <f>IF(SUM($F45:AU48)+SUM($F71:AU74)&gt;0,SUM($F45:AU48)+SUM($F71:AU74),0)</f>
        <v>0</v>
      </c>
      <c r="AV79" s="102">
        <f>IF(SUM($F45:AV48)+SUM($F71:AV74)&gt;0,SUM($F45:AV48)+SUM($F71:AV74),0)</f>
        <v>52.863604999999694</v>
      </c>
      <c r="AW79" s="102">
        <f>IF(SUM($F45:AW48)+SUM($F71:AW74)&gt;0,SUM($F45:AW48)+SUM($F71:AW74),0)</f>
        <v>735.91920999999991</v>
      </c>
      <c r="AX79" s="102">
        <f>IF(SUM($F45:AX48)+SUM($F71:AX74)&gt;0,SUM($F45:AX48)+SUM($F71:AX74),0)</f>
        <v>1859.1668149999996</v>
      </c>
      <c r="AY79" s="102">
        <f>IF(SUM($F45:AY48)+SUM($F71:AY74)&gt;0,SUM($F45:AY48)+SUM($F71:AY74),0)</f>
        <v>3536.6064199999992</v>
      </c>
      <c r="AZ79" s="102">
        <f>IF(SUM($F45:AZ48)+SUM($F71:AZ74)&gt;0,SUM($F45:AZ48)+SUM($F71:AZ74),0)</f>
        <v>6057.5663199999981</v>
      </c>
      <c r="BA79" s="102">
        <f>IF(SUM($F45:BA48)+SUM($F71:BA74)&gt;0,SUM($F45:BA48)+SUM($F71:BA74),0)</f>
        <v>0</v>
      </c>
      <c r="BB79" s="102">
        <f>IF(SUM($F45:BB48)+SUM($F71:BB74)&gt;0,SUM($F45:BB48)+SUM($F71:BB74),0)</f>
        <v>3866.3044899999986</v>
      </c>
      <c r="BC79" s="102">
        <f>IF(SUM($F45:BC48)+SUM($F71:BC74)&gt;0,SUM($F45:BC48)+SUM($F71:BC74),0)</f>
        <v>8699.0249799999983</v>
      </c>
      <c r="BD79" s="102">
        <f>IF(SUM($F45:BD48)+SUM($F71:BD74)&gt;0,SUM($F45:BD48)+SUM($F71:BD74),0)</f>
        <v>14185.569765</v>
      </c>
      <c r="BE79" s="102">
        <f>IF(SUM($F45:BE48)+SUM($F71:BE74)&gt;0,SUM($F45:BE48)+SUM($F71:BE74),0)</f>
        <v>20891.762549999999</v>
      </c>
      <c r="BF79" s="102">
        <f>IF(SUM($F45:BF48)+SUM($F71:BF74)&gt;0,SUM($F45:BF48)+SUM($F71:BF74),0)</f>
        <v>28251.475630000001</v>
      </c>
      <c r="BG79" s="102">
        <f>IF(SUM($F45:BG48)+SUM($F71:BG74)&gt;0,SUM($F45:BG48)+SUM($F71:BG74),0)</f>
        <v>0</v>
      </c>
      <c r="BH79" s="102">
        <f>IF(SUM($F45:BH48)+SUM($F71:BH74)&gt;0,SUM($F45:BH48)+SUM($F71:BH74),0)</f>
        <v>8689.244160000002</v>
      </c>
      <c r="BI79" s="102">
        <f>IF(SUM($F45:BI48)+SUM($F71:BI74)&gt;0,SUM($F45:BI48)+SUM($F71:BI74),0)</f>
        <v>17877.352319999998</v>
      </c>
      <c r="BJ79" s="102">
        <f>IF(SUM($F45:BJ48)+SUM($F71:BJ74)&gt;0,SUM($F45:BJ48)+SUM($F71:BJ74),0)</f>
        <v>27564.324480000003</v>
      </c>
      <c r="BK79" s="102">
        <f>IF(SUM($F45:BK48)+SUM($F71:BK74)&gt;0,SUM($F45:BK48)+SUM($F71:BK74),0)</f>
        <v>37750.160639999995</v>
      </c>
      <c r="BL79" s="102">
        <f>IF(SUM($F45:BL48)+SUM($F71:BL74)&gt;0,SUM($F45:BL48)+SUM($F71:BL74),0)</f>
        <v>48423.196889999999</v>
      </c>
      <c r="BM79" s="102">
        <f>IF(SUM($F45:BM48)+SUM($F71:BM74)&gt;0,SUM($F45:BM48)+SUM($F71:BM74),0)</f>
        <v>1.4551915228366852E-11</v>
      </c>
      <c r="BN79" s="102">
        <f>IF(SUM($F45:BN48)+SUM($F71:BN74)&gt;0,SUM($F45:BN48)+SUM($F71:BN74),0)</f>
        <v>11338.188250000007</v>
      </c>
      <c r="BO79" s="102">
        <f>IF(SUM($F45:BO48)+SUM($F71:BO74)&gt;0,SUM($F45:BO48)+SUM($F71:BO74),0)</f>
        <v>23008.952500000014</v>
      </c>
      <c r="BP79" s="102">
        <f>IF(SUM($F45:BP48)+SUM($F71:BP74)&gt;0,SUM($F45:BP48)+SUM($F71:BP74),0)</f>
        <v>35012.292750000022</v>
      </c>
      <c r="BQ79" s="102">
        <f>IF(SUM($F45:BQ48)+SUM($F71:BQ74)&gt;0,SUM($F45:BQ48)+SUM($F71:BQ74),0)</f>
        <v>47348.209000000032</v>
      </c>
      <c r="BR79" s="102">
        <f>IF(SUM($F45:BR48)+SUM($F71:BR74)&gt;0,SUM($F45:BR48)+SUM($F71:BR74),0)</f>
        <v>60016.701250000042</v>
      </c>
      <c r="BS79" s="102">
        <f>IF(SUM($F45:BS48)+SUM($F71:BS74)&gt;0,SUM($F45:BS48)+SUM($F71:BS74),0)</f>
        <v>5.8207660913467407E-11</v>
      </c>
      <c r="BT79" s="102">
        <f>IF(SUM($F45:BT48)+SUM($F71:BT74)&gt;0,SUM($F45:BT48)+SUM($F71:BT74),0)</f>
        <v>13232.797950000066</v>
      </c>
      <c r="BU79" s="102">
        <f>IF(SUM($F45:BU48)+SUM($F71:BU74)&gt;0,SUM($F45:BU48)+SUM($F71:BU74),0)</f>
        <v>26731.65670000005</v>
      </c>
      <c r="BV79" s="102">
        <f>IF(SUM($F45:BV48)+SUM($F71:BV74)&gt;0,SUM($F45:BV48)+SUM($F71:BV74),0)</f>
        <v>40396.803450000036</v>
      </c>
      <c r="BW79" s="102">
        <f>IF(SUM($F45:BW48)+SUM($F71:BW74)&gt;0,SUM($F45:BW48)+SUM($F71:BW74),0)</f>
        <v>54228.238200000022</v>
      </c>
      <c r="BX79" s="102">
        <f>IF(SUM($F45:BX48)+SUM($F71:BX74)&gt;0,SUM($F45:BX48)+SUM($F71:BX74),0)</f>
        <v>68225.960950000008</v>
      </c>
      <c r="BY79" s="102">
        <f>IF(SUM($F45:BY48)+SUM($F71:BY74)&gt;0,SUM($F45:BY48)+SUM($F71:BY74),0)</f>
        <v>0</v>
      </c>
      <c r="BZ79" s="102">
        <f>IF(SUM($F45:BZ48)+SUM($F71:BZ74)&gt;0,SUM($F45:BZ48)+SUM($F71:BZ74),0)</f>
        <v>14330.298750000016</v>
      </c>
      <c r="CA79" s="102">
        <f>IF(SUM($F45:CA48)+SUM($F71:CA74)&gt;0,SUM($F45:CA48)+SUM($F71:CA74),0)</f>
        <v>28826.885500000033</v>
      </c>
      <c r="CB79" s="102">
        <f>IF(SUM($F45:CB48)+SUM($F71:CB74)&gt;0,SUM($F45:CB48)+SUM($F71:CB74),0)</f>
        <v>43489.76025000005</v>
      </c>
      <c r="CC79" s="102">
        <f>IF(SUM($F45:CC48)+SUM($F71:CC74)&gt;0,SUM($F45:CC48)+SUM($F71:CC74),0)</f>
        <v>58252.407800000045</v>
      </c>
      <c r="CD79" s="102">
        <f>IF(SUM($F45:CD48)+SUM($F71:CD74)&gt;0,SUM($F45:CD48)+SUM($F71:CD74),0)</f>
        <v>73114.828150000016</v>
      </c>
      <c r="CE79" s="102">
        <f>IF(SUM($F45:CE48)+SUM($F71:CE74)&gt;0,SUM($F45:CE48)+SUM($F71:CE74),0)</f>
        <v>5.8207660913467407E-11</v>
      </c>
    </row>
    <row r="80" spans="2:83">
      <c r="B80" s="12" t="s">
        <v>272</v>
      </c>
      <c r="F80" s="102">
        <f>-SUM($F45:F48)-SUM($F71:F74)+F79</f>
        <v>0</v>
      </c>
      <c r="G80" s="102">
        <f>-SUM($F45:G48)-SUM($F71:G74)+G79</f>
        <v>0</v>
      </c>
      <c r="H80" s="102">
        <f>-SUM($F45:H48)-SUM($F71:H74)+H79</f>
        <v>0</v>
      </c>
      <c r="I80" s="102">
        <f>-SUM($F45:I48)-SUM($F71:I74)+I79</f>
        <v>0</v>
      </c>
      <c r="J80" s="102">
        <f>-SUM($F45:J48)-SUM($F71:J74)+J79</f>
        <v>0</v>
      </c>
      <c r="K80" s="102">
        <f>-SUM($F45:K48)-SUM($F71:K74)+K79</f>
        <v>0</v>
      </c>
      <c r="L80" s="102">
        <f>-SUM($F45:L48)-SUM($F71:L74)+L79</f>
        <v>0</v>
      </c>
      <c r="M80" s="102">
        <f>-SUM($F45:M48)-SUM($F71:M74)+M79</f>
        <v>0</v>
      </c>
      <c r="N80" s="102">
        <f>-SUM($F45:N48)-SUM($F71:N74)+N79</f>
        <v>0</v>
      </c>
      <c r="O80" s="102">
        <f>-SUM($F45:O48)-SUM($F71:O74)+O79</f>
        <v>0</v>
      </c>
      <c r="P80" s="102">
        <f>-SUM($F45:P48)-SUM($F71:P74)+P79</f>
        <v>0</v>
      </c>
      <c r="Q80" s="102">
        <f>-SUM($F45:Q48)-SUM($F71:Q74)+Q79</f>
        <v>0</v>
      </c>
      <c r="R80" s="102">
        <f>-SUM($F45:R48)-SUM($F71:R74)+R79</f>
        <v>0</v>
      </c>
      <c r="S80" s="102">
        <f>-SUM($F45:S48)-SUM($F71:S74)+S79</f>
        <v>0</v>
      </c>
      <c r="T80" s="102">
        <f>-SUM($F45:T48)-SUM($F71:T74)+T79</f>
        <v>0</v>
      </c>
      <c r="U80" s="102">
        <f>-SUM($F45:U48)-SUM($F71:U74)+U79</f>
        <v>0</v>
      </c>
      <c r="V80" s="102">
        <f>-SUM($F45:V48)-SUM($F71:V74)+V79</f>
        <v>0</v>
      </c>
      <c r="W80" s="102">
        <f>-SUM($F45:W48)-SUM($F71:W74)+W79</f>
        <v>0</v>
      </c>
      <c r="X80" s="102">
        <f>-SUM($F45:X48)-SUM($F71:X74)+X79</f>
        <v>0</v>
      </c>
      <c r="Y80" s="102">
        <f>-SUM($F45:Y48)-SUM($F71:Y74)+Y79</f>
        <v>0</v>
      </c>
      <c r="Z80" s="102">
        <f>-SUM($F45:Z48)-SUM($F71:Z74)+Z79</f>
        <v>0</v>
      </c>
      <c r="AA80" s="102">
        <f>-SUM($F45:AA48)-SUM($F71:AA74)+AA79</f>
        <v>0</v>
      </c>
      <c r="AB80" s="102">
        <f>-SUM($F45:AB48)-SUM($F71:AB74)+AB79</f>
        <v>0</v>
      </c>
      <c r="AC80" s="102">
        <f>-SUM($F45:AC48)-SUM($F71:AC74)+AC79</f>
        <v>0</v>
      </c>
      <c r="AD80" s="102">
        <f>-SUM($F45:AD48)-SUM($F71:AD74)+AD79</f>
        <v>0</v>
      </c>
      <c r="AE80" s="102">
        <f>-SUM($F45:AE48)-SUM($F71:AE74)+AE79</f>
        <v>0</v>
      </c>
      <c r="AF80" s="102">
        <f>-SUM($F45:AF48)-SUM($F71:AF74)+AF79</f>
        <v>0</v>
      </c>
      <c r="AG80" s="102">
        <f>-SUM($F45:AG48)-SUM($F71:AG74)+AG79</f>
        <v>0</v>
      </c>
      <c r="AH80" s="102">
        <f>-SUM($F45:AH48)-SUM($F71:AH74)+AH79</f>
        <v>0</v>
      </c>
      <c r="AI80" s="102">
        <f>-SUM($F45:AI48)-SUM($F71:AI74)+AI79</f>
        <v>0</v>
      </c>
      <c r="AJ80" s="102">
        <f>-SUM($F45:AJ48)-SUM($F71:AJ74)+AJ79</f>
        <v>0</v>
      </c>
      <c r="AK80" s="102">
        <f>-SUM($F45:AK48)-SUM($F71:AK74)+AK79</f>
        <v>0</v>
      </c>
      <c r="AL80" s="102">
        <f>-SUM($F45:AL48)-SUM($F71:AL74)+AL79</f>
        <v>0</v>
      </c>
      <c r="AM80" s="102">
        <f>-SUM($F45:AM48)-SUM($F71:AM74)+AM79</f>
        <v>0</v>
      </c>
      <c r="AN80" s="102">
        <f>-SUM($F45:AN48)-SUM($F71:AN74)+AN79</f>
        <v>0</v>
      </c>
      <c r="AO80" s="102">
        <f>-SUM($F45:AO48)-SUM($F71:AO74)+AO79</f>
        <v>0</v>
      </c>
      <c r="AP80" s="102">
        <f>-SUM($F45:AP48)-SUM($F71:AP74)+AP79</f>
        <v>0</v>
      </c>
      <c r="AQ80" s="102">
        <f>-SUM($F45:AQ48)-SUM($F71:AQ74)+AQ79</f>
        <v>0</v>
      </c>
      <c r="AR80" s="102">
        <f>-SUM($F45:AR48)-SUM($F71:AR74)+AR79</f>
        <v>0</v>
      </c>
      <c r="AS80" s="102">
        <f>-SUM($F45:AS48)-SUM($F71:AS74)+AS79</f>
        <v>0</v>
      </c>
      <c r="AT80" s="102">
        <f>-SUM($F45:AT48)-SUM($F71:AT74)+AT79</f>
        <v>0</v>
      </c>
      <c r="AU80" s="102">
        <f>-SUM($F45:AU48)-SUM($F71:AU74)+AU79</f>
        <v>0</v>
      </c>
      <c r="AV80" s="102">
        <f>-SUM($F45:AV48)-SUM($F71:AV74)+AV79</f>
        <v>0</v>
      </c>
      <c r="AW80" s="102">
        <f>-SUM($F45:AW48)-SUM($F71:AW74)+AW79</f>
        <v>0</v>
      </c>
      <c r="AX80" s="102">
        <f>-SUM($F45:AX48)-SUM($F71:AX74)+AX79</f>
        <v>0</v>
      </c>
      <c r="AY80" s="102">
        <f>-SUM($F45:AY48)-SUM($F71:AY74)+AY79</f>
        <v>0</v>
      </c>
      <c r="AZ80" s="102">
        <f>-SUM($F45:AZ48)-SUM($F71:AZ74)+AZ79</f>
        <v>0</v>
      </c>
      <c r="BA80" s="102">
        <f>-SUM($F45:BA48)-SUM($F71:BA74)+BA79</f>
        <v>0</v>
      </c>
      <c r="BB80" s="102">
        <f>-SUM($F45:BB48)-SUM($F71:BB74)+BB79</f>
        <v>0</v>
      </c>
      <c r="BC80" s="102">
        <f>-SUM($F45:BC48)-SUM($F71:BC74)+BC79</f>
        <v>0</v>
      </c>
      <c r="BD80" s="102">
        <f>-SUM($F45:BD48)-SUM($F71:BD74)+BD79</f>
        <v>0</v>
      </c>
      <c r="BE80" s="102">
        <f>-SUM($F45:BE48)-SUM($F71:BE74)+BE79</f>
        <v>0</v>
      </c>
      <c r="BF80" s="102">
        <f>-SUM($F45:BF48)-SUM($F71:BF74)+BF79</f>
        <v>0</v>
      </c>
      <c r="BG80" s="102">
        <f>-SUM($F45:BG48)-SUM($F71:BG74)+BG79</f>
        <v>0</v>
      </c>
      <c r="BH80" s="102">
        <f>-SUM($F45:BH48)-SUM($F71:BH74)+BH79</f>
        <v>0</v>
      </c>
      <c r="BI80" s="102">
        <f>-SUM($F45:BI48)-SUM($F71:BI74)+BI79</f>
        <v>0</v>
      </c>
      <c r="BJ80" s="102">
        <f>-SUM($F45:BJ48)-SUM($F71:BJ74)+BJ79</f>
        <v>0</v>
      </c>
      <c r="BK80" s="102">
        <f>-SUM($F45:BK48)-SUM($F71:BK74)+BK79</f>
        <v>0</v>
      </c>
      <c r="BL80" s="102">
        <f>-SUM($F45:BL48)-SUM($F71:BL74)+BL79</f>
        <v>0</v>
      </c>
      <c r="BM80" s="102">
        <f>-SUM($F45:BM48)-SUM($F71:BM74)+BM79</f>
        <v>0</v>
      </c>
      <c r="BN80" s="102">
        <f>-SUM($F45:BN48)-SUM($F71:BN74)+BN79</f>
        <v>0</v>
      </c>
      <c r="BO80" s="102">
        <f>-SUM($F45:BO48)-SUM($F71:BO74)+BO79</f>
        <v>0</v>
      </c>
      <c r="BP80" s="102">
        <f>-SUM($F45:BP48)-SUM($F71:BP74)+BP79</f>
        <v>0</v>
      </c>
      <c r="BQ80" s="102">
        <f>-SUM($F45:BQ48)-SUM($F71:BQ74)+BQ79</f>
        <v>0</v>
      </c>
      <c r="BR80" s="102">
        <f>-SUM($F45:BR48)-SUM($F71:BR74)+BR79</f>
        <v>0</v>
      </c>
      <c r="BS80" s="102">
        <f>-SUM($F45:BS48)-SUM($F71:BS74)+BS79</f>
        <v>0</v>
      </c>
      <c r="BT80" s="102">
        <f>-SUM($F45:BT48)-SUM($F71:BT74)+BT79</f>
        <v>0</v>
      </c>
      <c r="BU80" s="102">
        <f>-SUM($F45:BU48)-SUM($F71:BU74)+BU79</f>
        <v>0</v>
      </c>
      <c r="BV80" s="102">
        <f>-SUM($F45:BV48)-SUM($F71:BV74)+BV79</f>
        <v>0</v>
      </c>
      <c r="BW80" s="102">
        <f>-SUM($F45:BW48)-SUM($F71:BW74)+BW79</f>
        <v>0</v>
      </c>
      <c r="BX80" s="102">
        <f>-SUM($F45:BX48)-SUM($F71:BX74)+BX79</f>
        <v>0</v>
      </c>
      <c r="BY80" s="102">
        <f>-SUM($F45:BY48)-SUM($F71:BY74)+BY79</f>
        <v>0</v>
      </c>
      <c r="BZ80" s="102">
        <f>-SUM($F45:BZ48)-SUM($F71:BZ74)+BZ79</f>
        <v>0</v>
      </c>
      <c r="CA80" s="102">
        <f>-SUM($F45:CA48)-SUM($F71:CA74)+CA79</f>
        <v>0</v>
      </c>
      <c r="CB80" s="102">
        <f>-SUM($F45:CB48)-SUM($F71:CB74)+CB79</f>
        <v>0</v>
      </c>
      <c r="CC80" s="102">
        <f>-SUM($F45:CC48)-SUM($F71:CC74)+CC79</f>
        <v>0</v>
      </c>
      <c r="CD80" s="102">
        <f>-SUM($F45:CD48)-SUM($F71:CD74)+CD79</f>
        <v>0</v>
      </c>
      <c r="CE80" s="102">
        <f>-SUM($F45:CE48)-SUM($F71:CE74)+CE79</f>
        <v>0</v>
      </c>
    </row>
    <row r="81" spans="1:83"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</row>
    <row r="82" spans="1:83"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</row>
    <row r="83" spans="1:83"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</row>
    <row r="84" spans="1:83">
      <c r="A84" s="12" t="s">
        <v>217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</row>
    <row r="85" spans="1:83">
      <c r="B85" t="s">
        <v>218</v>
      </c>
      <c r="C85" s="93" t="s">
        <v>222</v>
      </c>
      <c r="D85" s="213">
        <v>0.19600000000000001</v>
      </c>
      <c r="F85" s="102">
        <f>'Sales &amp; Costs'!E49*$D$85</f>
        <v>0</v>
      </c>
      <c r="G85" s="102">
        <f>'Sales &amp; Costs'!F49*$D$85</f>
        <v>0</v>
      </c>
      <c r="H85" s="102">
        <f>'Sales &amp; Costs'!G49*$D$85</f>
        <v>0</v>
      </c>
      <c r="I85" s="102">
        <f>'Sales &amp; Costs'!H49*$D$85</f>
        <v>0</v>
      </c>
      <c r="J85" s="102">
        <f>'Sales &amp; Costs'!I49*$D$85</f>
        <v>0</v>
      </c>
      <c r="K85" s="102">
        <f>'Sales &amp; Costs'!J49*$D$85</f>
        <v>0</v>
      </c>
      <c r="L85" s="102">
        <f>'Sales &amp; Costs'!K49*$D$85</f>
        <v>0</v>
      </c>
      <c r="M85" s="102">
        <f>'Sales &amp; Costs'!L49*$D$85</f>
        <v>0</v>
      </c>
      <c r="N85" s="102">
        <f>'Sales &amp; Costs'!M49*$D$85</f>
        <v>0</v>
      </c>
      <c r="O85" s="102">
        <f>'Sales &amp; Costs'!N49*$D$85</f>
        <v>0</v>
      </c>
      <c r="P85" s="102">
        <f>'Sales &amp; Costs'!O49*$D$85</f>
        <v>0</v>
      </c>
      <c r="Q85" s="102">
        <f>'Sales &amp; Costs'!P49*$D$85</f>
        <v>0</v>
      </c>
      <c r="R85" s="102">
        <f>'Sales &amp; Costs'!Q49*$D$85</f>
        <v>0</v>
      </c>
      <c r="S85" s="102">
        <f>'Sales &amp; Costs'!R49*$D$85</f>
        <v>0</v>
      </c>
      <c r="T85" s="102">
        <f>'Sales &amp; Costs'!S49*$D$85</f>
        <v>0</v>
      </c>
      <c r="U85" s="102">
        <f>'Sales &amp; Costs'!T49*$D$85</f>
        <v>0</v>
      </c>
      <c r="V85" s="102">
        <f>'Sales &amp; Costs'!U49*$D$85</f>
        <v>0</v>
      </c>
      <c r="W85" s="102">
        <f>'Sales &amp; Costs'!V49*$D$85</f>
        <v>0</v>
      </c>
      <c r="X85" s="102">
        <f>'Sales &amp; Costs'!W49*$D$85</f>
        <v>0</v>
      </c>
      <c r="Y85" s="102">
        <f>'Sales &amp; Costs'!X49*$D$85</f>
        <v>0</v>
      </c>
      <c r="Z85" s="102">
        <f>'Sales &amp; Costs'!Y49*$D$85</f>
        <v>0</v>
      </c>
      <c r="AA85" s="102">
        <f>'Sales &amp; Costs'!Z49*$D$85</f>
        <v>0</v>
      </c>
      <c r="AB85" s="102">
        <f>'Sales &amp; Costs'!AA49*$D$85</f>
        <v>0</v>
      </c>
      <c r="AC85" s="102">
        <f>'Sales &amp; Costs'!AB49*$D$85</f>
        <v>0</v>
      </c>
      <c r="AD85" s="102">
        <f>'Sales &amp; Costs'!AC49*$D$85</f>
        <v>0</v>
      </c>
      <c r="AE85" s="102">
        <f>'Sales &amp; Costs'!AD49*$D$85</f>
        <v>0</v>
      </c>
      <c r="AF85" s="102">
        <f>'Sales &amp; Costs'!AE49*$D$85</f>
        <v>0</v>
      </c>
      <c r="AG85" s="102">
        <f>'Sales &amp; Costs'!AF49*$D$85</f>
        <v>0</v>
      </c>
      <c r="AH85" s="102">
        <f>'Sales &amp; Costs'!AG49*$D$85</f>
        <v>0</v>
      </c>
      <c r="AI85" s="102">
        <f>'Sales &amp; Costs'!AH49*$D$85</f>
        <v>0</v>
      </c>
      <c r="AJ85" s="102">
        <f>'Sales &amp; Costs'!AI49*$D$85</f>
        <v>0</v>
      </c>
      <c r="AK85" s="102">
        <f>'Sales &amp; Costs'!AJ49*$D$85</f>
        <v>764.4294000000001</v>
      </c>
      <c r="AL85" s="102">
        <f>'Sales &amp; Costs'!AK49*$D$85</f>
        <v>1528.8588000000002</v>
      </c>
      <c r="AM85" s="102">
        <f>'Sales &amp; Costs'!AL49*$D$85</f>
        <v>2293.2882000000004</v>
      </c>
      <c r="AN85" s="102">
        <f>'Sales &amp; Costs'!AM49*$D$85</f>
        <v>3057.7176000000004</v>
      </c>
      <c r="AO85" s="102">
        <f>'Sales &amp; Costs'!AN49*$D$85</f>
        <v>3822.1469999999999</v>
      </c>
      <c r="AP85" s="102">
        <f>'Sales &amp; Costs'!AO49*$D$85</f>
        <v>4586.5764000000008</v>
      </c>
      <c r="AQ85" s="102">
        <f>'Sales &amp; Costs'!AP49*$D$85</f>
        <v>6115.4352000000008</v>
      </c>
      <c r="AR85" s="102">
        <f>'Sales &amp; Costs'!AQ49*$D$85</f>
        <v>7644.2939999999999</v>
      </c>
      <c r="AS85" s="102">
        <f>'Sales &amp; Costs'!AR49*$D$85</f>
        <v>9173.1528000000017</v>
      </c>
      <c r="AT85" s="102">
        <f>'Sales &amp; Costs'!AS49*$D$85</f>
        <v>11466.441000000001</v>
      </c>
      <c r="AU85" s="102">
        <f>'Sales &amp; Costs'!AT49*$D$85</f>
        <v>13759.7292</v>
      </c>
      <c r="AV85" s="102">
        <f>'Sales &amp; Costs'!AU49*$D$85</f>
        <v>16053.017399999999</v>
      </c>
      <c r="AW85" s="102">
        <f>'Sales &amp; Costs'!AV49*$D$85</f>
        <v>18346.305600000003</v>
      </c>
      <c r="AX85" s="102">
        <f>'Sales &amp; Costs'!AW49*$D$85</f>
        <v>22169.501199999999</v>
      </c>
      <c r="AY85" s="102">
        <f>'Sales &amp; Costs'!AX49*$D$85</f>
        <v>25992.696799999998</v>
      </c>
      <c r="AZ85" s="102">
        <f>'Sales &amp; Costs'!AY49*$D$85</f>
        <v>29815.892400000001</v>
      </c>
      <c r="BA85" s="102">
        <f>'Sales &amp; Costs'!AZ49*$D$85</f>
        <v>34404.565999999999</v>
      </c>
      <c r="BB85" s="102">
        <f>'Sales &amp; Costs'!BA49*$D$85</f>
        <v>39758.717600000004</v>
      </c>
      <c r="BC85" s="102">
        <f>'Sales &amp; Costs'!BB49*$D$85</f>
        <v>43584.010399999999</v>
      </c>
      <c r="BD85" s="102">
        <f>'Sales &amp; Costs'!BC49*$D$85</f>
        <v>48940.259200000008</v>
      </c>
      <c r="BE85" s="102">
        <f>'Sales &amp; Costs'!BD49*$D$85</f>
        <v>53531.03</v>
      </c>
      <c r="BF85" s="102">
        <f>'Sales &amp; Costs'!BE49*$D$85</f>
        <v>61944.996400000004</v>
      </c>
      <c r="BG85" s="102">
        <f>'Sales &amp; Costs'!BF49*$D$85</f>
        <v>66533.67</v>
      </c>
      <c r="BH85" s="102">
        <f>'Sales &amp; Costs'!BG49*$D$85</f>
        <v>71122.343599999993</v>
      </c>
      <c r="BI85" s="102">
        <f>'Sales &amp; Costs'!BH49*$D$85</f>
        <v>75711.017200000002</v>
      </c>
      <c r="BJ85" s="102">
        <f>'Sales &amp; Costs'!BI49*$D$85</f>
        <v>79152.522400000002</v>
      </c>
      <c r="BK85" s="102">
        <f>'Sales &amp; Costs'!BJ49*$D$85</f>
        <v>82594.027600000001</v>
      </c>
      <c r="BL85" s="102">
        <f>'Sales &amp; Costs'!BK49*$D$85</f>
        <v>86035.532800000001</v>
      </c>
      <c r="BM85" s="102">
        <f>'Sales &amp; Costs'!BL49*$D$85</f>
        <v>89477.038</v>
      </c>
      <c r="BN85" s="102">
        <f>'Sales &amp; Costs'!BM49*$D$85</f>
        <v>91771.374800000005</v>
      </c>
      <c r="BO85" s="102">
        <f>'Sales &amp; Costs'!BN49*$D$85</f>
        <v>94065.711599999995</v>
      </c>
      <c r="BP85" s="102">
        <f>'Sales &amp; Costs'!BO49*$D$85</f>
        <v>96360.048400000014</v>
      </c>
      <c r="BQ85" s="102">
        <f>'Sales &amp; Costs'!BP49*$D$85</f>
        <v>98654.385200000004</v>
      </c>
      <c r="BR85" s="102">
        <f>'Sales &amp; Costs'!BQ49*$D$85</f>
        <v>100948.72200000001</v>
      </c>
      <c r="BS85" s="102">
        <f>'Sales &amp; Costs'!BR49*$D$85</f>
        <v>103243.05880000001</v>
      </c>
      <c r="BT85" s="102">
        <f>'Sales &amp; Costs'!BS49*$D$85</f>
        <v>105537.3956</v>
      </c>
      <c r="BU85" s="102">
        <f>'Sales &amp; Costs'!BT49*$D$85</f>
        <v>107143.43136000002</v>
      </c>
      <c r="BV85" s="102">
        <f>'Sales &amp; Costs'!BU49*$D$85</f>
        <v>108978.90080000002</v>
      </c>
      <c r="BW85" s="102">
        <f>'Sales &amp; Costs'!BV49*$D$85</f>
        <v>110126.0692</v>
      </c>
      <c r="BX85" s="102">
        <f>'Sales &amp; Costs'!BW49*$D$85</f>
        <v>111273.23759999999</v>
      </c>
      <c r="BY85" s="102">
        <f>'Sales &amp; Costs'!BX49*$D$85</f>
        <v>112420.406</v>
      </c>
      <c r="BZ85" s="102">
        <f>'Sales &amp; Costs'!BY49*$D$85</f>
        <v>113567.57440000001</v>
      </c>
      <c r="CA85" s="102">
        <f>'Sales &amp; Costs'!BZ49*$D$85</f>
        <v>114714.74280000001</v>
      </c>
      <c r="CB85" s="102">
        <f>'Sales &amp; Costs'!CA49*$D$85</f>
        <v>115861.9112</v>
      </c>
      <c r="CC85" s="102">
        <f>'Sales &amp; Costs'!CB49*$D$85</f>
        <v>117009.0796</v>
      </c>
      <c r="CD85" s="102">
        <f>'Sales &amp; Costs'!CC49*$D$85</f>
        <v>117697.38064</v>
      </c>
      <c r="CE85" s="102">
        <f>'Sales &amp; Costs'!CD49*$D$85</f>
        <v>118385.68167999999</v>
      </c>
    </row>
    <row r="86" spans="1:83">
      <c r="B86" t="s">
        <v>219</v>
      </c>
      <c r="C86" s="93" t="s">
        <v>220</v>
      </c>
      <c r="F86" s="102">
        <f>SUM('Détail CF'!F26:F44)-'P&amp;L Month'!H22-'P&amp;L Month'!H24-'P&amp;L Month'!H26-F40</f>
        <v>0</v>
      </c>
      <c r="G86" s="102">
        <f>SUM('Détail CF'!G26:G44)-'P&amp;L Month'!I22-'P&amp;L Month'!I24-'P&amp;L Month'!I26-G40</f>
        <v>0</v>
      </c>
      <c r="H86" s="102">
        <f>SUM('Détail CF'!H26:H44)-'P&amp;L Month'!J22-'P&amp;L Month'!J24-'P&amp;L Month'!J26-H40</f>
        <v>0</v>
      </c>
      <c r="I86" s="102">
        <f>SUM('Détail CF'!I26:I44)-'P&amp;L Month'!K22-'P&amp;L Month'!K24-'P&amp;L Month'!K26-I40</f>
        <v>0</v>
      </c>
      <c r="J86" s="102">
        <f>SUM('Détail CF'!J26:J44)-'P&amp;L Month'!L22-'P&amp;L Month'!L24-'P&amp;L Month'!L26-J40</f>
        <v>0</v>
      </c>
      <c r="K86" s="102">
        <f>SUM('Détail CF'!K26:K44)-'P&amp;L Month'!M22-'P&amp;L Month'!M24-'P&amp;L Month'!M26-K40</f>
        <v>0</v>
      </c>
      <c r="L86" s="102">
        <f>SUM('Détail CF'!L26:L44)-'P&amp;L Month'!N22-'P&amp;L Month'!N24-'P&amp;L Month'!N26-L40</f>
        <v>0</v>
      </c>
      <c r="M86" s="102">
        <f>SUM('Détail CF'!M26:M44)-'P&amp;L Month'!O22-'P&amp;L Month'!O24-'P&amp;L Month'!O26-M40</f>
        <v>0</v>
      </c>
      <c r="N86" s="102">
        <f>SUM('Détail CF'!N26:N44)-'P&amp;L Month'!P22-'P&amp;L Month'!P24-'P&amp;L Month'!P26-N40</f>
        <v>0</v>
      </c>
      <c r="O86" s="102">
        <f>SUM('Détail CF'!O26:O44)-'P&amp;L Month'!Q22-'P&amp;L Month'!Q24-'P&amp;L Month'!Q26-O40</f>
        <v>0</v>
      </c>
      <c r="P86" s="102">
        <f>SUM('Détail CF'!P26:P44)-'P&amp;L Month'!R22-'P&amp;L Month'!R24-'P&amp;L Month'!R26-P40</f>
        <v>0</v>
      </c>
      <c r="Q86" s="102">
        <f>SUM('Détail CF'!Q26:Q44)-'P&amp;L Month'!S22-'P&amp;L Month'!S24-'P&amp;L Month'!S26-Q40</f>
        <v>0</v>
      </c>
      <c r="R86" s="102">
        <f>SUM('Détail CF'!R26:R44)-'P&amp;L Month'!T22-'P&amp;L Month'!T24-'P&amp;L Month'!T26-R40</f>
        <v>0</v>
      </c>
      <c r="S86" s="102">
        <f>SUM('Détail CF'!S26:S44)-'P&amp;L Month'!U22-'P&amp;L Month'!U24-'P&amp;L Month'!U26-S40</f>
        <v>68.599999999999966</v>
      </c>
      <c r="T86" s="102">
        <f>SUM('Détail CF'!T26:T44)-'P&amp;L Month'!V22-'P&amp;L Month'!V24-'P&amp;L Month'!V26-T40</f>
        <v>68.599999999999966</v>
      </c>
      <c r="U86" s="102">
        <f>SUM('Détail CF'!U26:U44)-'P&amp;L Month'!W22-'P&amp;L Month'!W24-'P&amp;L Month'!W26-U40</f>
        <v>68.599999999999966</v>
      </c>
      <c r="V86" s="102">
        <f>SUM('Détail CF'!V26:V44)-'P&amp;L Month'!X22-'P&amp;L Month'!X24-'P&amp;L Month'!X26-V40</f>
        <v>68.599999999999966</v>
      </c>
      <c r="W86" s="102">
        <f>SUM('Détail CF'!W26:W44)-'P&amp;L Month'!Y22-'P&amp;L Month'!Y24-'P&amp;L Month'!Y26-W40</f>
        <v>568.39999999996508</v>
      </c>
      <c r="X86" s="102">
        <f>SUM('Détail CF'!X26:X44)-'P&amp;L Month'!Z22-'P&amp;L Month'!Z24-'P&amp;L Month'!Z26-X40</f>
        <v>-183.61599999999999</v>
      </c>
      <c r="Y86" s="102">
        <f>SUM('Détail CF'!Y26:Y44)-'P&amp;L Month'!AA22-'P&amp;L Month'!AA24-'P&amp;L Month'!AA26-Y40</f>
        <v>-183.61599999999999</v>
      </c>
      <c r="Z86" s="102">
        <f>SUM('Détail CF'!Z26:Z44)-'P&amp;L Month'!AB22-'P&amp;L Month'!AB24-'P&amp;L Month'!AB26-Z40</f>
        <v>-173.81600000000003</v>
      </c>
      <c r="AA86" s="102">
        <f>SUM('Détail CF'!AA26:AA44)-'P&amp;L Month'!AC22-'P&amp;L Month'!AC24-'P&amp;L Month'!AC26-AA40</f>
        <v>-156.26419999999985</v>
      </c>
      <c r="AB86" s="102">
        <f>SUM('Détail CF'!AB26:AB44)-'P&amp;L Month'!AD22-'P&amp;L Month'!AD24-'P&amp;L Month'!AD26-AB40</f>
        <v>-117.06420000000003</v>
      </c>
      <c r="AC86" s="102">
        <f>SUM('Détail CF'!AC26:AC44)-'P&amp;L Month'!AE22-'P&amp;L Month'!AE24-'P&amp;L Month'!AE26-AC40</f>
        <v>-117.06420000000003</v>
      </c>
      <c r="AD86" s="102">
        <f>SUM('Détail CF'!AD26:AD44)-'P&amp;L Month'!AF22-'P&amp;L Month'!AF24-'P&amp;L Month'!AF26-AD40</f>
        <v>21.409799999999905</v>
      </c>
      <c r="AE86" s="102">
        <f>SUM('Détail CF'!AE26:AE44)-'P&amp;L Month'!AG22-'P&amp;L Month'!AG24-'P&amp;L Month'!AG26-AE40</f>
        <v>-109.47899999999981</v>
      </c>
      <c r="AF86" s="102">
        <f>SUM('Détail CF'!AF26:AF44)-'P&amp;L Month'!AH22-'P&amp;L Month'!AH24-'P&amp;L Month'!AH26-AF40</f>
        <v>-239.85000000000036</v>
      </c>
      <c r="AG86" s="102">
        <f>SUM('Détail CF'!AG26:AG44)-'P&amp;L Month'!AI22-'P&amp;L Month'!AI24-'P&amp;L Month'!AI26-AG40</f>
        <v>-331.02099999999973</v>
      </c>
      <c r="AH86" s="102">
        <f>SUM('Détail CF'!AH26:AH44)-'P&amp;L Month'!AJ22-'P&amp;L Month'!AJ24-'P&amp;L Month'!AJ26-AH40</f>
        <v>-311.42099999999982</v>
      </c>
      <c r="AI86" s="102">
        <f>SUM('Détail CF'!AI26:AI44)-'P&amp;L Month'!AK22-'P&amp;L Month'!AK24-'P&amp;L Month'!AK26-AI40</f>
        <v>-441.79199999999992</v>
      </c>
      <c r="AJ86" s="102">
        <f>SUM('Détail CF'!AJ26:AJ44)-'P&amp;L Month'!AL22-'P&amp;L Month'!AL24-'P&amp;L Month'!AL26-AJ40</f>
        <v>2430.3593999999975</v>
      </c>
      <c r="AK86" s="102">
        <f>SUM('Détail CF'!AK26:AK44)-'P&amp;L Month'!AM22-'P&amp;L Month'!AM24-'P&amp;L Month'!AM26-AK40</f>
        <v>3482.6818000000021</v>
      </c>
      <c r="AL86" s="102">
        <f>SUM('Détail CF'!AL26:AL44)-'P&amp;L Month'!AN22-'P&amp;L Month'!AN24-'P&amp;L Month'!AN26-AL40</f>
        <v>4394.8332000000009</v>
      </c>
      <c r="AM86" s="102">
        <f>SUM('Détail CF'!AM26:AM44)-'P&amp;L Month'!AO22-'P&amp;L Month'!AO24-'P&amp;L Month'!AO26-AM40</f>
        <v>7606.1266000000105</v>
      </c>
      <c r="AN86" s="102">
        <f>SUM('Détail CF'!AN26:AN44)-'P&amp;L Month'!AP22-'P&amp;L Month'!AP24-'P&amp;L Month'!AP26-AN40</f>
        <v>11892.448999999993</v>
      </c>
      <c r="AO86" s="102">
        <f>SUM('Détail CF'!AO26:AO44)-'P&amp;L Month'!AQ22-'P&amp;L Month'!AQ24-'P&amp;L Month'!AQ26-AO40</f>
        <v>8884.600400000003</v>
      </c>
      <c r="AP86" s="102">
        <f>SUM('Détail CF'!AP26:AP44)-'P&amp;L Month'!AR22-'P&amp;L Month'!AR24-'P&amp;L Month'!AR26-AP40</f>
        <v>12374.016199999998</v>
      </c>
      <c r="AQ86" s="102">
        <f>SUM('Détail CF'!AQ26:AQ44)-'P&amp;L Month'!AS22-'P&amp;L Month'!AS24-'P&amp;L Month'!AS26-AQ40</f>
        <v>10123.603000000003</v>
      </c>
      <c r="AR86" s="102">
        <f>SUM('Détail CF'!AR26:AR44)-'P&amp;L Month'!AT22-'P&amp;L Month'!AT24-'P&amp;L Month'!AT26-AR40</f>
        <v>11392.276800000007</v>
      </c>
      <c r="AS86" s="102">
        <f>SUM('Détail CF'!AS26:AS44)-'P&amp;L Month'!AU22-'P&amp;L Month'!AU24-'P&amp;L Month'!AU26-AS40</f>
        <v>11696.557000000001</v>
      </c>
      <c r="AT86" s="102">
        <f>SUM('Détail CF'!AT26:AT44)-'P&amp;L Month'!AV22-'P&amp;L Month'!AV24-'P&amp;L Month'!AV26-AT40</f>
        <v>14235.237200000018</v>
      </c>
      <c r="AU86" s="102">
        <f>SUM('Détail CF'!AU26:AU44)-'P&amp;L Month'!AW22-'P&amp;L Month'!AW24-'P&amp;L Month'!AW26-AU40</f>
        <v>12069.917400000006</v>
      </c>
      <c r="AV86" s="102">
        <f>SUM('Détail CF'!AV26:AV44)-'P&amp;L Month'!AX22-'P&amp;L Month'!AX24-'P&amp;L Month'!AX26-AV40</f>
        <v>14248.570689999993</v>
      </c>
      <c r="AW86" s="102">
        <f>SUM('Détail CF'!AW26:AW44)-'P&amp;L Month'!AY22-'P&amp;L Month'!AY24-'P&amp;L Month'!AY26-AW40</f>
        <v>14821.302290000021</v>
      </c>
      <c r="AX86" s="102">
        <f>SUM('Détail CF'!AX26:AX44)-'P&amp;L Month'!AZ22-'P&amp;L Month'!AZ24-'P&amp;L Month'!AZ26-AX40</f>
        <v>16374.033889999992</v>
      </c>
      <c r="AY86" s="102">
        <f>SUM('Détail CF'!AY26:AY44)-'P&amp;L Month'!BA22-'P&amp;L Month'!BA24-'P&amp;L Month'!BA26-AY40</f>
        <v>17338.76549000002</v>
      </c>
      <c r="AZ86" s="102">
        <f>SUM('Détail CF'!AZ26:AZ44)-'P&amp;L Month'!BB22-'P&amp;L Month'!BB24-'P&amp;L Month'!BB26-AZ40</f>
        <v>17387.920200000008</v>
      </c>
      <c r="BA86" s="102">
        <f>SUM('Détail CF'!BA26:BA44)-'P&amp;L Month'!BC22-'P&amp;L Month'!BC24-'P&amp;L Month'!BC26-BA40</f>
        <v>18542.967800000028</v>
      </c>
      <c r="BB86" s="102">
        <f>SUM('Détail CF'!BB26:BB44)-'P&amp;L Month'!BD22-'P&amp;L Month'!BD24-'P&amp;L Month'!BD26-BB40</f>
        <v>19250.758819999974</v>
      </c>
      <c r="BC86" s="102">
        <f>SUM('Détail CF'!BC26:BC44)-'P&amp;L Month'!BE22-'P&amp;L Month'!BE24-'P&amp;L Month'!BE26-BC40</f>
        <v>19622.335619999954</v>
      </c>
      <c r="BD86" s="102">
        <f>SUM('Détail CF'!BD26:BD44)-'P&amp;L Month'!BF22-'P&amp;L Month'!BF24-'P&amp;L Month'!BF26-BD40</f>
        <v>20652.01952999999</v>
      </c>
      <c r="BE86" s="102">
        <f>SUM('Détail CF'!BE26:BE44)-'P&amp;L Month'!BG22-'P&amp;L Month'!BG24-'P&amp;L Month'!BG26-BE40</f>
        <v>22775.169929999975</v>
      </c>
      <c r="BF86" s="102">
        <f>SUM('Détail CF'!BF26:BF44)-'P&amp;L Month'!BH22-'P&amp;L Month'!BH24-'P&amp;L Month'!BH26-BF40</f>
        <v>23804.324640000006</v>
      </c>
      <c r="BG86" s="102">
        <f>SUM('Détail CF'!BG26:BG44)-'P&amp;L Month'!BI22-'P&amp;L Month'!BI24-'P&amp;L Month'!BI26-BG40</f>
        <v>24962.214240000001</v>
      </c>
      <c r="BH86" s="102">
        <f>SUM('Détail CF'!BH26:BH44)-'P&amp;L Month'!BJ22-'P&amp;L Month'!BJ24-'P&amp;L Month'!BJ26-BH40</f>
        <v>26159.370480000012</v>
      </c>
      <c r="BI86" s="102">
        <f>SUM('Détail CF'!BI26:BI44)-'P&amp;L Month'!BK22-'P&amp;L Month'!BK24-'P&amp;L Month'!BK26-BI40</f>
        <v>27027.787679999979</v>
      </c>
      <c r="BJ86" s="102">
        <f>SUM('Détail CF'!BJ26:BJ44)-'P&amp;L Month'!BL22-'P&amp;L Month'!BL24-'P&amp;L Month'!BL26-BJ40</f>
        <v>27896.204880000005</v>
      </c>
      <c r="BK86" s="102">
        <f>SUM('Détail CF'!BK26:BK44)-'P&amp;L Month'!BM22-'P&amp;L Month'!BM24-'P&amp;L Month'!BM26-BK40</f>
        <v>28764.622079999972</v>
      </c>
      <c r="BL86" s="102">
        <f>SUM('Détail CF'!BL26:BL44)-'P&amp;L Month'!BN22-'P&amp;L Month'!BN24-'P&amp;L Month'!BN26-BL40</f>
        <v>29505.940500000026</v>
      </c>
      <c r="BM86" s="102">
        <f>SUM('Détail CF'!BM26:BM44)-'P&amp;L Month'!BO22-'P&amp;L Month'!BO24-'P&amp;L Month'!BO26-BM40</f>
        <v>30084.885300000024</v>
      </c>
      <c r="BN86" s="102">
        <f>SUM('Détail CF'!BN26:BN44)-'P&amp;L Month'!BP22-'P&amp;L Month'!BP24-'P&amp;L Month'!BP26-BN40</f>
        <v>30663.830100000021</v>
      </c>
      <c r="BO86" s="102">
        <f>SUM('Détail CF'!BO26:BO44)-'P&amp;L Month'!BQ22-'P&amp;L Month'!BQ24-'P&amp;L Month'!BQ26-BO40</f>
        <v>31242.774900000019</v>
      </c>
      <c r="BP86" s="102">
        <f>SUM('Détail CF'!BP26:BP44)-'P&amp;L Month'!BR22-'P&amp;L Month'!BR24-'P&amp;L Month'!BR26-BP40</f>
        <v>31821.719700000016</v>
      </c>
      <c r="BQ86" s="102">
        <f>SUM('Détail CF'!BQ26:BQ44)-'P&amp;L Month'!BS22-'P&amp;L Month'!BS24-'P&amp;L Month'!BS26-BQ40</f>
        <v>32400.664500000043</v>
      </c>
      <c r="BR86" s="102">
        <f>SUM('Détail CF'!BR26:BR44)-'P&amp;L Month'!BT22-'P&amp;L Month'!BT24-'P&amp;L Month'!BT26-BR40</f>
        <v>32979.609300000011</v>
      </c>
      <c r="BS86" s="102">
        <f>SUM('Détail CF'!BS26:BS44)-'P&amp;L Month'!BU22-'P&amp;L Month'!BU24-'P&amp;L Month'!BU26-BS40</f>
        <v>33558.554100000008</v>
      </c>
      <c r="BT86" s="102">
        <f>SUM('Détail CF'!BT26:BT44)-'P&amp;L Month'!BV22-'P&amp;L Month'!BV24-'P&amp;L Month'!BV26-BT40</f>
        <v>34018.352459999995</v>
      </c>
      <c r="BU86" s="102">
        <f>SUM('Détail CF'!BU26:BU44)-'P&amp;L Month'!BW22-'P&amp;L Month'!BW24-'P&amp;L Month'!BW26-BU40</f>
        <v>34481.508300000016</v>
      </c>
      <c r="BV86" s="102">
        <f>SUM('Détail CF'!BV26:BV44)-'P&amp;L Month'!BX22-'P&amp;L Month'!BX24-'P&amp;L Month'!BX26-BV40</f>
        <v>34770.980700000015</v>
      </c>
      <c r="BW86" s="102">
        <f>SUM('Détail CF'!BW26:BW44)-'P&amp;L Month'!BY22-'P&amp;L Month'!BY24-'P&amp;L Month'!BY26-BW40</f>
        <v>35060.453100000013</v>
      </c>
      <c r="BX86" s="102">
        <f>SUM('Détail CF'!BX26:BX44)-'P&amp;L Month'!BZ22-'P&amp;L Month'!BZ24-'P&amp;L Month'!BZ26-BX40</f>
        <v>35349.925500000012</v>
      </c>
      <c r="BY86" s="102">
        <f>SUM('Détail CF'!BY26:BY44)-'P&amp;L Month'!CA22-'P&amp;L Month'!CA24-'P&amp;L Month'!CA26-BY40</f>
        <v>35639.397900000011</v>
      </c>
      <c r="BZ86" s="102">
        <f>SUM('Détail CF'!BZ26:BZ44)-'P&amp;L Month'!CB22-'P&amp;L Month'!CB24-'P&amp;L Month'!CB26-BZ40</f>
        <v>35928.87030000001</v>
      </c>
      <c r="CA86" s="102">
        <f>SUM('Détail CF'!CA26:CA44)-'P&amp;L Month'!CC22-'P&amp;L Month'!CC24-'P&amp;L Month'!CC26-CA40</f>
        <v>36218.342700000008</v>
      </c>
      <c r="CB86" s="102">
        <f>SUM('Détail CF'!CB26:CB44)-'P&amp;L Month'!CD22-'P&amp;L Month'!CD24-'P&amp;L Month'!CD26-CB40</f>
        <v>36507.815100000007</v>
      </c>
      <c r="CC86" s="102">
        <f>SUM('Détail CF'!CC26:CC44)-'P&amp;L Month'!CE22-'P&amp;L Month'!CE24-'P&amp;L Month'!CE26-CC40</f>
        <v>36681.498540000001</v>
      </c>
      <c r="CD86" s="102">
        <f>SUM('Détail CF'!CD26:CD44)-'P&amp;L Month'!CF22-'P&amp;L Month'!CF24-'P&amp;L Month'!CF26-CD40</f>
        <v>36855.181979999994</v>
      </c>
      <c r="CE86" s="102">
        <f>SUM('Détail CF'!CE26:CE44)-'P&amp;L Month'!CG22-'P&amp;L Month'!CG24-'P&amp;L Month'!CG26-CE40</f>
        <v>37086.759900000005</v>
      </c>
    </row>
    <row r="87" spans="1:83">
      <c r="C87" s="93" t="s">
        <v>221</v>
      </c>
      <c r="F87" s="102">
        <f>invest!G25*$C$66</f>
        <v>0</v>
      </c>
      <c r="G87" s="102">
        <f>invest!H25*$C$66</f>
        <v>0</v>
      </c>
      <c r="H87" s="102">
        <f>invest!I25*$C$66</f>
        <v>0</v>
      </c>
      <c r="I87" s="102">
        <f>invest!J25*$C$66</f>
        <v>0</v>
      </c>
      <c r="J87" s="102">
        <f>invest!K25*$C$66</f>
        <v>0</v>
      </c>
      <c r="K87" s="102">
        <f>invest!L25*$C$66</f>
        <v>0</v>
      </c>
      <c r="L87" s="102">
        <f>invest!M25*$C$66</f>
        <v>0</v>
      </c>
      <c r="M87" s="102">
        <f>invest!N25*$C$66</f>
        <v>0</v>
      </c>
      <c r="N87" s="102">
        <f>invest!O25*$C$66</f>
        <v>0</v>
      </c>
      <c r="O87" s="102">
        <f>invest!P25*$C$66</f>
        <v>0</v>
      </c>
      <c r="P87" s="102">
        <f>invest!Q25*$C$66</f>
        <v>0</v>
      </c>
      <c r="Q87" s="102">
        <f>invest!R25*$C$66</f>
        <v>0</v>
      </c>
      <c r="R87" s="102">
        <f>invest!S25*$C$66</f>
        <v>0</v>
      </c>
      <c r="S87" s="102">
        <f>invest!T25*$C$66</f>
        <v>0</v>
      </c>
      <c r="T87" s="298">
        <v>0</v>
      </c>
      <c r="U87" s="102">
        <f>invest!V25*$C$66</f>
        <v>0</v>
      </c>
      <c r="V87" s="102">
        <f>invest!W25*$C$66</f>
        <v>0</v>
      </c>
      <c r="W87" s="102">
        <f>invest!X25*$C$66</f>
        <v>49000</v>
      </c>
      <c r="X87" s="102">
        <f>invest!Y25*$C$66</f>
        <v>0</v>
      </c>
      <c r="Y87" s="102">
        <f>invest!Z25*$C$66</f>
        <v>0</v>
      </c>
      <c r="Z87" s="102">
        <f>invest!AA25*$C$66</f>
        <v>0</v>
      </c>
      <c r="AA87" s="102">
        <f>invest!AB25*$C$66</f>
        <v>0</v>
      </c>
      <c r="AB87" s="102">
        <f>invest!AC25*$C$66</f>
        <v>0</v>
      </c>
      <c r="AC87" s="102">
        <f>invest!AD25*$C$66</f>
        <v>0</v>
      </c>
      <c r="AD87" s="102">
        <f>invest!AE25*$C$66</f>
        <v>0</v>
      </c>
      <c r="AE87" s="102">
        <f>invest!AF25*$C$66</f>
        <v>0</v>
      </c>
      <c r="AF87" s="102">
        <f>invest!AG25*$C$66</f>
        <v>1568</v>
      </c>
      <c r="AG87" s="102">
        <f>invest!AH25*$C$66</f>
        <v>0</v>
      </c>
      <c r="AH87" s="102">
        <f>invest!AI25*$C$66</f>
        <v>0</v>
      </c>
      <c r="AI87" s="102">
        <f>invest!AJ25*$C$66</f>
        <v>0</v>
      </c>
      <c r="AJ87" s="102">
        <f>invest!AK25*$C$66</f>
        <v>0</v>
      </c>
      <c r="AK87" s="102">
        <f>invest!AL25*$C$66</f>
        <v>0</v>
      </c>
      <c r="AL87" s="102">
        <f>invest!AM25*$C$66</f>
        <v>0</v>
      </c>
      <c r="AM87" s="102">
        <f>invest!AN25*$C$66</f>
        <v>0</v>
      </c>
      <c r="AN87" s="102">
        <f>invest!AO25*$C$66</f>
        <v>0</v>
      </c>
      <c r="AO87" s="102">
        <f>invest!AP25*$C$66</f>
        <v>0</v>
      </c>
      <c r="AP87" s="102">
        <f>invest!AQ25*$C$66</f>
        <v>4704</v>
      </c>
      <c r="AQ87" s="102">
        <f>invest!AR25*$C$66</f>
        <v>0</v>
      </c>
      <c r="AR87" s="102">
        <f>invest!AS25*$C$66</f>
        <v>0</v>
      </c>
      <c r="AS87" s="102">
        <f>invest!AT25*$C$66</f>
        <v>0</v>
      </c>
      <c r="AT87" s="102">
        <f>invest!AU25*$C$66</f>
        <v>0</v>
      </c>
      <c r="AU87" s="102">
        <f>invest!AV25*$C$66</f>
        <v>0</v>
      </c>
      <c r="AV87" s="102">
        <f>invest!AW25*$C$66</f>
        <v>0</v>
      </c>
      <c r="AW87" s="102">
        <f>invest!AX25*$C$66</f>
        <v>0</v>
      </c>
      <c r="AX87" s="102">
        <f>invest!AY25*$C$66</f>
        <v>0</v>
      </c>
      <c r="AY87" s="102">
        <f>invest!AZ25*$C$66</f>
        <v>0</v>
      </c>
      <c r="AZ87" s="102">
        <f>invest!BA25*$C$66</f>
        <v>0</v>
      </c>
      <c r="BA87" s="102">
        <f>invest!BB25*$C$66</f>
        <v>0</v>
      </c>
      <c r="BB87" s="102">
        <f>invest!BC25*$C$66</f>
        <v>3528</v>
      </c>
      <c r="BC87" s="102">
        <f>invest!BD25*$C$66</f>
        <v>0</v>
      </c>
      <c r="BD87" s="102">
        <f>invest!BE25*$C$66</f>
        <v>0</v>
      </c>
      <c r="BE87" s="102">
        <f>invest!BF25*$C$66</f>
        <v>0</v>
      </c>
      <c r="BF87" s="102">
        <f>invest!BG25*$C$66</f>
        <v>0</v>
      </c>
      <c r="BG87" s="102">
        <f>invest!BH25*$C$66</f>
        <v>0</v>
      </c>
      <c r="BH87" s="102">
        <f>invest!BI25*$C$66</f>
        <v>0</v>
      </c>
      <c r="BI87" s="102">
        <f>invest!BJ25*$C$66</f>
        <v>0</v>
      </c>
      <c r="BJ87" s="102">
        <f>invest!BK25*$C$66</f>
        <v>0</v>
      </c>
      <c r="BK87" s="102">
        <f>invest!BL25*$C$66</f>
        <v>0</v>
      </c>
      <c r="BL87" s="102">
        <f>invest!BM25*$C$66</f>
        <v>0</v>
      </c>
      <c r="BM87" s="102">
        <f>invest!BN25*$C$66</f>
        <v>0</v>
      </c>
      <c r="BN87" s="102">
        <f>invest!BO25*$C$66</f>
        <v>0</v>
      </c>
      <c r="BO87" s="102">
        <f>invest!BP25*$C$66</f>
        <v>0</v>
      </c>
      <c r="BP87" s="102">
        <f>invest!BQ25*$C$66</f>
        <v>0</v>
      </c>
      <c r="BQ87" s="102">
        <f>invest!BR25*$C$66</f>
        <v>0</v>
      </c>
      <c r="BR87" s="102">
        <f>invest!BS25*$C$66</f>
        <v>0</v>
      </c>
      <c r="BS87" s="102">
        <f>invest!BT25*$C$66</f>
        <v>0</v>
      </c>
      <c r="BT87" s="102">
        <f>invest!CG25*$C$66</f>
        <v>0</v>
      </c>
      <c r="BU87" s="102">
        <f>invest!CH25*$C$66</f>
        <v>0</v>
      </c>
      <c r="BV87" s="102">
        <f>invest!CI25*$C$66</f>
        <v>0</v>
      </c>
      <c r="BW87" s="102">
        <f>invest!CJ25*$C$66</f>
        <v>0</v>
      </c>
      <c r="BX87" s="102">
        <f>invest!CK25*$C$66</f>
        <v>0</v>
      </c>
      <c r="BY87" s="102">
        <f>invest!CL25*$C$66</f>
        <v>0</v>
      </c>
      <c r="BZ87" s="102">
        <f>invest!CM25*$C$66</f>
        <v>0</v>
      </c>
      <c r="CA87" s="102">
        <f>invest!CN25*$C$66</f>
        <v>0</v>
      </c>
      <c r="CB87" s="102">
        <f>invest!CO25*$C$66</f>
        <v>0</v>
      </c>
      <c r="CC87" s="102">
        <f>invest!CP25*$C$66</f>
        <v>0</v>
      </c>
      <c r="CD87" s="102">
        <f>invest!CQ25*$C$66</f>
        <v>0</v>
      </c>
      <c r="CE87" s="102">
        <f>invest!CR25*$C$66</f>
        <v>0</v>
      </c>
    </row>
    <row r="88" spans="1:83">
      <c r="B88" t="s">
        <v>223</v>
      </c>
      <c r="C88" s="93"/>
      <c r="F88" s="102">
        <f>'Détail CF'!F26+'Détail CF'!F27+'Détail CF'!F33+'Détail CF'!F35+'Détail CF'!F37+'Détail CF'!F38+'Détail CF'!F39-'P&amp;L Month'!H22-'P&amp;L Month'!H24-'P&amp;L Month'!H35-'P&amp;L Month'!H37-'P&amp;L Month'!H39-'P&amp;L Month'!H40-'P&amp;L Month'!H41</f>
        <v>0</v>
      </c>
      <c r="G88" s="102">
        <f>'Détail CF'!G26+'Détail CF'!G27+'Détail CF'!G33+'Détail CF'!G35+'Détail CF'!G37+'Détail CF'!G38+'Détail CF'!G39-'P&amp;L Month'!I22-'P&amp;L Month'!I24-'P&amp;L Month'!I35-'P&amp;L Month'!I37-'P&amp;L Month'!I39-'P&amp;L Month'!I40-'P&amp;L Month'!I41</f>
        <v>0</v>
      </c>
      <c r="H88" s="102">
        <f>'Détail CF'!H26+'Détail CF'!H27+'Détail CF'!H33+'Détail CF'!H35+'Détail CF'!H37+'Détail CF'!H38+'Détail CF'!H39-'P&amp;L Month'!J22-'P&amp;L Month'!J24-'P&amp;L Month'!J35-'P&amp;L Month'!J37-'P&amp;L Month'!J39-'P&amp;L Month'!J40-'P&amp;L Month'!J41</f>
        <v>0</v>
      </c>
      <c r="I88" s="102">
        <f>'Détail CF'!I26+'Détail CF'!I27+'Détail CF'!I33+'Détail CF'!I35+'Détail CF'!I37+'Détail CF'!I38+'Détail CF'!I39-'P&amp;L Month'!K22-'P&amp;L Month'!K24-'P&amp;L Month'!K35-'P&amp;L Month'!K37-'P&amp;L Month'!K39-'P&amp;L Month'!K40-'P&amp;L Month'!K41</f>
        <v>0</v>
      </c>
      <c r="J88" s="102">
        <f>'Détail CF'!J26+'Détail CF'!J27+'Détail CF'!J33+'Détail CF'!J35+'Détail CF'!J37+'Détail CF'!J38+'Détail CF'!J39-'P&amp;L Month'!L22-'P&amp;L Month'!L24-'P&amp;L Month'!L35-'P&amp;L Month'!L37-'P&amp;L Month'!L39-'P&amp;L Month'!L40-'P&amp;L Month'!L41</f>
        <v>0</v>
      </c>
      <c r="K88" s="102">
        <f>'Détail CF'!K26+'Détail CF'!K27+'Détail CF'!K33+'Détail CF'!K35+'Détail CF'!K37+'Détail CF'!K38+'Détail CF'!K39-'P&amp;L Month'!M22-'P&amp;L Month'!M24-'P&amp;L Month'!M35-'P&amp;L Month'!M37-'P&amp;L Month'!M39-'P&amp;L Month'!M40-'P&amp;L Month'!M41</f>
        <v>0</v>
      </c>
      <c r="L88" s="102">
        <f>'Détail CF'!L26+'Détail CF'!L27+'Détail CF'!L33+'Détail CF'!L35+'Détail CF'!L37+'Détail CF'!L38+'Détail CF'!L39-'P&amp;L Month'!N22-'P&amp;L Month'!N24-'P&amp;L Month'!N35-'P&amp;L Month'!N37-'P&amp;L Month'!N39-'P&amp;L Month'!N40-'P&amp;L Month'!N41</f>
        <v>0</v>
      </c>
      <c r="M88" s="102">
        <f>'Détail CF'!M26+'Détail CF'!M27+'Détail CF'!M33+'Détail CF'!M35+'Détail CF'!M37+'Détail CF'!M38+'Détail CF'!M39-'P&amp;L Month'!O22-'P&amp;L Month'!O24-'P&amp;L Month'!O35-'P&amp;L Month'!O37-'P&amp;L Month'!O39-'P&amp;L Month'!O40-'P&amp;L Month'!O41</f>
        <v>0</v>
      </c>
      <c r="N88" s="102">
        <f>'Détail CF'!N26+'Détail CF'!N27+'Détail CF'!N33+'Détail CF'!N35+'Détail CF'!N37+'Détail CF'!N38+'Détail CF'!N39-'P&amp;L Month'!P22-'P&amp;L Month'!P24-'P&amp;L Month'!P35-'P&amp;L Month'!P37-'P&amp;L Month'!P39-'P&amp;L Month'!P40-'P&amp;L Month'!P41</f>
        <v>0</v>
      </c>
      <c r="O88" s="102">
        <f>'Détail CF'!O26+'Détail CF'!O27+'Détail CF'!O33+'Détail CF'!O35+'Détail CF'!O37+'Détail CF'!O38+'Détail CF'!O39-'P&amp;L Month'!Q22-'P&amp;L Month'!Q24-'P&amp;L Month'!Q35-'P&amp;L Month'!Q37-'P&amp;L Month'!Q39-'P&amp;L Month'!Q40-'P&amp;L Month'!Q41</f>
        <v>0</v>
      </c>
      <c r="P88" s="102">
        <f>'Détail CF'!P26+'Détail CF'!P27+'Détail CF'!P33+'Détail CF'!P35+'Détail CF'!P37+'Détail CF'!P38+'Détail CF'!P39-'P&amp;L Month'!R22-'P&amp;L Month'!R24-'P&amp;L Month'!R35-'P&amp;L Month'!R37-'P&amp;L Month'!R39-'P&amp;L Month'!R40-'P&amp;L Month'!R41</f>
        <v>0</v>
      </c>
      <c r="Q88" s="102">
        <f>'Détail CF'!Q26+'Détail CF'!Q27+'Détail CF'!Q33+'Détail CF'!Q35+'Détail CF'!Q37+'Détail CF'!Q38+'Détail CF'!Q39-'P&amp;L Month'!S22-'P&amp;L Month'!S24-'P&amp;L Month'!S35-'P&amp;L Month'!S37-'P&amp;L Month'!S39-'P&amp;L Month'!S40-'P&amp;L Month'!S41</f>
        <v>0</v>
      </c>
      <c r="R88" s="102">
        <f>'Détail CF'!R26+'Détail CF'!R27+'Détail CF'!R33+'Détail CF'!R35+'Détail CF'!R37+'Détail CF'!R38+'Détail CF'!R39-'P&amp;L Month'!T22-'P&amp;L Month'!T24-'P&amp;L Month'!T35-'P&amp;L Month'!T37-'P&amp;L Month'!T39-'P&amp;L Month'!T40-'P&amp;L Month'!T41</f>
        <v>0</v>
      </c>
      <c r="S88" s="102">
        <f>'Détail CF'!S26+'Détail CF'!S27+'Détail CF'!S33+'Détail CF'!S35+'Détail CF'!S37+'Détail CF'!S38+'Détail CF'!S39-'P&amp;L Month'!U22-'P&amp;L Month'!U24-'P&amp;L Month'!U35-'P&amp;L Month'!U37-'P&amp;L Month'!U39-'P&amp;L Month'!U40-'P&amp;L Month'!U41</f>
        <v>0</v>
      </c>
      <c r="T88" s="102">
        <f>'Détail CF'!T26+'Détail CF'!T27+'Détail CF'!T33+'Détail CF'!T35+'Détail CF'!T37+'Détail CF'!T38+'Détail CF'!T39-'P&amp;L Month'!V22-'P&amp;L Month'!V24-'P&amp;L Month'!V35-'P&amp;L Month'!V37-'P&amp;L Month'!V39-'P&amp;L Month'!V40-'P&amp;L Month'!V41</f>
        <v>0</v>
      </c>
      <c r="U88" s="102">
        <f>'Détail CF'!U26+'Détail CF'!U27+'Détail CF'!U33+'Détail CF'!U35+'Détail CF'!U37+'Détail CF'!U38+'Détail CF'!U39-'P&amp;L Month'!W22-'P&amp;L Month'!W24-'P&amp;L Month'!W35-'P&amp;L Month'!W37-'P&amp;L Month'!W39-'P&amp;L Month'!W40-'P&amp;L Month'!W41</f>
        <v>0</v>
      </c>
      <c r="V88" s="102">
        <f>'Détail CF'!V26+'Détail CF'!V27+'Détail CF'!V33+'Détail CF'!V35+'Détail CF'!V37+'Détail CF'!V38+'Détail CF'!V39-'P&amp;L Month'!X22-'P&amp;L Month'!X24-'P&amp;L Month'!X35-'P&amp;L Month'!X37-'P&amp;L Month'!X39-'P&amp;L Month'!X40-'P&amp;L Month'!X41</f>
        <v>0</v>
      </c>
      <c r="W88" s="102">
        <f>'Détail CF'!W26+'Détail CF'!W27+'Détail CF'!W33+'Détail CF'!W35+'Détail CF'!W37+'Détail CF'!W38+'Détail CF'!W39-'P&amp;L Month'!Y22-'P&amp;L Month'!Y24-'P&amp;L Month'!Y35-'P&amp;L Month'!Y37-'P&amp;L Month'!Y39-'P&amp;L Month'!Y40-'P&amp;L Month'!Y41</f>
        <v>0</v>
      </c>
      <c r="X88" s="102">
        <f>'Détail CF'!X26+'Détail CF'!X27+'Détail CF'!X33+'Détail CF'!X35+'Détail CF'!X37+'Détail CF'!X38+'Détail CF'!X39-'P&amp;L Month'!Z22-'P&amp;L Month'!Z24-'P&amp;L Month'!Z35-'P&amp;L Month'!Z37-'P&amp;L Month'!Z39-'P&amp;L Month'!Z40-'P&amp;L Month'!Z41</f>
        <v>10.584000000000003</v>
      </c>
      <c r="Y88" s="102">
        <f>'Détail CF'!Y26+'Détail CF'!Y27+'Détail CF'!Y33+'Détail CF'!Y35+'Détail CF'!Y37+'Détail CF'!Y38+'Détail CF'!Y39-'P&amp;L Month'!AA22-'P&amp;L Month'!AA24-'P&amp;L Month'!AA35-'P&amp;L Month'!AA37-'P&amp;L Month'!AA39-'P&amp;L Month'!AA40-'P&amp;L Month'!AA41</f>
        <v>10.584000000000003</v>
      </c>
      <c r="Z88" s="102">
        <f>'Détail CF'!Z26+'Détail CF'!Z27+'Détail CF'!Z33+'Détail CF'!Z35+'Détail CF'!Z37+'Détail CF'!Z38+'Détail CF'!Z39-'P&amp;L Month'!AB22-'P&amp;L Month'!AB24-'P&amp;L Month'!AB35-'P&amp;L Month'!AB37-'P&amp;L Month'!AB39-'P&amp;L Month'!AB40-'P&amp;L Month'!AB41</f>
        <v>10.584000000000003</v>
      </c>
      <c r="AA88" s="102">
        <f>'Détail CF'!AA26+'Détail CF'!AA27+'Détail CF'!AA33+'Détail CF'!AA35+'Détail CF'!AA37+'Détail CF'!AA38+'Détail CF'!AA39-'P&amp;L Month'!AC22-'P&amp;L Month'!AC24-'P&amp;L Month'!AC35-'P&amp;L Month'!AC37-'P&amp;L Month'!AC39-'P&amp;L Month'!AC40-'P&amp;L Month'!AC41</f>
        <v>16.277799999999985</v>
      </c>
      <c r="AB88" s="102">
        <f>'Détail CF'!AB26+'Détail CF'!AB27+'Détail CF'!AB33+'Détail CF'!AB35+'Détail CF'!AB37+'Détail CF'!AB38+'Détail CF'!AB39-'P&amp;L Month'!AD22-'P&amp;L Month'!AD24-'P&amp;L Month'!AD35-'P&amp;L Month'!AD37-'P&amp;L Month'!AD39-'P&amp;L Month'!AD40-'P&amp;L Month'!AD41</f>
        <v>16.277799999999985</v>
      </c>
      <c r="AC88" s="102">
        <f>'Détail CF'!AC26+'Détail CF'!AC27+'Détail CF'!AC33+'Détail CF'!AC35+'Détail CF'!AC37+'Détail CF'!AC38+'Détail CF'!AC39-'P&amp;L Month'!AE22-'P&amp;L Month'!AE24-'P&amp;L Month'!AE35-'P&amp;L Month'!AE37-'P&amp;L Month'!AE39-'P&amp;L Month'!AE40-'P&amp;L Month'!AE41</f>
        <v>16.277799999999985</v>
      </c>
      <c r="AD88" s="102">
        <f>'Détail CF'!AD26+'Détail CF'!AD27+'Détail CF'!AD33+'Détail CF'!AD35+'Détail CF'!AD37+'Détail CF'!AD38+'Détail CF'!AD39-'P&amp;L Month'!AF22-'P&amp;L Month'!AF24-'P&amp;L Month'!AF35-'P&amp;L Month'!AF37-'P&amp;L Month'!AF39-'P&amp;L Month'!AF40-'P&amp;L Month'!AF41</f>
        <v>24.411800000000014</v>
      </c>
      <c r="AE88" s="102">
        <f>'Détail CF'!AE26+'Détail CF'!AE27+'Détail CF'!AE33+'Détail CF'!AE35+'Détail CF'!AE37+'Détail CF'!AE38+'Détail CF'!AE39-'P&amp;L Month'!AG22-'P&amp;L Month'!AG24-'P&amp;L Month'!AG35-'P&amp;L Month'!AG37-'P&amp;L Month'!AG39-'P&amp;L Month'!AG40-'P&amp;L Month'!AG41</f>
        <v>14.650999999999982</v>
      </c>
      <c r="AF88" s="102">
        <f>'Détail CF'!AF26+'Détail CF'!AF27+'Détail CF'!AF33+'Détail CF'!AF35+'Détail CF'!AF37+'Détail CF'!AF38+'Détail CF'!AF39-'P&amp;L Month'!AH22-'P&amp;L Month'!AH24-'P&amp;L Month'!AH35-'P&amp;L Month'!AH37-'P&amp;L Month'!AH39-'P&amp;L Month'!AH40-'P&amp;L Month'!AH41</f>
        <v>24.009999999999991</v>
      </c>
      <c r="AG88" s="102">
        <f>'Détail CF'!AG26+'Détail CF'!AG27+'Détail CF'!AG33+'Détail CF'!AG35+'Détail CF'!AG37+'Détail CF'!AG38+'Détail CF'!AG39-'P&amp;L Month'!AI22-'P&amp;L Month'!AI24-'P&amp;L Month'!AI35-'P&amp;L Month'!AI37-'P&amp;L Month'!AI39-'P&amp;L Month'!AI40-'P&amp;L Month'!AI41</f>
        <v>33.368999999999971</v>
      </c>
      <c r="AH88" s="102">
        <f>'Détail CF'!AH26+'Détail CF'!AH27+'Détail CF'!AH33+'Détail CF'!AH35+'Détail CF'!AH37+'Détail CF'!AH38+'Détail CF'!AH39-'P&amp;L Month'!AJ22-'P&amp;L Month'!AJ24-'P&amp;L Month'!AJ35-'P&amp;L Month'!AJ37-'P&amp;L Month'!AJ39-'P&amp;L Month'!AJ40-'P&amp;L Month'!AJ41</f>
        <v>33.368999999999971</v>
      </c>
      <c r="AI88" s="102">
        <f>'Détail CF'!AI26+'Détail CF'!AI27+'Détail CF'!AI33+'Détail CF'!AI35+'Détail CF'!AI37+'Détail CF'!AI38+'Détail CF'!AI39-'P&amp;L Month'!AK22-'P&amp;L Month'!AK24-'P&amp;L Month'!AK35-'P&amp;L Month'!AK37-'P&amp;L Month'!AK39-'P&amp;L Month'!AK40-'P&amp;L Month'!AK41</f>
        <v>42.728000000000009</v>
      </c>
      <c r="AJ88" s="102">
        <f>'Détail CF'!AJ26+'Détail CF'!AJ27+'Détail CF'!AJ33+'Détail CF'!AJ35+'Détail CF'!AJ37+'Détail CF'!AJ38+'Détail CF'!AJ39-'P&amp;L Month'!AL22-'P&amp;L Month'!AL24-'P&amp;L Month'!AL35-'P&amp;L Month'!AL37-'P&amp;L Month'!AL39-'P&amp;L Month'!AL40-'P&amp;L Month'!AL41</f>
        <v>61.44599999999997</v>
      </c>
      <c r="AK88" s="102">
        <f>'Détail CF'!AK26+'Détail CF'!AK27+'Détail CF'!AK33+'Détail CF'!AK35+'Détail CF'!AK37+'Détail CF'!AK38+'Détail CF'!AK39-'P&amp;L Month'!AM22-'P&amp;L Month'!AM24-'P&amp;L Month'!AM35-'P&amp;L Month'!AM37-'P&amp;L Month'!AM39-'P&amp;L Month'!AM40-'P&amp;L Month'!AM41</f>
        <v>70.80499999999995</v>
      </c>
      <c r="AL88" s="102">
        <f>'Détail CF'!AL26+'Détail CF'!AL27+'Détail CF'!AL33+'Détail CF'!AL35+'Détail CF'!AL37+'Détail CF'!AL38+'Détail CF'!AL39-'P&amp;L Month'!AN22-'P&amp;L Month'!AN24-'P&amp;L Month'!AN35-'P&amp;L Month'!AN37-'P&amp;L Month'!AN39-'P&amp;L Month'!AN40-'P&amp;L Month'!AN41</f>
        <v>89.523000000000025</v>
      </c>
      <c r="AM88" s="102">
        <f>'Détail CF'!AM26+'Détail CF'!AM27+'Détail CF'!AM33+'Détail CF'!AM35+'Détail CF'!AM37+'Détail CF'!AM38+'Détail CF'!AM39-'P&amp;L Month'!AO22-'P&amp;L Month'!AO24-'P&amp;L Month'!AO35-'P&amp;L Month'!AO37-'P&amp;L Month'!AO39-'P&amp;L Month'!AO40-'P&amp;L Month'!AO41</f>
        <v>89.523000000000025</v>
      </c>
      <c r="AN88" s="102">
        <f>'Détail CF'!AN26+'Détail CF'!AN27+'Détail CF'!AN33+'Détail CF'!AN35+'Détail CF'!AN37+'Détail CF'!AN38+'Détail CF'!AN39-'P&amp;L Month'!AP22-'P&amp;L Month'!AP24-'P&amp;L Month'!AP35-'P&amp;L Month'!AP37-'P&amp;L Month'!AP39-'P&amp;L Month'!AP40-'P&amp;L Month'!AP41</f>
        <v>98.881999999999948</v>
      </c>
      <c r="AO88" s="102">
        <f>'Détail CF'!AO26+'Détail CF'!AO27+'Détail CF'!AO33+'Détail CF'!AO35+'Détail CF'!AO37+'Détail CF'!AO38+'Détail CF'!AO39-'P&amp;L Month'!AQ22-'P&amp;L Month'!AQ24-'P&amp;L Month'!AQ35-'P&amp;L Month'!AQ37-'P&amp;L Month'!AQ39-'P&amp;L Month'!AQ40-'P&amp;L Month'!AQ41</f>
        <v>117.60000000000002</v>
      </c>
      <c r="AP88" s="102">
        <f>'Détail CF'!AP26+'Détail CF'!AP27+'Détail CF'!AP33+'Détail CF'!AP35+'Détail CF'!AP37+'Détail CF'!AP38+'Détail CF'!AP39-'P&amp;L Month'!AR22-'P&amp;L Month'!AR24-'P&amp;L Month'!AR35-'P&amp;L Month'!AR37-'P&amp;L Month'!AR39-'P&amp;L Month'!AR40-'P&amp;L Month'!AR41</f>
        <v>126.95899999999995</v>
      </c>
      <c r="AQ88" s="102">
        <f>'Détail CF'!AQ26+'Détail CF'!AQ27+'Détail CF'!AQ33+'Détail CF'!AQ35+'Détail CF'!AQ37+'Détail CF'!AQ38+'Détail CF'!AQ39-'P&amp;L Month'!AS22-'P&amp;L Month'!AS24-'P&amp;L Month'!AS35-'P&amp;L Month'!AS37-'P&amp;L Month'!AS39-'P&amp;L Month'!AS40-'P&amp;L Month'!AS41</f>
        <v>126.95899999999995</v>
      </c>
      <c r="AR88" s="102">
        <f>'Détail CF'!AR26+'Détail CF'!AR27+'Détail CF'!AR33+'Détail CF'!AR35+'Détail CF'!AR37+'Détail CF'!AR38+'Détail CF'!AR39-'P&amp;L Month'!AT22-'P&amp;L Month'!AT24-'P&amp;L Month'!AT35-'P&amp;L Month'!AT37-'P&amp;L Month'!AT39-'P&amp;L Month'!AT40-'P&amp;L Month'!AT41</f>
        <v>155.03599999999983</v>
      </c>
      <c r="AS88" s="102">
        <f>'Détail CF'!AS26+'Détail CF'!AS27+'Détail CF'!AS33+'Détail CF'!AS35+'Détail CF'!AS37+'Détail CF'!AS38+'Détail CF'!AS39-'P&amp;L Month'!AU22-'P&amp;L Month'!AU24-'P&amp;L Month'!AU35-'P&amp;L Month'!AU37-'P&amp;L Month'!AU39-'P&amp;L Month'!AU40-'P&amp;L Month'!AU41</f>
        <v>155.03599999999983</v>
      </c>
      <c r="AT88" s="102">
        <f>'Détail CF'!AT26+'Détail CF'!AT27+'Détail CF'!AT33+'Détail CF'!AT35+'Détail CF'!AT37+'Détail CF'!AT38+'Détail CF'!AT39-'P&amp;L Month'!AV22-'P&amp;L Month'!AV24-'P&amp;L Month'!AV35-'P&amp;L Month'!AV37-'P&amp;L Month'!AV39-'P&amp;L Month'!AV40-'P&amp;L Month'!AV41</f>
        <v>155.03599999999983</v>
      </c>
      <c r="AU88" s="102">
        <f>'Détail CF'!AU26+'Détail CF'!AU27+'Détail CF'!AU33+'Détail CF'!AU35+'Détail CF'!AU37+'Détail CF'!AU38+'Détail CF'!AU39-'P&amp;L Month'!AW22-'P&amp;L Month'!AW24-'P&amp;L Month'!AW35-'P&amp;L Month'!AW37-'P&amp;L Month'!AW39-'P&amp;L Month'!AW40-'P&amp;L Month'!AW41</f>
        <v>155.03599999999983</v>
      </c>
      <c r="AV88" s="102">
        <f>'Détail CF'!AV26+'Détail CF'!AV27+'Détail CF'!AV33+'Détail CF'!AV35+'Détail CF'!AV37+'Détail CF'!AV38+'Détail CF'!AV39-'P&amp;L Month'!AX22-'P&amp;L Month'!AX24-'P&amp;L Month'!AX35-'P&amp;L Month'!AX37-'P&amp;L Month'!AX39-'P&amp;L Month'!AX40-'P&amp;L Month'!AX41</f>
        <v>185.43119000000002</v>
      </c>
      <c r="AW88" s="102">
        <f>'Détail CF'!AW26+'Détail CF'!AW27+'Détail CF'!AW33+'Détail CF'!AW35+'Détail CF'!AW37+'Détail CF'!AW38+'Détail CF'!AW39-'P&amp;L Month'!AY22-'P&amp;L Month'!AY24-'P&amp;L Month'!AY35-'P&amp;L Month'!AY37-'P&amp;L Month'!AY39-'P&amp;L Month'!AY40-'P&amp;L Month'!AY41</f>
        <v>185.43119000000002</v>
      </c>
      <c r="AX88" s="102">
        <f>'Détail CF'!AX26+'Détail CF'!AX27+'Détail CF'!AX33+'Détail CF'!AX35+'Détail CF'!AX37+'Détail CF'!AX38+'Détail CF'!AX39-'P&amp;L Month'!AZ22-'P&amp;L Month'!AZ24-'P&amp;L Month'!AZ35-'P&amp;L Month'!AZ37-'P&amp;L Month'!AZ39-'P&amp;L Month'!AZ40-'P&amp;L Month'!AZ41</f>
        <v>185.43119000000002</v>
      </c>
      <c r="AY88" s="102">
        <f>'Détail CF'!AY26+'Détail CF'!AY27+'Détail CF'!AY33+'Détail CF'!AY35+'Détail CF'!AY37+'Détail CF'!AY38+'Détail CF'!AY39-'P&amp;L Month'!BA22-'P&amp;L Month'!BA24-'P&amp;L Month'!BA35-'P&amp;L Month'!BA37-'P&amp;L Month'!BA39-'P&amp;L Month'!BA40-'P&amp;L Month'!BA41</f>
        <v>185.43119000000002</v>
      </c>
      <c r="AZ88" s="102">
        <f>'Détail CF'!AZ26+'Détail CF'!AZ27+'Détail CF'!AZ33+'Détail CF'!AZ35+'Détail CF'!AZ37+'Détail CF'!AZ38+'Détail CF'!AZ39-'P&amp;L Month'!BB22-'P&amp;L Month'!BB24-'P&amp;L Month'!BB35-'P&amp;L Month'!BB37-'P&amp;L Month'!BB39-'P&amp;L Month'!BB40-'P&amp;L Month'!BB41</f>
        <v>194.91219999999998</v>
      </c>
      <c r="BA88" s="102">
        <f>'Détail CF'!BA26+'Détail CF'!BA27+'Détail CF'!BA33+'Détail CF'!BA35+'Détail CF'!BA37+'Détail CF'!BA38+'Détail CF'!BA39-'P&amp;L Month'!BC22-'P&amp;L Month'!BC24-'P&amp;L Month'!BC35-'P&amp;L Month'!BC37-'P&amp;L Month'!BC39-'P&amp;L Month'!BC40-'P&amp;L Month'!BC41</f>
        <v>194.91219999999998</v>
      </c>
      <c r="BB88" s="102">
        <f>'Détail CF'!BB26+'Détail CF'!BB27+'Détail CF'!BB33+'Détail CF'!BB35+'Détail CF'!BB37+'Détail CF'!BB38+'Détail CF'!BB39-'P&amp;L Month'!BD22-'P&amp;L Month'!BD24-'P&amp;L Month'!BD35-'P&amp;L Month'!BD37-'P&amp;L Month'!BD39-'P&amp;L Month'!BD40-'P&amp;L Month'!BD41</f>
        <v>213.87422000000004</v>
      </c>
      <c r="BC88" s="102">
        <f>'Détail CF'!BC26+'Détail CF'!BC27+'Détail CF'!BC33+'Détail CF'!BC35+'Détail CF'!BC37+'Détail CF'!BC38+'Détail CF'!BC39-'P&amp;L Month'!BE22-'P&amp;L Month'!BE24-'P&amp;L Month'!BE35-'P&amp;L Month'!BE37-'P&amp;L Month'!BE39-'P&amp;L Month'!BE40-'P&amp;L Month'!BE41</f>
        <v>213.87422000000004</v>
      </c>
      <c r="BD88" s="102">
        <f>'Détail CF'!BD26+'Détail CF'!BD27+'Détail CF'!BD33+'Détail CF'!BD35+'Détail CF'!BD37+'Détail CF'!BD38+'Détail CF'!BD39-'P&amp;L Month'!BF22-'P&amp;L Month'!BF24-'P&amp;L Month'!BF35-'P&amp;L Month'!BF37-'P&amp;L Month'!BF39-'P&amp;L Month'!BF40-'P&amp;L Month'!BF41</f>
        <v>223.35522999999978</v>
      </c>
      <c r="BE88" s="102">
        <f>'Détail CF'!BE26+'Détail CF'!BE27+'Détail CF'!BE33+'Détail CF'!BE35+'Détail CF'!BE37+'Détail CF'!BE38+'Détail CF'!BE39-'P&amp;L Month'!BG22-'P&amp;L Month'!BG24-'P&amp;L Month'!BG35-'P&amp;L Month'!BG37-'P&amp;L Month'!BG39-'P&amp;L Month'!BG40-'P&amp;L Month'!BG41</f>
        <v>223.35522999999978</v>
      </c>
      <c r="BF88" s="102">
        <f>'Détail CF'!BF26+'Détail CF'!BF27+'Détail CF'!BF33+'Détail CF'!BF35+'Détail CF'!BF37+'Détail CF'!BF38+'Détail CF'!BF39-'P&amp;L Month'!BH22-'P&amp;L Month'!BH24-'P&amp;L Month'!BH35-'P&amp;L Month'!BH37-'P&amp;L Month'!BH39-'P&amp;L Month'!BH40-'P&amp;L Month'!BH41</f>
        <v>232.83623999999986</v>
      </c>
      <c r="BG88" s="102">
        <f>'Détail CF'!BG26+'Détail CF'!BG27+'Détail CF'!BG33+'Détail CF'!BG35+'Détail CF'!BG37+'Détail CF'!BG38+'Détail CF'!BG39-'P&amp;L Month'!BI22-'P&amp;L Month'!BI24-'P&amp;L Month'!BI35-'P&amp;L Month'!BI37-'P&amp;L Month'!BI39-'P&amp;L Month'!BI40-'P&amp;L Month'!BI41</f>
        <v>232.83623999999986</v>
      </c>
      <c r="BH88" s="102">
        <f>'Détail CF'!BH26+'Détail CF'!BH27+'Détail CF'!BH33+'Détail CF'!BH35+'Détail CF'!BH37+'Détail CF'!BH38+'Détail CF'!BH39-'P&amp;L Month'!BJ22-'P&amp;L Month'!BJ24-'P&amp;L Month'!BJ35-'P&amp;L Month'!BJ37-'P&amp;L Month'!BJ39-'P&amp;L Month'!BJ40-'P&amp;L Month'!BJ41</f>
        <v>235.76447999999993</v>
      </c>
      <c r="BI88" s="102">
        <f>'Détail CF'!BI26+'Détail CF'!BI27+'Détail CF'!BI33+'Détail CF'!BI35+'Détail CF'!BI37+'Détail CF'!BI38+'Détail CF'!BI39-'P&amp;L Month'!BK22-'P&amp;L Month'!BK24-'P&amp;L Month'!BK35-'P&amp;L Month'!BK37-'P&amp;L Month'!BK39-'P&amp;L Month'!BK40-'P&amp;L Month'!BK41</f>
        <v>235.76447999999993</v>
      </c>
      <c r="BJ88" s="102">
        <f>'Détail CF'!BJ26+'Détail CF'!BJ27+'Détail CF'!BJ33+'Détail CF'!BJ35+'Détail CF'!BJ37+'Détail CF'!BJ38+'Détail CF'!BJ39-'P&amp;L Month'!BL22-'P&amp;L Month'!BL24-'P&amp;L Month'!BL35-'P&amp;L Month'!BL37-'P&amp;L Month'!BL39-'P&amp;L Month'!BL40-'P&amp;L Month'!BL41</f>
        <v>235.76447999999993</v>
      </c>
      <c r="BK88" s="102">
        <f>'Détail CF'!BK26+'Détail CF'!BK27+'Détail CF'!BK33+'Détail CF'!BK35+'Détail CF'!BK37+'Détail CF'!BK38+'Détail CF'!BK39-'P&amp;L Month'!BM22-'P&amp;L Month'!BM24-'P&amp;L Month'!BM35-'P&amp;L Month'!BM37-'P&amp;L Month'!BM39-'P&amp;L Month'!BM40-'P&amp;L Month'!BM41</f>
        <v>235.76447999999993</v>
      </c>
      <c r="BL88" s="102">
        <f>'Détail CF'!BL26+'Détail CF'!BL27+'Détail CF'!BL33+'Détail CF'!BL35+'Détail CF'!BL37+'Détail CF'!BL38+'Détail CF'!BL39-'P&amp;L Month'!BN22-'P&amp;L Month'!BN24-'P&amp;L Month'!BN35-'P&amp;L Month'!BN37-'P&amp;L Month'!BN39-'P&amp;L Month'!BN40-'P&amp;L Month'!BN41</f>
        <v>245.36750000000006</v>
      </c>
      <c r="BM88" s="102">
        <f>'Détail CF'!BM26+'Détail CF'!BM27+'Détail CF'!BM33+'Détail CF'!BM35+'Détail CF'!BM37+'Détail CF'!BM38+'Détail CF'!BM39-'P&amp;L Month'!BO22-'P&amp;L Month'!BO24-'P&amp;L Month'!BO35-'P&amp;L Month'!BO37-'P&amp;L Month'!BO39-'P&amp;L Month'!BO40-'P&amp;L Month'!BO41</f>
        <v>245.36750000000006</v>
      </c>
      <c r="BN88" s="102">
        <f>'Détail CF'!BN26+'Détail CF'!BN27+'Détail CF'!BN33+'Détail CF'!BN35+'Détail CF'!BN37+'Détail CF'!BN38+'Détail CF'!BN39-'P&amp;L Month'!BP22-'P&amp;L Month'!BP24-'P&amp;L Month'!BP35-'P&amp;L Month'!BP37-'P&amp;L Month'!BP39-'P&amp;L Month'!BP40-'P&amp;L Month'!BP41</f>
        <v>245.36750000000006</v>
      </c>
      <c r="BO88" s="102">
        <f>'Détail CF'!BO26+'Détail CF'!BO27+'Détail CF'!BO33+'Détail CF'!BO35+'Détail CF'!BO37+'Détail CF'!BO38+'Détail CF'!BO39-'P&amp;L Month'!BQ22-'P&amp;L Month'!BQ24-'P&amp;L Month'!BQ35-'P&amp;L Month'!BQ37-'P&amp;L Month'!BQ39-'P&amp;L Month'!BQ40-'P&amp;L Month'!BQ41</f>
        <v>245.36750000000006</v>
      </c>
      <c r="BP88" s="102">
        <f>'Détail CF'!BP26+'Détail CF'!BP27+'Détail CF'!BP33+'Détail CF'!BP35+'Détail CF'!BP37+'Détail CF'!BP38+'Détail CF'!BP39-'P&amp;L Month'!BR22-'P&amp;L Month'!BR24-'P&amp;L Month'!BR35-'P&amp;L Month'!BR37-'P&amp;L Month'!BR39-'P&amp;L Month'!BR40-'P&amp;L Month'!BR41</f>
        <v>245.36750000000006</v>
      </c>
      <c r="BQ88" s="102">
        <f>'Détail CF'!BQ26+'Détail CF'!BQ27+'Détail CF'!BQ33+'Détail CF'!BQ35+'Détail CF'!BQ37+'Détail CF'!BQ38+'Détail CF'!BQ39-'P&amp;L Month'!BS22-'P&amp;L Month'!BS24-'P&amp;L Month'!BS35-'P&amp;L Month'!BS37-'P&amp;L Month'!BS39-'P&amp;L Month'!BS40-'P&amp;L Month'!BS41</f>
        <v>245.36750000000006</v>
      </c>
      <c r="BR88" s="102">
        <f>'Détail CF'!BR26+'Détail CF'!BR27+'Détail CF'!BR33+'Détail CF'!BR35+'Détail CF'!BR37+'Détail CF'!BR38+'Détail CF'!BR39-'P&amp;L Month'!BT22-'P&amp;L Month'!BT24-'P&amp;L Month'!BT35-'P&amp;L Month'!BT37-'P&amp;L Month'!BT39-'P&amp;L Month'!BT40-'P&amp;L Month'!BT41</f>
        <v>245.36750000000006</v>
      </c>
      <c r="BS88" s="102">
        <f>'Détail CF'!BS26+'Détail CF'!BS27+'Détail CF'!BS33+'Détail CF'!BS35+'Détail CF'!BS37+'Détail CF'!BS38+'Détail CF'!BS39-'P&amp;L Month'!BU22-'P&amp;L Month'!BU24-'P&amp;L Month'!BU35-'P&amp;L Month'!BU37-'P&amp;L Month'!BU39-'P&amp;L Month'!BU40-'P&amp;L Month'!BU41</f>
        <v>245.36750000000006</v>
      </c>
      <c r="BT88" s="102">
        <f>'Détail CF'!BT26+'Détail CF'!BT27+'Détail CF'!BT33+'Détail CF'!BT35+'Détail CF'!BT37+'Détail CF'!BT38+'Détail CF'!BT39-'P&amp;L Month'!BV22-'P&amp;L Month'!BV24-'P&amp;L Month'!BV35-'P&amp;L Month'!BV37-'P&amp;L Month'!BV39-'P&amp;L Month'!BV40-'P&amp;L Month'!BV41</f>
        <v>249.43450000000007</v>
      </c>
      <c r="BU88" s="102">
        <f>'Détail CF'!BU26+'Détail CF'!BU27+'Détail CF'!BU33+'Détail CF'!BU35+'Détail CF'!BU37+'Détail CF'!BU38+'Détail CF'!BU39-'P&amp;L Month'!BW22-'P&amp;L Month'!BW24-'P&amp;L Month'!BW35-'P&amp;L Month'!BW37-'P&amp;L Month'!BW39-'P&amp;L Month'!BW40-'P&amp;L Month'!BW41</f>
        <v>249.43450000000007</v>
      </c>
      <c r="BV88" s="102">
        <f>'Détail CF'!BV26+'Détail CF'!BV27+'Détail CF'!BV33+'Détail CF'!BV35+'Détail CF'!BV37+'Détail CF'!BV38+'Détail CF'!BV39-'P&amp;L Month'!BX22-'P&amp;L Month'!BX24-'P&amp;L Month'!BX35-'P&amp;L Month'!BX37-'P&amp;L Month'!BX39-'P&amp;L Month'!BX40-'P&amp;L Month'!BX41</f>
        <v>249.43450000000007</v>
      </c>
      <c r="BW88" s="102">
        <f>'Détail CF'!BW26+'Détail CF'!BW27+'Détail CF'!BW33+'Détail CF'!BW35+'Détail CF'!BW37+'Détail CF'!BW38+'Détail CF'!BW39-'P&amp;L Month'!BY22-'P&amp;L Month'!BY24-'P&amp;L Month'!BY35-'P&amp;L Month'!BY37-'P&amp;L Month'!BY39-'P&amp;L Month'!BY40-'P&amp;L Month'!BY41</f>
        <v>249.43450000000007</v>
      </c>
      <c r="BX88" s="102">
        <f>'Détail CF'!BX26+'Détail CF'!BX27+'Détail CF'!BX33+'Détail CF'!BX35+'Détail CF'!BX37+'Détail CF'!BX38+'Détail CF'!BX39-'P&amp;L Month'!BZ22-'P&amp;L Month'!BZ24-'P&amp;L Month'!BZ35-'P&amp;L Month'!BZ37-'P&amp;L Month'!BZ39-'P&amp;L Month'!BZ40-'P&amp;L Month'!BZ41</f>
        <v>249.43450000000007</v>
      </c>
      <c r="BY88" s="102">
        <f>'Détail CF'!BY26+'Détail CF'!BY27+'Détail CF'!BY33+'Détail CF'!BY35+'Détail CF'!BY37+'Détail CF'!BY38+'Détail CF'!BY39-'P&amp;L Month'!CA22-'P&amp;L Month'!CA24-'P&amp;L Month'!CA35-'P&amp;L Month'!CA37-'P&amp;L Month'!CA39-'P&amp;L Month'!CA40-'P&amp;L Month'!CA41</f>
        <v>249.43450000000007</v>
      </c>
      <c r="BZ88" s="102">
        <f>'Détail CF'!BZ26+'Détail CF'!BZ27+'Détail CF'!BZ33+'Détail CF'!BZ35+'Détail CF'!BZ37+'Détail CF'!BZ38+'Détail CF'!BZ39-'P&amp;L Month'!CB22-'P&amp;L Month'!CB24-'P&amp;L Month'!CB35-'P&amp;L Month'!CB37-'P&amp;L Month'!CB39-'P&amp;L Month'!CB40-'P&amp;L Month'!CB41</f>
        <v>249.43450000000007</v>
      </c>
      <c r="CA88" s="102">
        <f>'Détail CF'!CA26+'Détail CF'!CA27+'Détail CF'!CA33+'Détail CF'!CA35+'Détail CF'!CA37+'Détail CF'!CA38+'Détail CF'!CA39-'P&amp;L Month'!CC22-'P&amp;L Month'!CC24-'P&amp;L Month'!CC35-'P&amp;L Month'!CC37-'P&amp;L Month'!CC39-'P&amp;L Month'!CC40-'P&amp;L Month'!CC41</f>
        <v>249.43450000000007</v>
      </c>
      <c r="CB88" s="102">
        <f>'Détail CF'!CB26+'Détail CF'!CB27+'Détail CF'!CB33+'Détail CF'!CB35+'Détail CF'!CB37+'Détail CF'!CB38+'Détail CF'!CB39-'P&amp;L Month'!CD22-'P&amp;L Month'!CD24-'P&amp;L Month'!CD35-'P&amp;L Month'!CD37-'P&amp;L Month'!CD39-'P&amp;L Month'!CD40-'P&amp;L Month'!CD41</f>
        <v>249.43450000000007</v>
      </c>
      <c r="CC88" s="102">
        <f>'Détail CF'!CC26+'Détail CF'!CC27+'Détail CF'!CC33+'Détail CF'!CC35+'Détail CF'!CC37+'Détail CF'!CC38+'Détail CF'!CC39-'P&amp;L Month'!CE22-'P&amp;L Month'!CE24-'P&amp;L Month'!CE35-'P&amp;L Month'!CE37-'P&amp;L Month'!CE39-'P&amp;L Month'!CE40-'P&amp;L Month'!CE41</f>
        <v>249.43450000000007</v>
      </c>
      <c r="CD88" s="102">
        <f>'Détail CF'!CD26+'Détail CF'!CD27+'Détail CF'!CD33+'Détail CF'!CD35+'Détail CF'!CD37+'Détail CF'!CD38+'Détail CF'!CD39-'P&amp;L Month'!CF22-'P&amp;L Month'!CF24-'P&amp;L Month'!CF35-'P&amp;L Month'!CF37-'P&amp;L Month'!CF39-'P&amp;L Month'!CF40-'P&amp;L Month'!CF41</f>
        <v>249.43450000000007</v>
      </c>
      <c r="CE88" s="102">
        <f>'Détail CF'!CE26+'Détail CF'!CE27+'Détail CF'!CE33+'Détail CF'!CE35+'Détail CF'!CE37+'Détail CF'!CE38+'Détail CF'!CE39-'P&amp;L Month'!CG22-'P&amp;L Month'!CG24-'P&amp;L Month'!CG35-'P&amp;L Month'!CG37-'P&amp;L Month'!CG39-'P&amp;L Month'!CG40-'P&amp;L Month'!CG41</f>
        <v>249.43450000000007</v>
      </c>
    </row>
    <row r="89" spans="1:83">
      <c r="B89" s="57" t="s">
        <v>224</v>
      </c>
      <c r="C89" s="93"/>
      <c r="F89" s="102">
        <f t="shared" ref="F89:AK89" si="30">F86-F88</f>
        <v>0</v>
      </c>
      <c r="G89" s="102">
        <f t="shared" si="30"/>
        <v>0</v>
      </c>
      <c r="H89" s="102">
        <f t="shared" si="30"/>
        <v>0</v>
      </c>
      <c r="I89" s="102">
        <f t="shared" si="30"/>
        <v>0</v>
      </c>
      <c r="J89" s="102">
        <f t="shared" si="30"/>
        <v>0</v>
      </c>
      <c r="K89" s="102">
        <f t="shared" si="30"/>
        <v>0</v>
      </c>
      <c r="L89" s="102">
        <f t="shared" si="30"/>
        <v>0</v>
      </c>
      <c r="M89" s="102">
        <f t="shared" si="30"/>
        <v>0</v>
      </c>
      <c r="N89" s="102">
        <f t="shared" si="30"/>
        <v>0</v>
      </c>
      <c r="O89" s="102">
        <f t="shared" si="30"/>
        <v>0</v>
      </c>
      <c r="P89" s="102">
        <f t="shared" si="30"/>
        <v>0</v>
      </c>
      <c r="Q89" s="102">
        <f t="shared" si="30"/>
        <v>0</v>
      </c>
      <c r="R89" s="102">
        <f t="shared" si="30"/>
        <v>0</v>
      </c>
      <c r="S89" s="102">
        <f t="shared" si="30"/>
        <v>68.599999999999966</v>
      </c>
      <c r="T89" s="102">
        <f t="shared" si="30"/>
        <v>68.599999999999966</v>
      </c>
      <c r="U89" s="102">
        <f t="shared" si="30"/>
        <v>68.599999999999966</v>
      </c>
      <c r="V89" s="102">
        <f t="shared" si="30"/>
        <v>68.599999999999966</v>
      </c>
      <c r="W89" s="102">
        <f t="shared" si="30"/>
        <v>568.39999999996508</v>
      </c>
      <c r="X89" s="102">
        <f t="shared" si="30"/>
        <v>-194.2</v>
      </c>
      <c r="Y89" s="102">
        <f t="shared" si="30"/>
        <v>-194.2</v>
      </c>
      <c r="Z89" s="102">
        <f t="shared" si="30"/>
        <v>-184.40000000000003</v>
      </c>
      <c r="AA89" s="102">
        <f t="shared" si="30"/>
        <v>-172.54199999999983</v>
      </c>
      <c r="AB89" s="102">
        <f t="shared" si="30"/>
        <v>-133.34200000000001</v>
      </c>
      <c r="AC89" s="102">
        <f t="shared" si="30"/>
        <v>-133.34200000000001</v>
      </c>
      <c r="AD89" s="102">
        <f t="shared" si="30"/>
        <v>-3.002000000000109</v>
      </c>
      <c r="AE89" s="102">
        <f t="shared" si="30"/>
        <v>-124.1299999999998</v>
      </c>
      <c r="AF89" s="102">
        <f t="shared" si="30"/>
        <v>-263.86000000000035</v>
      </c>
      <c r="AG89" s="102">
        <f t="shared" si="30"/>
        <v>-364.3899999999997</v>
      </c>
      <c r="AH89" s="102">
        <f t="shared" si="30"/>
        <v>-344.78999999999979</v>
      </c>
      <c r="AI89" s="102">
        <f t="shared" si="30"/>
        <v>-484.51999999999992</v>
      </c>
      <c r="AJ89" s="102">
        <f t="shared" si="30"/>
        <v>2368.9133999999976</v>
      </c>
      <c r="AK89" s="102">
        <f t="shared" si="30"/>
        <v>3411.8768000000023</v>
      </c>
      <c r="AL89" s="102">
        <f t="shared" ref="AL89:BM89" si="31">AL86-AL88</f>
        <v>4305.3102000000008</v>
      </c>
      <c r="AM89" s="102">
        <f t="shared" si="31"/>
        <v>7516.6036000000104</v>
      </c>
      <c r="AN89" s="102">
        <f t="shared" si="31"/>
        <v>11793.566999999994</v>
      </c>
      <c r="AO89" s="102">
        <f t="shared" si="31"/>
        <v>8767.0004000000026</v>
      </c>
      <c r="AP89" s="102">
        <f t="shared" si="31"/>
        <v>12247.057199999997</v>
      </c>
      <c r="AQ89" s="102">
        <f t="shared" si="31"/>
        <v>9996.6440000000021</v>
      </c>
      <c r="AR89" s="102">
        <f t="shared" si="31"/>
        <v>11237.240800000007</v>
      </c>
      <c r="AS89" s="102">
        <f t="shared" si="31"/>
        <v>11541.521000000001</v>
      </c>
      <c r="AT89" s="102">
        <f t="shared" si="31"/>
        <v>14080.201200000018</v>
      </c>
      <c r="AU89" s="102">
        <f t="shared" si="31"/>
        <v>11914.881400000006</v>
      </c>
      <c r="AV89" s="102">
        <f t="shared" si="31"/>
        <v>14063.139499999994</v>
      </c>
      <c r="AW89" s="102">
        <f t="shared" si="31"/>
        <v>14635.871100000022</v>
      </c>
      <c r="AX89" s="102">
        <f t="shared" si="31"/>
        <v>16188.602699999992</v>
      </c>
      <c r="AY89" s="102">
        <f t="shared" si="31"/>
        <v>17153.33430000002</v>
      </c>
      <c r="AZ89" s="102">
        <f t="shared" si="31"/>
        <v>17193.008000000009</v>
      </c>
      <c r="BA89" s="102">
        <f t="shared" si="31"/>
        <v>18348.055600000029</v>
      </c>
      <c r="BB89" s="102">
        <f t="shared" si="31"/>
        <v>19036.884599999972</v>
      </c>
      <c r="BC89" s="102">
        <f t="shared" si="31"/>
        <v>19408.461399999953</v>
      </c>
      <c r="BD89" s="102">
        <f t="shared" si="31"/>
        <v>20428.664299999989</v>
      </c>
      <c r="BE89" s="102">
        <f t="shared" si="31"/>
        <v>22551.814699999974</v>
      </c>
      <c r="BF89" s="102">
        <f t="shared" si="31"/>
        <v>23571.488400000006</v>
      </c>
      <c r="BG89" s="102">
        <f t="shared" si="31"/>
        <v>24729.378000000001</v>
      </c>
      <c r="BH89" s="102">
        <f t="shared" si="31"/>
        <v>25923.606000000011</v>
      </c>
      <c r="BI89" s="102">
        <f t="shared" si="31"/>
        <v>26792.023199999978</v>
      </c>
      <c r="BJ89" s="102">
        <f t="shared" si="31"/>
        <v>27660.440400000003</v>
      </c>
      <c r="BK89" s="102">
        <f t="shared" si="31"/>
        <v>28528.85759999997</v>
      </c>
      <c r="BL89" s="102">
        <f t="shared" si="31"/>
        <v>29260.573000000026</v>
      </c>
      <c r="BM89" s="102">
        <f t="shared" si="31"/>
        <v>29839.517800000023</v>
      </c>
      <c r="BN89" s="102">
        <f t="shared" ref="BN89:BS89" si="32">BN86-BN88</f>
        <v>30418.462600000021</v>
      </c>
      <c r="BO89" s="102">
        <f t="shared" si="32"/>
        <v>30997.407400000018</v>
      </c>
      <c r="BP89" s="102">
        <f t="shared" si="32"/>
        <v>31576.352200000016</v>
      </c>
      <c r="BQ89" s="102">
        <f t="shared" si="32"/>
        <v>32155.297000000042</v>
      </c>
      <c r="BR89" s="102">
        <f t="shared" si="32"/>
        <v>32734.241800000011</v>
      </c>
      <c r="BS89" s="102">
        <f t="shared" si="32"/>
        <v>33313.186600000008</v>
      </c>
      <c r="BT89" s="102">
        <f t="shared" ref="BT89:CE89" si="33">BT86-BT88</f>
        <v>33768.917959999992</v>
      </c>
      <c r="BU89" s="102">
        <f t="shared" si="33"/>
        <v>34232.073800000013</v>
      </c>
      <c r="BV89" s="102">
        <f t="shared" si="33"/>
        <v>34521.546200000012</v>
      </c>
      <c r="BW89" s="102">
        <f t="shared" si="33"/>
        <v>34811.01860000001</v>
      </c>
      <c r="BX89" s="102">
        <f t="shared" si="33"/>
        <v>35100.491000000009</v>
      </c>
      <c r="BY89" s="102">
        <f t="shared" si="33"/>
        <v>35389.963400000008</v>
      </c>
      <c r="BZ89" s="102">
        <f t="shared" si="33"/>
        <v>35679.435800000007</v>
      </c>
      <c r="CA89" s="102">
        <f t="shared" si="33"/>
        <v>35968.908200000005</v>
      </c>
      <c r="CB89" s="102">
        <f t="shared" si="33"/>
        <v>36258.380600000004</v>
      </c>
      <c r="CC89" s="102">
        <f t="shared" si="33"/>
        <v>36432.064039999997</v>
      </c>
      <c r="CD89" s="102">
        <f t="shared" si="33"/>
        <v>36605.747479999991</v>
      </c>
      <c r="CE89" s="102">
        <f t="shared" si="33"/>
        <v>36837.325400000002</v>
      </c>
    </row>
    <row r="90" spans="1:83">
      <c r="B90" s="57"/>
      <c r="C90" s="93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I90" s="102"/>
      <c r="BJ90" s="102"/>
      <c r="BK90" s="102"/>
      <c r="BL90" s="102"/>
      <c r="BM90" s="102"/>
      <c r="BN90" s="102"/>
      <c r="BO90" s="102"/>
      <c r="BP90" s="102"/>
      <c r="BQ90" s="102"/>
      <c r="BR90" s="102"/>
      <c r="BS90" s="102"/>
      <c r="BT90" s="102"/>
      <c r="BU90" s="102"/>
      <c r="BV90" s="102"/>
      <c r="BW90" s="102"/>
      <c r="BX90" s="102"/>
      <c r="BY90" s="102"/>
      <c r="BZ90" s="102"/>
      <c r="CA90" s="102"/>
      <c r="CB90" s="102"/>
      <c r="CC90" s="102"/>
      <c r="CD90" s="102"/>
      <c r="CE90" s="102"/>
    </row>
    <row r="91" spans="1:83">
      <c r="B91" t="s">
        <v>309</v>
      </c>
      <c r="C91" s="93"/>
      <c r="F91" s="102"/>
      <c r="G91" s="102">
        <f t="shared" ref="G91:AL91" si="34">F89</f>
        <v>0</v>
      </c>
      <c r="H91" s="102">
        <f t="shared" si="34"/>
        <v>0</v>
      </c>
      <c r="I91" s="102">
        <f t="shared" si="34"/>
        <v>0</v>
      </c>
      <c r="J91" s="102">
        <f t="shared" si="34"/>
        <v>0</v>
      </c>
      <c r="K91" s="102">
        <f t="shared" si="34"/>
        <v>0</v>
      </c>
      <c r="L91" s="102">
        <f t="shared" si="34"/>
        <v>0</v>
      </c>
      <c r="M91" s="102">
        <f t="shared" si="34"/>
        <v>0</v>
      </c>
      <c r="N91" s="102">
        <f t="shared" si="34"/>
        <v>0</v>
      </c>
      <c r="O91" s="102">
        <f t="shared" si="34"/>
        <v>0</v>
      </c>
      <c r="P91" s="102">
        <f t="shared" si="34"/>
        <v>0</v>
      </c>
      <c r="Q91" s="102">
        <f t="shared" si="34"/>
        <v>0</v>
      </c>
      <c r="R91" s="102">
        <f t="shared" si="34"/>
        <v>0</v>
      </c>
      <c r="S91" s="102">
        <f t="shared" si="34"/>
        <v>0</v>
      </c>
      <c r="T91" s="102">
        <f t="shared" si="34"/>
        <v>68.599999999999966</v>
      </c>
      <c r="U91" s="102">
        <f t="shared" si="34"/>
        <v>68.599999999999966</v>
      </c>
      <c r="V91" s="102">
        <f t="shared" si="34"/>
        <v>68.599999999999966</v>
      </c>
      <c r="W91" s="102">
        <f t="shared" si="34"/>
        <v>68.599999999999966</v>
      </c>
      <c r="X91" s="102">
        <f t="shared" si="34"/>
        <v>568.39999999996508</v>
      </c>
      <c r="Y91" s="102">
        <f t="shared" si="34"/>
        <v>-194.2</v>
      </c>
      <c r="Z91" s="102">
        <f t="shared" si="34"/>
        <v>-194.2</v>
      </c>
      <c r="AA91" s="102">
        <f t="shared" si="34"/>
        <v>-184.40000000000003</v>
      </c>
      <c r="AB91" s="102">
        <f t="shared" si="34"/>
        <v>-172.54199999999983</v>
      </c>
      <c r="AC91" s="102">
        <f t="shared" si="34"/>
        <v>-133.34200000000001</v>
      </c>
      <c r="AD91" s="102">
        <f t="shared" si="34"/>
        <v>-133.34200000000001</v>
      </c>
      <c r="AE91" s="102">
        <f t="shared" si="34"/>
        <v>-3.002000000000109</v>
      </c>
      <c r="AF91" s="102">
        <f t="shared" si="34"/>
        <v>-124.1299999999998</v>
      </c>
      <c r="AG91" s="102">
        <f t="shared" si="34"/>
        <v>-263.86000000000035</v>
      </c>
      <c r="AH91" s="102">
        <f t="shared" si="34"/>
        <v>-364.3899999999997</v>
      </c>
      <c r="AI91" s="102">
        <f t="shared" si="34"/>
        <v>-344.78999999999979</v>
      </c>
      <c r="AJ91" s="102">
        <f t="shared" si="34"/>
        <v>-484.51999999999992</v>
      </c>
      <c r="AK91" s="102">
        <f t="shared" si="34"/>
        <v>2368.9133999999976</v>
      </c>
      <c r="AL91" s="102">
        <f t="shared" si="34"/>
        <v>3411.8768000000023</v>
      </c>
      <c r="AM91" s="102">
        <f t="shared" ref="AM91:BM91" si="35">AL89</f>
        <v>4305.3102000000008</v>
      </c>
      <c r="AN91" s="102">
        <f t="shared" si="35"/>
        <v>7516.6036000000104</v>
      </c>
      <c r="AO91" s="102">
        <f t="shared" si="35"/>
        <v>11793.566999999994</v>
      </c>
      <c r="AP91" s="102">
        <f t="shared" si="35"/>
        <v>8767.0004000000026</v>
      </c>
      <c r="AQ91" s="102">
        <f t="shared" si="35"/>
        <v>12247.057199999997</v>
      </c>
      <c r="AR91" s="102">
        <f t="shared" si="35"/>
        <v>9996.6440000000021</v>
      </c>
      <c r="AS91" s="102">
        <f t="shared" si="35"/>
        <v>11237.240800000007</v>
      </c>
      <c r="AT91" s="102">
        <f t="shared" si="35"/>
        <v>11541.521000000001</v>
      </c>
      <c r="AU91" s="102">
        <f t="shared" si="35"/>
        <v>14080.201200000018</v>
      </c>
      <c r="AV91" s="102">
        <f t="shared" si="35"/>
        <v>11914.881400000006</v>
      </c>
      <c r="AW91" s="102">
        <f t="shared" si="35"/>
        <v>14063.139499999994</v>
      </c>
      <c r="AX91" s="102">
        <f t="shared" si="35"/>
        <v>14635.871100000022</v>
      </c>
      <c r="AY91" s="102">
        <f t="shared" si="35"/>
        <v>16188.602699999992</v>
      </c>
      <c r="AZ91" s="102">
        <f t="shared" si="35"/>
        <v>17153.33430000002</v>
      </c>
      <c r="BA91" s="102">
        <f t="shared" si="35"/>
        <v>17193.008000000009</v>
      </c>
      <c r="BB91" s="102">
        <f t="shared" si="35"/>
        <v>18348.055600000029</v>
      </c>
      <c r="BC91" s="102">
        <f t="shared" si="35"/>
        <v>19036.884599999972</v>
      </c>
      <c r="BD91" s="102">
        <f t="shared" si="35"/>
        <v>19408.461399999953</v>
      </c>
      <c r="BE91" s="102">
        <f t="shared" si="35"/>
        <v>20428.664299999989</v>
      </c>
      <c r="BF91" s="102">
        <f t="shared" si="35"/>
        <v>22551.814699999974</v>
      </c>
      <c r="BG91" s="102">
        <f t="shared" si="35"/>
        <v>23571.488400000006</v>
      </c>
      <c r="BH91" s="102">
        <f t="shared" si="35"/>
        <v>24729.378000000001</v>
      </c>
      <c r="BI91" s="102">
        <f t="shared" si="35"/>
        <v>25923.606000000011</v>
      </c>
      <c r="BJ91" s="102">
        <f t="shared" si="35"/>
        <v>26792.023199999978</v>
      </c>
      <c r="BK91" s="102">
        <f t="shared" si="35"/>
        <v>27660.440400000003</v>
      </c>
      <c r="BL91" s="102">
        <f t="shared" si="35"/>
        <v>28528.85759999997</v>
      </c>
      <c r="BM91" s="102">
        <f t="shared" si="35"/>
        <v>29260.573000000026</v>
      </c>
      <c r="BN91" s="102">
        <f t="shared" ref="BN91:BS91" si="36">BM89</f>
        <v>29839.517800000023</v>
      </c>
      <c r="BO91" s="102">
        <f t="shared" si="36"/>
        <v>30418.462600000021</v>
      </c>
      <c r="BP91" s="102">
        <f t="shared" si="36"/>
        <v>30997.407400000018</v>
      </c>
      <c r="BQ91" s="102">
        <f t="shared" si="36"/>
        <v>31576.352200000016</v>
      </c>
      <c r="BR91" s="102">
        <f t="shared" si="36"/>
        <v>32155.297000000042</v>
      </c>
      <c r="BS91" s="102">
        <f t="shared" si="36"/>
        <v>32734.241800000011</v>
      </c>
      <c r="BT91" s="102">
        <f t="shared" ref="BT91:CE91" si="37">BS89</f>
        <v>33313.186600000008</v>
      </c>
      <c r="BU91" s="102">
        <f t="shared" si="37"/>
        <v>33768.917959999992</v>
      </c>
      <c r="BV91" s="102">
        <f t="shared" si="37"/>
        <v>34232.073800000013</v>
      </c>
      <c r="BW91" s="102">
        <f t="shared" si="37"/>
        <v>34521.546200000012</v>
      </c>
      <c r="BX91" s="102">
        <f t="shared" si="37"/>
        <v>34811.01860000001</v>
      </c>
      <c r="BY91" s="102">
        <f t="shared" si="37"/>
        <v>35100.491000000009</v>
      </c>
      <c r="BZ91" s="102">
        <f t="shared" si="37"/>
        <v>35389.963400000008</v>
      </c>
      <c r="CA91" s="102">
        <f t="shared" si="37"/>
        <v>35679.435800000007</v>
      </c>
      <c r="CB91" s="102">
        <f t="shared" si="37"/>
        <v>35968.908200000005</v>
      </c>
      <c r="CC91" s="102">
        <f t="shared" si="37"/>
        <v>36258.380600000004</v>
      </c>
      <c r="CD91" s="102">
        <f t="shared" si="37"/>
        <v>36432.064039999997</v>
      </c>
      <c r="CE91" s="102">
        <f t="shared" si="37"/>
        <v>36605.747479999991</v>
      </c>
    </row>
    <row r="92" spans="1:83">
      <c r="B92" t="s">
        <v>310</v>
      </c>
      <c r="C92" s="1"/>
      <c r="F92" s="102">
        <f t="shared" ref="F92:BM92" si="38">F85-F87-F88-F91</f>
        <v>0</v>
      </c>
      <c r="G92" s="102">
        <f t="shared" si="38"/>
        <v>0</v>
      </c>
      <c r="H92" s="102">
        <f t="shared" si="38"/>
        <v>0</v>
      </c>
      <c r="I92" s="102">
        <f t="shared" si="38"/>
        <v>0</v>
      </c>
      <c r="J92" s="102">
        <f t="shared" si="38"/>
        <v>0</v>
      </c>
      <c r="K92" s="102">
        <f t="shared" si="38"/>
        <v>0</v>
      </c>
      <c r="L92" s="102">
        <f t="shared" si="38"/>
        <v>0</v>
      </c>
      <c r="M92" s="102">
        <f t="shared" si="38"/>
        <v>0</v>
      </c>
      <c r="N92" s="102">
        <f t="shared" si="38"/>
        <v>0</v>
      </c>
      <c r="O92" s="102">
        <f t="shared" si="38"/>
        <v>0</v>
      </c>
      <c r="P92" s="102">
        <f t="shared" si="38"/>
        <v>0</v>
      </c>
      <c r="Q92" s="102">
        <f t="shared" si="38"/>
        <v>0</v>
      </c>
      <c r="R92" s="102">
        <f t="shared" si="38"/>
        <v>0</v>
      </c>
      <c r="S92" s="102">
        <f t="shared" si="38"/>
        <v>0</v>
      </c>
      <c r="T92" s="102">
        <f t="shared" si="38"/>
        <v>-68.599999999999966</v>
      </c>
      <c r="U92" s="102">
        <f t="shared" si="38"/>
        <v>-68.599999999999966</v>
      </c>
      <c r="V92" s="102">
        <f t="shared" si="38"/>
        <v>-68.599999999999966</v>
      </c>
      <c r="W92" s="102">
        <f t="shared" si="38"/>
        <v>-49068.6</v>
      </c>
      <c r="X92" s="102">
        <f t="shared" si="38"/>
        <v>-578.98399999996514</v>
      </c>
      <c r="Y92" s="102">
        <f t="shared" si="38"/>
        <v>183.61599999999999</v>
      </c>
      <c r="Z92" s="102">
        <f t="shared" si="38"/>
        <v>183.61599999999999</v>
      </c>
      <c r="AA92" s="102">
        <f t="shared" si="38"/>
        <v>168.12220000000005</v>
      </c>
      <c r="AB92" s="102">
        <f t="shared" si="38"/>
        <v>156.26419999999985</v>
      </c>
      <c r="AC92" s="102">
        <f t="shared" si="38"/>
        <v>117.06420000000003</v>
      </c>
      <c r="AD92" s="102">
        <f t="shared" si="38"/>
        <v>108.9302</v>
      </c>
      <c r="AE92" s="102">
        <f t="shared" si="38"/>
        <v>-11.648999999999873</v>
      </c>
      <c r="AF92" s="102">
        <f t="shared" si="38"/>
        <v>-1467.88</v>
      </c>
      <c r="AG92" s="102">
        <f t="shared" si="38"/>
        <v>230.49100000000038</v>
      </c>
      <c r="AH92" s="102">
        <f t="shared" si="38"/>
        <v>331.02099999999973</v>
      </c>
      <c r="AI92" s="102">
        <f t="shared" si="38"/>
        <v>302.06199999999978</v>
      </c>
      <c r="AJ92" s="102">
        <f t="shared" si="38"/>
        <v>423.07399999999996</v>
      </c>
      <c r="AK92" s="102">
        <f t="shared" si="38"/>
        <v>-1675.2889999999975</v>
      </c>
      <c r="AL92" s="102">
        <f t="shared" si="38"/>
        <v>-1972.541000000002</v>
      </c>
      <c r="AM92" s="102">
        <f t="shared" si="38"/>
        <v>-2101.5450000000005</v>
      </c>
      <c r="AN92" s="102">
        <f t="shared" si="38"/>
        <v>-4557.76800000001</v>
      </c>
      <c r="AO92" s="102">
        <f t="shared" si="38"/>
        <v>-8089.0199999999932</v>
      </c>
      <c r="AP92" s="102">
        <f t="shared" si="38"/>
        <v>-9011.3830000000016</v>
      </c>
      <c r="AQ92" s="102">
        <f t="shared" si="38"/>
        <v>-6258.5809999999965</v>
      </c>
      <c r="AR92" s="102">
        <f t="shared" si="38"/>
        <v>-2507.3860000000022</v>
      </c>
      <c r="AS92" s="102">
        <f t="shared" si="38"/>
        <v>-2219.1240000000053</v>
      </c>
      <c r="AT92" s="102">
        <f t="shared" si="38"/>
        <v>-230.11599999999999</v>
      </c>
      <c r="AU92" s="102">
        <f t="shared" si="38"/>
        <v>-475.508000000018</v>
      </c>
      <c r="AV92" s="102">
        <f t="shared" si="38"/>
        <v>3952.7048099999938</v>
      </c>
      <c r="AW92" s="102">
        <f t="shared" si="38"/>
        <v>4097.7349100000101</v>
      </c>
      <c r="AX92" s="102">
        <f t="shared" si="38"/>
        <v>7348.1989099999773</v>
      </c>
      <c r="AY92" s="102">
        <f t="shared" si="38"/>
        <v>9618.6629100000064</v>
      </c>
      <c r="AZ92" s="102">
        <f t="shared" si="38"/>
        <v>12467.645899999981</v>
      </c>
      <c r="BA92" s="102">
        <f t="shared" si="38"/>
        <v>17016.645799999991</v>
      </c>
      <c r="BB92" s="102">
        <f t="shared" si="38"/>
        <v>17668.787779999977</v>
      </c>
      <c r="BC92" s="102">
        <f t="shared" si="38"/>
        <v>24333.251580000029</v>
      </c>
      <c r="BD92" s="102">
        <f t="shared" si="38"/>
        <v>29308.442570000054</v>
      </c>
      <c r="BE92" s="102">
        <f t="shared" si="38"/>
        <v>32879.010470000008</v>
      </c>
      <c r="BF92" s="102">
        <f t="shared" si="38"/>
        <v>39160.345460000033</v>
      </c>
      <c r="BG92" s="102">
        <f t="shared" si="38"/>
        <v>42729.345359999992</v>
      </c>
      <c r="BH92" s="102">
        <f t="shared" si="38"/>
        <v>46157.201119999998</v>
      </c>
      <c r="BI92" s="102">
        <f t="shared" si="38"/>
        <v>49551.64671999999</v>
      </c>
      <c r="BJ92" s="102">
        <f t="shared" si="38"/>
        <v>52124.734720000022</v>
      </c>
      <c r="BK92" s="102">
        <f t="shared" si="38"/>
        <v>54697.822719999996</v>
      </c>
      <c r="BL92" s="102">
        <f t="shared" si="38"/>
        <v>57261.307700000034</v>
      </c>
      <c r="BM92" s="102">
        <f t="shared" si="38"/>
        <v>59971.097499999982</v>
      </c>
      <c r="BN92" s="102">
        <f t="shared" ref="BN92:BS92" si="39">BN85-BN87-BN88-BN91</f>
        <v>61686.489499999989</v>
      </c>
      <c r="BO92" s="102">
        <f t="shared" si="39"/>
        <v>63401.881499999981</v>
      </c>
      <c r="BP92" s="102">
        <f t="shared" si="39"/>
        <v>65117.273500000003</v>
      </c>
      <c r="BQ92" s="102">
        <f t="shared" si="39"/>
        <v>66832.665500000003</v>
      </c>
      <c r="BR92" s="102">
        <f t="shared" si="39"/>
        <v>68548.057499999966</v>
      </c>
      <c r="BS92" s="102">
        <f t="shared" si="39"/>
        <v>70263.449500000017</v>
      </c>
      <c r="BT92" s="102">
        <f t="shared" ref="BT92:CE92" si="40">BT85-BT87-BT88-BT91</f>
        <v>71974.7745</v>
      </c>
      <c r="BU92" s="102">
        <f t="shared" si="40"/>
        <v>73125.078900000022</v>
      </c>
      <c r="BV92" s="102">
        <f t="shared" si="40"/>
        <v>74497.392500000002</v>
      </c>
      <c r="BW92" s="102">
        <f t="shared" si="40"/>
        <v>75355.088499999983</v>
      </c>
      <c r="BX92" s="102">
        <f t="shared" si="40"/>
        <v>76212.78449999998</v>
      </c>
      <c r="BY92" s="102">
        <f t="shared" si="40"/>
        <v>77070.480499999991</v>
      </c>
      <c r="BZ92" s="102">
        <f t="shared" si="40"/>
        <v>77928.176500000001</v>
      </c>
      <c r="CA92" s="102">
        <f t="shared" si="40"/>
        <v>78785.872499999998</v>
      </c>
      <c r="CB92" s="102">
        <f t="shared" si="40"/>
        <v>79643.568499999994</v>
      </c>
      <c r="CC92" s="102">
        <f t="shared" si="40"/>
        <v>80501.26449999999</v>
      </c>
      <c r="CD92" s="102">
        <f t="shared" si="40"/>
        <v>81015.882100000003</v>
      </c>
      <c r="CE92" s="102">
        <f t="shared" si="40"/>
        <v>81530.4997</v>
      </c>
    </row>
    <row r="93" spans="1:83">
      <c r="B93" t="s">
        <v>311</v>
      </c>
      <c r="C93" s="1"/>
      <c r="F93" s="102"/>
      <c r="G93" s="102">
        <f>IF(SUM($F92:F92)-SUM($F93:F93)&lt;0,0,SUM($F92:F92)-SUM($F93:F93))</f>
        <v>0</v>
      </c>
      <c r="H93" s="102">
        <f>IF(SUM($F92:G92)-SUM($F93:G93)&lt;0,0,SUM($F92:G92)-SUM($F93:G93))</f>
        <v>0</v>
      </c>
      <c r="I93" s="102">
        <f>IF(SUM($F92:H92)-SUM($F93:H93)&lt;0,0,SUM($F92:H92)-SUM($F93:H93))</f>
        <v>0</v>
      </c>
      <c r="J93" s="102">
        <f>IF(SUM($F92:I92)-SUM($F93:I93)&lt;0,0,SUM($F92:I92)-SUM($F93:I93))</f>
        <v>0</v>
      </c>
      <c r="K93" s="102">
        <f>IF(SUM($F92:J92)-SUM($F93:J93)&lt;0,0,SUM($F92:J92)-SUM($F93:J93))</f>
        <v>0</v>
      </c>
      <c r="L93" s="102">
        <f>IF(SUM($F92:K92)-SUM($F93:K93)&lt;0,0,SUM($F92:K92)-SUM($F93:K93))</f>
        <v>0</v>
      </c>
      <c r="M93" s="102">
        <f>IF(SUM($F92:L92)-SUM($F93:L93)&lt;0,0,SUM($F92:L92)-SUM($F93:L93))</f>
        <v>0</v>
      </c>
      <c r="N93" s="102">
        <f>IF(SUM($F92:M92)-SUM($F93:M93)&lt;0,0,SUM($F92:M92)-SUM($F93:M93))</f>
        <v>0</v>
      </c>
      <c r="O93" s="102">
        <f>IF(SUM($F92:N92)-SUM($F93:N93)&lt;0,0,SUM($F92:N92)-SUM($F93:N93))</f>
        <v>0</v>
      </c>
      <c r="P93" s="102">
        <f>IF(SUM($F92:O92)-SUM($F93:O93)&lt;0,0,SUM($F92:O92)-SUM($F93:O93))</f>
        <v>0</v>
      </c>
      <c r="Q93" s="102">
        <f>IF(SUM($F92:P92)-SUM($F93:P93)&lt;0,0,SUM($F92:P92)-SUM($F93:P93))</f>
        <v>0</v>
      </c>
      <c r="R93" s="102">
        <f>IF(SUM($F92:Q92)-SUM($F93:Q93)&lt;0,0,SUM($F92:Q92)-SUM($F93:Q93))</f>
        <v>0</v>
      </c>
      <c r="S93" s="102">
        <f>IF(SUM($F92:R92)-SUM($F93:R93)&lt;0,0,SUM($F92:R92)-SUM($F93:R93))</f>
        <v>0</v>
      </c>
      <c r="T93" s="102">
        <f>IF(SUM($F92:S92)-SUM($F93:S93)&lt;0,0,SUM($F92:S92)-SUM($F93:S93))</f>
        <v>0</v>
      </c>
      <c r="U93" s="102">
        <f>IF(SUM($F92:T92)-SUM($F93:T93)&lt;0,0,SUM($F92:T92)-SUM($F93:T93))</f>
        <v>0</v>
      </c>
      <c r="V93" s="102">
        <f>IF(SUM($F92:U92)-SUM($F93:U93)&lt;0,0,SUM($F92:U92)-SUM($F93:U93))</f>
        <v>0</v>
      </c>
      <c r="W93" s="102">
        <f>IF(SUM($F92:V92)-SUM($F93:V93)&lt;0,0,SUM($F92:V92)-SUM($F93:V93))</f>
        <v>0</v>
      </c>
      <c r="X93" s="102">
        <f>IF(SUM($F92:W92)-SUM($F93:W93)&lt;0,0,SUM($F92:W92)-SUM($F93:W93))</f>
        <v>0</v>
      </c>
      <c r="Y93" s="102">
        <f>IF(SUM($F92:X92)-SUM($F93:X93)&lt;0,0,SUM($F92:X92)-SUM($F93:X93))</f>
        <v>0</v>
      </c>
      <c r="Z93" s="102">
        <f>IF(SUM($F92:Y92)-SUM($F93:Y93)&lt;0,0,SUM($F92:Y92)-SUM($F93:Y93))</f>
        <v>0</v>
      </c>
      <c r="AA93" s="102">
        <f>IF(SUM($F92:Z92)-SUM($F93:Z93)&lt;0,0,SUM($F92:Z92)-SUM($F93:Z93))</f>
        <v>0</v>
      </c>
      <c r="AB93" s="102">
        <f>IF(SUM($F92:AA92)-SUM($F93:AA93)&lt;0,0,SUM($F92:AA92)-SUM($F93:AA93))</f>
        <v>0</v>
      </c>
      <c r="AC93" s="102">
        <f>IF(SUM($F92:AB92)-SUM($F93:AB93)&lt;0,0,SUM($F92:AB92)-SUM($F93:AB93))</f>
        <v>0</v>
      </c>
      <c r="AD93" s="102">
        <f>IF(SUM($F92:AC92)-SUM($F93:AC93)&lt;0,0,SUM($F92:AC92)-SUM($F93:AC93))</f>
        <v>0</v>
      </c>
      <c r="AE93" s="102">
        <f>IF(SUM($F92:AD92)-SUM($F93:AD93)&lt;0,0,SUM($F92:AD92)-SUM($F93:AD93))</f>
        <v>0</v>
      </c>
      <c r="AF93" s="102">
        <f>IF(SUM($F92:AE92)-SUM($F93:AE93)&lt;0,0,SUM($F92:AE92)-SUM($F93:AE93))</f>
        <v>0</v>
      </c>
      <c r="AG93" s="102">
        <f>IF(SUM($F92:AF92)-SUM($F93:AF93)&lt;0,0,SUM($F92:AF92)-SUM($F93:AF93))</f>
        <v>0</v>
      </c>
      <c r="AH93" s="102">
        <f>IF(SUM($F92:AG92)-SUM($F93:AG93)&lt;0,0,SUM($F92:AG92)-SUM($F93:AG93))</f>
        <v>0</v>
      </c>
      <c r="AI93" s="102">
        <f>IF(SUM($F92:AH92)-SUM($F93:AH93)&lt;0,0,SUM($F92:AH92)-SUM($F93:AH93))</f>
        <v>0</v>
      </c>
      <c r="AJ93" s="102">
        <f>IF(SUM($F92:AI92)-SUM($F93:AI93)&lt;0,0,SUM($F92:AI92)-SUM($F93:AI93))</f>
        <v>0</v>
      </c>
      <c r="AK93" s="102">
        <f>IF(SUM($F92:AJ92)-SUM($F93:AJ93)&lt;0,0,SUM($F92:AJ92)-SUM($F93:AJ93))</f>
        <v>0</v>
      </c>
      <c r="AL93" s="102">
        <f>IF(SUM($F92:AK92)-SUM($F93:AK93)&lt;0,0,SUM($F92:AK92)-SUM($F93:AK93))</f>
        <v>0</v>
      </c>
      <c r="AM93" s="102">
        <f>IF(SUM($F92:AL92)-SUM($F93:AL93)&lt;0,0,SUM($F92:AL92)-SUM($F93:AL93))</f>
        <v>0</v>
      </c>
      <c r="AN93" s="102">
        <f>IF(SUM($F92:AM92)-SUM($F93:AM93)&lt;0,0,SUM($F92:AM92)-SUM($F93:AM93))</f>
        <v>0</v>
      </c>
      <c r="AO93" s="102">
        <f>IF(SUM($F92:AN92)-SUM($F93:AN93)&lt;0,0,SUM($F92:AN92)-SUM($F93:AN93))</f>
        <v>0</v>
      </c>
      <c r="AP93" s="102">
        <f>IF(SUM($F92:AO92)-SUM($F93:AO93)&lt;0,0,SUM($F92:AO92)-SUM($F93:AO93))</f>
        <v>0</v>
      </c>
      <c r="AQ93" s="102">
        <f>IF(SUM($F92:AP92)-SUM($F93:AP93)&lt;0,0,SUM($F92:AP92)-SUM($F93:AP93))</f>
        <v>0</v>
      </c>
      <c r="AR93" s="102">
        <f>IF(SUM($F92:AQ92)-SUM($F93:AQ93)&lt;0,0,SUM($F92:AQ92)-SUM($F93:AQ93))</f>
        <v>0</v>
      </c>
      <c r="AS93" s="102">
        <f>IF(SUM($F92:AR92)-SUM($F93:AR93)&lt;0,0,SUM($F92:AR92)-SUM($F93:AR93))</f>
        <v>0</v>
      </c>
      <c r="AT93" s="102">
        <f>IF(SUM($F92:AS92)-SUM($F93:AS93)&lt;0,0,SUM($F92:AS92)-SUM($F93:AS93))</f>
        <v>0</v>
      </c>
      <c r="AU93" s="102">
        <f>IF(SUM($F92:AT92)-SUM($F93:AT93)&lt;0,0,SUM($F92:AT92)-SUM($F93:AT93))</f>
        <v>0</v>
      </c>
      <c r="AV93" s="102">
        <f>IF(SUM($F92:AU92)-SUM($F93:AU93)&lt;0,0,SUM($F92:AU92)-SUM($F93:AU93))</f>
        <v>0</v>
      </c>
      <c r="AW93" s="102">
        <f>IF(SUM($F92:AV92)-SUM($F93:AV93)&lt;0,0,SUM($F92:AV92)-SUM($F93:AV93))</f>
        <v>0</v>
      </c>
      <c r="AX93" s="102">
        <f>IF(SUM($F92:AW92)-SUM($F93:AW93)&lt;0,0,SUM($F92:AW92)-SUM($F93:AW93))</f>
        <v>0</v>
      </c>
      <c r="AY93" s="102">
        <f>IF(SUM($F92:AX92)-SUM($F93:AX93)&lt;0,0,SUM($F92:AX92)-SUM($F93:AX93))</f>
        <v>0</v>
      </c>
      <c r="AZ93" s="102">
        <f>IF(SUM($F92:AY92)-SUM($F93:AY93)&lt;0,0,SUM($F92:AY92)-SUM($F93:AY93))</f>
        <v>0</v>
      </c>
      <c r="BA93" s="102">
        <f>IF(SUM($F92:AZ92)-SUM($F93:AZ93)&lt;0,0,SUM($F92:AZ92)-SUM($F93:AZ93))</f>
        <v>0</v>
      </c>
      <c r="BB93" s="102">
        <f>IF(SUM($F92:BA92)-SUM($F93:BA93)&lt;0,0,SUM($F92:BA92)-SUM($F93:BA93))</f>
        <v>0</v>
      </c>
      <c r="BC93" s="102">
        <f>IF(SUM($F92:BB92)-SUM($F93:BB93)&lt;0,0,SUM($F92:BB92)-SUM($F93:BB93))</f>
        <v>0</v>
      </c>
      <c r="BD93" s="102">
        <f>IF(SUM($F92:BC92)-SUM($F93:BC93)&lt;0,0,SUM($F92:BC92)-SUM($F93:BC93))</f>
        <v>8276.7193999999909</v>
      </c>
      <c r="BE93" s="102">
        <f>IF(SUM($F92:BD92)-SUM($F93:BD93)&lt;0,0,SUM($F92:BD92)-SUM($F93:BD93))</f>
        <v>29308.442570000054</v>
      </c>
      <c r="BF93" s="102">
        <f>IF(SUM($F92:BE92)-SUM($F93:BE93)&lt;0,0,SUM($F92:BE92)-SUM($F93:BE93))</f>
        <v>32879.010470000008</v>
      </c>
      <c r="BG93" s="102">
        <f>IF(SUM($F92:BF92)-SUM($F93:BF93)&lt;0,0,SUM($F92:BF92)-SUM($F93:BF93))</f>
        <v>39160.34546000004</v>
      </c>
      <c r="BH93" s="102">
        <f>IF(SUM($F92:BG92)-SUM($F93:BG93)&lt;0,0,SUM($F92:BG92)-SUM($F93:BG93))</f>
        <v>42729.345359999978</v>
      </c>
      <c r="BI93" s="102">
        <f>IF(SUM($F92:BH92)-SUM($F93:BH93)&lt;0,0,SUM($F92:BH92)-SUM($F93:BH93))</f>
        <v>46157.201119999983</v>
      </c>
      <c r="BJ93" s="102">
        <f>IF(SUM($F92:BI92)-SUM($F93:BI93)&lt;0,0,SUM($F92:BI92)-SUM($F93:BI93))</f>
        <v>49551.64671999999</v>
      </c>
      <c r="BK93" s="102">
        <f>IF(SUM($F92:BJ92)-SUM($F93:BJ93)&lt;0,0,SUM($F92:BJ92)-SUM($F93:BJ93))</f>
        <v>52124.734720000037</v>
      </c>
      <c r="BL93" s="102">
        <f>IF(SUM($F92:BK92)-SUM($F93:BK93)&lt;0,0,SUM($F92:BK92)-SUM($F93:BK93))</f>
        <v>54697.822719999996</v>
      </c>
      <c r="BM93" s="102">
        <f>IF(SUM($F92:BL92)-SUM($F93:BL93)&lt;0,0,SUM($F92:BL92)-SUM($F93:BL93))</f>
        <v>57261.307700000005</v>
      </c>
      <c r="BN93" s="102">
        <f>IF(SUM($F92:BM92)-SUM($F93:BM93)&lt;0,0,SUM($F92:BM92)-SUM($F93:BM93))</f>
        <v>59971.097499999974</v>
      </c>
      <c r="BO93" s="102">
        <f>IF(SUM($F92:BN92)-SUM($F93:BN93)&lt;0,0,SUM($F92:BN92)-SUM($F93:BN93))</f>
        <v>61686.489499999967</v>
      </c>
      <c r="BP93" s="102">
        <f>IF(SUM($F92:BO92)-SUM($F93:BO93)&lt;0,0,SUM($F92:BO92)-SUM($F93:BO93))</f>
        <v>63401.881500000018</v>
      </c>
      <c r="BQ93" s="102">
        <f>IF(SUM($F92:BP92)-SUM($F93:BP93)&lt;0,0,SUM($F92:BP92)-SUM($F93:BP93))</f>
        <v>65117.27350000001</v>
      </c>
      <c r="BR93" s="102">
        <f>IF(SUM($F92:BQ92)-SUM($F93:BQ93)&lt;0,0,SUM($F92:BQ92)-SUM($F93:BQ93))</f>
        <v>66832.665500000003</v>
      </c>
      <c r="BS93" s="102">
        <f>IF(SUM($F92:BR92)-SUM($F93:BR93)&lt;0,0,SUM($F92:BR92)-SUM($F93:BR93))</f>
        <v>68548.057499999995</v>
      </c>
      <c r="BT93" s="102">
        <f>IF(SUM($F92:BS92)-SUM($F93:BS93)&lt;0,0,SUM($F92:BS92)-SUM($F93:BS93))</f>
        <v>70263.449499999988</v>
      </c>
      <c r="BU93" s="102">
        <f>IF(SUM($F92:BT92)-SUM($F93:BT93)&lt;0,0,SUM($F92:BT92)-SUM($F93:BT93))</f>
        <v>71974.774500000058</v>
      </c>
      <c r="BV93" s="102">
        <f>IF(SUM($F92:BU92)-SUM($F93:BU93)&lt;0,0,SUM($F92:BU92)-SUM($F93:BU93))</f>
        <v>73125.07890000008</v>
      </c>
      <c r="BW93" s="102">
        <f>IF(SUM($F92:BV92)-SUM($F93:BV93)&lt;0,0,SUM($F92:BV92)-SUM($F93:BV93))</f>
        <v>74497.392500000075</v>
      </c>
      <c r="BX93" s="102">
        <f>IF(SUM($F92:BW92)-SUM($F93:BW93)&lt;0,0,SUM($F92:BW92)-SUM($F93:BW93))</f>
        <v>75355.088500000071</v>
      </c>
      <c r="BY93" s="102">
        <f>IF(SUM($F92:BX92)-SUM($F93:BX93)&lt;0,0,SUM($F92:BX92)-SUM($F93:BX93))</f>
        <v>76212.784500000067</v>
      </c>
      <c r="BZ93" s="102">
        <f>IF(SUM($F92:BY92)-SUM($F93:BY93)&lt;0,0,SUM($F92:BY92)-SUM($F93:BY93))</f>
        <v>77070.480500000063</v>
      </c>
      <c r="CA93" s="102">
        <f>IF(SUM($F92:BZ92)-SUM($F93:BZ93)&lt;0,0,SUM($F92:BZ92)-SUM($F93:BZ93))</f>
        <v>77928.17650000006</v>
      </c>
      <c r="CB93" s="102">
        <f>IF(SUM($F92:CA92)-SUM($F93:CA93)&lt;0,0,SUM($F92:CA92)-SUM($F93:CA93))</f>
        <v>78785.872500000056</v>
      </c>
      <c r="CC93" s="102">
        <f>IF(SUM($F92:CB92)-SUM($F93:CB93)&lt;0,0,SUM($F92:CB92)-SUM($F93:CB93))</f>
        <v>79643.568500000052</v>
      </c>
      <c r="CD93" s="102">
        <f>IF(SUM($F92:CC92)-SUM($F93:CC93)&lt;0,0,SUM($F92:CC92)-SUM($F93:CC93))</f>
        <v>80501.264500000048</v>
      </c>
      <c r="CE93" s="102">
        <f>IF(SUM($F92:CD92)-SUM($F93:CD93)&lt;0,0,SUM($F92:CD92)-SUM($F93:CD93))</f>
        <v>81015.882100000046</v>
      </c>
    </row>
    <row r="94" spans="1:83">
      <c r="B94" s="12" t="s">
        <v>312</v>
      </c>
      <c r="C94" s="1"/>
      <c r="F94" s="102">
        <f>IF(SUM($F92:F92)-SUM($F93:F93)&lt;0,0,SUM($F92:F92)-SUM($F93:F93))</f>
        <v>0</v>
      </c>
      <c r="G94" s="102">
        <f>IF(SUM($F92:G92)-SUM($F93:G93)&lt;0,0,SUM($F92:G92)-SUM($F93:G93))</f>
        <v>0</v>
      </c>
      <c r="H94" s="102">
        <f>IF(SUM($F92:H92)-SUM($F93:H93)&lt;0,0,SUM($F92:H92)-SUM($F93:H93))</f>
        <v>0</v>
      </c>
      <c r="I94" s="102">
        <f>IF(SUM($F92:I92)-SUM($F93:I93)&lt;0,0,SUM($F92:I92)-SUM($F93:I93))</f>
        <v>0</v>
      </c>
      <c r="J94" s="102">
        <f>IF(SUM($F92:J92)-SUM($F93:J93)&lt;0,0,SUM($F92:J92)-SUM($F93:J93))</f>
        <v>0</v>
      </c>
      <c r="K94" s="102">
        <f>IF(SUM($F92:K92)-SUM($F93:K93)&lt;0,0,SUM($F92:K92)-SUM($F93:K93))</f>
        <v>0</v>
      </c>
      <c r="L94" s="102">
        <f>IF(SUM($F92:L92)-SUM($F93:L93)&lt;0,0,SUM($F92:L92)-SUM($F93:L93))</f>
        <v>0</v>
      </c>
      <c r="M94" s="102">
        <f>IF(SUM($F92:M92)-SUM($F93:M93)&lt;0,0,SUM($F92:M92)-SUM($F93:M93))</f>
        <v>0</v>
      </c>
      <c r="N94" s="102">
        <f>IF(SUM($F92:N92)-SUM($F93:N93)&lt;0,0,SUM($F92:N92)-SUM($F93:N93))</f>
        <v>0</v>
      </c>
      <c r="O94" s="102">
        <f>IF(SUM($F92:O92)-SUM($F93:O93)&lt;0,0,SUM($F92:O92)-SUM($F93:O93))</f>
        <v>0</v>
      </c>
      <c r="P94" s="102">
        <f>IF(SUM($F92:P92)-SUM($F93:P93)&lt;0,0,SUM($F92:P92)-SUM($F93:P93))</f>
        <v>0</v>
      </c>
      <c r="Q94" s="102">
        <f>IF(SUM($F92:Q92)-SUM($F93:Q93)&lt;0,0,SUM($F92:Q92)-SUM($F93:Q93))</f>
        <v>0</v>
      </c>
      <c r="R94" s="102">
        <f>IF(SUM($F92:R92)-SUM($F93:R93)&lt;0,0,SUM($F92:R92)-SUM($F93:R93))</f>
        <v>0</v>
      </c>
      <c r="S94" s="102">
        <f>IF(SUM($F92:S92)-SUM($F93:S93)&lt;0,0,SUM($F92:S92)-SUM($F93:S93))</f>
        <v>0</v>
      </c>
      <c r="T94" s="102">
        <f>IF(SUM($F92:T92)-SUM($F93:T93)&lt;0,0,SUM($F92:T92)-SUM($F93:T93))</f>
        <v>0</v>
      </c>
      <c r="U94" s="102">
        <f>IF(SUM($F92:U92)-SUM($F93:U93)&lt;0,0,SUM($F92:U92)-SUM($F93:U93))</f>
        <v>0</v>
      </c>
      <c r="V94" s="102">
        <f>IF(SUM($F92:V92)-SUM($F93:V93)&lt;0,0,SUM($F92:V92)-SUM($F93:V93))</f>
        <v>0</v>
      </c>
      <c r="W94" s="102">
        <f>IF(SUM($F92:W92)-SUM($F93:W93)&lt;0,0,SUM($F92:W92)-SUM($F93:W93))</f>
        <v>0</v>
      </c>
      <c r="X94" s="102">
        <f>IF(SUM($F92:X92)-SUM($F93:X93)&lt;0,0,SUM($F92:X92)-SUM($F93:X93))</f>
        <v>0</v>
      </c>
      <c r="Y94" s="102">
        <f>IF(SUM($F92:Y92)-SUM($F93:Y93)&lt;0,0,SUM($F92:Y92)-SUM($F93:Y93))</f>
        <v>0</v>
      </c>
      <c r="Z94" s="102">
        <f>IF(SUM($F92:Z92)-SUM($F93:Z93)&lt;0,0,SUM($F92:Z92)-SUM($F93:Z93))</f>
        <v>0</v>
      </c>
      <c r="AA94" s="102">
        <f>IF(SUM($F92:AA92)-SUM($F93:AA93)&lt;0,0,SUM($F92:AA92)-SUM($F93:AA93))</f>
        <v>0</v>
      </c>
      <c r="AB94" s="102">
        <f>IF(SUM($F92:AB92)-SUM($F93:AB93)&lt;0,0,SUM($F92:AB92)-SUM($F93:AB93))</f>
        <v>0</v>
      </c>
      <c r="AC94" s="102">
        <f>IF(SUM($F92:AC92)-SUM($F93:AC93)&lt;0,0,SUM($F92:AC92)-SUM($F93:AC93))</f>
        <v>0</v>
      </c>
      <c r="AD94" s="102">
        <f>IF(SUM($F92:AD92)-SUM($F93:AD93)&lt;0,0,SUM($F92:AD92)-SUM($F93:AD93))</f>
        <v>0</v>
      </c>
      <c r="AE94" s="102">
        <f>IF(SUM($F92:AE92)-SUM($F93:AE93)&lt;0,0,SUM($F92:AE92)-SUM($F93:AE93))</f>
        <v>0</v>
      </c>
      <c r="AF94" s="102">
        <f>IF(SUM($F92:AF92)-SUM($F93:AF93)&lt;0,0,SUM($F92:AF92)-SUM($F93:AF93))</f>
        <v>0</v>
      </c>
      <c r="AG94" s="102">
        <f>IF(SUM($F92:AG92)-SUM($F93:AG93)&lt;0,0,SUM($F92:AG92)-SUM($F93:AG93))</f>
        <v>0</v>
      </c>
      <c r="AH94" s="102">
        <f>IF(SUM($F92:AH92)-SUM($F93:AH93)&lt;0,0,SUM($F92:AH92)-SUM($F93:AH93))</f>
        <v>0</v>
      </c>
      <c r="AI94" s="102">
        <f>IF(SUM($F92:AI92)-SUM($F93:AI93)&lt;0,0,SUM($F92:AI92)-SUM($F93:AI93))</f>
        <v>0</v>
      </c>
      <c r="AJ94" s="102">
        <f>IF(SUM($F92:AJ92)-SUM($F93:AJ93)&lt;0,0,SUM($F92:AJ92)-SUM($F93:AJ93))</f>
        <v>0</v>
      </c>
      <c r="AK94" s="102">
        <f>IF(SUM($F92:AK92)-SUM($F93:AK93)&lt;0,0,SUM($F92:AK92)-SUM($F93:AK93))</f>
        <v>0</v>
      </c>
      <c r="AL94" s="102">
        <f>IF(SUM($F92:AL92)-SUM($F93:AL93)&lt;0,0,SUM($F92:AL92)-SUM($F93:AL93))</f>
        <v>0</v>
      </c>
      <c r="AM94" s="102">
        <f>IF(SUM($F92:AM92)-SUM($F93:AM93)&lt;0,0,SUM($F92:AM92)-SUM($F93:AM93))</f>
        <v>0</v>
      </c>
      <c r="AN94" s="102">
        <f>IF(SUM($F92:AN92)-SUM($F93:AN93)&lt;0,0,SUM($F92:AN92)-SUM($F93:AN93))</f>
        <v>0</v>
      </c>
      <c r="AO94" s="102">
        <f>IF(SUM($F92:AO92)-SUM($F93:AO93)&lt;0,0,SUM($F92:AO92)-SUM($F93:AO93))</f>
        <v>0</v>
      </c>
      <c r="AP94" s="102">
        <f>IF(SUM($F92:AP92)-SUM($F93:AP93)&lt;0,0,SUM($F92:AP92)-SUM($F93:AP93))</f>
        <v>0</v>
      </c>
      <c r="AQ94" s="102">
        <f>IF(SUM($F92:AQ92)-SUM($F93:AQ93)&lt;0,0,SUM($F92:AQ92)-SUM($F93:AQ93))</f>
        <v>0</v>
      </c>
      <c r="AR94" s="102">
        <f>IF(SUM($F92:AR92)-SUM($F93:AR93)&lt;0,0,SUM($F92:AR92)-SUM($F93:AR93))</f>
        <v>0</v>
      </c>
      <c r="AS94" s="102">
        <f>IF(SUM($F92:AS92)-SUM($F93:AS93)&lt;0,0,SUM($F92:AS92)-SUM($F93:AS93))</f>
        <v>0</v>
      </c>
      <c r="AT94" s="102">
        <f>IF(SUM($F92:AT92)-SUM($F93:AT93)&lt;0,0,SUM($F92:AT92)-SUM($F93:AT93))</f>
        <v>0</v>
      </c>
      <c r="AU94" s="102">
        <f>IF(SUM($F92:AU92)-SUM($F93:AU93)&lt;0,0,SUM($F92:AU92)-SUM($F93:AU93))</f>
        <v>0</v>
      </c>
      <c r="AV94" s="102">
        <f>IF(SUM($F92:AV92)-SUM($F93:AV93)&lt;0,0,SUM($F92:AV92)-SUM($F93:AV93))</f>
        <v>0</v>
      </c>
      <c r="AW94" s="102">
        <f>IF(SUM($F92:AW92)-SUM($F93:AW93)&lt;0,0,SUM($F92:AW92)-SUM($F93:AW93))</f>
        <v>0</v>
      </c>
      <c r="AX94" s="102">
        <f>IF(SUM($F92:AX92)-SUM($F93:AX93)&lt;0,0,SUM($F92:AX92)-SUM($F93:AX93))</f>
        <v>0</v>
      </c>
      <c r="AY94" s="102">
        <f>IF(SUM($F92:AY92)-SUM($F93:AY93)&lt;0,0,SUM($F92:AY92)-SUM($F93:AY93))</f>
        <v>0</v>
      </c>
      <c r="AZ94" s="102">
        <f>IF(SUM($F92:AZ92)-SUM($F93:AZ93)&lt;0,0,SUM($F92:AZ92)-SUM($F93:AZ93))</f>
        <v>0</v>
      </c>
      <c r="BA94" s="102">
        <f>IF(SUM($F92:BA92)-SUM($F93:BA93)&lt;0,0,SUM($F92:BA92)-SUM($F93:BA93))</f>
        <v>0</v>
      </c>
      <c r="BB94" s="102">
        <f>IF(SUM($F92:BB92)-SUM($F93:BB93)&lt;0,0,SUM($F92:BB92)-SUM($F93:BB93))</f>
        <v>0</v>
      </c>
      <c r="BC94" s="102">
        <f>IF(SUM($F92:BC92)-SUM($F93:BC93)&lt;0,0,SUM($F92:BC92)-SUM($F93:BC93))</f>
        <v>8276.7193999999909</v>
      </c>
      <c r="BD94" s="102">
        <f>IF(SUM($F92:BD92)-SUM($F93:BD93)&lt;0,0,SUM($F92:BD92)-SUM($F93:BD93))</f>
        <v>29308.442570000054</v>
      </c>
      <c r="BE94" s="102">
        <f>IF(SUM($F92:BE92)-SUM($F93:BE93)&lt;0,0,SUM($F92:BE92)-SUM($F93:BE93))</f>
        <v>32879.010470000008</v>
      </c>
      <c r="BF94" s="102">
        <f>IF(SUM($F92:BF92)-SUM($F93:BF93)&lt;0,0,SUM($F92:BF92)-SUM($F93:BF93))</f>
        <v>39160.34546000004</v>
      </c>
      <c r="BG94" s="102">
        <f>IF(SUM($F92:BG92)-SUM($F93:BG93)&lt;0,0,SUM($F92:BG92)-SUM($F93:BG93))</f>
        <v>42729.345359999978</v>
      </c>
      <c r="BH94" s="102">
        <f>IF(SUM($F92:BH92)-SUM($F93:BH93)&lt;0,0,SUM($F92:BH92)-SUM($F93:BH93))</f>
        <v>46157.201119999983</v>
      </c>
      <c r="BI94" s="102">
        <f>IF(SUM($F92:BI92)-SUM($F93:BI93)&lt;0,0,SUM($F92:BI92)-SUM($F93:BI93))</f>
        <v>49551.64671999999</v>
      </c>
      <c r="BJ94" s="102">
        <f>IF(SUM($F92:BJ92)-SUM($F93:BJ93)&lt;0,0,SUM($F92:BJ92)-SUM($F93:BJ93))</f>
        <v>52124.734720000037</v>
      </c>
      <c r="BK94" s="102">
        <f>IF(SUM($F92:BK92)-SUM($F93:BK93)&lt;0,0,SUM($F92:BK92)-SUM($F93:BK93))</f>
        <v>54697.822719999996</v>
      </c>
      <c r="BL94" s="102">
        <f>IF(SUM($F92:BL92)-SUM($F93:BL93)&lt;0,0,SUM($F92:BL92)-SUM($F93:BL93))</f>
        <v>57261.307700000005</v>
      </c>
      <c r="BM94" s="102">
        <f>IF(SUM($F92:BM92)-SUM($F93:BM93)&lt;0,0,SUM($F92:BM92)-SUM($F93:BM93))</f>
        <v>59971.097499999974</v>
      </c>
      <c r="BN94" s="102">
        <f>IF(SUM($F92:BN92)-SUM($F93:BN93)&lt;0,0,SUM($F92:BN92)-SUM($F93:BN93))</f>
        <v>61686.489499999967</v>
      </c>
      <c r="BO94" s="102">
        <f>IF(SUM($F92:BO92)-SUM($F93:BO93)&lt;0,0,SUM($F92:BO92)-SUM($F93:BO93))</f>
        <v>63401.881500000018</v>
      </c>
      <c r="BP94" s="102">
        <f>IF(SUM($F92:BP92)-SUM($F93:BP93)&lt;0,0,SUM($F92:BP92)-SUM($F93:BP93))</f>
        <v>65117.27350000001</v>
      </c>
      <c r="BQ94" s="102">
        <f>IF(SUM($F92:BQ92)-SUM($F93:BQ93)&lt;0,0,SUM($F92:BQ92)-SUM($F93:BQ93))</f>
        <v>66832.665500000003</v>
      </c>
      <c r="BR94" s="102">
        <f>IF(SUM($F92:BR92)-SUM($F93:BR93)&lt;0,0,SUM($F92:BR92)-SUM($F93:BR93))</f>
        <v>68548.057499999995</v>
      </c>
      <c r="BS94" s="102">
        <f>IF(SUM($F92:BS92)-SUM($F93:BS93)&lt;0,0,SUM($F92:BS92)-SUM($F93:BS93))</f>
        <v>70263.449499999988</v>
      </c>
      <c r="BT94" s="102">
        <f>IF(SUM($F92:BT92)-SUM($F93:BT93)&lt;0,0,SUM($F92:BT92)-SUM($F93:BT93))</f>
        <v>71974.774500000058</v>
      </c>
      <c r="BU94" s="102">
        <f>IF(SUM($F92:BU92)-SUM($F93:BU93)&lt;0,0,SUM($F92:BU92)-SUM($F93:BU93))</f>
        <v>73125.07890000008</v>
      </c>
      <c r="BV94" s="102">
        <f>IF(SUM($F92:BV92)-SUM($F93:BV93)&lt;0,0,SUM($F92:BV92)-SUM($F93:BV93))</f>
        <v>74497.392500000075</v>
      </c>
      <c r="BW94" s="102">
        <f>IF(SUM($F92:BW92)-SUM($F93:BW93)&lt;0,0,SUM($F92:BW92)-SUM($F93:BW93))</f>
        <v>75355.088500000071</v>
      </c>
      <c r="BX94" s="102">
        <f>IF(SUM($F92:BX92)-SUM($F93:BX93)&lt;0,0,SUM($F92:BX92)-SUM($F93:BX93))</f>
        <v>76212.784500000067</v>
      </c>
      <c r="BY94" s="102">
        <f>IF(SUM($F92:BY92)-SUM($F93:BY93)&lt;0,0,SUM($F92:BY92)-SUM($F93:BY93))</f>
        <v>77070.480500000063</v>
      </c>
      <c r="BZ94" s="102">
        <f>IF(SUM($F92:BZ92)-SUM($F93:BZ93)&lt;0,0,SUM($F92:BZ92)-SUM($F93:BZ93))</f>
        <v>77928.17650000006</v>
      </c>
      <c r="CA94" s="102">
        <f>IF(SUM($F92:CA92)-SUM($F93:CA93)&lt;0,0,SUM($F92:CA92)-SUM($F93:CA93))</f>
        <v>78785.872500000056</v>
      </c>
      <c r="CB94" s="102">
        <f>IF(SUM($F92:CB92)-SUM($F93:CB93)&lt;0,0,SUM($F92:CB92)-SUM($F93:CB93))</f>
        <v>79643.568500000052</v>
      </c>
      <c r="CC94" s="102">
        <f>IF(SUM($F92:CC92)-SUM($F93:CC93)&lt;0,0,SUM($F92:CC92)-SUM($F93:CC93))</f>
        <v>80501.264500000048</v>
      </c>
      <c r="CD94" s="102">
        <f>IF(SUM($F92:CD92)-SUM($F93:CD93)&lt;0,0,SUM($F92:CD92)-SUM($F93:CD93))</f>
        <v>81015.882100000046</v>
      </c>
      <c r="CE94" s="102">
        <f>IF(SUM($F92:CE92)-SUM($F93:CE93)&lt;0,0,SUM($F92:CE92)-SUM($F93:CE93))</f>
        <v>81530.499700000044</v>
      </c>
    </row>
    <row r="95" spans="1:83">
      <c r="B95" s="12" t="s">
        <v>313</v>
      </c>
      <c r="C95" s="1"/>
      <c r="F95" s="102">
        <f>IF(SUM($F92:F92)-SUM($F93:F93)&lt;0,-SUM($F92:F92)+SUM($F93:F93),0)</f>
        <v>0</v>
      </c>
      <c r="G95" s="102">
        <f>IF(SUM($F92:G92)-SUM($F93:G93)&lt;0,-SUM($F92:G92)+SUM($F93:G93),0)</f>
        <v>0</v>
      </c>
      <c r="H95" s="102">
        <f>IF(SUM($F92:H92)-SUM($F93:H93)&lt;0,-SUM($F92:H92)+SUM($F93:H93),0)</f>
        <v>0</v>
      </c>
      <c r="I95" s="102">
        <f>IF(SUM($F92:I92)-SUM($F93:I93)&lt;0,-SUM($F92:I92)+SUM($F93:I93),0)</f>
        <v>0</v>
      </c>
      <c r="J95" s="102">
        <f>IF(SUM($F92:J92)-SUM($F93:J93)&lt;0,-SUM($F92:J92)+SUM($F93:J93),0)</f>
        <v>0</v>
      </c>
      <c r="K95" s="102">
        <f>IF(SUM($F92:K92)-SUM($F93:K93)&lt;0,-SUM($F92:K92)+SUM($F93:K93),0)</f>
        <v>0</v>
      </c>
      <c r="L95" s="102">
        <f>IF(SUM($F92:L92)-SUM($F93:L93)&lt;0,-SUM($F92:L92)+SUM($F93:L93),0)</f>
        <v>0</v>
      </c>
      <c r="M95" s="102">
        <f>IF(SUM($F92:M92)-SUM($F93:M93)&lt;0,-SUM($F92:M92)+SUM($F93:M93),0)</f>
        <v>0</v>
      </c>
      <c r="N95" s="102">
        <f>IF(SUM($F92:N92)-SUM($F93:N93)&lt;0,-SUM($F92:N92)+SUM($F93:N93),0)</f>
        <v>0</v>
      </c>
      <c r="O95" s="102">
        <f>IF(SUM($F92:O92)-SUM($F93:O93)&lt;0,-SUM($F92:O92)+SUM($F93:O93),0)</f>
        <v>0</v>
      </c>
      <c r="P95" s="102">
        <f>IF(SUM($F92:P92)-SUM($F93:P93)&lt;0,-SUM($F92:P92)+SUM($F93:P93),0)</f>
        <v>0</v>
      </c>
      <c r="Q95" s="102">
        <f>IF(SUM($F92:Q92)-SUM($F93:Q93)&lt;0,-SUM($F92:Q92)+SUM($F93:Q93),0)</f>
        <v>0</v>
      </c>
      <c r="R95" s="102">
        <f>IF(SUM($F92:R92)-SUM($F93:R93)&lt;0,-SUM($F92:R92)+SUM($F93:R93),0)</f>
        <v>0</v>
      </c>
      <c r="S95" s="102">
        <f>IF(SUM($F92:S92)-SUM($F93:S93)&lt;0,-SUM($F92:S92)+SUM($F93:S93),0)</f>
        <v>0</v>
      </c>
      <c r="T95" s="102">
        <f>IF(SUM($F92:T92)-SUM($F93:T93)&lt;0,-SUM($F92:T92)+SUM($F93:T93),0)</f>
        <v>68.599999999999966</v>
      </c>
      <c r="U95" s="102">
        <f>IF(SUM($F92:U92)-SUM($F93:U93)&lt;0,-SUM($F92:U92)+SUM($F93:U93),0)</f>
        <v>137.19999999999993</v>
      </c>
      <c r="V95" s="102">
        <f>IF(SUM($F92:V92)-SUM($F93:V93)&lt;0,-SUM($F92:V92)+SUM($F93:V93),0)</f>
        <v>205.7999999999999</v>
      </c>
      <c r="W95" s="102">
        <f>IF(SUM($F92:W92)-SUM($F93:W93)&lt;0,-SUM($F92:W92)+SUM($F93:W93),0)</f>
        <v>49274.400000000001</v>
      </c>
      <c r="X95" s="102">
        <f>IF(SUM($F92:X92)-SUM($F93:X93)&lt;0,-SUM($F92:X92)+SUM($F93:X93),0)</f>
        <v>49853.383999999969</v>
      </c>
      <c r="Y95" s="102">
        <f>IF(SUM($F92:Y92)-SUM($F93:Y93)&lt;0,-SUM($F92:Y92)+SUM($F93:Y93),0)</f>
        <v>49669.767999999967</v>
      </c>
      <c r="Z95" s="102">
        <f>IF(SUM($F92:Z92)-SUM($F93:Z93)&lt;0,-SUM($F92:Z92)+SUM($F93:Z93),0)</f>
        <v>49486.151999999965</v>
      </c>
      <c r="AA95" s="102">
        <f>IF(SUM($F92:AA92)-SUM($F93:AA93)&lt;0,-SUM($F92:AA92)+SUM($F93:AA93),0)</f>
        <v>49318.029799999968</v>
      </c>
      <c r="AB95" s="102">
        <f>IF(SUM($F92:AB92)-SUM($F93:AB93)&lt;0,-SUM($F92:AB92)+SUM($F93:AB93),0)</f>
        <v>49161.76559999997</v>
      </c>
      <c r="AC95" s="102">
        <f>IF(SUM($F92:AC92)-SUM($F93:AC93)&lt;0,-SUM($F92:AC92)+SUM($F93:AC93),0)</f>
        <v>49044.701399999969</v>
      </c>
      <c r="AD95" s="102">
        <f>IF(SUM($F92:AD92)-SUM($F93:AD93)&lt;0,-SUM($F92:AD92)+SUM($F93:AD93),0)</f>
        <v>48935.771199999966</v>
      </c>
      <c r="AE95" s="102">
        <f>IF(SUM($F92:AE92)-SUM($F93:AE93)&lt;0,-SUM($F92:AE92)+SUM($F93:AE93),0)</f>
        <v>48947.420199999964</v>
      </c>
      <c r="AF95" s="102">
        <f>IF(SUM($F92:AF92)-SUM($F93:AF93)&lt;0,-SUM($F92:AF92)+SUM($F93:AF93),0)</f>
        <v>50415.300199999961</v>
      </c>
      <c r="AG95" s="102">
        <f>IF(SUM($F92:AG92)-SUM($F93:AG93)&lt;0,-SUM($F92:AG92)+SUM($F93:AG93),0)</f>
        <v>50184.80919999996</v>
      </c>
      <c r="AH95" s="102">
        <f>IF(SUM($F92:AH92)-SUM($F93:AH93)&lt;0,-SUM($F92:AH92)+SUM($F93:AH93),0)</f>
        <v>49853.788199999959</v>
      </c>
      <c r="AI95" s="102">
        <f>IF(SUM($F92:AI92)-SUM($F93:AI93)&lt;0,-SUM($F92:AI92)+SUM($F93:AI93),0)</f>
        <v>49551.726199999961</v>
      </c>
      <c r="AJ95" s="102">
        <f>IF(SUM($F92:AJ92)-SUM($F93:AJ93)&lt;0,-SUM($F92:AJ92)+SUM($F93:AJ93),0)</f>
        <v>49128.65219999996</v>
      </c>
      <c r="AK95" s="102">
        <f>IF(SUM($F92:AK92)-SUM($F93:AK93)&lt;0,-SUM($F92:AK92)+SUM($F93:AK93),0)</f>
        <v>50803.941199999957</v>
      </c>
      <c r="AL95" s="102">
        <f>IF(SUM($F92:AL92)-SUM($F93:AL93)&lt;0,-SUM($F92:AL92)+SUM($F93:AL93),0)</f>
        <v>52776.482199999962</v>
      </c>
      <c r="AM95" s="102">
        <f>IF(SUM($F92:AM92)-SUM($F93:AM93)&lt;0,-SUM($F92:AM92)+SUM($F93:AM93),0)</f>
        <v>54878.02719999996</v>
      </c>
      <c r="AN95" s="102">
        <f>IF(SUM($F92:AN92)-SUM($F93:AN93)&lt;0,-SUM($F92:AN92)+SUM($F93:AN93),0)</f>
        <v>59435.795199999971</v>
      </c>
      <c r="AO95" s="102">
        <f>IF(SUM($F92:AO92)-SUM($F93:AO93)&lt;0,-SUM($F92:AO92)+SUM($F93:AO93),0)</f>
        <v>67524.815199999968</v>
      </c>
      <c r="AP95" s="102">
        <f>IF(SUM($F92:AP92)-SUM($F93:AP93)&lt;0,-SUM($F92:AP92)+SUM($F93:AP93),0)</f>
        <v>76536.19819999997</v>
      </c>
      <c r="AQ95" s="102">
        <f>IF(SUM($F92:AQ92)-SUM($F93:AQ93)&lt;0,-SUM($F92:AQ92)+SUM($F93:AQ93),0)</f>
        <v>82794.779199999961</v>
      </c>
      <c r="AR95" s="102">
        <f>IF(SUM($F92:AR92)-SUM($F93:AR93)&lt;0,-SUM($F92:AR92)+SUM($F93:AR93),0)</f>
        <v>85302.165199999959</v>
      </c>
      <c r="AS95" s="102">
        <f>IF(SUM($F92:AS92)-SUM($F93:AS93)&lt;0,-SUM($F92:AS92)+SUM($F93:AS93),0)</f>
        <v>87521.28919999997</v>
      </c>
      <c r="AT95" s="102">
        <f>IF(SUM($F92:AT92)-SUM($F93:AT93)&lt;0,-SUM($F92:AT92)+SUM($F93:AT93),0)</f>
        <v>87751.405199999965</v>
      </c>
      <c r="AU95" s="102">
        <f>IF(SUM($F92:AU92)-SUM($F93:AU93)&lt;0,-SUM($F92:AU92)+SUM($F93:AU93),0)</f>
        <v>88226.913199999981</v>
      </c>
      <c r="AV95" s="102">
        <f>IF(SUM($F92:AV92)-SUM($F93:AV93)&lt;0,-SUM($F92:AV92)+SUM($F93:AV93),0)</f>
        <v>84274.208389999985</v>
      </c>
      <c r="AW95" s="102">
        <f>IF(SUM($F92:AW92)-SUM($F93:AW93)&lt;0,-SUM($F92:AW92)+SUM($F93:AW93),0)</f>
        <v>80176.473479999971</v>
      </c>
      <c r="AX95" s="102">
        <f>IF(SUM($F92:AX92)-SUM($F93:AX93)&lt;0,-SUM($F92:AX92)+SUM($F93:AX93),0)</f>
        <v>72828.274569999994</v>
      </c>
      <c r="AY95" s="102">
        <f>IF(SUM($F92:AY92)-SUM($F93:AY93)&lt;0,-SUM($F92:AY92)+SUM($F93:AY93),0)</f>
        <v>63209.611659999988</v>
      </c>
      <c r="AZ95" s="102">
        <f>IF(SUM($F92:AZ92)-SUM($F93:AZ93)&lt;0,-SUM($F92:AZ92)+SUM($F93:AZ93),0)</f>
        <v>50741.965760000006</v>
      </c>
      <c r="BA95" s="102">
        <f>IF(SUM($F92:BA92)-SUM($F93:BA93)&lt;0,-SUM($F92:BA92)+SUM($F93:BA93),0)</f>
        <v>33725.319960000015</v>
      </c>
      <c r="BB95" s="102">
        <f>IF(SUM($F92:BB92)-SUM($F93:BB93)&lt;0,-SUM($F92:BB92)+SUM($F93:BB93),0)</f>
        <v>16056.532180000038</v>
      </c>
      <c r="BC95" s="102">
        <f>IF(SUM($F92:BC92)-SUM($F93:BC93)&lt;0,-SUM($F92:BC92)+SUM($F93:BC93),0)</f>
        <v>0</v>
      </c>
      <c r="BD95" s="102">
        <f>IF(SUM($F92:BD92)-SUM($F93:BD93)&lt;0,-SUM($F92:BD92)+SUM($F93:BD93),0)</f>
        <v>0</v>
      </c>
      <c r="BE95" s="102">
        <f>IF(SUM($F92:BE92)-SUM($F93:BE93)&lt;0,-SUM($F92:BE92)+SUM($F93:BE93),0)</f>
        <v>0</v>
      </c>
      <c r="BF95" s="102">
        <f>IF(SUM($F92:BF92)-SUM($F93:BF93)&lt;0,-SUM($F92:BF92)+SUM($F93:BF93),0)</f>
        <v>0</v>
      </c>
      <c r="BG95" s="102">
        <f>IF(SUM($F92:BG92)-SUM($F93:BG93)&lt;0,-SUM($F92:BG92)+SUM($F93:BG93),0)</f>
        <v>0</v>
      </c>
      <c r="BH95" s="102">
        <f>IF(SUM($F92:BH92)-SUM($F93:BH93)&lt;0,-SUM($F92:BH92)+SUM($F93:BH93),0)</f>
        <v>0</v>
      </c>
      <c r="BI95" s="102">
        <f>IF(SUM($F92:BI92)-SUM($F93:BI93)&lt;0,-SUM($F92:BI92)+SUM($F93:BI93),0)</f>
        <v>0</v>
      </c>
      <c r="BJ95" s="102">
        <f>IF(SUM($F92:BJ92)-SUM($F93:BJ93)&lt;0,-SUM($F92:BJ92)+SUM($F93:BJ93),0)</f>
        <v>0</v>
      </c>
      <c r="BK95" s="102">
        <f>IF(SUM($F92:BK92)-SUM($F93:BK93)&lt;0,-SUM($F92:BK92)+SUM($F93:BK93),0)</f>
        <v>0</v>
      </c>
      <c r="BL95" s="102">
        <f>IF(SUM($F92:BL92)-SUM($F93:BL93)&lt;0,-SUM($F92:BL92)+SUM($F93:BL93),0)</f>
        <v>0</v>
      </c>
      <c r="BM95" s="102">
        <f>IF(SUM($F92:BM92)-SUM($F93:BM93)&lt;0,-SUM($F92:BM92)+SUM($F93:BM93),0)</f>
        <v>0</v>
      </c>
      <c r="BN95" s="102">
        <f>IF(SUM($F92:BN92)-SUM($F93:BN93)&lt;0,-SUM($F92:BN92)+SUM($F93:BN93),0)</f>
        <v>0</v>
      </c>
      <c r="BO95" s="102">
        <f>IF(SUM($F92:BO92)-SUM($F93:BO93)&lt;0,-SUM($F92:BO92)+SUM($F93:BO93),0)</f>
        <v>0</v>
      </c>
      <c r="BP95" s="102">
        <f>IF(SUM($F92:BP92)-SUM($F93:BP93)&lt;0,-SUM($F92:BP92)+SUM($F93:BP93),0)</f>
        <v>0</v>
      </c>
      <c r="BQ95" s="102">
        <f>IF(SUM($F92:BQ92)-SUM($F93:BQ93)&lt;0,-SUM($F92:BQ92)+SUM($F93:BQ93),0)</f>
        <v>0</v>
      </c>
      <c r="BR95" s="102">
        <f>IF(SUM($F92:BR92)-SUM($F93:BR93)&lt;0,-SUM($F92:BR92)+SUM($F93:BR93),0)</f>
        <v>0</v>
      </c>
      <c r="BS95" s="102">
        <f>IF(SUM($F92:BS92)-SUM($F93:BS93)&lt;0,-SUM($F92:BS92)+SUM($F93:BS93),0)</f>
        <v>0</v>
      </c>
      <c r="BT95" s="102">
        <f>IF(SUM($F92:BT92)-SUM($F93:BT93)&lt;0,-SUM($F92:BT92)+SUM($F93:BT93),0)</f>
        <v>0</v>
      </c>
      <c r="BU95" s="102">
        <f>IF(SUM($F92:BU92)-SUM($F93:BU93)&lt;0,-SUM($F92:BU92)+SUM($F93:BU93),0)</f>
        <v>0</v>
      </c>
      <c r="BV95" s="102">
        <f>IF(SUM($F92:BV92)-SUM($F93:BV93)&lt;0,-SUM($F92:BV92)+SUM($F93:BV93),0)</f>
        <v>0</v>
      </c>
      <c r="BW95" s="102">
        <f>IF(SUM($F92:BW92)-SUM($F93:BW93)&lt;0,-SUM($F92:BW92)+SUM($F93:BW93),0)</f>
        <v>0</v>
      </c>
      <c r="BX95" s="102">
        <f>IF(SUM($F92:BX92)-SUM($F93:BX93)&lt;0,-SUM($F92:BX92)+SUM($F93:BX93),0)</f>
        <v>0</v>
      </c>
      <c r="BY95" s="102">
        <f>IF(SUM($F92:BY92)-SUM($F93:BY93)&lt;0,-SUM($F92:BY92)+SUM($F93:BY93),0)</f>
        <v>0</v>
      </c>
      <c r="BZ95" s="102">
        <f>IF(SUM($F92:BZ92)-SUM($F93:BZ93)&lt;0,-SUM($F92:BZ92)+SUM($F93:BZ93),0)</f>
        <v>0</v>
      </c>
      <c r="CA95" s="102">
        <f>IF(SUM($F92:CA92)-SUM($F93:CA93)&lt;0,-SUM($F92:CA92)+SUM($F93:CA93),0)</f>
        <v>0</v>
      </c>
      <c r="CB95" s="102">
        <f>IF(SUM($F92:CB92)-SUM($F93:CB93)&lt;0,-SUM($F92:CB92)+SUM($F93:CB93),0)</f>
        <v>0</v>
      </c>
      <c r="CC95" s="102">
        <f>IF(SUM($F92:CC92)-SUM($F93:CC93)&lt;0,-SUM($F92:CC92)+SUM($F93:CC93),0)</f>
        <v>0</v>
      </c>
      <c r="CD95" s="102">
        <f>IF(SUM($F92:CD92)-SUM($F93:CD93)&lt;0,-SUM($F92:CD92)+SUM($F93:CD93),0)</f>
        <v>0</v>
      </c>
      <c r="CE95" s="102">
        <f>IF(SUM($F92:CE92)-SUM($F93:CE93)&lt;0,-SUM($F92:CE92)+SUM($F93:CE93),0)</f>
        <v>0</v>
      </c>
    </row>
    <row r="96" spans="1:83"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2"/>
      <c r="BQ96" s="102"/>
      <c r="BR96" s="102"/>
      <c r="BS96" s="102"/>
      <c r="BT96" s="102"/>
      <c r="BU96" s="102"/>
      <c r="BV96" s="102"/>
      <c r="BW96" s="102"/>
      <c r="BX96" s="102"/>
      <c r="BY96" s="102"/>
      <c r="BZ96" s="102"/>
      <c r="CA96" s="102"/>
      <c r="CB96" s="102"/>
      <c r="CC96" s="102"/>
      <c r="CD96" s="102"/>
      <c r="CE96" s="102"/>
    </row>
    <row r="97" spans="1:83"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5"/>
      <c r="BC97" s="15"/>
      <c r="BD97" s="15"/>
      <c r="BE97" s="15"/>
    </row>
    <row r="98" spans="1:83">
      <c r="A98" s="12" t="s">
        <v>302</v>
      </c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5"/>
      <c r="BC98" s="15"/>
      <c r="BD98" s="15"/>
      <c r="BE98" s="15"/>
    </row>
    <row r="99" spans="1:83">
      <c r="B99" t="s">
        <v>303</v>
      </c>
      <c r="F99" s="102">
        <f>+'P&amp;L Month'!H113</f>
        <v>0</v>
      </c>
      <c r="G99" s="102">
        <f>+'P&amp;L Month'!I113</f>
        <v>0</v>
      </c>
      <c r="H99" s="102">
        <f>+'P&amp;L Month'!J113</f>
        <v>0</v>
      </c>
      <c r="I99" s="102">
        <f>+'P&amp;L Month'!K113</f>
        <v>0</v>
      </c>
      <c r="J99" s="102">
        <f>+'P&amp;L Month'!L113</f>
        <v>0</v>
      </c>
      <c r="K99" s="102">
        <f>+'P&amp;L Month'!M113</f>
        <v>0</v>
      </c>
      <c r="L99" s="102">
        <f>+'P&amp;L Month'!N113</f>
        <v>0</v>
      </c>
      <c r="M99" s="102">
        <f>+'P&amp;L Month'!O113</f>
        <v>0</v>
      </c>
      <c r="N99" s="102">
        <f>+'P&amp;L Month'!P113</f>
        <v>0</v>
      </c>
      <c r="O99" s="102">
        <f>+'P&amp;L Month'!Q113</f>
        <v>0</v>
      </c>
      <c r="P99" s="102">
        <f>+'P&amp;L Month'!R113</f>
        <v>0</v>
      </c>
      <c r="Q99" s="102">
        <f>+'P&amp;L Month'!S113</f>
        <v>0</v>
      </c>
      <c r="R99" s="102">
        <f>+'P&amp;L Month'!T113</f>
        <v>0</v>
      </c>
      <c r="S99" s="102">
        <f>+'P&amp;L Month'!U113</f>
        <v>0</v>
      </c>
      <c r="T99" s="102">
        <f>+'P&amp;L Month'!V113</f>
        <v>0</v>
      </c>
      <c r="U99" s="102">
        <f>+'P&amp;L Month'!W113</f>
        <v>0</v>
      </c>
      <c r="V99" s="102">
        <f>+'P&amp;L Month'!X113</f>
        <v>0</v>
      </c>
      <c r="W99" s="102">
        <f>+'P&amp;L Month'!Y113</f>
        <v>0</v>
      </c>
      <c r="X99" s="102">
        <f>+'P&amp;L Month'!Z113</f>
        <v>0</v>
      </c>
      <c r="Y99" s="102">
        <f>+'P&amp;L Month'!AA113</f>
        <v>0</v>
      </c>
      <c r="Z99" s="102">
        <f>+'P&amp;L Month'!AB113</f>
        <v>0</v>
      </c>
      <c r="AA99" s="102">
        <f>+'P&amp;L Month'!AC113</f>
        <v>0</v>
      </c>
      <c r="AB99" s="102">
        <f>+'P&amp;L Month'!AD113</f>
        <v>0</v>
      </c>
      <c r="AC99" s="102">
        <f>+'P&amp;L Month'!AE113</f>
        <v>0</v>
      </c>
      <c r="AD99" s="102">
        <f>+'P&amp;L Month'!AF113</f>
        <v>0</v>
      </c>
      <c r="AE99" s="102">
        <f>+'P&amp;L Month'!AG113</f>
        <v>0</v>
      </c>
      <c r="AF99" s="102">
        <f>+'P&amp;L Month'!AH113</f>
        <v>0</v>
      </c>
      <c r="AG99" s="102">
        <f>+'P&amp;L Month'!AI113</f>
        <v>0</v>
      </c>
      <c r="AH99" s="102">
        <f>+'P&amp;L Month'!AJ113</f>
        <v>0</v>
      </c>
      <c r="AI99" s="102">
        <f>+'P&amp;L Month'!AK113</f>
        <v>0</v>
      </c>
      <c r="AJ99" s="102">
        <f>+'P&amp;L Month'!AL113</f>
        <v>0</v>
      </c>
      <c r="AK99" s="102">
        <f>+'P&amp;L Month'!AM113</f>
        <v>0</v>
      </c>
      <c r="AL99" s="102">
        <f>+'P&amp;L Month'!AN113</f>
        <v>0</v>
      </c>
      <c r="AM99" s="102">
        <f>+'P&amp;L Month'!AO113</f>
        <v>0</v>
      </c>
      <c r="AN99" s="102">
        <f>+'P&amp;L Month'!AP113</f>
        <v>0</v>
      </c>
      <c r="AO99" s="102">
        <f>+'P&amp;L Month'!AQ113</f>
        <v>0</v>
      </c>
      <c r="AP99" s="102">
        <f>+'P&amp;L Month'!AR113</f>
        <v>0</v>
      </c>
      <c r="AQ99" s="102">
        <f>+'P&amp;L Month'!AS113</f>
        <v>0</v>
      </c>
      <c r="AR99" s="102">
        <f>+'P&amp;L Month'!AT113</f>
        <v>0</v>
      </c>
      <c r="AS99" s="102">
        <f>+'P&amp;L Month'!AU113</f>
        <v>0</v>
      </c>
      <c r="AT99" s="102">
        <f>+'P&amp;L Month'!AV113</f>
        <v>0</v>
      </c>
      <c r="AU99" s="102">
        <f>+'P&amp;L Month'!AW113</f>
        <v>0</v>
      </c>
      <c r="AV99" s="102">
        <f>+'P&amp;L Month'!AX113</f>
        <v>0</v>
      </c>
      <c r="AW99" s="102">
        <f>+'P&amp;L Month'!AY113</f>
        <v>0</v>
      </c>
      <c r="AX99" s="102">
        <f>+'P&amp;L Month'!AZ113</f>
        <v>0</v>
      </c>
      <c r="AY99" s="102">
        <f>+'P&amp;L Month'!BA113</f>
        <v>0</v>
      </c>
      <c r="AZ99" s="102">
        <f>+'P&amp;L Month'!BB113</f>
        <v>0</v>
      </c>
      <c r="BA99" s="102">
        <f>+'P&amp;L Month'!BC113</f>
        <v>0</v>
      </c>
      <c r="BB99" s="102">
        <f>+'P&amp;L Month'!BD113</f>
        <v>0</v>
      </c>
      <c r="BC99" s="102">
        <f>+'P&amp;L Month'!BE113</f>
        <v>0</v>
      </c>
      <c r="BD99" s="102">
        <f>+'P&amp;L Month'!BF113</f>
        <v>0</v>
      </c>
      <c r="BE99" s="102">
        <f>+'P&amp;L Month'!BG113</f>
        <v>0</v>
      </c>
      <c r="BF99" s="102">
        <f>+'P&amp;L Month'!BH113</f>
        <v>0</v>
      </c>
      <c r="BG99" s="102">
        <f>+'P&amp;L Month'!BI113</f>
        <v>0</v>
      </c>
      <c r="BH99" s="102">
        <f>+'P&amp;L Month'!BJ113</f>
        <v>0</v>
      </c>
      <c r="BI99" s="102">
        <f>+'P&amp;L Month'!BK113</f>
        <v>0</v>
      </c>
      <c r="BJ99" s="102">
        <f>+'P&amp;L Month'!BL113</f>
        <v>0</v>
      </c>
      <c r="BK99" s="102">
        <f>+'P&amp;L Month'!BM113</f>
        <v>0</v>
      </c>
      <c r="BL99" s="102">
        <f>+'P&amp;L Month'!BN113</f>
        <v>0</v>
      </c>
      <c r="BM99" s="102">
        <f>+'P&amp;L Month'!BO113</f>
        <v>0</v>
      </c>
      <c r="BN99" s="102">
        <f>+'P&amp;L Month'!BP113</f>
        <v>0</v>
      </c>
      <c r="BO99" s="102">
        <f>+'P&amp;L Month'!BQ113</f>
        <v>0</v>
      </c>
      <c r="BP99" s="102">
        <f>+'P&amp;L Month'!BR113</f>
        <v>0</v>
      </c>
      <c r="BQ99" s="102">
        <f>+'P&amp;L Month'!BS113</f>
        <v>0</v>
      </c>
      <c r="BR99" s="102">
        <f>+'P&amp;L Month'!BT113</f>
        <v>0</v>
      </c>
      <c r="BS99" s="102">
        <f>+'P&amp;L Month'!BU113</f>
        <v>0</v>
      </c>
      <c r="BT99" s="102">
        <f>+'P&amp;L Month'!BV113</f>
        <v>4063.4187417499384</v>
      </c>
      <c r="BU99" s="102">
        <f>+'P&amp;L Month'!BW113</f>
        <v>26850.593238166108</v>
      </c>
      <c r="BV99" s="102">
        <f>+'P&amp;L Month'!BX113</f>
        <v>27411.780120766089</v>
      </c>
      <c r="BW99" s="102">
        <f>+'P&amp;L Month'!BY113</f>
        <v>27972.967003366102</v>
      </c>
      <c r="BX99" s="102">
        <f>+'P&amp;L Month'!BZ113</f>
        <v>28534.153885966094</v>
      </c>
      <c r="BY99" s="102">
        <f>+'P&amp;L Month'!CA113</f>
        <v>29095.340768566122</v>
      </c>
      <c r="BZ99" s="102">
        <f>+'P&amp;L Month'!CB113</f>
        <v>29092.922894367075</v>
      </c>
      <c r="CA99" s="102">
        <f>+'P&amp;L Month'!CC113</f>
        <v>29668.163760447089</v>
      </c>
      <c r="CB99" s="102">
        <f>+'P&amp;L Month'!CD113</f>
        <v>30264.485601747059</v>
      </c>
      <c r="CC99" s="102">
        <f>+'P&amp;L Month'!CE113</f>
        <v>30608.224723047053</v>
      </c>
      <c r="CD99" s="102">
        <f>+'P&amp;L Month'!CF113</f>
        <v>30951.963844347047</v>
      </c>
      <c r="CE99" s="102">
        <f>+'P&amp;L Month'!CG113</f>
        <v>31421.994325647072</v>
      </c>
    </row>
    <row r="100" spans="1:83">
      <c r="B100" t="s">
        <v>304</v>
      </c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>
        <f>SUM(F99:Q99)/4</f>
        <v>0</v>
      </c>
      <c r="U100" s="102">
        <f>SUM(F99:Q99)-H100-K100-N100-Q100</f>
        <v>0</v>
      </c>
      <c r="V100" s="102"/>
      <c r="W100" s="102">
        <f>+T100</f>
        <v>0</v>
      </c>
      <c r="X100" s="102"/>
      <c r="Y100" s="102"/>
      <c r="Z100" s="102">
        <f>+T100</f>
        <v>0</v>
      </c>
      <c r="AA100" s="102"/>
      <c r="AB100" s="102"/>
      <c r="AC100" s="102">
        <f>+T100</f>
        <v>0</v>
      </c>
      <c r="AD100" s="102"/>
      <c r="AE100" s="102"/>
      <c r="AF100" s="102">
        <f>SUM(R99:AC99)/4</f>
        <v>0</v>
      </c>
      <c r="AG100" s="102">
        <f>SUM(R99:AC99)-T100-W100-Z100-AC100</f>
        <v>0</v>
      </c>
      <c r="AH100" s="102"/>
      <c r="AI100" s="102">
        <f>+AF100</f>
        <v>0</v>
      </c>
      <c r="AJ100" s="102"/>
      <c r="AK100" s="102"/>
      <c r="AL100" s="102">
        <f>+AF100</f>
        <v>0</v>
      </c>
      <c r="AM100" s="102"/>
      <c r="AN100" s="102"/>
      <c r="AO100" s="102">
        <f>+AF100</f>
        <v>0</v>
      </c>
      <c r="AP100" s="102"/>
      <c r="AQ100" s="102"/>
      <c r="AR100" s="102">
        <f>SUM(AD99:AO99)/4</f>
        <v>0</v>
      </c>
      <c r="AS100" s="102">
        <f>SUM(AD99:AO99)-AF100-AI100-AL100-AO100</f>
        <v>0</v>
      </c>
      <c r="AT100" s="102"/>
      <c r="AU100" s="102">
        <f>+AR100</f>
        <v>0</v>
      </c>
      <c r="AV100" s="102"/>
      <c r="AW100" s="102"/>
      <c r="AX100" s="102">
        <f>+AR100</f>
        <v>0</v>
      </c>
      <c r="AY100" s="102"/>
      <c r="AZ100" s="102"/>
      <c r="BA100" s="102">
        <f>+AR100</f>
        <v>0</v>
      </c>
      <c r="BB100" s="15"/>
      <c r="BC100" s="15"/>
      <c r="BD100" s="102">
        <f>SUM(AP99:BA99)/4</f>
        <v>0</v>
      </c>
      <c r="BE100" s="102">
        <f>SUM(AP99:BA99)-AR100-AU100-AX100-BA100</f>
        <v>0</v>
      </c>
      <c r="BF100" s="102"/>
      <c r="BG100" s="102">
        <f>+BD100</f>
        <v>0</v>
      </c>
      <c r="BH100" s="102"/>
      <c r="BI100" s="102"/>
      <c r="BJ100" s="102">
        <f>+BD100</f>
        <v>0</v>
      </c>
      <c r="BK100" s="102"/>
      <c r="BL100" s="102"/>
      <c r="BM100" s="102">
        <f>+BD100</f>
        <v>0</v>
      </c>
      <c r="BN100" s="15"/>
      <c r="BO100" s="15"/>
      <c r="BP100" s="102">
        <f>SUM(BB99:BM99)/4</f>
        <v>0</v>
      </c>
      <c r="BQ100" s="102">
        <f>SUM(BB99:BM99)-BD100-BG100-BJ100-BM100</f>
        <v>0</v>
      </c>
      <c r="BR100" s="102"/>
      <c r="BS100" s="102">
        <f>+BP100</f>
        <v>0</v>
      </c>
      <c r="BT100" s="102">
        <f t="shared" ref="BT100:CE100" si="41">+BQ100</f>
        <v>0</v>
      </c>
      <c r="BU100" s="102">
        <f t="shared" si="41"/>
        <v>0</v>
      </c>
      <c r="BV100" s="102">
        <f t="shared" si="41"/>
        <v>0</v>
      </c>
      <c r="BW100" s="102">
        <f t="shared" si="41"/>
        <v>0</v>
      </c>
      <c r="BX100" s="102">
        <f t="shared" si="41"/>
        <v>0</v>
      </c>
      <c r="BY100" s="102">
        <f t="shared" si="41"/>
        <v>0</v>
      </c>
      <c r="BZ100" s="102">
        <f t="shared" si="41"/>
        <v>0</v>
      </c>
      <c r="CA100" s="102">
        <f t="shared" si="41"/>
        <v>0</v>
      </c>
      <c r="CB100" s="102">
        <f t="shared" si="41"/>
        <v>0</v>
      </c>
      <c r="CC100" s="102">
        <f t="shared" si="41"/>
        <v>0</v>
      </c>
      <c r="CD100" s="102">
        <f t="shared" si="41"/>
        <v>0</v>
      </c>
      <c r="CE100" s="102">
        <f t="shared" si="41"/>
        <v>0</v>
      </c>
    </row>
    <row r="101" spans="1:83">
      <c r="B101" t="s">
        <v>305</v>
      </c>
      <c r="F101" s="102">
        <f>SUM($F99:F99)-SUM($F100:F100)</f>
        <v>0</v>
      </c>
      <c r="G101" s="102">
        <f>SUM($F99:G99)-SUM($F100:G100)</f>
        <v>0</v>
      </c>
      <c r="H101" s="102">
        <f>SUM($F99:H99)-SUM($F100:H100)</f>
        <v>0</v>
      </c>
      <c r="I101" s="102">
        <f>SUM($F99:I99)-SUM($F100:I100)</f>
        <v>0</v>
      </c>
      <c r="J101" s="102">
        <f>SUM($F99:J99)-SUM($F100:J100)</f>
        <v>0</v>
      </c>
      <c r="K101" s="102">
        <f>SUM($F99:K99)-SUM($F100:K100)</f>
        <v>0</v>
      </c>
      <c r="L101" s="102">
        <f>SUM($F99:L99)-SUM($F100:L100)</f>
        <v>0</v>
      </c>
      <c r="M101" s="102">
        <f>SUM($F99:M99)-SUM($F100:M100)</f>
        <v>0</v>
      </c>
      <c r="N101" s="102">
        <f>SUM($F99:N99)-SUM($F100:N100)</f>
        <v>0</v>
      </c>
      <c r="O101" s="102">
        <f>SUM($F99:O99)-SUM($F100:O100)</f>
        <v>0</v>
      </c>
      <c r="P101" s="102">
        <f>SUM($F99:P99)-SUM($F100:P100)</f>
        <v>0</v>
      </c>
      <c r="Q101" s="102">
        <f>SUM($F99:Q99)-SUM($F100:Q100)</f>
        <v>0</v>
      </c>
      <c r="R101" s="102">
        <f>SUM($F99:R99)-SUM($F100:R100)</f>
        <v>0</v>
      </c>
      <c r="S101" s="102">
        <f>SUM($F99:S99)-SUM($F100:S100)</f>
        <v>0</v>
      </c>
      <c r="T101" s="102">
        <f>SUM($F99:T99)-SUM($F100:T100)</f>
        <v>0</v>
      </c>
      <c r="U101" s="102">
        <f>SUM($F99:U99)-SUM($F100:U100)</f>
        <v>0</v>
      </c>
      <c r="V101" s="102">
        <f>SUM($F99:V99)-SUM($F100:V100)</f>
        <v>0</v>
      </c>
      <c r="W101" s="102">
        <f>SUM($F99:W99)-SUM($F100:W100)</f>
        <v>0</v>
      </c>
      <c r="X101" s="102">
        <f>SUM($F99:X99)-SUM($F100:X100)</f>
        <v>0</v>
      </c>
      <c r="Y101" s="102">
        <f>SUM($F99:Y99)-SUM($F100:Y100)</f>
        <v>0</v>
      </c>
      <c r="Z101" s="102">
        <f>SUM($F99:Z99)-SUM($F100:Z100)</f>
        <v>0</v>
      </c>
      <c r="AA101" s="102">
        <f>SUM($F99:AA99)-SUM($F100:AA100)</f>
        <v>0</v>
      </c>
      <c r="AB101" s="102">
        <f>SUM($F99:AB99)-SUM($F100:AB100)</f>
        <v>0</v>
      </c>
      <c r="AC101" s="102">
        <f>SUM($F99:AC99)-SUM($F100:AC100)</f>
        <v>0</v>
      </c>
      <c r="AD101" s="102">
        <f>SUM($F99:AD99)-SUM($F100:AD100)</f>
        <v>0</v>
      </c>
      <c r="AE101" s="102">
        <f>SUM($F99:AE99)-SUM($F100:AE100)</f>
        <v>0</v>
      </c>
      <c r="AF101" s="102">
        <f>SUM($F99:AF99)-SUM($F100:AF100)</f>
        <v>0</v>
      </c>
      <c r="AG101" s="102">
        <f>SUM($F99:AG99)-SUM($F100:AG100)</f>
        <v>0</v>
      </c>
      <c r="AH101" s="102">
        <f>SUM($F99:AH99)-SUM($F100:AH100)</f>
        <v>0</v>
      </c>
      <c r="AI101" s="102">
        <f>SUM($F99:AI99)-SUM($F100:AI100)</f>
        <v>0</v>
      </c>
      <c r="AJ101" s="102">
        <f>SUM($F99:AJ99)-SUM($F100:AJ100)</f>
        <v>0</v>
      </c>
      <c r="AK101" s="102">
        <f>SUM($F99:AK99)-SUM($F100:AK100)</f>
        <v>0</v>
      </c>
      <c r="AL101" s="102">
        <f>SUM($F99:AL99)-SUM($F100:AL100)</f>
        <v>0</v>
      </c>
      <c r="AM101" s="102">
        <f>SUM($F99:AM99)-SUM($F100:AM100)</f>
        <v>0</v>
      </c>
      <c r="AN101" s="102">
        <f>SUM($F99:AN99)-SUM($F100:AN100)</f>
        <v>0</v>
      </c>
      <c r="AO101" s="102">
        <f>SUM($F99:AO99)-SUM($F100:AO100)</f>
        <v>0</v>
      </c>
      <c r="AP101" s="102">
        <f>SUM($F99:AP99)-SUM($F100:AP100)</f>
        <v>0</v>
      </c>
      <c r="AQ101" s="102">
        <f>SUM($F99:AQ99)-SUM($F100:AQ100)</f>
        <v>0</v>
      </c>
      <c r="AR101" s="102">
        <f>SUM($F99:AR99)-SUM($F100:AR100)</f>
        <v>0</v>
      </c>
      <c r="AS101" s="102">
        <f>SUM($F99:AS99)-SUM($F100:AS100)</f>
        <v>0</v>
      </c>
      <c r="AT101" s="102">
        <f>SUM($F99:AT99)-SUM($F100:AT100)</f>
        <v>0</v>
      </c>
      <c r="AU101" s="102">
        <f>SUM($F99:AU99)-SUM($F100:AU100)</f>
        <v>0</v>
      </c>
      <c r="AV101" s="102">
        <f>SUM($F99:AV99)-SUM($F100:AV100)</f>
        <v>0</v>
      </c>
      <c r="AW101" s="102">
        <f>SUM($F99:AW99)-SUM($F100:AW100)</f>
        <v>0</v>
      </c>
      <c r="AX101" s="102">
        <f>SUM($F99:AX99)-SUM($F100:AX100)</f>
        <v>0</v>
      </c>
      <c r="AY101" s="102">
        <f>SUM($F99:AY99)-SUM($F100:AY100)</f>
        <v>0</v>
      </c>
      <c r="AZ101" s="102">
        <f>SUM($F99:AZ99)-SUM($F100:AZ100)</f>
        <v>0</v>
      </c>
      <c r="BA101" s="102">
        <f>SUM($F99:BA99)-SUM($F100:BA100)</f>
        <v>0</v>
      </c>
      <c r="BB101" s="102">
        <f>SUM($F99:BB99)-SUM($F100:BB100)</f>
        <v>0</v>
      </c>
      <c r="BC101" s="102">
        <f>SUM($F99:BC99)-SUM($F100:BC100)</f>
        <v>0</v>
      </c>
      <c r="BD101" s="102">
        <f>SUM($F99:BD99)-SUM($F100:BD100)</f>
        <v>0</v>
      </c>
      <c r="BE101" s="102">
        <f>SUM($F99:BE99)-SUM($F100:BE100)</f>
        <v>0</v>
      </c>
      <c r="BF101" s="102">
        <f>SUM($F99:BF99)-SUM($F100:BF100)</f>
        <v>0</v>
      </c>
      <c r="BG101" s="102">
        <f>SUM($F99:BG99)-SUM($F100:BG100)</f>
        <v>0</v>
      </c>
      <c r="BH101" s="102">
        <f>SUM($F99:BH99)-SUM($F100:BH100)</f>
        <v>0</v>
      </c>
      <c r="BI101" s="102">
        <f>SUM($F99:BI99)-SUM($F100:BI100)</f>
        <v>0</v>
      </c>
      <c r="BJ101" s="102">
        <f>SUM($F99:BJ99)-SUM($F100:BJ100)</f>
        <v>0</v>
      </c>
      <c r="BK101" s="102">
        <f>SUM($F99:BK99)-SUM($F100:BK100)</f>
        <v>0</v>
      </c>
      <c r="BL101" s="102">
        <f>SUM($F99:BL99)-SUM($F100:BL100)</f>
        <v>0</v>
      </c>
      <c r="BM101" s="102">
        <f>SUM($F99:BM99)-SUM($F100:BM100)</f>
        <v>0</v>
      </c>
      <c r="BN101" s="102">
        <f>SUM($F99:BN99)-SUM($F100:BN100)</f>
        <v>0</v>
      </c>
      <c r="BO101" s="102">
        <f>SUM($F99:BO99)-SUM($F100:BO100)</f>
        <v>0</v>
      </c>
      <c r="BP101" s="102">
        <f>SUM($F99:BP99)-SUM($F100:BP100)</f>
        <v>0</v>
      </c>
      <c r="BQ101" s="102">
        <f>SUM($F99:BQ99)-SUM($F100:BQ100)</f>
        <v>0</v>
      </c>
      <c r="BR101" s="102">
        <f>SUM($F99:BR99)-SUM($F100:BR100)</f>
        <v>0</v>
      </c>
      <c r="BS101" s="102">
        <f>SUM($F99:BS99)-SUM($F100:BS100)</f>
        <v>0</v>
      </c>
      <c r="BT101" s="102">
        <f>SUM($F99:BT99)-SUM($F100:BT100)</f>
        <v>4063.4187417499384</v>
      </c>
      <c r="BU101" s="102">
        <f>SUM($F99:BU99)-SUM($F100:BU100)</f>
        <v>30914.011979916046</v>
      </c>
      <c r="BV101" s="102">
        <f>SUM($F99:BV99)-SUM($F100:BV100)</f>
        <v>58325.792100682134</v>
      </c>
      <c r="BW101" s="102">
        <f>SUM($F99:BW99)-SUM($F100:BW100)</f>
        <v>86298.759104048237</v>
      </c>
      <c r="BX101" s="102">
        <f>SUM($F99:BX99)-SUM($F100:BX100)</f>
        <v>114832.91299001433</v>
      </c>
      <c r="BY101" s="102">
        <f>SUM($F99:BY99)-SUM($F100:BY100)</f>
        <v>143928.25375858045</v>
      </c>
      <c r="BZ101" s="102">
        <f>SUM($F99:BZ99)-SUM($F100:BZ100)</f>
        <v>173021.17665294753</v>
      </c>
      <c r="CA101" s="102">
        <f>SUM($F99:CA99)-SUM($F100:CA100)</f>
        <v>202689.34041339462</v>
      </c>
      <c r="CB101" s="102">
        <f>SUM($F99:CB99)-SUM($F100:CB100)</f>
        <v>232953.82601514168</v>
      </c>
      <c r="CC101" s="102">
        <f>SUM($F99:CC99)-SUM($F100:CC100)</f>
        <v>263562.05073818873</v>
      </c>
      <c r="CD101" s="102">
        <f>SUM($F99:CD99)-SUM($F100:CD100)</f>
        <v>294514.01458253578</v>
      </c>
      <c r="CE101" s="102">
        <f>SUM($F99:CE99)-SUM($F100:CE100)</f>
        <v>325936.00890818285</v>
      </c>
    </row>
    <row r="102" spans="1:83"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5"/>
      <c r="BC102" s="15"/>
      <c r="BD102" s="15"/>
      <c r="BE102" s="15"/>
    </row>
    <row r="103" spans="1:83"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5"/>
      <c r="BC103" s="15"/>
      <c r="BD103" s="15"/>
      <c r="BE103" s="15"/>
    </row>
    <row r="104" spans="1:83"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5"/>
      <c r="BC104" s="15"/>
      <c r="BD104" s="15"/>
      <c r="BE104" s="15"/>
    </row>
    <row r="105" spans="1:83"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  <c r="BA105" s="102"/>
      <c r="BB105" s="15"/>
      <c r="BC105" s="15"/>
      <c r="BD105" s="15"/>
      <c r="BE105" s="15"/>
    </row>
    <row r="106" spans="1:83"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  <c r="BA106" s="102"/>
      <c r="BB106" s="15"/>
      <c r="BC106" s="15"/>
      <c r="BD106" s="15"/>
      <c r="BE106" s="15"/>
    </row>
    <row r="107" spans="1:83"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5"/>
      <c r="BC107" s="15"/>
      <c r="BD107" s="15"/>
      <c r="BE107" s="15"/>
    </row>
    <row r="108" spans="1:83"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  <c r="BA108" s="102"/>
      <c r="BB108" s="15"/>
      <c r="BC108" s="15"/>
      <c r="BD108" s="15"/>
      <c r="BE108" s="15"/>
    </row>
    <row r="109" spans="1:83"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5"/>
      <c r="BC109" s="15"/>
      <c r="BD109" s="15"/>
      <c r="BE109" s="15"/>
    </row>
    <row r="110" spans="1:83"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</row>
    <row r="111" spans="1:83"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</row>
    <row r="112" spans="1:83"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</row>
    <row r="113" spans="6:53"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102"/>
      <c r="AU113" s="102"/>
      <c r="AV113" s="102"/>
      <c r="AW113" s="102"/>
      <c r="AX113" s="102"/>
      <c r="AY113" s="102"/>
      <c r="AZ113" s="102"/>
      <c r="BA113" s="102"/>
    </row>
    <row r="114" spans="6:53"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102"/>
      <c r="AU114" s="102"/>
      <c r="AV114" s="102"/>
      <c r="AW114" s="102"/>
      <c r="AX114" s="102"/>
      <c r="AY114" s="102"/>
      <c r="AZ114" s="102"/>
      <c r="BA114" s="102"/>
    </row>
    <row r="115" spans="6:53"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  <c r="AU115" s="102"/>
      <c r="AV115" s="102"/>
      <c r="AW115" s="102"/>
      <c r="AX115" s="102"/>
      <c r="AY115" s="102"/>
      <c r="AZ115" s="102"/>
      <c r="BA115" s="102"/>
    </row>
    <row r="116" spans="6:53"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  <c r="AU116" s="102"/>
      <c r="AV116" s="102"/>
      <c r="AW116" s="102"/>
      <c r="AX116" s="102"/>
      <c r="AY116" s="102"/>
      <c r="AZ116" s="102"/>
      <c r="BA116" s="102"/>
    </row>
    <row r="117" spans="6:53"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  <c r="BA117" s="102"/>
    </row>
    <row r="118" spans="6:53"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  <c r="BA118" s="102"/>
    </row>
    <row r="119" spans="6:53"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J9"/>
  <sheetViews>
    <sheetView workbookViewId="0">
      <selection activeCell="AS7" sqref="AS7"/>
    </sheetView>
  </sheetViews>
  <sheetFormatPr baseColWidth="10" defaultRowHeight="12.75"/>
  <cols>
    <col min="1" max="1" width="7.85546875" customWidth="1"/>
    <col min="2" max="2" width="3.140625" customWidth="1"/>
    <col min="3" max="3" width="9.7109375" customWidth="1"/>
    <col min="4" max="9" width="6.42578125" hidden="1" customWidth="1"/>
    <col min="10" max="81" width="6.42578125" customWidth="1"/>
    <col min="82" max="82" width="3" customWidth="1"/>
  </cols>
  <sheetData>
    <row r="1" spans="1:88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</row>
    <row r="2" spans="1:88">
      <c r="A2" s="169" t="s">
        <v>318</v>
      </c>
      <c r="B2" s="168"/>
      <c r="C2" s="168"/>
      <c r="D2" s="170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</row>
    <row r="3" spans="1:88">
      <c r="A3" s="168"/>
      <c r="B3" s="31"/>
      <c r="C3" s="171"/>
      <c r="D3" s="172">
        <v>38899</v>
      </c>
      <c r="E3" s="172">
        <v>38930</v>
      </c>
      <c r="F3" s="172">
        <v>38961</v>
      </c>
      <c r="G3" s="172">
        <v>38991</v>
      </c>
      <c r="H3" s="172">
        <v>39022</v>
      </c>
      <c r="I3" s="172">
        <v>39052</v>
      </c>
      <c r="J3" s="172">
        <v>39814</v>
      </c>
      <c r="K3" s="172">
        <v>39845</v>
      </c>
      <c r="L3" s="172">
        <v>39873</v>
      </c>
      <c r="M3" s="172">
        <v>39904</v>
      </c>
      <c r="N3" s="172">
        <v>39934</v>
      </c>
      <c r="O3" s="172">
        <v>39965</v>
      </c>
      <c r="P3" s="172">
        <v>39995</v>
      </c>
      <c r="Q3" s="172">
        <v>40026</v>
      </c>
      <c r="R3" s="172">
        <v>40057</v>
      </c>
      <c r="S3" s="172">
        <v>40087</v>
      </c>
      <c r="T3" s="172">
        <v>40118</v>
      </c>
      <c r="U3" s="172">
        <v>40148</v>
      </c>
      <c r="V3" s="172">
        <v>40179</v>
      </c>
      <c r="W3" s="172">
        <v>40210</v>
      </c>
      <c r="X3" s="172">
        <v>40238</v>
      </c>
      <c r="Y3" s="172">
        <v>40269</v>
      </c>
      <c r="Z3" s="172">
        <v>40299</v>
      </c>
      <c r="AA3" s="172">
        <v>40330</v>
      </c>
      <c r="AB3" s="172">
        <v>40360</v>
      </c>
      <c r="AC3" s="172">
        <v>40391</v>
      </c>
      <c r="AD3" s="172">
        <v>40422</v>
      </c>
      <c r="AE3" s="172">
        <v>40452</v>
      </c>
      <c r="AF3" s="172">
        <v>40483</v>
      </c>
      <c r="AG3" s="172">
        <v>40513</v>
      </c>
      <c r="AH3" s="172">
        <v>40544</v>
      </c>
      <c r="AI3" s="172">
        <v>40575</v>
      </c>
      <c r="AJ3" s="172">
        <v>40603</v>
      </c>
      <c r="AK3" s="172">
        <v>40634</v>
      </c>
      <c r="AL3" s="172">
        <v>40664</v>
      </c>
      <c r="AM3" s="172">
        <v>40695</v>
      </c>
      <c r="AN3" s="172">
        <v>40725</v>
      </c>
      <c r="AO3" s="172">
        <v>40756</v>
      </c>
      <c r="AP3" s="172">
        <v>40787</v>
      </c>
      <c r="AQ3" s="172">
        <v>40817</v>
      </c>
      <c r="AR3" s="172">
        <v>40848</v>
      </c>
      <c r="AS3" s="172">
        <v>40878</v>
      </c>
      <c r="AT3" s="172">
        <v>40909</v>
      </c>
      <c r="AU3" s="172">
        <v>40940</v>
      </c>
      <c r="AV3" s="172">
        <v>40969</v>
      </c>
      <c r="AW3" s="172">
        <v>41000</v>
      </c>
      <c r="AX3" s="172">
        <v>41030</v>
      </c>
      <c r="AY3" s="172">
        <v>41061</v>
      </c>
      <c r="AZ3" s="172">
        <v>41091</v>
      </c>
      <c r="BA3" s="172">
        <v>41122</v>
      </c>
      <c r="BB3" s="172">
        <v>41153</v>
      </c>
      <c r="BC3" s="172">
        <v>41183</v>
      </c>
      <c r="BD3" s="172">
        <v>41214</v>
      </c>
      <c r="BE3" s="172">
        <v>41244</v>
      </c>
      <c r="BF3" s="172">
        <v>41275</v>
      </c>
      <c r="BG3" s="172">
        <v>41306</v>
      </c>
      <c r="BH3" s="172">
        <v>41334</v>
      </c>
      <c r="BI3" s="172">
        <v>41365</v>
      </c>
      <c r="BJ3" s="172">
        <v>41395</v>
      </c>
      <c r="BK3" s="172">
        <v>41426</v>
      </c>
      <c r="BL3" s="172">
        <v>41456</v>
      </c>
      <c r="BM3" s="172">
        <v>41487</v>
      </c>
      <c r="BN3" s="172">
        <v>41518</v>
      </c>
      <c r="BO3" s="172">
        <v>41548</v>
      </c>
      <c r="BP3" s="172">
        <v>41579</v>
      </c>
      <c r="BQ3" s="172">
        <v>41609</v>
      </c>
      <c r="BR3" s="172">
        <v>41640</v>
      </c>
      <c r="BS3" s="172">
        <v>41671</v>
      </c>
      <c r="BT3" s="172">
        <v>41699</v>
      </c>
      <c r="BU3" s="172">
        <v>41730</v>
      </c>
      <c r="BV3" s="172">
        <v>41760</v>
      </c>
      <c r="BW3" s="172">
        <v>41791</v>
      </c>
      <c r="BX3" s="172">
        <v>41821</v>
      </c>
      <c r="BY3" s="172">
        <v>41852</v>
      </c>
      <c r="BZ3" s="172">
        <v>41883</v>
      </c>
      <c r="CA3" s="172">
        <v>41913</v>
      </c>
      <c r="CB3" s="172">
        <v>41944</v>
      </c>
      <c r="CC3" s="172">
        <v>41974</v>
      </c>
      <c r="CD3" s="168"/>
      <c r="CE3" s="168"/>
      <c r="CF3" s="168"/>
      <c r="CG3" s="168"/>
      <c r="CH3" s="168"/>
      <c r="CI3" s="168"/>
      <c r="CJ3" s="168"/>
    </row>
    <row r="4" spans="1:88">
      <c r="A4" s="173"/>
      <c r="B4" s="174"/>
      <c r="C4" s="175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68"/>
      <c r="CE4" s="168"/>
      <c r="CF4" s="168"/>
      <c r="CG4" s="168"/>
      <c r="CH4" s="168"/>
      <c r="CI4" s="168"/>
      <c r="CJ4" s="168"/>
    </row>
    <row r="5" spans="1:88">
      <c r="A5" s="216" t="s">
        <v>319</v>
      </c>
      <c r="B5" s="178"/>
      <c r="C5" s="178"/>
      <c r="D5" s="176">
        <f>'P&amp;L Month'!H19-SUM('P&amp;L Month'!H22:H26)+'P&amp;L Month'!H28</f>
        <v>0</v>
      </c>
      <c r="E5" s="176">
        <f>'P&amp;L Month'!I19-SUM('P&amp;L Month'!I22:I26)+'P&amp;L Month'!I28</f>
        <v>0</v>
      </c>
      <c r="F5" s="176">
        <f>'P&amp;L Month'!J19-SUM('P&amp;L Month'!J22:J26)+'P&amp;L Month'!J28</f>
        <v>0</v>
      </c>
      <c r="G5" s="176">
        <f>'P&amp;L Month'!K19-SUM('P&amp;L Month'!K22:K26)+'P&amp;L Month'!K28</f>
        <v>0</v>
      </c>
      <c r="H5" s="176">
        <f>'P&amp;L Month'!L19-SUM('P&amp;L Month'!L22:L26)+'P&amp;L Month'!L28</f>
        <v>0</v>
      </c>
      <c r="I5" s="176">
        <f>'P&amp;L Month'!M19-SUM('P&amp;L Month'!M22:M26)+'P&amp;L Month'!M28</f>
        <v>0</v>
      </c>
      <c r="J5" s="176">
        <f>'P&amp;L Month'!N19-SUM('P&amp;L Month'!N22:N26)+'P&amp;L Month'!N28</f>
        <v>0</v>
      </c>
      <c r="K5" s="176">
        <f>'P&amp;L Month'!O19-SUM('P&amp;L Month'!O22:O26)+'P&amp;L Month'!O28</f>
        <v>0</v>
      </c>
      <c r="L5" s="176">
        <f>'P&amp;L Month'!P19-SUM('P&amp;L Month'!P22:P26)+'P&amp;L Month'!P28</f>
        <v>0</v>
      </c>
      <c r="M5" s="176">
        <f>'P&amp;L Month'!Q19-SUM('P&amp;L Month'!Q22:Q26)+'P&amp;L Month'!Q28</f>
        <v>0</v>
      </c>
      <c r="N5" s="176">
        <f>'P&amp;L Month'!R19-SUM('P&amp;L Month'!R22:R26)+'P&amp;L Month'!R28</f>
        <v>0</v>
      </c>
      <c r="O5" s="176">
        <f>'P&amp;L Month'!S19-SUM('P&amp;L Month'!S22:S26)+'P&amp;L Month'!S28</f>
        <v>0</v>
      </c>
      <c r="P5" s="176">
        <f>'P&amp;L Month'!T19-SUM('P&amp;L Month'!T22:T26)+'P&amp;L Month'!T28</f>
        <v>0</v>
      </c>
      <c r="Q5" s="176">
        <f>'P&amp;L Month'!U19-SUM('P&amp;L Month'!U22:U26)+'P&amp;L Month'!U28</f>
        <v>0</v>
      </c>
      <c r="R5" s="176">
        <f>'P&amp;L Month'!V19-SUM('P&amp;L Month'!V22:V26)+'P&amp;L Month'!V28</f>
        <v>0</v>
      </c>
      <c r="S5" s="176">
        <f>'P&amp;L Month'!W19-SUM('P&amp;L Month'!W22:W26)+'P&amp;L Month'!W28</f>
        <v>0</v>
      </c>
      <c r="T5" s="176">
        <f>'P&amp;L Month'!X19-SUM('P&amp;L Month'!X22:X26)+'P&amp;L Month'!X28</f>
        <v>0</v>
      </c>
      <c r="U5" s="176">
        <f>'P&amp;L Month'!Y19-SUM('P&amp;L Month'!Y22:Y26)+'P&amp;L Month'!Y28</f>
        <v>-2550</v>
      </c>
      <c r="V5" s="176">
        <f>'P&amp;L Month'!Z19-SUM('P&amp;L Month'!Z22:Z26)+'P&amp;L Month'!Z28</f>
        <v>-1154</v>
      </c>
      <c r="W5" s="176">
        <f>'P&amp;L Month'!AA19-SUM('P&amp;L Month'!AA22:AA26)+'P&amp;L Month'!AA28</f>
        <v>-1154</v>
      </c>
      <c r="X5" s="176">
        <f>'P&amp;L Month'!AB19-SUM('P&amp;L Month'!AB22:AB26)+'P&amp;L Month'!AB28</f>
        <v>-1204</v>
      </c>
      <c r="Y5" s="176">
        <f>'P&amp;L Month'!AC19-SUM('P&amp;L Month'!AC22:AC26)+'P&amp;L Month'!AC28</f>
        <v>-1293.55</v>
      </c>
      <c r="Z5" s="176">
        <f>'P&amp;L Month'!AD19-SUM('P&amp;L Month'!AD22:AD26)+'P&amp;L Month'!AD28</f>
        <v>-1493.55</v>
      </c>
      <c r="AA5" s="176">
        <f>'P&amp;L Month'!AE19-SUM('P&amp;L Month'!AE22:AE26)+'P&amp;L Month'!AE28</f>
        <v>-1493.55</v>
      </c>
      <c r="AB5" s="176">
        <f>'P&amp;L Month'!AF19-SUM('P&amp;L Month'!AF22:AF26)+'P&amp;L Month'!AF28</f>
        <v>-1700.0500000000002</v>
      </c>
      <c r="AC5" s="176">
        <f>'P&amp;L Month'!AG19-SUM('P&amp;L Month'!AG22:AG26)+'P&amp;L Month'!AG28</f>
        <v>-1632.25</v>
      </c>
      <c r="AD5" s="176">
        <f>'P&amp;L Month'!AH19-SUM('P&amp;L Month'!AH22:AH26)+'P&amp;L Month'!AH28</f>
        <v>-1937.5</v>
      </c>
      <c r="AE5" s="176">
        <f>'P&amp;L Month'!AI19-SUM('P&amp;L Month'!AI22:AI26)+'P&amp;L Month'!AI28</f>
        <v>-2442.75</v>
      </c>
      <c r="AF5" s="176">
        <f>'P&amp;L Month'!AJ19-SUM('P&amp;L Month'!AJ22:AJ26)+'P&amp;L Month'!AJ28</f>
        <v>-2542.75</v>
      </c>
      <c r="AG5" s="176">
        <f>'P&amp;L Month'!AK19-SUM('P&amp;L Month'!AK22:AK26)+'P&amp;L Month'!AK28</f>
        <v>-2848</v>
      </c>
      <c r="AH5" s="176">
        <f>'P&amp;L Month'!AL19-SUM('P&amp;L Month'!AL22:AL26)+'P&amp;L Month'!AL28</f>
        <v>-15542.5</v>
      </c>
      <c r="AI5" s="176">
        <f>'P&amp;L Month'!AM19-SUM('P&amp;L Month'!AM22:AM26)+'P&amp;L Month'!AM28</f>
        <v>-17981.75</v>
      </c>
      <c r="AJ5" s="176">
        <f>'P&amp;L Month'!AN19-SUM('P&amp;L Month'!AN22:AN26)+'P&amp;L Month'!AN28</f>
        <v>-20676.249999999996</v>
      </c>
      <c r="AK5" s="176">
        <f>'P&amp;L Month'!AO19-SUM('P&amp;L Month'!AO22:AO26)+'P&amp;L Month'!AO28</f>
        <v>-33160.25</v>
      </c>
      <c r="AL5" s="176">
        <f>'P&amp;L Month'!AP19-SUM('P&amp;L Month'!AP22:AP26)+'P&amp;L Month'!AP28</f>
        <v>-52099.5</v>
      </c>
      <c r="AM5" s="176">
        <f>'P&amp;L Month'!AQ19-SUM('P&amp;L Month'!AQ22:AQ26)+'P&amp;L Month'!AQ28</f>
        <v>-34794</v>
      </c>
      <c r="AN5" s="176">
        <f>'P&amp;L Month'!AR19-SUM('P&amp;L Month'!AR22:AR26)+'P&amp;L Month'!AR28</f>
        <v>-45767.25</v>
      </c>
      <c r="AO5" s="176">
        <f>'P&amp;L Month'!AS19-SUM('P&amp;L Month'!AS22:AS26)+'P&amp;L Month'!AS28</f>
        <v>-26485.25</v>
      </c>
      <c r="AP5" s="176">
        <f>'P&amp;L Month'!AT19-SUM('P&amp;L Month'!AT22:AT26)+'P&amp;L Month'!AT28</f>
        <v>-28069</v>
      </c>
      <c r="AQ5" s="176">
        <f>'P&amp;L Month'!AU19-SUM('P&amp;L Month'!AU22:AU26)+'P&amp;L Month'!AU28</f>
        <v>-17921</v>
      </c>
      <c r="AR5" s="176">
        <f>'P&amp;L Month'!AV19-SUM('P&amp;L Month'!AV22:AV26)+'P&amp;L Month'!AV28</f>
        <v>-19173</v>
      </c>
      <c r="AS5" s="176">
        <f>'P&amp;L Month'!AW19-SUM('P&amp;L Month'!AW22:AW26)+'P&amp;L Month'!AW28</f>
        <v>3575</v>
      </c>
      <c r="AT5" s="176">
        <f>'P&amp;L Month'!AX19-SUM('P&amp;L Month'!AX22:AX26)+'P&amp;L Month'!AX28</f>
        <v>1391.1474999999919</v>
      </c>
      <c r="AU5" s="176">
        <f>'P&amp;L Month'!AY19-SUM('P&amp;L Month'!AY22:AY26)+'P&amp;L Month'!AY28</f>
        <v>17975.147500000006</v>
      </c>
      <c r="AV5" s="176">
        <f>'P&amp;L Month'!AZ19-SUM('P&amp;L Month'!AZ22:AZ26)+'P&amp;L Month'!AZ28</f>
        <v>29559.147499999992</v>
      </c>
      <c r="AW5" s="176">
        <f>'P&amp;L Month'!BA19-SUM('P&amp;L Month'!BA22:BA26)+'P&amp;L Month'!BA28</f>
        <v>44143.147499999992</v>
      </c>
      <c r="AX5" s="176">
        <f>'P&amp;L Month'!BB19-SUM('P&amp;L Month'!BB22:BB26)+'P&amp;L Month'!BB28</f>
        <v>66341.05</v>
      </c>
      <c r="AY5" s="176">
        <f>'P&amp;L Month'!BC19-SUM('P&amp;L Month'!BC22:BC26)+'P&amp;L Month'!BC28</f>
        <v>87765.05</v>
      </c>
      <c r="AZ5" s="176">
        <f>'P&amp;L Month'!BD19-SUM('P&amp;L Month'!BD22:BD26)+'P&amp;L Month'!BD28</f>
        <v>101744.855</v>
      </c>
      <c r="BA5" s="176">
        <f>'P&amp;L Month'!BE19-SUM('P&amp;L Month'!BE22:BE26)+'P&amp;L Month'!BE28</f>
        <v>127176.855</v>
      </c>
      <c r="BB5" s="176">
        <f>'P&amp;L Month'!BF19-SUM('P&amp;L Month'!BF22:BF26)+'P&amp;L Month'!BF28</f>
        <v>144382.75750000001</v>
      </c>
      <c r="BC5" s="176">
        <f>'P&amp;L Month'!BG19-SUM('P&amp;L Month'!BG22:BG26)+'P&amp;L Month'!BG28</f>
        <v>176478.75750000001</v>
      </c>
      <c r="BD5" s="176">
        <f>'P&amp;L Month'!BH19-SUM('P&amp;L Month'!BH22:BH26)+'P&amp;L Month'!BH28</f>
        <v>193676.66</v>
      </c>
      <c r="BE5" s="176">
        <f>'P&amp;L Month'!BI19-SUM('P&amp;L Month'!BI22:BI26)+'P&amp;L Month'!BI28</f>
        <v>211180.65999999997</v>
      </c>
      <c r="BF5" s="176">
        <f>'P&amp;L Month'!BJ19-SUM('P&amp;L Month'!BJ22:BJ26)+'P&amp;L Month'!BJ28</f>
        <v>228664.32000000001</v>
      </c>
      <c r="BG5" s="176">
        <f>'P&amp;L Month'!BK19-SUM('P&amp;L Month'!BK22:BK26)+'P&amp;L Month'!BK28</f>
        <v>241792.32</v>
      </c>
      <c r="BH5" s="176">
        <f>'P&amp;L Month'!BL19-SUM('P&amp;L Month'!BL22:BL26)+'P&amp;L Month'!BL28</f>
        <v>254920.31999999998</v>
      </c>
      <c r="BI5" s="176">
        <f>'P&amp;L Month'!BM19-SUM('P&amp;L Month'!BM22:BM26)+'P&amp;L Month'!BM28</f>
        <v>268048.31999999995</v>
      </c>
      <c r="BJ5" s="176">
        <f>'P&amp;L Month'!BN19-SUM('P&amp;L Month'!BN22:BN26)+'P&amp;L Month'!BN28</f>
        <v>280869.375</v>
      </c>
      <c r="BK5" s="176">
        <f>'P&amp;L Month'!BO19-SUM('P&amp;L Month'!BO22:BO26)+'P&amp;L Month'!BO28</f>
        <v>289621.375</v>
      </c>
      <c r="BL5" s="176">
        <f>'P&amp;L Month'!BP19-SUM('P&amp;L Month'!BP22:BP26)+'P&amp;L Month'!BP28</f>
        <v>298373.375</v>
      </c>
      <c r="BM5" s="176">
        <f>'P&amp;L Month'!BQ19-SUM('P&amp;L Month'!BQ22:BQ26)+'P&amp;L Month'!BQ28</f>
        <v>307125.375</v>
      </c>
      <c r="BN5" s="176">
        <f>'P&amp;L Month'!BR19-SUM('P&amp;L Month'!BR22:BR26)+'P&amp;L Month'!BR28</f>
        <v>315877.375</v>
      </c>
      <c r="BO5" s="176">
        <f>'P&amp;L Month'!BS19-SUM('P&amp;L Month'!BS22:BS26)+'P&amp;L Month'!BS28</f>
        <v>324629.375</v>
      </c>
      <c r="BP5" s="176">
        <f>'P&amp;L Month'!BT19-SUM('P&amp;L Month'!BT22:BT26)+'P&amp;L Month'!BT28</f>
        <v>333381.375</v>
      </c>
      <c r="BQ5" s="176">
        <f>'P&amp;L Month'!BU19-SUM('P&amp;L Month'!BU22:BU26)+'P&amp;L Month'!BU28</f>
        <v>342133.375</v>
      </c>
      <c r="BR5" s="176">
        <f>'P&amp;L Month'!BV19-SUM('P&amp;L Month'!BV22:BV26)+'P&amp;L Month'!BV28</f>
        <v>348231.52500000002</v>
      </c>
      <c r="BS5" s="176">
        <f>'P&amp;L Month'!BW19-SUM('P&amp;L Month'!BW22:BW26)+'P&amp;L Month'!BW28</f>
        <v>355233.125</v>
      </c>
      <c r="BT5" s="176">
        <f>'P&amp;L Month'!BX19-SUM('P&amp;L Month'!BX22:BX26)+'P&amp;L Month'!BX28</f>
        <v>359609.12499999994</v>
      </c>
      <c r="BU5" s="176">
        <f>'P&amp;L Month'!BY19-SUM('P&amp;L Month'!BY22:BY26)+'P&amp;L Month'!BY28</f>
        <v>363985.125</v>
      </c>
      <c r="BV5" s="176">
        <f>'P&amp;L Month'!BZ19-SUM('P&amp;L Month'!BZ22:BZ26)+'P&amp;L Month'!BZ28</f>
        <v>368361.125</v>
      </c>
      <c r="BW5" s="176">
        <f>'P&amp;L Month'!CA19-SUM('P&amp;L Month'!CA22:CA26)+'P&amp;L Month'!CA28</f>
        <v>372737.125</v>
      </c>
      <c r="BX5" s="176">
        <f>'P&amp;L Month'!CB19-SUM('P&amp;L Month'!CB22:CB26)+'P&amp;L Month'!CB28</f>
        <v>377113.125</v>
      </c>
      <c r="BY5" s="176">
        <f>'P&amp;L Month'!CC19-SUM('P&amp;L Month'!CC22:CC26)+'P&amp;L Month'!CC28</f>
        <v>381489.12499999994</v>
      </c>
      <c r="BZ5" s="176">
        <f>'P&amp;L Month'!CD19-SUM('P&amp;L Month'!CD22:CD26)+'P&amp;L Month'!CD28</f>
        <v>385865.125</v>
      </c>
      <c r="CA5" s="176">
        <f>'P&amp;L Month'!CE19-SUM('P&amp;L Month'!CE22:CE26)+'P&amp;L Month'!CE28</f>
        <v>388490.72499999998</v>
      </c>
      <c r="CB5" s="176">
        <f>'P&amp;L Month'!CF19-SUM('P&amp;L Month'!CF22:CF26)+'P&amp;L Month'!CF28</f>
        <v>391116.32499999995</v>
      </c>
      <c r="CC5" s="176">
        <f>'P&amp;L Month'!CG19-SUM('P&amp;L Month'!CG22:CG26)+'P&amp;L Month'!CG28</f>
        <v>394617.125</v>
      </c>
      <c r="CD5" s="168"/>
      <c r="CE5" s="168"/>
      <c r="CF5" s="168"/>
      <c r="CG5" s="168"/>
      <c r="CH5" s="168"/>
      <c r="CI5" s="168"/>
      <c r="CJ5" s="168"/>
    </row>
    <row r="6" spans="1:88">
      <c r="U6" s="243">
        <f>SUM(J5:U5)</f>
        <v>-2550</v>
      </c>
      <c r="AG6" s="243">
        <f>SUM(V5:AG5)</f>
        <v>-20895.95</v>
      </c>
      <c r="AS6" s="243">
        <f>SUM(AH5:AS5)</f>
        <v>-308094.75</v>
      </c>
      <c r="BE6" s="243">
        <f>SUM(AT5:BE5)</f>
        <v>1201815.2350000001</v>
      </c>
      <c r="BQ6" s="243">
        <f>SUM(BF5:BQ5)</f>
        <v>3485436.28</v>
      </c>
      <c r="CC6" s="243">
        <f>SUM(BR5:CC5)</f>
        <v>4486848.7</v>
      </c>
    </row>
    <row r="7" spans="1:88">
      <c r="A7" s="12" t="s">
        <v>320</v>
      </c>
      <c r="C7" s="182">
        <v>3.7999999999999999E-2</v>
      </c>
      <c r="D7" s="176">
        <f t="shared" ref="D7:I7" si="0">D5*$C$7</f>
        <v>0</v>
      </c>
      <c r="E7" s="176">
        <f t="shared" si="0"/>
        <v>0</v>
      </c>
      <c r="F7" s="176">
        <f t="shared" si="0"/>
        <v>0</v>
      </c>
      <c r="G7" s="176">
        <f t="shared" si="0"/>
        <v>0</v>
      </c>
      <c r="H7" s="176">
        <f t="shared" si="0"/>
        <v>0</v>
      </c>
      <c r="I7" s="176">
        <f t="shared" si="0"/>
        <v>0</v>
      </c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>
        <v>0</v>
      </c>
      <c r="W7" s="176">
        <v>0</v>
      </c>
      <c r="X7" s="176">
        <v>0</v>
      </c>
      <c r="Y7" s="176">
        <v>0</v>
      </c>
      <c r="Z7" s="176">
        <v>0</v>
      </c>
      <c r="AA7" s="176">
        <v>0</v>
      </c>
      <c r="AB7" s="176">
        <v>0</v>
      </c>
      <c r="AC7" s="176">
        <v>0</v>
      </c>
      <c r="AD7" s="176">
        <v>0</v>
      </c>
      <c r="AE7" s="176">
        <v>0</v>
      </c>
      <c r="AF7" s="176">
        <v>0</v>
      </c>
      <c r="AG7" s="176">
        <v>0</v>
      </c>
      <c r="AH7" s="176">
        <v>0</v>
      </c>
      <c r="AI7" s="176">
        <v>0</v>
      </c>
      <c r="AJ7" s="176">
        <v>0</v>
      </c>
      <c r="AK7" s="176">
        <v>0</v>
      </c>
      <c r="AL7" s="176">
        <v>0</v>
      </c>
      <c r="AM7" s="176">
        <v>0</v>
      </c>
      <c r="AN7" s="176">
        <v>0</v>
      </c>
      <c r="AO7" s="176">
        <v>0</v>
      </c>
      <c r="AP7" s="176">
        <v>0</v>
      </c>
      <c r="AQ7" s="176">
        <v>0</v>
      </c>
      <c r="AR7" s="176">
        <v>0</v>
      </c>
      <c r="AS7" s="176">
        <f t="shared" ref="AS7:BQ7" si="1">AS5*$C$7</f>
        <v>135.85</v>
      </c>
      <c r="AT7" s="176">
        <f t="shared" si="1"/>
        <v>52.863604999999687</v>
      </c>
      <c r="AU7" s="176">
        <f t="shared" si="1"/>
        <v>683.05560500000024</v>
      </c>
      <c r="AV7" s="176">
        <f t="shared" si="1"/>
        <v>1123.2476049999996</v>
      </c>
      <c r="AW7" s="176">
        <f t="shared" si="1"/>
        <v>1677.4396049999996</v>
      </c>
      <c r="AX7" s="176">
        <f t="shared" si="1"/>
        <v>2520.9598999999998</v>
      </c>
      <c r="AY7" s="176">
        <f t="shared" si="1"/>
        <v>3335.0718999999999</v>
      </c>
      <c r="AZ7" s="176">
        <f t="shared" si="1"/>
        <v>3866.3044899999995</v>
      </c>
      <c r="BA7" s="176">
        <f t="shared" si="1"/>
        <v>4832.7204899999997</v>
      </c>
      <c r="BB7" s="176">
        <f t="shared" si="1"/>
        <v>5486.544785</v>
      </c>
      <c r="BC7" s="176">
        <f t="shared" si="1"/>
        <v>6706.1927850000002</v>
      </c>
      <c r="BD7" s="176">
        <f t="shared" si="1"/>
        <v>7359.7130799999995</v>
      </c>
      <c r="BE7" s="176">
        <f t="shared" si="1"/>
        <v>8024.8650799999987</v>
      </c>
      <c r="BF7" s="176">
        <f t="shared" si="1"/>
        <v>8689.2441600000002</v>
      </c>
      <c r="BG7" s="176">
        <f t="shared" si="1"/>
        <v>9188.1081599999998</v>
      </c>
      <c r="BH7" s="176">
        <f t="shared" si="1"/>
        <v>9686.9721599999993</v>
      </c>
      <c r="BI7" s="176">
        <f t="shared" si="1"/>
        <v>10185.836159999997</v>
      </c>
      <c r="BJ7" s="176">
        <f t="shared" si="1"/>
        <v>10673.036249999999</v>
      </c>
      <c r="BK7" s="176">
        <f t="shared" si="1"/>
        <v>11005.61225</v>
      </c>
      <c r="BL7" s="176">
        <f t="shared" si="1"/>
        <v>11338.188249999999</v>
      </c>
      <c r="BM7" s="176">
        <f t="shared" si="1"/>
        <v>11670.76425</v>
      </c>
      <c r="BN7" s="176">
        <f t="shared" si="1"/>
        <v>12003.340249999999</v>
      </c>
      <c r="BO7" s="176">
        <f t="shared" si="1"/>
        <v>12335.91625</v>
      </c>
      <c r="BP7" s="176">
        <f t="shared" si="1"/>
        <v>12668.492249999999</v>
      </c>
      <c r="BQ7" s="176">
        <f t="shared" si="1"/>
        <v>13001.06825</v>
      </c>
      <c r="BR7" s="176">
        <f t="shared" ref="BR7:CA7" si="2">BR5*$C$7</f>
        <v>13232.79795</v>
      </c>
      <c r="BS7" s="176">
        <f t="shared" si="2"/>
        <v>13498.858749999999</v>
      </c>
      <c r="BT7" s="176">
        <f t="shared" si="2"/>
        <v>13665.146749999998</v>
      </c>
      <c r="BU7" s="176">
        <f t="shared" si="2"/>
        <v>13831.43475</v>
      </c>
      <c r="BV7" s="176">
        <f t="shared" si="2"/>
        <v>13997.722749999999</v>
      </c>
      <c r="BW7" s="176">
        <f t="shared" si="2"/>
        <v>14164.010749999999</v>
      </c>
      <c r="BX7" s="176">
        <f t="shared" si="2"/>
        <v>14330.29875</v>
      </c>
      <c r="BY7" s="176">
        <f t="shared" si="2"/>
        <v>14496.586749999997</v>
      </c>
      <c r="BZ7" s="176">
        <f t="shared" si="2"/>
        <v>14662.874749999999</v>
      </c>
      <c r="CA7" s="176">
        <f t="shared" si="2"/>
        <v>14762.647549999998</v>
      </c>
      <c r="CB7" s="176">
        <f>CB5*$C$7</f>
        <v>14862.420349999999</v>
      </c>
      <c r="CC7" s="176">
        <f>CC5*$C$7</f>
        <v>14995.45075</v>
      </c>
    </row>
    <row r="9" spans="1:88">
      <c r="C9" t="s">
        <v>334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Q74"/>
  <sheetViews>
    <sheetView zoomScale="75" zoomScaleNormal="75" workbookViewId="0">
      <pane xSplit="4" ySplit="5" topLeftCell="AI9" activePane="bottomRight" state="frozen"/>
      <selection activeCell="E11" sqref="E11"/>
      <selection pane="topRight" activeCell="E11" sqref="E11"/>
      <selection pane="bottomLeft" activeCell="E11" sqref="E11"/>
      <selection pane="bottomRight" activeCell="AD55" sqref="AD55"/>
    </sheetView>
  </sheetViews>
  <sheetFormatPr baseColWidth="10" defaultRowHeight="12.75"/>
  <cols>
    <col min="1" max="1" width="7" customWidth="1"/>
    <col min="2" max="2" width="15.42578125" customWidth="1"/>
    <col min="3" max="3" width="11.28515625" style="1" customWidth="1"/>
    <col min="4" max="5" width="10.7109375" style="1" customWidth="1"/>
    <col min="6" max="17" width="8.28515625" hidden="1" customWidth="1"/>
    <col min="18" max="64" width="8.28515625" customWidth="1"/>
    <col min="65" max="71" width="8.42578125" customWidth="1"/>
    <col min="72" max="76" width="8.28515625" customWidth="1"/>
    <col min="77" max="83" width="8.42578125" customWidth="1"/>
  </cols>
  <sheetData>
    <row r="1" spans="1:95" ht="12.75" customHeight="1"/>
    <row r="2" spans="1:95" ht="12.75" customHeight="1"/>
    <row r="3" spans="1:95" ht="12.75" customHeight="1">
      <c r="B3" s="94" t="s">
        <v>328</v>
      </c>
    </row>
    <row r="4" spans="1:95" ht="12.75" customHeight="1">
      <c r="B4" s="1"/>
      <c r="F4" s="94"/>
      <c r="G4" s="1"/>
    </row>
    <row r="5" spans="1:95" ht="12.75" customHeight="1">
      <c r="B5" s="7"/>
      <c r="C5" s="92"/>
      <c r="D5" s="92"/>
      <c r="F5" s="5"/>
      <c r="G5" s="5"/>
      <c r="H5" s="5"/>
      <c r="I5" s="5"/>
      <c r="J5" s="5"/>
      <c r="K5" s="5"/>
      <c r="L5" s="5">
        <v>39814</v>
      </c>
      <c r="M5" s="5">
        <v>39845</v>
      </c>
      <c r="N5" s="5">
        <v>39873</v>
      </c>
      <c r="O5" s="5">
        <v>39904</v>
      </c>
      <c r="P5" s="5">
        <v>39934</v>
      </c>
      <c r="Q5" s="5">
        <v>39965</v>
      </c>
      <c r="R5" s="5">
        <v>39995</v>
      </c>
      <c r="S5" s="5">
        <v>40026</v>
      </c>
      <c r="T5" s="5">
        <v>40057</v>
      </c>
      <c r="U5" s="5">
        <v>40087</v>
      </c>
      <c r="V5" s="5">
        <v>40118</v>
      </c>
      <c r="W5" s="5">
        <v>40148</v>
      </c>
      <c r="X5" s="5">
        <v>40179</v>
      </c>
      <c r="Y5" s="5">
        <v>40210</v>
      </c>
      <c r="Z5" s="5">
        <v>40238</v>
      </c>
      <c r="AA5" s="5">
        <v>40269</v>
      </c>
      <c r="AB5" s="5">
        <v>40299</v>
      </c>
      <c r="AC5" s="5">
        <v>40330</v>
      </c>
      <c r="AD5" s="5">
        <v>40360</v>
      </c>
      <c r="AE5" s="5">
        <v>40391</v>
      </c>
      <c r="AF5" s="5">
        <v>40422</v>
      </c>
      <c r="AG5" s="5">
        <v>40452</v>
      </c>
      <c r="AH5" s="5">
        <v>40483</v>
      </c>
      <c r="AI5" s="5">
        <v>40513</v>
      </c>
      <c r="AJ5" s="5">
        <v>40544</v>
      </c>
      <c r="AK5" s="5">
        <v>40575</v>
      </c>
      <c r="AL5" s="5">
        <v>40603</v>
      </c>
      <c r="AM5" s="5">
        <v>40634</v>
      </c>
      <c r="AN5" s="5">
        <v>40664</v>
      </c>
      <c r="AO5" s="5">
        <v>40695</v>
      </c>
      <c r="AP5" s="5">
        <v>40725</v>
      </c>
      <c r="AQ5" s="5">
        <v>40756</v>
      </c>
      <c r="AR5" s="5">
        <v>40787</v>
      </c>
      <c r="AS5" s="5">
        <v>40817</v>
      </c>
      <c r="AT5" s="5">
        <v>40848</v>
      </c>
      <c r="AU5" s="5">
        <v>40878</v>
      </c>
      <c r="AV5" s="5">
        <v>40909</v>
      </c>
      <c r="AW5" s="5">
        <v>40940</v>
      </c>
      <c r="AX5" s="5">
        <v>40969</v>
      </c>
      <c r="AY5" s="5">
        <v>41000</v>
      </c>
      <c r="AZ5" s="5">
        <v>41030</v>
      </c>
      <c r="BA5" s="5">
        <v>41061</v>
      </c>
      <c r="BB5" s="5">
        <v>41091</v>
      </c>
      <c r="BC5" s="5">
        <v>41122</v>
      </c>
      <c r="BD5" s="5">
        <v>41153</v>
      </c>
      <c r="BE5" s="5">
        <v>41183</v>
      </c>
      <c r="BF5" s="5">
        <v>41214</v>
      </c>
      <c r="BG5" s="5">
        <v>41244</v>
      </c>
      <c r="BH5" s="5">
        <v>41275</v>
      </c>
      <c r="BI5" s="5">
        <v>41306</v>
      </c>
      <c r="BJ5" s="5">
        <v>41334</v>
      </c>
      <c r="BK5" s="5">
        <v>41365</v>
      </c>
      <c r="BL5" s="5">
        <v>41395</v>
      </c>
      <c r="BM5" s="5">
        <v>41426</v>
      </c>
      <c r="BN5" s="5">
        <v>41456</v>
      </c>
      <c r="BO5" s="5">
        <v>41487</v>
      </c>
      <c r="BP5" s="5">
        <v>41518</v>
      </c>
      <c r="BQ5" s="5">
        <v>41548</v>
      </c>
      <c r="BR5" s="5">
        <v>41579</v>
      </c>
      <c r="BS5" s="5">
        <v>41609</v>
      </c>
      <c r="BT5" s="5">
        <v>41640</v>
      </c>
      <c r="BU5" s="5">
        <v>41671</v>
      </c>
      <c r="BV5" s="5">
        <v>41699</v>
      </c>
      <c r="BW5" s="5">
        <v>41730</v>
      </c>
      <c r="BX5" s="5">
        <v>41760</v>
      </c>
      <c r="BY5" s="5">
        <v>41791</v>
      </c>
      <c r="BZ5" s="5">
        <v>41821</v>
      </c>
      <c r="CA5" s="5">
        <v>41852</v>
      </c>
      <c r="CB5" s="5">
        <v>41883</v>
      </c>
      <c r="CC5" s="5">
        <v>41913</v>
      </c>
      <c r="CD5" s="5">
        <v>41944</v>
      </c>
      <c r="CE5" s="5">
        <v>41974</v>
      </c>
    </row>
    <row r="6" spans="1:95" ht="12.75" customHeight="1">
      <c r="B6" s="2"/>
      <c r="C6" s="4"/>
      <c r="D6" s="4"/>
      <c r="E6" s="4"/>
      <c r="F6" s="3"/>
      <c r="G6" s="4"/>
    </row>
    <row r="7" spans="1:95" ht="15.75">
      <c r="A7" s="260" t="s">
        <v>0</v>
      </c>
      <c r="C7"/>
      <c r="D7"/>
    </row>
    <row r="8" spans="1:95" ht="12.75" customHeight="1">
      <c r="B8" s="7"/>
      <c r="C8"/>
      <c r="D8"/>
    </row>
    <row r="10" spans="1:95" s="8" customFormat="1">
      <c r="A10" s="212" t="s">
        <v>362</v>
      </c>
      <c r="B10" s="223"/>
      <c r="C10" s="224"/>
      <c r="D10" s="224"/>
      <c r="E10" s="225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</row>
    <row r="11" spans="1:95">
      <c r="C11" s="9"/>
      <c r="D11" s="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95">
      <c r="B12" s="94" t="s">
        <v>426</v>
      </c>
      <c r="C12" s="219" t="s">
        <v>379</v>
      </c>
      <c r="D12" s="219"/>
      <c r="E12" s="219"/>
      <c r="F12" s="220"/>
      <c r="G12" s="220"/>
      <c r="H12" s="220"/>
      <c r="I12" s="220"/>
      <c r="J12" s="220"/>
      <c r="K12" s="220"/>
      <c r="L12" s="220">
        <v>0</v>
      </c>
      <c r="M12" s="220">
        <v>0</v>
      </c>
      <c r="N12" s="220">
        <v>0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0">
        <v>0</v>
      </c>
      <c r="W12" s="220">
        <v>0</v>
      </c>
      <c r="X12" s="220">
        <v>0</v>
      </c>
      <c r="Y12" s="220">
        <v>0</v>
      </c>
      <c r="Z12" s="220">
        <v>0</v>
      </c>
      <c r="AA12" s="220">
        <v>0</v>
      </c>
      <c r="AB12" s="220">
        <v>0</v>
      </c>
      <c r="AC12" s="220">
        <v>0</v>
      </c>
      <c r="AD12" s="220">
        <v>0</v>
      </c>
      <c r="AE12" s="220">
        <v>0</v>
      </c>
      <c r="AF12" s="220">
        <v>0</v>
      </c>
      <c r="AG12" s="220">
        <v>0</v>
      </c>
      <c r="AH12" s="220">
        <v>0</v>
      </c>
      <c r="AI12" s="220">
        <v>0</v>
      </c>
      <c r="AJ12" s="220">
        <v>5</v>
      </c>
      <c r="AK12" s="220">
        <v>10</v>
      </c>
      <c r="AL12" s="220">
        <v>15</v>
      </c>
      <c r="AM12" s="220">
        <v>20</v>
      </c>
      <c r="AN12" s="220">
        <v>25</v>
      </c>
      <c r="AO12" s="220">
        <v>30</v>
      </c>
      <c r="AP12" s="220">
        <v>40</v>
      </c>
      <c r="AQ12" s="220">
        <v>50</v>
      </c>
      <c r="AR12" s="220">
        <v>60</v>
      </c>
      <c r="AS12" s="220">
        <v>75</v>
      </c>
      <c r="AT12" s="220">
        <v>90</v>
      </c>
      <c r="AU12" s="220">
        <v>105</v>
      </c>
      <c r="AV12" s="220">
        <v>120</v>
      </c>
      <c r="AW12" s="220">
        <v>130</v>
      </c>
      <c r="AX12" s="220">
        <v>140</v>
      </c>
      <c r="AY12" s="220">
        <v>150</v>
      </c>
      <c r="AZ12" s="220">
        <v>150</v>
      </c>
      <c r="BA12" s="220">
        <v>140</v>
      </c>
      <c r="BB12" s="220">
        <v>120</v>
      </c>
      <c r="BC12" s="220">
        <v>80</v>
      </c>
      <c r="BD12" s="220">
        <v>50</v>
      </c>
      <c r="BE12" s="220">
        <v>30</v>
      </c>
      <c r="BF12" s="220">
        <v>30</v>
      </c>
      <c r="BG12" s="220">
        <v>30</v>
      </c>
      <c r="BH12" s="220">
        <v>30</v>
      </c>
      <c r="BI12" s="220">
        <v>30</v>
      </c>
      <c r="BJ12" s="220">
        <v>30</v>
      </c>
      <c r="BK12" s="220">
        <v>30</v>
      </c>
      <c r="BL12" s="220">
        <v>30</v>
      </c>
      <c r="BM12" s="220">
        <v>30</v>
      </c>
      <c r="BN12" s="220">
        <v>30</v>
      </c>
      <c r="BO12" s="220">
        <v>30</v>
      </c>
      <c r="BP12" s="220">
        <v>30</v>
      </c>
      <c r="BQ12" s="220">
        <v>30</v>
      </c>
      <c r="BR12" s="220">
        <v>30</v>
      </c>
      <c r="BS12" s="220">
        <v>30</v>
      </c>
      <c r="BT12" s="220">
        <v>30</v>
      </c>
      <c r="BU12" s="220">
        <v>30</v>
      </c>
      <c r="BV12" s="220">
        <v>30</v>
      </c>
      <c r="BW12" s="220">
        <v>30</v>
      </c>
      <c r="BX12" s="220">
        <v>30</v>
      </c>
      <c r="BY12" s="220">
        <v>30</v>
      </c>
      <c r="BZ12" s="220">
        <v>30</v>
      </c>
      <c r="CA12" s="220">
        <v>30</v>
      </c>
      <c r="CB12" s="220">
        <v>30</v>
      </c>
      <c r="CC12" s="220">
        <v>30</v>
      </c>
      <c r="CD12" s="220">
        <v>30</v>
      </c>
      <c r="CE12" s="220">
        <v>30</v>
      </c>
    </row>
    <row r="13" spans="1:95">
      <c r="C13" s="1" t="s">
        <v>380</v>
      </c>
      <c r="D13" s="282">
        <v>729</v>
      </c>
      <c r="F13" s="2"/>
      <c r="G13" s="2"/>
      <c r="H13" s="2"/>
      <c r="I13" s="2"/>
      <c r="J13" s="2"/>
      <c r="K13" s="2"/>
      <c r="L13" s="2">
        <f t="shared" ref="L13:AQ13" si="0">$D13*L12</f>
        <v>0</v>
      </c>
      <c r="M13" s="2">
        <f t="shared" si="0"/>
        <v>0</v>
      </c>
      <c r="N13" s="2">
        <f t="shared" si="0"/>
        <v>0</v>
      </c>
      <c r="O13" s="2">
        <f t="shared" si="0"/>
        <v>0</v>
      </c>
      <c r="P13" s="2">
        <f t="shared" si="0"/>
        <v>0</v>
      </c>
      <c r="Q13" s="2">
        <f t="shared" si="0"/>
        <v>0</v>
      </c>
      <c r="R13" s="2">
        <f t="shared" si="0"/>
        <v>0</v>
      </c>
      <c r="S13" s="2">
        <f t="shared" si="0"/>
        <v>0</v>
      </c>
      <c r="T13" s="2">
        <f t="shared" si="0"/>
        <v>0</v>
      </c>
      <c r="U13" s="2">
        <f t="shared" si="0"/>
        <v>0</v>
      </c>
      <c r="V13" s="2">
        <f t="shared" si="0"/>
        <v>0</v>
      </c>
      <c r="W13" s="2">
        <f t="shared" si="0"/>
        <v>0</v>
      </c>
      <c r="X13" s="2">
        <f t="shared" si="0"/>
        <v>0</v>
      </c>
      <c r="Y13" s="2">
        <f t="shared" si="0"/>
        <v>0</v>
      </c>
      <c r="Z13" s="2">
        <f t="shared" si="0"/>
        <v>0</v>
      </c>
      <c r="AA13" s="2">
        <f t="shared" si="0"/>
        <v>0</v>
      </c>
      <c r="AB13" s="2">
        <f t="shared" si="0"/>
        <v>0</v>
      </c>
      <c r="AC13" s="2">
        <f t="shared" si="0"/>
        <v>0</v>
      </c>
      <c r="AD13" s="2">
        <f t="shared" ref="AD13:AN13" si="1">$D13*AD12</f>
        <v>0</v>
      </c>
      <c r="AE13" s="2">
        <f t="shared" si="1"/>
        <v>0</v>
      </c>
      <c r="AF13" s="2">
        <f t="shared" si="1"/>
        <v>0</v>
      </c>
      <c r="AG13" s="2">
        <f t="shared" si="1"/>
        <v>0</v>
      </c>
      <c r="AH13" s="2">
        <f t="shared" si="1"/>
        <v>0</v>
      </c>
      <c r="AI13" s="2">
        <f t="shared" si="1"/>
        <v>0</v>
      </c>
      <c r="AJ13" s="2">
        <f t="shared" si="1"/>
        <v>3645</v>
      </c>
      <c r="AK13" s="2">
        <f t="shared" si="1"/>
        <v>7290</v>
      </c>
      <c r="AL13" s="2">
        <f t="shared" si="1"/>
        <v>10935</v>
      </c>
      <c r="AM13" s="2">
        <f t="shared" si="1"/>
        <v>14580</v>
      </c>
      <c r="AN13" s="2">
        <f t="shared" si="1"/>
        <v>18225</v>
      </c>
      <c r="AO13" s="2">
        <f t="shared" si="0"/>
        <v>21870</v>
      </c>
      <c r="AP13" s="2">
        <f t="shared" si="0"/>
        <v>29160</v>
      </c>
      <c r="AQ13" s="2">
        <f t="shared" si="0"/>
        <v>36450</v>
      </c>
      <c r="AR13" s="2">
        <f t="shared" ref="AR13:BS13" si="2">$D13*AR12</f>
        <v>43740</v>
      </c>
      <c r="AS13" s="2">
        <f t="shared" si="2"/>
        <v>54675</v>
      </c>
      <c r="AT13" s="2">
        <f t="shared" si="2"/>
        <v>65610</v>
      </c>
      <c r="AU13" s="2">
        <f t="shared" si="2"/>
        <v>76545</v>
      </c>
      <c r="AV13" s="2">
        <f t="shared" si="2"/>
        <v>87480</v>
      </c>
      <c r="AW13" s="2">
        <f t="shared" si="2"/>
        <v>94770</v>
      </c>
      <c r="AX13" s="2">
        <f t="shared" si="2"/>
        <v>102060</v>
      </c>
      <c r="AY13" s="2">
        <f t="shared" si="2"/>
        <v>109350</v>
      </c>
      <c r="AZ13" s="2">
        <f t="shared" si="2"/>
        <v>109350</v>
      </c>
      <c r="BA13" s="2">
        <f t="shared" si="2"/>
        <v>102060</v>
      </c>
      <c r="BB13" s="2">
        <f t="shared" si="2"/>
        <v>87480</v>
      </c>
      <c r="BC13" s="2">
        <f t="shared" si="2"/>
        <v>58320</v>
      </c>
      <c r="BD13" s="2">
        <f t="shared" si="2"/>
        <v>36450</v>
      </c>
      <c r="BE13" s="2">
        <f t="shared" si="2"/>
        <v>21870</v>
      </c>
      <c r="BF13" s="2">
        <f t="shared" si="2"/>
        <v>21870</v>
      </c>
      <c r="BG13" s="2">
        <f t="shared" si="2"/>
        <v>21870</v>
      </c>
      <c r="BH13" s="2">
        <f t="shared" si="2"/>
        <v>21870</v>
      </c>
      <c r="BI13" s="2">
        <f t="shared" si="2"/>
        <v>21870</v>
      </c>
      <c r="BJ13" s="2">
        <f t="shared" si="2"/>
        <v>21870</v>
      </c>
      <c r="BK13" s="2">
        <f t="shared" si="2"/>
        <v>21870</v>
      </c>
      <c r="BL13" s="2">
        <f t="shared" si="2"/>
        <v>21870</v>
      </c>
      <c r="BM13" s="2">
        <f t="shared" si="2"/>
        <v>21870</v>
      </c>
      <c r="BN13" s="2">
        <f t="shared" si="2"/>
        <v>21870</v>
      </c>
      <c r="BO13" s="2">
        <f t="shared" si="2"/>
        <v>21870</v>
      </c>
      <c r="BP13" s="2">
        <f t="shared" si="2"/>
        <v>21870</v>
      </c>
      <c r="BQ13" s="2">
        <f t="shared" si="2"/>
        <v>21870</v>
      </c>
      <c r="BR13" s="2">
        <f t="shared" si="2"/>
        <v>21870</v>
      </c>
      <c r="BS13" s="2">
        <f t="shared" si="2"/>
        <v>21870</v>
      </c>
      <c r="BT13" s="2">
        <f t="shared" ref="BT13:CE13" si="3">$D13*BT12</f>
        <v>21870</v>
      </c>
      <c r="BU13" s="2">
        <f t="shared" si="3"/>
        <v>21870</v>
      </c>
      <c r="BV13" s="2">
        <f t="shared" si="3"/>
        <v>21870</v>
      </c>
      <c r="BW13" s="2">
        <f t="shared" si="3"/>
        <v>21870</v>
      </c>
      <c r="BX13" s="2">
        <f t="shared" si="3"/>
        <v>21870</v>
      </c>
      <c r="BY13" s="2">
        <f t="shared" si="3"/>
        <v>21870</v>
      </c>
      <c r="BZ13" s="2">
        <f t="shared" si="3"/>
        <v>21870</v>
      </c>
      <c r="CA13" s="2">
        <f t="shared" si="3"/>
        <v>21870</v>
      </c>
      <c r="CB13" s="2">
        <f t="shared" si="3"/>
        <v>21870</v>
      </c>
      <c r="CC13" s="2">
        <f t="shared" si="3"/>
        <v>21870</v>
      </c>
      <c r="CD13" s="2">
        <f t="shared" si="3"/>
        <v>21870</v>
      </c>
      <c r="CE13" s="2">
        <f t="shared" si="3"/>
        <v>21870</v>
      </c>
    </row>
    <row r="14" spans="1:95" hidden="1">
      <c r="D14" s="28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95" hidden="1">
      <c r="B15" s="94"/>
      <c r="C15" s="219"/>
      <c r="D15" s="219"/>
      <c r="E15" s="219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0"/>
      <c r="BZ15" s="220"/>
      <c r="CA15" s="220"/>
      <c r="CB15" s="220"/>
      <c r="CC15" s="220"/>
      <c r="CD15" s="220"/>
      <c r="CE15" s="220"/>
    </row>
    <row r="16" spans="1:95" hidden="1">
      <c r="C16" s="1" t="s">
        <v>380</v>
      </c>
      <c r="D16" s="282">
        <f>D13</f>
        <v>729</v>
      </c>
      <c r="F16" s="2"/>
      <c r="G16" s="2"/>
      <c r="H16" s="2"/>
      <c r="I16" s="2"/>
      <c r="J16" s="2"/>
      <c r="K16" s="2"/>
      <c r="L16" s="2">
        <f>$D16*L15</f>
        <v>0</v>
      </c>
      <c r="M16" s="2">
        <f t="shared" ref="M16:BS16" si="4">$D16*M15</f>
        <v>0</v>
      </c>
      <c r="N16" s="2">
        <f t="shared" si="4"/>
        <v>0</v>
      </c>
      <c r="O16" s="2">
        <f t="shared" si="4"/>
        <v>0</v>
      </c>
      <c r="P16" s="2">
        <f t="shared" si="4"/>
        <v>0</v>
      </c>
      <c r="Q16" s="2">
        <f t="shared" si="4"/>
        <v>0</v>
      </c>
      <c r="R16" s="2">
        <f t="shared" si="4"/>
        <v>0</v>
      </c>
      <c r="S16" s="2">
        <f t="shared" si="4"/>
        <v>0</v>
      </c>
      <c r="T16" s="2">
        <f t="shared" si="4"/>
        <v>0</v>
      </c>
      <c r="U16" s="2">
        <f t="shared" si="4"/>
        <v>0</v>
      </c>
      <c r="V16" s="2">
        <f t="shared" si="4"/>
        <v>0</v>
      </c>
      <c r="W16" s="2">
        <f t="shared" si="4"/>
        <v>0</v>
      </c>
      <c r="X16" s="2">
        <f t="shared" si="4"/>
        <v>0</v>
      </c>
      <c r="Y16" s="2">
        <f t="shared" si="4"/>
        <v>0</v>
      </c>
      <c r="Z16" s="2">
        <f t="shared" si="4"/>
        <v>0</v>
      </c>
      <c r="AA16" s="2">
        <f t="shared" si="4"/>
        <v>0</v>
      </c>
      <c r="AB16" s="2">
        <f t="shared" si="4"/>
        <v>0</v>
      </c>
      <c r="AC16" s="2">
        <f t="shared" si="4"/>
        <v>0</v>
      </c>
      <c r="AD16" s="2">
        <f t="shared" si="4"/>
        <v>0</v>
      </c>
      <c r="AE16" s="2">
        <f t="shared" si="4"/>
        <v>0</v>
      </c>
      <c r="AF16" s="2">
        <f t="shared" si="4"/>
        <v>0</v>
      </c>
      <c r="AG16" s="2">
        <f t="shared" si="4"/>
        <v>0</v>
      </c>
      <c r="AH16" s="2">
        <f t="shared" si="4"/>
        <v>0</v>
      </c>
      <c r="AI16" s="2">
        <f t="shared" si="4"/>
        <v>0</v>
      </c>
      <c r="AJ16" s="2">
        <f t="shared" si="4"/>
        <v>0</v>
      </c>
      <c r="AK16" s="2">
        <f t="shared" si="4"/>
        <v>0</v>
      </c>
      <c r="AL16" s="2">
        <f t="shared" si="4"/>
        <v>0</v>
      </c>
      <c r="AM16" s="2">
        <f t="shared" si="4"/>
        <v>0</v>
      </c>
      <c r="AN16" s="2">
        <f t="shared" si="4"/>
        <v>0</v>
      </c>
      <c r="AO16" s="2">
        <f t="shared" si="4"/>
        <v>0</v>
      </c>
      <c r="AP16" s="2">
        <f t="shared" si="4"/>
        <v>0</v>
      </c>
      <c r="AQ16" s="2">
        <f t="shared" si="4"/>
        <v>0</v>
      </c>
      <c r="AR16" s="2">
        <f t="shared" si="4"/>
        <v>0</v>
      </c>
      <c r="AS16" s="2">
        <f t="shared" si="4"/>
        <v>0</v>
      </c>
      <c r="AT16" s="2">
        <f t="shared" si="4"/>
        <v>0</v>
      </c>
      <c r="AU16" s="2">
        <f t="shared" si="4"/>
        <v>0</v>
      </c>
      <c r="AV16" s="2">
        <f t="shared" si="4"/>
        <v>0</v>
      </c>
      <c r="AW16" s="2">
        <f t="shared" si="4"/>
        <v>0</v>
      </c>
      <c r="AX16" s="2">
        <f t="shared" si="4"/>
        <v>0</v>
      </c>
      <c r="AY16" s="2">
        <f t="shared" si="4"/>
        <v>0</v>
      </c>
      <c r="AZ16" s="2">
        <f t="shared" si="4"/>
        <v>0</v>
      </c>
      <c r="BA16" s="2">
        <f t="shared" si="4"/>
        <v>0</v>
      </c>
      <c r="BB16" s="2">
        <f t="shared" si="4"/>
        <v>0</v>
      </c>
      <c r="BC16" s="2">
        <f t="shared" si="4"/>
        <v>0</v>
      </c>
      <c r="BD16" s="2">
        <f t="shared" si="4"/>
        <v>0</v>
      </c>
      <c r="BE16" s="2">
        <f t="shared" si="4"/>
        <v>0</v>
      </c>
      <c r="BF16" s="2">
        <f t="shared" si="4"/>
        <v>0</v>
      </c>
      <c r="BG16" s="2">
        <f t="shared" si="4"/>
        <v>0</v>
      </c>
      <c r="BH16" s="2">
        <f t="shared" si="4"/>
        <v>0</v>
      </c>
      <c r="BI16" s="2">
        <f t="shared" si="4"/>
        <v>0</v>
      </c>
      <c r="BJ16" s="2">
        <f t="shared" si="4"/>
        <v>0</v>
      </c>
      <c r="BK16" s="2">
        <f t="shared" si="4"/>
        <v>0</v>
      </c>
      <c r="BL16" s="2">
        <f t="shared" si="4"/>
        <v>0</v>
      </c>
      <c r="BM16" s="2">
        <f t="shared" si="4"/>
        <v>0</v>
      </c>
      <c r="BN16" s="2">
        <f t="shared" si="4"/>
        <v>0</v>
      </c>
      <c r="BO16" s="2">
        <f t="shared" si="4"/>
        <v>0</v>
      </c>
      <c r="BP16" s="2">
        <f t="shared" si="4"/>
        <v>0</v>
      </c>
      <c r="BQ16" s="2">
        <f t="shared" si="4"/>
        <v>0</v>
      </c>
      <c r="BR16" s="2">
        <f t="shared" si="4"/>
        <v>0</v>
      </c>
      <c r="BS16" s="2">
        <f t="shared" si="4"/>
        <v>0</v>
      </c>
      <c r="BT16" s="2">
        <f t="shared" ref="BT16:CE16" si="5">$D16*BT15</f>
        <v>0</v>
      </c>
      <c r="BU16" s="2">
        <f t="shared" si="5"/>
        <v>0</v>
      </c>
      <c r="BV16" s="2">
        <f t="shared" si="5"/>
        <v>0</v>
      </c>
      <c r="BW16" s="2">
        <f t="shared" si="5"/>
        <v>0</v>
      </c>
      <c r="BX16" s="2">
        <f t="shared" si="5"/>
        <v>0</v>
      </c>
      <c r="BY16" s="2">
        <f t="shared" si="5"/>
        <v>0</v>
      </c>
      <c r="BZ16" s="2">
        <f t="shared" si="5"/>
        <v>0</v>
      </c>
      <c r="CA16" s="2">
        <f t="shared" si="5"/>
        <v>0</v>
      </c>
      <c r="CB16" s="2">
        <f t="shared" si="5"/>
        <v>0</v>
      </c>
      <c r="CC16" s="2">
        <f t="shared" si="5"/>
        <v>0</v>
      </c>
      <c r="CD16" s="2">
        <f t="shared" si="5"/>
        <v>0</v>
      </c>
      <c r="CE16" s="2">
        <f t="shared" si="5"/>
        <v>0</v>
      </c>
    </row>
    <row r="17" spans="1:90" hidden="1">
      <c r="C17"/>
      <c r="D17"/>
      <c r="E17"/>
    </row>
    <row r="18" spans="1:90" hidden="1">
      <c r="B18" s="94"/>
      <c r="C18" s="219"/>
      <c r="D18" s="219"/>
      <c r="E18" s="219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0"/>
      <c r="BU18" s="220"/>
      <c r="BV18" s="220"/>
      <c r="BW18" s="220"/>
      <c r="BX18" s="220"/>
      <c r="BY18" s="220"/>
      <c r="BZ18" s="220"/>
      <c r="CA18" s="220"/>
      <c r="CB18" s="220"/>
      <c r="CC18" s="220"/>
      <c r="CD18" s="220"/>
      <c r="CE18" s="220"/>
    </row>
    <row r="19" spans="1:90" hidden="1">
      <c r="C19" s="1" t="s">
        <v>380</v>
      </c>
      <c r="D19" s="282">
        <f>D16</f>
        <v>729</v>
      </c>
      <c r="F19" s="2"/>
      <c r="G19" s="2"/>
      <c r="H19" s="2"/>
      <c r="I19" s="2"/>
      <c r="J19" s="2"/>
      <c r="K19" s="2"/>
      <c r="L19" s="2">
        <f t="shared" ref="L19:AQ19" si="6">$D19*L18</f>
        <v>0</v>
      </c>
      <c r="M19" s="2">
        <f t="shared" si="6"/>
        <v>0</v>
      </c>
      <c r="N19" s="2">
        <f t="shared" si="6"/>
        <v>0</v>
      </c>
      <c r="O19" s="2">
        <f t="shared" si="6"/>
        <v>0</v>
      </c>
      <c r="P19" s="2">
        <f t="shared" si="6"/>
        <v>0</v>
      </c>
      <c r="Q19" s="2">
        <f t="shared" si="6"/>
        <v>0</v>
      </c>
      <c r="R19" s="2">
        <f t="shared" si="6"/>
        <v>0</v>
      </c>
      <c r="S19" s="2">
        <f t="shared" si="6"/>
        <v>0</v>
      </c>
      <c r="T19" s="2">
        <f t="shared" si="6"/>
        <v>0</v>
      </c>
      <c r="U19" s="2">
        <f t="shared" si="6"/>
        <v>0</v>
      </c>
      <c r="V19" s="2">
        <f t="shared" si="6"/>
        <v>0</v>
      </c>
      <c r="W19" s="2">
        <f t="shared" si="6"/>
        <v>0</v>
      </c>
      <c r="X19" s="2">
        <f t="shared" si="6"/>
        <v>0</v>
      </c>
      <c r="Y19" s="2">
        <f t="shared" si="6"/>
        <v>0</v>
      </c>
      <c r="Z19" s="2">
        <f t="shared" si="6"/>
        <v>0</v>
      </c>
      <c r="AA19" s="2">
        <f t="shared" si="6"/>
        <v>0</v>
      </c>
      <c r="AB19" s="2">
        <f t="shared" si="6"/>
        <v>0</v>
      </c>
      <c r="AC19" s="2">
        <f t="shared" si="6"/>
        <v>0</v>
      </c>
      <c r="AD19" s="2">
        <f t="shared" si="6"/>
        <v>0</v>
      </c>
      <c r="AE19" s="2">
        <f t="shared" si="6"/>
        <v>0</v>
      </c>
      <c r="AF19" s="2">
        <f t="shared" si="6"/>
        <v>0</v>
      </c>
      <c r="AG19" s="2">
        <f t="shared" si="6"/>
        <v>0</v>
      </c>
      <c r="AH19" s="2">
        <f t="shared" si="6"/>
        <v>0</v>
      </c>
      <c r="AI19" s="2">
        <f t="shared" si="6"/>
        <v>0</v>
      </c>
      <c r="AJ19" s="2">
        <f t="shared" si="6"/>
        <v>0</v>
      </c>
      <c r="AK19" s="2">
        <f t="shared" si="6"/>
        <v>0</v>
      </c>
      <c r="AL19" s="2">
        <f t="shared" si="6"/>
        <v>0</v>
      </c>
      <c r="AM19" s="2">
        <f t="shared" si="6"/>
        <v>0</v>
      </c>
      <c r="AN19" s="2">
        <f t="shared" si="6"/>
        <v>0</v>
      </c>
      <c r="AO19" s="2">
        <f t="shared" si="6"/>
        <v>0</v>
      </c>
      <c r="AP19" s="2">
        <f t="shared" si="6"/>
        <v>0</v>
      </c>
      <c r="AQ19" s="2">
        <f t="shared" si="6"/>
        <v>0</v>
      </c>
      <c r="AR19" s="2">
        <f t="shared" ref="AR19:BS19" si="7">$D19*AR18</f>
        <v>0</v>
      </c>
      <c r="AS19" s="2">
        <f t="shared" si="7"/>
        <v>0</v>
      </c>
      <c r="AT19" s="2">
        <f t="shared" si="7"/>
        <v>0</v>
      </c>
      <c r="AU19" s="2">
        <f t="shared" si="7"/>
        <v>0</v>
      </c>
      <c r="AV19" s="2">
        <f t="shared" si="7"/>
        <v>0</v>
      </c>
      <c r="AW19" s="2">
        <f t="shared" si="7"/>
        <v>0</v>
      </c>
      <c r="AX19" s="2">
        <f t="shared" si="7"/>
        <v>0</v>
      </c>
      <c r="AY19" s="2">
        <f t="shared" si="7"/>
        <v>0</v>
      </c>
      <c r="AZ19" s="2">
        <f t="shared" si="7"/>
        <v>0</v>
      </c>
      <c r="BA19" s="2">
        <f t="shared" si="7"/>
        <v>0</v>
      </c>
      <c r="BB19" s="2">
        <f t="shared" si="7"/>
        <v>0</v>
      </c>
      <c r="BC19" s="2">
        <f t="shared" si="7"/>
        <v>0</v>
      </c>
      <c r="BD19" s="2">
        <f t="shared" si="7"/>
        <v>0</v>
      </c>
      <c r="BE19" s="2">
        <f t="shared" si="7"/>
        <v>0</v>
      </c>
      <c r="BF19" s="2">
        <f t="shared" si="7"/>
        <v>0</v>
      </c>
      <c r="BG19" s="2">
        <f t="shared" si="7"/>
        <v>0</v>
      </c>
      <c r="BH19" s="2">
        <f t="shared" si="7"/>
        <v>0</v>
      </c>
      <c r="BI19" s="2">
        <f t="shared" si="7"/>
        <v>0</v>
      </c>
      <c r="BJ19" s="2">
        <f t="shared" si="7"/>
        <v>0</v>
      </c>
      <c r="BK19" s="2">
        <f t="shared" si="7"/>
        <v>0</v>
      </c>
      <c r="BL19" s="2">
        <f t="shared" si="7"/>
        <v>0</v>
      </c>
      <c r="BM19" s="2">
        <f t="shared" si="7"/>
        <v>0</v>
      </c>
      <c r="BN19" s="2">
        <f t="shared" si="7"/>
        <v>0</v>
      </c>
      <c r="BO19" s="2">
        <f t="shared" si="7"/>
        <v>0</v>
      </c>
      <c r="BP19" s="2">
        <f t="shared" si="7"/>
        <v>0</v>
      </c>
      <c r="BQ19" s="2">
        <f t="shared" si="7"/>
        <v>0</v>
      </c>
      <c r="BR19" s="2">
        <f t="shared" si="7"/>
        <v>0</v>
      </c>
      <c r="BS19" s="2">
        <f t="shared" si="7"/>
        <v>0</v>
      </c>
      <c r="BT19" s="2">
        <f t="shared" ref="BT19:CE19" si="8">$D19*BT18</f>
        <v>0</v>
      </c>
      <c r="BU19" s="2">
        <f t="shared" si="8"/>
        <v>0</v>
      </c>
      <c r="BV19" s="2">
        <f t="shared" si="8"/>
        <v>0</v>
      </c>
      <c r="BW19" s="2">
        <f t="shared" si="8"/>
        <v>0</v>
      </c>
      <c r="BX19" s="2">
        <f t="shared" si="8"/>
        <v>0</v>
      </c>
      <c r="BY19" s="2">
        <f t="shared" si="8"/>
        <v>0</v>
      </c>
      <c r="BZ19" s="2">
        <f t="shared" si="8"/>
        <v>0</v>
      </c>
      <c r="CA19" s="2">
        <f t="shared" si="8"/>
        <v>0</v>
      </c>
      <c r="CB19" s="2">
        <f t="shared" si="8"/>
        <v>0</v>
      </c>
      <c r="CC19" s="2">
        <f t="shared" si="8"/>
        <v>0</v>
      </c>
      <c r="CD19" s="2">
        <f t="shared" si="8"/>
        <v>0</v>
      </c>
      <c r="CE19" s="2">
        <f t="shared" si="8"/>
        <v>0</v>
      </c>
    </row>
    <row r="20" spans="1:90">
      <c r="E20" s="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</row>
    <row r="21" spans="1:90" s="221" customFormat="1">
      <c r="B21" s="221" t="s">
        <v>385</v>
      </c>
      <c r="C21" s="219"/>
      <c r="D21" s="285"/>
      <c r="E21" s="219"/>
      <c r="F21" s="220"/>
      <c r="G21" s="220"/>
      <c r="H21" s="220"/>
      <c r="I21" s="220"/>
      <c r="J21" s="220"/>
      <c r="K21" s="220"/>
      <c r="L21" s="220">
        <f t="shared" ref="L21:AQ21" si="9">L12+L15+L18</f>
        <v>0</v>
      </c>
      <c r="M21" s="220">
        <f t="shared" si="9"/>
        <v>0</v>
      </c>
      <c r="N21" s="220">
        <f t="shared" si="9"/>
        <v>0</v>
      </c>
      <c r="O21" s="220">
        <f t="shared" si="9"/>
        <v>0</v>
      </c>
      <c r="P21" s="220">
        <f t="shared" si="9"/>
        <v>0</v>
      </c>
      <c r="Q21" s="220">
        <f t="shared" si="9"/>
        <v>0</v>
      </c>
      <c r="R21" s="220">
        <f t="shared" si="9"/>
        <v>0</v>
      </c>
      <c r="S21" s="220">
        <f t="shared" si="9"/>
        <v>0</v>
      </c>
      <c r="T21" s="220">
        <f t="shared" si="9"/>
        <v>0</v>
      </c>
      <c r="U21" s="220">
        <f t="shared" si="9"/>
        <v>0</v>
      </c>
      <c r="V21" s="220">
        <f t="shared" si="9"/>
        <v>0</v>
      </c>
      <c r="W21" s="220">
        <f t="shared" si="9"/>
        <v>0</v>
      </c>
      <c r="X21" s="220">
        <f t="shared" si="9"/>
        <v>0</v>
      </c>
      <c r="Y21" s="220">
        <f t="shared" si="9"/>
        <v>0</v>
      </c>
      <c r="Z21" s="220">
        <f t="shared" si="9"/>
        <v>0</v>
      </c>
      <c r="AA21" s="220">
        <f t="shared" si="9"/>
        <v>0</v>
      </c>
      <c r="AB21" s="220">
        <f t="shared" si="9"/>
        <v>0</v>
      </c>
      <c r="AC21" s="220">
        <f t="shared" si="9"/>
        <v>0</v>
      </c>
      <c r="AD21" s="220">
        <f t="shared" ref="AD21:AN21" si="10">AD12+AD15+AD18</f>
        <v>0</v>
      </c>
      <c r="AE21" s="220">
        <f t="shared" si="10"/>
        <v>0</v>
      </c>
      <c r="AF21" s="220">
        <f t="shared" si="10"/>
        <v>0</v>
      </c>
      <c r="AG21" s="220">
        <f t="shared" si="10"/>
        <v>0</v>
      </c>
      <c r="AH21" s="220">
        <f t="shared" si="10"/>
        <v>0</v>
      </c>
      <c r="AI21" s="220">
        <f t="shared" si="10"/>
        <v>0</v>
      </c>
      <c r="AJ21" s="220">
        <f t="shared" si="10"/>
        <v>5</v>
      </c>
      <c r="AK21" s="220">
        <f t="shared" si="10"/>
        <v>10</v>
      </c>
      <c r="AL21" s="220">
        <f t="shared" si="10"/>
        <v>15</v>
      </c>
      <c r="AM21" s="220">
        <f t="shared" si="10"/>
        <v>20</v>
      </c>
      <c r="AN21" s="220">
        <f t="shared" si="10"/>
        <v>25</v>
      </c>
      <c r="AO21" s="220">
        <f t="shared" si="9"/>
        <v>30</v>
      </c>
      <c r="AP21" s="220">
        <f t="shared" si="9"/>
        <v>40</v>
      </c>
      <c r="AQ21" s="220">
        <f t="shared" si="9"/>
        <v>50</v>
      </c>
      <c r="AR21" s="220">
        <f t="shared" ref="AR21:BS21" si="11">AR12+AR15+AR18</f>
        <v>60</v>
      </c>
      <c r="AS21" s="220">
        <f t="shared" si="11"/>
        <v>75</v>
      </c>
      <c r="AT21" s="220">
        <f t="shared" si="11"/>
        <v>90</v>
      </c>
      <c r="AU21" s="220">
        <f t="shared" si="11"/>
        <v>105</v>
      </c>
      <c r="AV21" s="220">
        <f t="shared" si="11"/>
        <v>120</v>
      </c>
      <c r="AW21" s="220">
        <f t="shared" si="11"/>
        <v>130</v>
      </c>
      <c r="AX21" s="220">
        <f t="shared" si="11"/>
        <v>140</v>
      </c>
      <c r="AY21" s="220">
        <f t="shared" si="11"/>
        <v>150</v>
      </c>
      <c r="AZ21" s="220">
        <f t="shared" si="11"/>
        <v>150</v>
      </c>
      <c r="BA21" s="220">
        <f t="shared" si="11"/>
        <v>140</v>
      </c>
      <c r="BB21" s="220">
        <f t="shared" si="11"/>
        <v>120</v>
      </c>
      <c r="BC21" s="220">
        <f t="shared" si="11"/>
        <v>80</v>
      </c>
      <c r="BD21" s="220">
        <f t="shared" si="11"/>
        <v>50</v>
      </c>
      <c r="BE21" s="220">
        <f t="shared" si="11"/>
        <v>30</v>
      </c>
      <c r="BF21" s="220">
        <f t="shared" si="11"/>
        <v>30</v>
      </c>
      <c r="BG21" s="220">
        <f t="shared" si="11"/>
        <v>30</v>
      </c>
      <c r="BH21" s="220">
        <f t="shared" si="11"/>
        <v>30</v>
      </c>
      <c r="BI21" s="220">
        <f t="shared" si="11"/>
        <v>30</v>
      </c>
      <c r="BJ21" s="220">
        <f t="shared" si="11"/>
        <v>30</v>
      </c>
      <c r="BK21" s="220">
        <f t="shared" si="11"/>
        <v>30</v>
      </c>
      <c r="BL21" s="220">
        <f t="shared" si="11"/>
        <v>30</v>
      </c>
      <c r="BM21" s="220">
        <f t="shared" si="11"/>
        <v>30</v>
      </c>
      <c r="BN21" s="220">
        <f t="shared" si="11"/>
        <v>30</v>
      </c>
      <c r="BO21" s="220">
        <f t="shared" si="11"/>
        <v>30</v>
      </c>
      <c r="BP21" s="220">
        <f t="shared" si="11"/>
        <v>30</v>
      </c>
      <c r="BQ21" s="220">
        <f t="shared" si="11"/>
        <v>30</v>
      </c>
      <c r="BR21" s="220">
        <f t="shared" si="11"/>
        <v>30</v>
      </c>
      <c r="BS21" s="220">
        <f t="shared" si="11"/>
        <v>30</v>
      </c>
      <c r="BT21" s="220">
        <f t="shared" ref="BT21:CE21" si="12">BT12+BT15+BT18</f>
        <v>30</v>
      </c>
      <c r="BU21" s="220">
        <f t="shared" si="12"/>
        <v>30</v>
      </c>
      <c r="BV21" s="220">
        <f t="shared" si="12"/>
        <v>30</v>
      </c>
      <c r="BW21" s="220">
        <f t="shared" si="12"/>
        <v>30</v>
      </c>
      <c r="BX21" s="220">
        <f t="shared" si="12"/>
        <v>30</v>
      </c>
      <c r="BY21" s="220">
        <f t="shared" si="12"/>
        <v>30</v>
      </c>
      <c r="BZ21" s="220">
        <f t="shared" si="12"/>
        <v>30</v>
      </c>
      <c r="CA21" s="220">
        <f t="shared" si="12"/>
        <v>30</v>
      </c>
      <c r="CB21" s="220">
        <f t="shared" si="12"/>
        <v>30</v>
      </c>
      <c r="CC21" s="220">
        <f t="shared" si="12"/>
        <v>30</v>
      </c>
      <c r="CD21" s="220">
        <f t="shared" si="12"/>
        <v>30</v>
      </c>
      <c r="CE21" s="220">
        <f t="shared" si="12"/>
        <v>30</v>
      </c>
    </row>
    <row r="22" spans="1:90" s="221" customFormat="1">
      <c r="B22" s="221" t="s">
        <v>2</v>
      </c>
      <c r="C22" s="219"/>
      <c r="D22" s="219"/>
      <c r="E22" s="219"/>
      <c r="F22" s="220"/>
      <c r="G22" s="220"/>
      <c r="H22" s="220"/>
      <c r="I22" s="220"/>
      <c r="J22" s="220"/>
      <c r="K22" s="220"/>
      <c r="L22" s="220">
        <f t="shared" ref="L22:W22" si="13">L21+K22</f>
        <v>0</v>
      </c>
      <c r="M22" s="220">
        <f t="shared" si="13"/>
        <v>0</v>
      </c>
      <c r="N22" s="220">
        <f t="shared" si="13"/>
        <v>0</v>
      </c>
      <c r="O22" s="220">
        <f t="shared" si="13"/>
        <v>0</v>
      </c>
      <c r="P22" s="220">
        <f t="shared" si="13"/>
        <v>0</v>
      </c>
      <c r="Q22" s="220">
        <f t="shared" si="13"/>
        <v>0</v>
      </c>
      <c r="R22" s="220">
        <f t="shared" si="13"/>
        <v>0</v>
      </c>
      <c r="S22" s="220">
        <f t="shared" si="13"/>
        <v>0</v>
      </c>
      <c r="T22" s="220">
        <f t="shared" si="13"/>
        <v>0</v>
      </c>
      <c r="U22" s="220">
        <f t="shared" si="13"/>
        <v>0</v>
      </c>
      <c r="V22" s="220">
        <f t="shared" si="13"/>
        <v>0</v>
      </c>
      <c r="W22" s="220">
        <f t="shared" si="13"/>
        <v>0</v>
      </c>
      <c r="X22" s="220">
        <f>X21</f>
        <v>0</v>
      </c>
      <c r="Y22" s="220">
        <f t="shared" ref="Y22:AI22" si="14">Y21+X22</f>
        <v>0</v>
      </c>
      <c r="Z22" s="220">
        <f t="shared" si="14"/>
        <v>0</v>
      </c>
      <c r="AA22" s="220">
        <f t="shared" si="14"/>
        <v>0</v>
      </c>
      <c r="AB22" s="220">
        <f t="shared" si="14"/>
        <v>0</v>
      </c>
      <c r="AC22" s="220">
        <f t="shared" si="14"/>
        <v>0</v>
      </c>
      <c r="AD22" s="220">
        <f t="shared" si="14"/>
        <v>0</v>
      </c>
      <c r="AE22" s="220">
        <f t="shared" si="14"/>
        <v>0</v>
      </c>
      <c r="AF22" s="220">
        <f t="shared" si="14"/>
        <v>0</v>
      </c>
      <c r="AG22" s="220">
        <f t="shared" si="14"/>
        <v>0</v>
      </c>
      <c r="AH22" s="220">
        <f t="shared" si="14"/>
        <v>0</v>
      </c>
      <c r="AI22" s="220">
        <f t="shared" si="14"/>
        <v>0</v>
      </c>
      <c r="AJ22" s="220">
        <f>AJ21</f>
        <v>5</v>
      </c>
      <c r="AK22" s="220">
        <f t="shared" ref="AK22:AU22" si="15">AK21+AJ22</f>
        <v>15</v>
      </c>
      <c r="AL22" s="220">
        <f t="shared" si="15"/>
        <v>30</v>
      </c>
      <c r="AM22" s="220">
        <f t="shared" si="15"/>
        <v>50</v>
      </c>
      <c r="AN22" s="220">
        <f t="shared" si="15"/>
        <v>75</v>
      </c>
      <c r="AO22" s="220">
        <f t="shared" si="15"/>
        <v>105</v>
      </c>
      <c r="AP22" s="220">
        <f t="shared" si="15"/>
        <v>145</v>
      </c>
      <c r="AQ22" s="220">
        <f t="shared" si="15"/>
        <v>195</v>
      </c>
      <c r="AR22" s="220">
        <f t="shared" si="15"/>
        <v>255</v>
      </c>
      <c r="AS22" s="220">
        <f t="shared" si="15"/>
        <v>330</v>
      </c>
      <c r="AT22" s="220">
        <f t="shared" si="15"/>
        <v>420</v>
      </c>
      <c r="AU22" s="220">
        <f t="shared" si="15"/>
        <v>525</v>
      </c>
      <c r="AV22" s="220">
        <f>AV21</f>
        <v>120</v>
      </c>
      <c r="AW22" s="220">
        <f t="shared" ref="AW22:BG22" si="16">AW21+AV22</f>
        <v>250</v>
      </c>
      <c r="AX22" s="220">
        <f t="shared" si="16"/>
        <v>390</v>
      </c>
      <c r="AY22" s="220">
        <f t="shared" si="16"/>
        <v>540</v>
      </c>
      <c r="AZ22" s="220">
        <f t="shared" si="16"/>
        <v>690</v>
      </c>
      <c r="BA22" s="220">
        <f t="shared" si="16"/>
        <v>830</v>
      </c>
      <c r="BB22" s="220">
        <f t="shared" si="16"/>
        <v>950</v>
      </c>
      <c r="BC22" s="220">
        <f t="shared" si="16"/>
        <v>1030</v>
      </c>
      <c r="BD22" s="220">
        <f t="shared" si="16"/>
        <v>1080</v>
      </c>
      <c r="BE22" s="220">
        <f t="shared" si="16"/>
        <v>1110</v>
      </c>
      <c r="BF22" s="220">
        <f t="shared" si="16"/>
        <v>1140</v>
      </c>
      <c r="BG22" s="220">
        <f t="shared" si="16"/>
        <v>1170</v>
      </c>
      <c r="BH22" s="220">
        <f>BH21</f>
        <v>30</v>
      </c>
      <c r="BI22" s="220">
        <f t="shared" ref="BI22:BS22" si="17">BI21+BH22</f>
        <v>60</v>
      </c>
      <c r="BJ22" s="220">
        <f t="shared" si="17"/>
        <v>90</v>
      </c>
      <c r="BK22" s="220">
        <f t="shared" si="17"/>
        <v>120</v>
      </c>
      <c r="BL22" s="220">
        <f t="shared" si="17"/>
        <v>150</v>
      </c>
      <c r="BM22" s="220">
        <f t="shared" si="17"/>
        <v>180</v>
      </c>
      <c r="BN22" s="220">
        <f t="shared" si="17"/>
        <v>210</v>
      </c>
      <c r="BO22" s="220">
        <f t="shared" si="17"/>
        <v>240</v>
      </c>
      <c r="BP22" s="220">
        <f t="shared" si="17"/>
        <v>270</v>
      </c>
      <c r="BQ22" s="220">
        <f t="shared" si="17"/>
        <v>300</v>
      </c>
      <c r="BR22" s="220">
        <f t="shared" si="17"/>
        <v>330</v>
      </c>
      <c r="BS22" s="220">
        <f t="shared" si="17"/>
        <v>360</v>
      </c>
      <c r="BT22" s="220">
        <f>BT21</f>
        <v>30</v>
      </c>
      <c r="BU22" s="220">
        <f t="shared" ref="BU22:CE22" si="18">BU21+BT22</f>
        <v>60</v>
      </c>
      <c r="BV22" s="220">
        <f t="shared" si="18"/>
        <v>90</v>
      </c>
      <c r="BW22" s="220">
        <f t="shared" si="18"/>
        <v>120</v>
      </c>
      <c r="BX22" s="220">
        <f t="shared" si="18"/>
        <v>150</v>
      </c>
      <c r="BY22" s="220">
        <f t="shared" si="18"/>
        <v>180</v>
      </c>
      <c r="BZ22" s="220">
        <f t="shared" si="18"/>
        <v>210</v>
      </c>
      <c r="CA22" s="220">
        <f t="shared" si="18"/>
        <v>240</v>
      </c>
      <c r="CB22" s="220">
        <f t="shared" si="18"/>
        <v>270</v>
      </c>
      <c r="CC22" s="220">
        <f t="shared" si="18"/>
        <v>300</v>
      </c>
      <c r="CD22" s="220">
        <f t="shared" si="18"/>
        <v>330</v>
      </c>
      <c r="CE22" s="220">
        <f t="shared" si="18"/>
        <v>360</v>
      </c>
    </row>
    <row r="23" spans="1:90" s="192" customFormat="1">
      <c r="B23" s="192" t="s">
        <v>384</v>
      </c>
      <c r="C23" s="7"/>
      <c r="D23" s="286"/>
      <c r="E23" s="7"/>
      <c r="F23" s="236"/>
      <c r="G23" s="236"/>
      <c r="H23" s="236"/>
      <c r="I23" s="236"/>
      <c r="J23" s="236"/>
      <c r="K23" s="236"/>
      <c r="L23" s="236">
        <f t="shared" ref="L23:AQ23" si="19">L13+L16+L19</f>
        <v>0</v>
      </c>
      <c r="M23" s="236">
        <f t="shared" si="19"/>
        <v>0</v>
      </c>
      <c r="N23" s="236">
        <f t="shared" si="19"/>
        <v>0</v>
      </c>
      <c r="O23" s="236">
        <f t="shared" si="19"/>
        <v>0</v>
      </c>
      <c r="P23" s="236">
        <f t="shared" si="19"/>
        <v>0</v>
      </c>
      <c r="Q23" s="236">
        <f t="shared" si="19"/>
        <v>0</v>
      </c>
      <c r="R23" s="236">
        <f t="shared" si="19"/>
        <v>0</v>
      </c>
      <c r="S23" s="236">
        <f t="shared" si="19"/>
        <v>0</v>
      </c>
      <c r="T23" s="236">
        <f t="shared" si="19"/>
        <v>0</v>
      </c>
      <c r="U23" s="236">
        <f t="shared" si="19"/>
        <v>0</v>
      </c>
      <c r="V23" s="236">
        <f t="shared" si="19"/>
        <v>0</v>
      </c>
      <c r="W23" s="236">
        <f t="shared" si="19"/>
        <v>0</v>
      </c>
      <c r="X23" s="236">
        <f t="shared" si="19"/>
        <v>0</v>
      </c>
      <c r="Y23" s="236">
        <f t="shared" si="19"/>
        <v>0</v>
      </c>
      <c r="Z23" s="236">
        <f t="shared" si="19"/>
        <v>0</v>
      </c>
      <c r="AA23" s="236">
        <f t="shared" si="19"/>
        <v>0</v>
      </c>
      <c r="AB23" s="236">
        <f t="shared" si="19"/>
        <v>0</v>
      </c>
      <c r="AC23" s="236">
        <f t="shared" si="19"/>
        <v>0</v>
      </c>
      <c r="AD23" s="236">
        <f t="shared" si="19"/>
        <v>0</v>
      </c>
      <c r="AE23" s="236">
        <f t="shared" si="19"/>
        <v>0</v>
      </c>
      <c r="AF23" s="236">
        <f t="shared" si="19"/>
        <v>0</v>
      </c>
      <c r="AG23" s="236">
        <f t="shared" si="19"/>
        <v>0</v>
      </c>
      <c r="AH23" s="236">
        <f t="shared" si="19"/>
        <v>0</v>
      </c>
      <c r="AI23" s="236">
        <f t="shared" si="19"/>
        <v>0</v>
      </c>
      <c r="AJ23" s="236">
        <f t="shared" si="19"/>
        <v>3645</v>
      </c>
      <c r="AK23" s="236">
        <f t="shared" si="19"/>
        <v>7290</v>
      </c>
      <c r="AL23" s="236">
        <f t="shared" si="19"/>
        <v>10935</v>
      </c>
      <c r="AM23" s="236">
        <f t="shared" si="19"/>
        <v>14580</v>
      </c>
      <c r="AN23" s="236">
        <f t="shared" si="19"/>
        <v>18225</v>
      </c>
      <c r="AO23" s="236">
        <f t="shared" si="19"/>
        <v>21870</v>
      </c>
      <c r="AP23" s="236">
        <f t="shared" si="19"/>
        <v>29160</v>
      </c>
      <c r="AQ23" s="236">
        <f t="shared" si="19"/>
        <v>36450</v>
      </c>
      <c r="AR23" s="236">
        <f t="shared" ref="AR23:BS23" si="20">AR13+AR16+AR19</f>
        <v>43740</v>
      </c>
      <c r="AS23" s="236">
        <f t="shared" si="20"/>
        <v>54675</v>
      </c>
      <c r="AT23" s="236">
        <f t="shared" si="20"/>
        <v>65610</v>
      </c>
      <c r="AU23" s="236">
        <f t="shared" si="20"/>
        <v>76545</v>
      </c>
      <c r="AV23" s="236">
        <f t="shared" si="20"/>
        <v>87480</v>
      </c>
      <c r="AW23" s="236">
        <f t="shared" si="20"/>
        <v>94770</v>
      </c>
      <c r="AX23" s="236">
        <f t="shared" si="20"/>
        <v>102060</v>
      </c>
      <c r="AY23" s="236">
        <f t="shared" si="20"/>
        <v>109350</v>
      </c>
      <c r="AZ23" s="236">
        <f t="shared" si="20"/>
        <v>109350</v>
      </c>
      <c r="BA23" s="236">
        <f t="shared" si="20"/>
        <v>102060</v>
      </c>
      <c r="BB23" s="236">
        <f t="shared" si="20"/>
        <v>87480</v>
      </c>
      <c r="BC23" s="236">
        <f t="shared" si="20"/>
        <v>58320</v>
      </c>
      <c r="BD23" s="236">
        <f t="shared" si="20"/>
        <v>36450</v>
      </c>
      <c r="BE23" s="236">
        <f t="shared" si="20"/>
        <v>21870</v>
      </c>
      <c r="BF23" s="236">
        <f t="shared" si="20"/>
        <v>21870</v>
      </c>
      <c r="BG23" s="236">
        <f t="shared" si="20"/>
        <v>21870</v>
      </c>
      <c r="BH23" s="236">
        <f t="shared" si="20"/>
        <v>21870</v>
      </c>
      <c r="BI23" s="236">
        <f t="shared" si="20"/>
        <v>21870</v>
      </c>
      <c r="BJ23" s="236">
        <f t="shared" si="20"/>
        <v>21870</v>
      </c>
      <c r="BK23" s="236">
        <f t="shared" si="20"/>
        <v>21870</v>
      </c>
      <c r="BL23" s="236">
        <f t="shared" si="20"/>
        <v>21870</v>
      </c>
      <c r="BM23" s="236">
        <f t="shared" si="20"/>
        <v>21870</v>
      </c>
      <c r="BN23" s="236">
        <f t="shared" si="20"/>
        <v>21870</v>
      </c>
      <c r="BO23" s="236">
        <f t="shared" si="20"/>
        <v>21870</v>
      </c>
      <c r="BP23" s="236">
        <f t="shared" si="20"/>
        <v>21870</v>
      </c>
      <c r="BQ23" s="236">
        <f t="shared" si="20"/>
        <v>21870</v>
      </c>
      <c r="BR23" s="236">
        <f t="shared" si="20"/>
        <v>21870</v>
      </c>
      <c r="BS23" s="236">
        <f t="shared" si="20"/>
        <v>21870</v>
      </c>
      <c r="BT23" s="236">
        <f t="shared" ref="BT23:CE23" si="21">BT13+BT16+BT19</f>
        <v>21870</v>
      </c>
      <c r="BU23" s="236">
        <f t="shared" si="21"/>
        <v>21870</v>
      </c>
      <c r="BV23" s="236">
        <f t="shared" si="21"/>
        <v>21870</v>
      </c>
      <c r="BW23" s="236">
        <f t="shared" si="21"/>
        <v>21870</v>
      </c>
      <c r="BX23" s="236">
        <f t="shared" si="21"/>
        <v>21870</v>
      </c>
      <c r="BY23" s="236">
        <f t="shared" si="21"/>
        <v>21870</v>
      </c>
      <c r="BZ23" s="236">
        <f t="shared" si="21"/>
        <v>21870</v>
      </c>
      <c r="CA23" s="236">
        <f t="shared" si="21"/>
        <v>21870</v>
      </c>
      <c r="CB23" s="236">
        <f t="shared" si="21"/>
        <v>21870</v>
      </c>
      <c r="CC23" s="236">
        <f t="shared" si="21"/>
        <v>21870</v>
      </c>
      <c r="CD23" s="236">
        <f t="shared" si="21"/>
        <v>21870</v>
      </c>
      <c r="CE23" s="236">
        <f t="shared" si="21"/>
        <v>21870</v>
      </c>
    </row>
    <row r="24" spans="1:90" s="188" customFormat="1">
      <c r="B24" s="188" t="s">
        <v>2</v>
      </c>
      <c r="C24" s="234"/>
      <c r="D24" s="234"/>
      <c r="E24" s="234"/>
      <c r="F24" s="235"/>
      <c r="G24" s="235"/>
      <c r="H24" s="235"/>
      <c r="I24" s="235"/>
      <c r="J24" s="235"/>
      <c r="K24" s="235"/>
      <c r="L24" s="235">
        <f t="shared" ref="L24:W24" si="22">L23+K24</f>
        <v>0</v>
      </c>
      <c r="M24" s="235">
        <f t="shared" si="22"/>
        <v>0</v>
      </c>
      <c r="N24" s="235">
        <f t="shared" si="22"/>
        <v>0</v>
      </c>
      <c r="O24" s="235">
        <f t="shared" si="22"/>
        <v>0</v>
      </c>
      <c r="P24" s="235">
        <f t="shared" si="22"/>
        <v>0</v>
      </c>
      <c r="Q24" s="235">
        <f t="shared" si="22"/>
        <v>0</v>
      </c>
      <c r="R24" s="235">
        <f t="shared" si="22"/>
        <v>0</v>
      </c>
      <c r="S24" s="235">
        <f t="shared" si="22"/>
        <v>0</v>
      </c>
      <c r="T24" s="235">
        <f t="shared" si="22"/>
        <v>0</v>
      </c>
      <c r="U24" s="235">
        <f t="shared" si="22"/>
        <v>0</v>
      </c>
      <c r="V24" s="235">
        <f t="shared" si="22"/>
        <v>0</v>
      </c>
      <c r="W24" s="235">
        <f t="shared" si="22"/>
        <v>0</v>
      </c>
      <c r="X24" s="235">
        <f>X23</f>
        <v>0</v>
      </c>
      <c r="Y24" s="235">
        <f t="shared" ref="Y24:AI24" si="23">Y23+X24</f>
        <v>0</v>
      </c>
      <c r="Z24" s="235">
        <f t="shared" si="23"/>
        <v>0</v>
      </c>
      <c r="AA24" s="235">
        <f t="shared" si="23"/>
        <v>0</v>
      </c>
      <c r="AB24" s="235">
        <f t="shared" si="23"/>
        <v>0</v>
      </c>
      <c r="AC24" s="235">
        <f t="shared" si="23"/>
        <v>0</v>
      </c>
      <c r="AD24" s="235">
        <f t="shared" si="23"/>
        <v>0</v>
      </c>
      <c r="AE24" s="235">
        <f t="shared" si="23"/>
        <v>0</v>
      </c>
      <c r="AF24" s="235">
        <f t="shared" si="23"/>
        <v>0</v>
      </c>
      <c r="AG24" s="235">
        <f t="shared" si="23"/>
        <v>0</v>
      </c>
      <c r="AH24" s="235">
        <f t="shared" si="23"/>
        <v>0</v>
      </c>
      <c r="AI24" s="235">
        <f t="shared" si="23"/>
        <v>0</v>
      </c>
      <c r="AJ24" s="235">
        <f>AJ23</f>
        <v>3645</v>
      </c>
      <c r="AK24" s="235">
        <f t="shared" ref="AK24:AU24" si="24">AK23+AJ24</f>
        <v>10935</v>
      </c>
      <c r="AL24" s="235">
        <f t="shared" si="24"/>
        <v>21870</v>
      </c>
      <c r="AM24" s="235">
        <f t="shared" si="24"/>
        <v>36450</v>
      </c>
      <c r="AN24" s="235">
        <f t="shared" si="24"/>
        <v>54675</v>
      </c>
      <c r="AO24" s="235">
        <f t="shared" si="24"/>
        <v>76545</v>
      </c>
      <c r="AP24" s="235">
        <f t="shared" si="24"/>
        <v>105705</v>
      </c>
      <c r="AQ24" s="235">
        <f t="shared" si="24"/>
        <v>142155</v>
      </c>
      <c r="AR24" s="235">
        <f t="shared" si="24"/>
        <v>185895</v>
      </c>
      <c r="AS24" s="235">
        <f t="shared" si="24"/>
        <v>240570</v>
      </c>
      <c r="AT24" s="235">
        <f t="shared" si="24"/>
        <v>306180</v>
      </c>
      <c r="AU24" s="235">
        <f t="shared" si="24"/>
        <v>382725</v>
      </c>
      <c r="AV24" s="235">
        <f>AV23</f>
        <v>87480</v>
      </c>
      <c r="AW24" s="235">
        <f t="shared" ref="AW24:BG24" si="25">AW23+AV24</f>
        <v>182250</v>
      </c>
      <c r="AX24" s="235">
        <f t="shared" si="25"/>
        <v>284310</v>
      </c>
      <c r="AY24" s="235">
        <f t="shared" si="25"/>
        <v>393660</v>
      </c>
      <c r="AZ24" s="235">
        <f t="shared" si="25"/>
        <v>503010</v>
      </c>
      <c r="BA24" s="235">
        <f t="shared" si="25"/>
        <v>605070</v>
      </c>
      <c r="BB24" s="235">
        <f t="shared" si="25"/>
        <v>692550</v>
      </c>
      <c r="BC24" s="235">
        <f t="shared" si="25"/>
        <v>750870</v>
      </c>
      <c r="BD24" s="235">
        <f t="shared" si="25"/>
        <v>787320</v>
      </c>
      <c r="BE24" s="235">
        <f t="shared" si="25"/>
        <v>809190</v>
      </c>
      <c r="BF24" s="235">
        <f t="shared" si="25"/>
        <v>831060</v>
      </c>
      <c r="BG24" s="235">
        <f t="shared" si="25"/>
        <v>852930</v>
      </c>
      <c r="BH24" s="235">
        <f>BH23</f>
        <v>21870</v>
      </c>
      <c r="BI24" s="235">
        <f t="shared" ref="BI24:BS24" si="26">BI23+BH24</f>
        <v>43740</v>
      </c>
      <c r="BJ24" s="235">
        <f t="shared" si="26"/>
        <v>65610</v>
      </c>
      <c r="BK24" s="235">
        <f t="shared" si="26"/>
        <v>87480</v>
      </c>
      <c r="BL24" s="235">
        <f t="shared" si="26"/>
        <v>109350</v>
      </c>
      <c r="BM24" s="235">
        <f t="shared" si="26"/>
        <v>131220</v>
      </c>
      <c r="BN24" s="235">
        <f t="shared" si="26"/>
        <v>153090</v>
      </c>
      <c r="BO24" s="235">
        <f t="shared" si="26"/>
        <v>174960</v>
      </c>
      <c r="BP24" s="235">
        <f t="shared" si="26"/>
        <v>196830</v>
      </c>
      <c r="BQ24" s="235">
        <f t="shared" si="26"/>
        <v>218700</v>
      </c>
      <c r="BR24" s="235">
        <f t="shared" si="26"/>
        <v>240570</v>
      </c>
      <c r="BS24" s="235">
        <f t="shared" si="26"/>
        <v>262440</v>
      </c>
      <c r="BT24" s="235">
        <f>BT23</f>
        <v>21870</v>
      </c>
      <c r="BU24" s="235">
        <f t="shared" ref="BU24:CE24" si="27">BU23+BT24</f>
        <v>43740</v>
      </c>
      <c r="BV24" s="235">
        <f t="shared" si="27"/>
        <v>65610</v>
      </c>
      <c r="BW24" s="235">
        <f t="shared" si="27"/>
        <v>87480</v>
      </c>
      <c r="BX24" s="235">
        <f t="shared" si="27"/>
        <v>109350</v>
      </c>
      <c r="BY24" s="235">
        <f t="shared" si="27"/>
        <v>131220</v>
      </c>
      <c r="BZ24" s="235">
        <f t="shared" si="27"/>
        <v>153090</v>
      </c>
      <c r="CA24" s="235">
        <f t="shared" si="27"/>
        <v>174960</v>
      </c>
      <c r="CB24" s="235">
        <f t="shared" si="27"/>
        <v>196830</v>
      </c>
      <c r="CC24" s="235">
        <f t="shared" si="27"/>
        <v>218700</v>
      </c>
      <c r="CD24" s="235">
        <f t="shared" si="27"/>
        <v>240570</v>
      </c>
      <c r="CE24" s="235">
        <f t="shared" si="27"/>
        <v>262440</v>
      </c>
    </row>
    <row r="25" spans="1:90" s="166" customFormat="1">
      <c r="C25" s="97"/>
      <c r="D25" s="97"/>
      <c r="E25" s="9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44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44">
        <f>AU24/AU$50</f>
        <v>0.93457943925233644</v>
      </c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44">
        <f>BG24/BG$50</f>
        <v>0.3238907814447527</v>
      </c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44">
        <f>BS24/BS$50</f>
        <v>4.6611572749131171E-2</v>
      </c>
      <c r="BT25" s="237"/>
      <c r="BU25" s="237"/>
      <c r="BV25" s="237"/>
      <c r="BW25" s="237"/>
      <c r="BX25" s="237"/>
      <c r="BY25" s="237"/>
      <c r="BZ25" s="237"/>
      <c r="CA25" s="237"/>
      <c r="CB25" s="237"/>
      <c r="CC25" s="237"/>
      <c r="CD25" s="237"/>
      <c r="CE25" s="244">
        <f>CE24/CE$50</f>
        <v>3.7642827593807118E-2</v>
      </c>
    </row>
    <row r="27" spans="1:90" ht="12.75" customHeight="1">
      <c r="A27" s="212" t="s">
        <v>378</v>
      </c>
      <c r="C27"/>
      <c r="D27"/>
    </row>
    <row r="28" spans="1:90"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90" s="8" customFormat="1">
      <c r="A29" s="11"/>
      <c r="B29" s="94" t="s">
        <v>382</v>
      </c>
      <c r="C29" s="219" t="s">
        <v>379</v>
      </c>
      <c r="D29" s="219"/>
      <c r="E29" s="219"/>
      <c r="F29" s="220"/>
      <c r="G29" s="220"/>
      <c r="H29" s="220"/>
      <c r="I29" s="220"/>
      <c r="J29" s="220"/>
      <c r="K29" s="220"/>
      <c r="L29" s="220">
        <v>0</v>
      </c>
      <c r="M29" s="220">
        <v>0</v>
      </c>
      <c r="N29" s="220">
        <v>0</v>
      </c>
      <c r="O29" s="220">
        <v>0</v>
      </c>
      <c r="P29" s="220">
        <v>0</v>
      </c>
      <c r="Q29" s="220">
        <v>0</v>
      </c>
      <c r="R29" s="220">
        <v>0</v>
      </c>
      <c r="S29" s="220">
        <v>0</v>
      </c>
      <c r="T29" s="220">
        <v>0</v>
      </c>
      <c r="U29" s="220">
        <v>0</v>
      </c>
      <c r="V29" s="220">
        <v>0</v>
      </c>
      <c r="W29" s="220">
        <v>0</v>
      </c>
      <c r="X29" s="220">
        <v>0</v>
      </c>
      <c r="Y29" s="220">
        <v>0</v>
      </c>
      <c r="Z29" s="220">
        <v>0</v>
      </c>
      <c r="AA29" s="220">
        <v>0</v>
      </c>
      <c r="AB29" s="220">
        <v>0</v>
      </c>
      <c r="AC29" s="220">
        <v>0</v>
      </c>
      <c r="AD29" s="220">
        <v>0</v>
      </c>
      <c r="AE29" s="220">
        <v>0</v>
      </c>
      <c r="AF29" s="220">
        <v>0</v>
      </c>
      <c r="AG29" s="220">
        <v>0</v>
      </c>
      <c r="AH29" s="220">
        <v>0</v>
      </c>
      <c r="AI29" s="220">
        <v>0</v>
      </c>
      <c r="AJ29" s="220">
        <v>0</v>
      </c>
      <c r="AK29" s="220">
        <v>0</v>
      </c>
      <c r="AL29" s="220">
        <v>0</v>
      </c>
      <c r="AM29" s="220">
        <v>0</v>
      </c>
      <c r="AN29" s="220">
        <v>0</v>
      </c>
      <c r="AO29" s="220">
        <v>0</v>
      </c>
      <c r="AP29" s="220">
        <v>0</v>
      </c>
      <c r="AQ29" s="220">
        <v>0</v>
      </c>
      <c r="AR29" s="220">
        <v>0</v>
      </c>
      <c r="AS29" s="220">
        <v>0</v>
      </c>
      <c r="AT29" s="220">
        <v>0</v>
      </c>
      <c r="AU29" s="220">
        <v>0</v>
      </c>
      <c r="AV29" s="220">
        <v>0</v>
      </c>
      <c r="AW29" s="220">
        <v>10</v>
      </c>
      <c r="AX29" s="220">
        <v>20</v>
      </c>
      <c r="AY29" s="220">
        <v>30</v>
      </c>
      <c r="AZ29" s="220">
        <v>50</v>
      </c>
      <c r="BA29" s="220">
        <v>80</v>
      </c>
      <c r="BB29" s="220">
        <v>110</v>
      </c>
      <c r="BC29" s="220">
        <v>160</v>
      </c>
      <c r="BD29" s="220">
        <v>200</v>
      </c>
      <c r="BE29" s="220">
        <v>250</v>
      </c>
      <c r="BF29" s="220">
        <v>0</v>
      </c>
      <c r="BG29" s="220">
        <v>0</v>
      </c>
      <c r="BH29" s="220">
        <v>0</v>
      </c>
      <c r="BI29" s="220">
        <v>0</v>
      </c>
      <c r="BJ29" s="220">
        <v>0</v>
      </c>
      <c r="BK29" s="220">
        <v>0</v>
      </c>
      <c r="BL29" s="220">
        <v>0</v>
      </c>
      <c r="BM29" s="220">
        <v>0</v>
      </c>
      <c r="BN29" s="220">
        <v>0</v>
      </c>
      <c r="BO29" s="220">
        <v>0</v>
      </c>
      <c r="BP29" s="220">
        <v>0</v>
      </c>
      <c r="BQ29" s="220">
        <v>0</v>
      </c>
      <c r="BR29" s="220">
        <v>0</v>
      </c>
      <c r="BS29" s="220">
        <v>0</v>
      </c>
      <c r="BT29" s="220">
        <v>0</v>
      </c>
      <c r="BU29" s="220">
        <v>0</v>
      </c>
      <c r="BV29" s="220">
        <v>0</v>
      </c>
      <c r="BW29" s="220">
        <v>0</v>
      </c>
      <c r="BX29" s="220">
        <v>0</v>
      </c>
      <c r="BY29" s="220">
        <v>0</v>
      </c>
      <c r="BZ29" s="220">
        <v>0</v>
      </c>
      <c r="CA29" s="220">
        <v>0</v>
      </c>
      <c r="CB29" s="220">
        <v>0</v>
      </c>
      <c r="CC29" s="220">
        <v>0</v>
      </c>
      <c r="CD29" s="220">
        <v>0</v>
      </c>
      <c r="CE29" s="220">
        <v>0</v>
      </c>
    </row>
    <row r="30" spans="1:90">
      <c r="C30" s="1" t="s">
        <v>380</v>
      </c>
      <c r="D30" s="284">
        <f>ROUND(D13*1.5,0)</f>
        <v>1094</v>
      </c>
      <c r="F30" s="2"/>
      <c r="G30" s="2"/>
      <c r="H30" s="2"/>
      <c r="I30" s="2"/>
      <c r="J30" s="2"/>
      <c r="K30" s="2"/>
      <c r="L30" s="2">
        <f t="shared" ref="L30:AQ30" si="28">$D30*L29</f>
        <v>0</v>
      </c>
      <c r="M30" s="2">
        <f t="shared" si="28"/>
        <v>0</v>
      </c>
      <c r="N30" s="2">
        <f t="shared" si="28"/>
        <v>0</v>
      </c>
      <c r="O30" s="2">
        <f t="shared" si="28"/>
        <v>0</v>
      </c>
      <c r="P30" s="2">
        <f t="shared" si="28"/>
        <v>0</v>
      </c>
      <c r="Q30" s="2">
        <f t="shared" si="28"/>
        <v>0</v>
      </c>
      <c r="R30" s="2">
        <f t="shared" si="28"/>
        <v>0</v>
      </c>
      <c r="S30" s="2">
        <f t="shared" si="28"/>
        <v>0</v>
      </c>
      <c r="T30" s="2">
        <f t="shared" si="28"/>
        <v>0</v>
      </c>
      <c r="U30" s="2">
        <f t="shared" si="28"/>
        <v>0</v>
      </c>
      <c r="V30" s="2">
        <f t="shared" si="28"/>
        <v>0</v>
      </c>
      <c r="W30" s="2">
        <f t="shared" si="28"/>
        <v>0</v>
      </c>
      <c r="X30" s="2">
        <f t="shared" si="28"/>
        <v>0</v>
      </c>
      <c r="Y30" s="2">
        <f t="shared" si="28"/>
        <v>0</v>
      </c>
      <c r="Z30" s="2">
        <f t="shared" si="28"/>
        <v>0</v>
      </c>
      <c r="AA30" s="2">
        <f t="shared" si="28"/>
        <v>0</v>
      </c>
      <c r="AB30" s="2">
        <f t="shared" si="28"/>
        <v>0</v>
      </c>
      <c r="AC30" s="2">
        <f t="shared" si="28"/>
        <v>0</v>
      </c>
      <c r="AD30" s="2">
        <f t="shared" si="28"/>
        <v>0</v>
      </c>
      <c r="AE30" s="2">
        <f t="shared" si="28"/>
        <v>0</v>
      </c>
      <c r="AF30" s="2">
        <f t="shared" si="28"/>
        <v>0</v>
      </c>
      <c r="AG30" s="2">
        <f t="shared" si="28"/>
        <v>0</v>
      </c>
      <c r="AH30" s="2">
        <f t="shared" si="28"/>
        <v>0</v>
      </c>
      <c r="AI30" s="2">
        <f t="shared" si="28"/>
        <v>0</v>
      </c>
      <c r="AJ30" s="2">
        <f t="shared" si="28"/>
        <v>0</v>
      </c>
      <c r="AK30" s="2">
        <f t="shared" si="28"/>
        <v>0</v>
      </c>
      <c r="AL30" s="2">
        <f t="shared" si="28"/>
        <v>0</v>
      </c>
      <c r="AM30" s="2">
        <f t="shared" si="28"/>
        <v>0</v>
      </c>
      <c r="AN30" s="2">
        <f t="shared" si="28"/>
        <v>0</v>
      </c>
      <c r="AO30" s="2">
        <f t="shared" si="28"/>
        <v>0</v>
      </c>
      <c r="AP30" s="2">
        <f t="shared" si="28"/>
        <v>0</v>
      </c>
      <c r="AQ30" s="2">
        <f t="shared" si="28"/>
        <v>0</v>
      </c>
      <c r="AR30" s="2">
        <f t="shared" ref="AR30:BS30" si="29">$D30*AR29</f>
        <v>0</v>
      </c>
      <c r="AS30" s="2">
        <f t="shared" si="29"/>
        <v>0</v>
      </c>
      <c r="AT30" s="2">
        <f t="shared" si="29"/>
        <v>0</v>
      </c>
      <c r="AU30" s="2">
        <f t="shared" si="29"/>
        <v>0</v>
      </c>
      <c r="AV30" s="2">
        <f t="shared" si="29"/>
        <v>0</v>
      </c>
      <c r="AW30" s="2">
        <f t="shared" si="29"/>
        <v>10940</v>
      </c>
      <c r="AX30" s="2">
        <f t="shared" si="29"/>
        <v>21880</v>
      </c>
      <c r="AY30" s="2">
        <f t="shared" si="29"/>
        <v>32820</v>
      </c>
      <c r="AZ30" s="2">
        <f t="shared" si="29"/>
        <v>54700</v>
      </c>
      <c r="BA30" s="2">
        <f t="shared" si="29"/>
        <v>87520</v>
      </c>
      <c r="BB30" s="2">
        <f t="shared" si="29"/>
        <v>120340</v>
      </c>
      <c r="BC30" s="2">
        <f t="shared" si="29"/>
        <v>175040</v>
      </c>
      <c r="BD30" s="2">
        <f t="shared" si="29"/>
        <v>218800</v>
      </c>
      <c r="BE30" s="2">
        <f t="shared" si="29"/>
        <v>273500</v>
      </c>
      <c r="BF30" s="2">
        <f t="shared" si="29"/>
        <v>0</v>
      </c>
      <c r="BG30" s="2">
        <f t="shared" si="29"/>
        <v>0</v>
      </c>
      <c r="BH30" s="2">
        <f t="shared" si="29"/>
        <v>0</v>
      </c>
      <c r="BI30" s="2">
        <f t="shared" si="29"/>
        <v>0</v>
      </c>
      <c r="BJ30" s="2">
        <f t="shared" si="29"/>
        <v>0</v>
      </c>
      <c r="BK30" s="2">
        <f t="shared" si="29"/>
        <v>0</v>
      </c>
      <c r="BL30" s="2">
        <f t="shared" si="29"/>
        <v>0</v>
      </c>
      <c r="BM30" s="2">
        <f t="shared" si="29"/>
        <v>0</v>
      </c>
      <c r="BN30" s="2">
        <f t="shared" si="29"/>
        <v>0</v>
      </c>
      <c r="BO30" s="2">
        <f t="shared" si="29"/>
        <v>0</v>
      </c>
      <c r="BP30" s="2">
        <f t="shared" si="29"/>
        <v>0</v>
      </c>
      <c r="BQ30" s="2">
        <f t="shared" si="29"/>
        <v>0</v>
      </c>
      <c r="BR30" s="2">
        <f t="shared" si="29"/>
        <v>0</v>
      </c>
      <c r="BS30" s="2">
        <f t="shared" si="29"/>
        <v>0</v>
      </c>
      <c r="BT30" s="2">
        <f t="shared" ref="BT30:CE30" si="30">$D30*BT29</f>
        <v>0</v>
      </c>
      <c r="BU30" s="2">
        <f t="shared" si="30"/>
        <v>0</v>
      </c>
      <c r="BV30" s="2">
        <f t="shared" si="30"/>
        <v>0</v>
      </c>
      <c r="BW30" s="2">
        <f t="shared" si="30"/>
        <v>0</v>
      </c>
      <c r="BX30" s="2">
        <f t="shared" si="30"/>
        <v>0</v>
      </c>
      <c r="BY30" s="2">
        <f t="shared" si="30"/>
        <v>0</v>
      </c>
      <c r="BZ30" s="2">
        <f t="shared" si="30"/>
        <v>0</v>
      </c>
      <c r="CA30" s="2">
        <f t="shared" si="30"/>
        <v>0</v>
      </c>
      <c r="CB30" s="2">
        <f t="shared" si="30"/>
        <v>0</v>
      </c>
      <c r="CC30" s="2">
        <f t="shared" si="30"/>
        <v>0</v>
      </c>
      <c r="CD30" s="2">
        <f t="shared" si="30"/>
        <v>0</v>
      </c>
      <c r="CE30" s="2">
        <f t="shared" si="30"/>
        <v>0</v>
      </c>
    </row>
    <row r="31" spans="1:90"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90" s="8" customFormat="1">
      <c r="A32" s="11"/>
      <c r="B32" s="94" t="s">
        <v>381</v>
      </c>
      <c r="C32" s="219" t="s">
        <v>379</v>
      </c>
      <c r="D32" s="219"/>
      <c r="E32" s="219"/>
      <c r="F32" s="220"/>
      <c r="G32" s="220"/>
      <c r="H32" s="220"/>
      <c r="I32" s="220"/>
      <c r="J32" s="220"/>
      <c r="K32" s="220"/>
      <c r="L32" s="220">
        <v>0</v>
      </c>
      <c r="M32" s="220">
        <v>0</v>
      </c>
      <c r="N32" s="220">
        <v>0</v>
      </c>
      <c r="O32" s="220">
        <v>0</v>
      </c>
      <c r="P32" s="220">
        <v>0</v>
      </c>
      <c r="Q32" s="220">
        <v>0</v>
      </c>
      <c r="R32" s="220">
        <v>0</v>
      </c>
      <c r="S32" s="220">
        <v>0</v>
      </c>
      <c r="T32" s="220">
        <v>0</v>
      </c>
      <c r="U32" s="220">
        <v>0</v>
      </c>
      <c r="V32" s="220">
        <v>0</v>
      </c>
      <c r="W32" s="220">
        <v>0</v>
      </c>
      <c r="X32" s="220">
        <v>0</v>
      </c>
      <c r="Y32" s="220">
        <v>0</v>
      </c>
      <c r="Z32" s="220">
        <v>0</v>
      </c>
      <c r="AA32" s="220">
        <v>0</v>
      </c>
      <c r="AB32" s="220">
        <v>0</v>
      </c>
      <c r="AC32" s="220">
        <v>0</v>
      </c>
      <c r="AD32" s="220">
        <v>0</v>
      </c>
      <c r="AE32" s="220">
        <v>0</v>
      </c>
      <c r="AF32" s="220">
        <v>0</v>
      </c>
      <c r="AG32" s="220">
        <v>0</v>
      </c>
      <c r="AH32" s="220">
        <v>0</v>
      </c>
      <c r="AI32" s="220">
        <v>0</v>
      </c>
      <c r="AJ32" s="220">
        <v>0</v>
      </c>
      <c r="AK32" s="220">
        <v>0</v>
      </c>
      <c r="AL32" s="220">
        <v>0</v>
      </c>
      <c r="AM32" s="220">
        <v>0</v>
      </c>
      <c r="AN32" s="220">
        <v>0</v>
      </c>
      <c r="AO32" s="220">
        <v>0</v>
      </c>
      <c r="AP32" s="220">
        <v>0</v>
      </c>
      <c r="AQ32" s="220">
        <v>0</v>
      </c>
      <c r="AR32" s="220">
        <v>0</v>
      </c>
      <c r="AS32" s="220">
        <v>0</v>
      </c>
      <c r="AT32" s="220">
        <v>0</v>
      </c>
      <c r="AU32" s="220">
        <v>0</v>
      </c>
      <c r="AV32" s="220">
        <v>0</v>
      </c>
      <c r="AW32" s="220">
        <v>0</v>
      </c>
      <c r="AX32" s="220">
        <v>0</v>
      </c>
      <c r="AY32" s="220">
        <v>0</v>
      </c>
      <c r="AZ32" s="220">
        <v>0</v>
      </c>
      <c r="BA32" s="220">
        <v>0</v>
      </c>
      <c r="BB32" s="220">
        <v>0</v>
      </c>
      <c r="BC32" s="220">
        <v>0</v>
      </c>
      <c r="BD32" s="220">
        <v>0</v>
      </c>
      <c r="BE32" s="220">
        <v>0</v>
      </c>
      <c r="BF32" s="220">
        <v>270</v>
      </c>
      <c r="BG32" s="220">
        <v>290</v>
      </c>
      <c r="BH32" s="220">
        <v>310</v>
      </c>
      <c r="BI32" s="220">
        <v>325</v>
      </c>
      <c r="BJ32" s="220">
        <v>340</v>
      </c>
      <c r="BK32" s="220">
        <v>355</v>
      </c>
      <c r="BL32" s="220">
        <v>370</v>
      </c>
      <c r="BM32" s="220">
        <v>380</v>
      </c>
      <c r="BN32" s="220">
        <v>390</v>
      </c>
      <c r="BO32" s="220">
        <v>400</v>
      </c>
      <c r="BP32" s="220">
        <v>410</v>
      </c>
      <c r="BQ32" s="220">
        <v>420</v>
      </c>
      <c r="BR32" s="220">
        <v>430</v>
      </c>
      <c r="BS32" s="220">
        <v>440</v>
      </c>
      <c r="BT32" s="220">
        <v>447</v>
      </c>
      <c r="BU32" s="220">
        <v>455</v>
      </c>
      <c r="BV32" s="220">
        <v>460</v>
      </c>
      <c r="BW32" s="220">
        <v>465</v>
      </c>
      <c r="BX32" s="220">
        <v>470</v>
      </c>
      <c r="BY32" s="220">
        <v>475</v>
      </c>
      <c r="BZ32" s="220">
        <v>480</v>
      </c>
      <c r="CA32" s="220">
        <v>485</v>
      </c>
      <c r="CB32" s="220">
        <v>490</v>
      </c>
      <c r="CC32" s="220">
        <v>493</v>
      </c>
      <c r="CD32" s="220">
        <v>496</v>
      </c>
      <c r="CE32" s="220">
        <v>500</v>
      </c>
      <c r="CF32" s="220"/>
      <c r="CG32" s="220"/>
      <c r="CH32" s="220"/>
      <c r="CI32" s="220"/>
      <c r="CJ32" s="220"/>
      <c r="CK32" s="220"/>
      <c r="CL32" s="220"/>
    </row>
    <row r="33" spans="1:89">
      <c r="C33" s="1" t="s">
        <v>380</v>
      </c>
      <c r="D33" s="284">
        <f>D30</f>
        <v>1094</v>
      </c>
      <c r="F33" s="2"/>
      <c r="G33" s="2"/>
      <c r="H33" s="2"/>
      <c r="I33" s="2"/>
      <c r="J33" s="2"/>
      <c r="K33" s="2"/>
      <c r="L33" s="2">
        <f t="shared" ref="L33:AQ33" si="31">$D33*L32</f>
        <v>0</v>
      </c>
      <c r="M33" s="2">
        <f t="shared" si="31"/>
        <v>0</v>
      </c>
      <c r="N33" s="2">
        <f t="shared" si="31"/>
        <v>0</v>
      </c>
      <c r="O33" s="2">
        <f t="shared" si="31"/>
        <v>0</v>
      </c>
      <c r="P33" s="2">
        <f t="shared" si="31"/>
        <v>0</v>
      </c>
      <c r="Q33" s="2">
        <f t="shared" si="31"/>
        <v>0</v>
      </c>
      <c r="R33" s="2">
        <f t="shared" si="31"/>
        <v>0</v>
      </c>
      <c r="S33" s="2">
        <f t="shared" si="31"/>
        <v>0</v>
      </c>
      <c r="T33" s="2">
        <f t="shared" si="31"/>
        <v>0</v>
      </c>
      <c r="U33" s="2">
        <f t="shared" si="31"/>
        <v>0</v>
      </c>
      <c r="V33" s="2">
        <f t="shared" si="31"/>
        <v>0</v>
      </c>
      <c r="W33" s="2">
        <f t="shared" si="31"/>
        <v>0</v>
      </c>
      <c r="X33" s="2">
        <f t="shared" si="31"/>
        <v>0</v>
      </c>
      <c r="Y33" s="2">
        <f t="shared" si="31"/>
        <v>0</v>
      </c>
      <c r="Z33" s="2">
        <f t="shared" si="31"/>
        <v>0</v>
      </c>
      <c r="AA33" s="2">
        <f t="shared" si="31"/>
        <v>0</v>
      </c>
      <c r="AB33" s="2">
        <f t="shared" si="31"/>
        <v>0</v>
      </c>
      <c r="AC33" s="2">
        <f t="shared" si="31"/>
        <v>0</v>
      </c>
      <c r="AD33" s="2">
        <f t="shared" si="31"/>
        <v>0</v>
      </c>
      <c r="AE33" s="2">
        <f t="shared" si="31"/>
        <v>0</v>
      </c>
      <c r="AF33" s="2">
        <f t="shared" si="31"/>
        <v>0</v>
      </c>
      <c r="AG33" s="2">
        <f t="shared" si="31"/>
        <v>0</v>
      </c>
      <c r="AH33" s="2">
        <f t="shared" si="31"/>
        <v>0</v>
      </c>
      <c r="AI33" s="2">
        <f t="shared" si="31"/>
        <v>0</v>
      </c>
      <c r="AJ33" s="2">
        <f t="shared" si="31"/>
        <v>0</v>
      </c>
      <c r="AK33" s="2">
        <f t="shared" si="31"/>
        <v>0</v>
      </c>
      <c r="AL33" s="2">
        <f t="shared" si="31"/>
        <v>0</v>
      </c>
      <c r="AM33" s="2">
        <f t="shared" si="31"/>
        <v>0</v>
      </c>
      <c r="AN33" s="2">
        <f t="shared" si="31"/>
        <v>0</v>
      </c>
      <c r="AO33" s="2">
        <f t="shared" si="31"/>
        <v>0</v>
      </c>
      <c r="AP33" s="2">
        <f t="shared" si="31"/>
        <v>0</v>
      </c>
      <c r="AQ33" s="2">
        <f t="shared" si="31"/>
        <v>0</v>
      </c>
      <c r="AR33" s="2">
        <f t="shared" ref="AR33:BS33" si="32">$D33*AR32</f>
        <v>0</v>
      </c>
      <c r="AS33" s="2">
        <f t="shared" si="32"/>
        <v>0</v>
      </c>
      <c r="AT33" s="2">
        <f t="shared" si="32"/>
        <v>0</v>
      </c>
      <c r="AU33" s="2">
        <f t="shared" si="32"/>
        <v>0</v>
      </c>
      <c r="AV33" s="2">
        <f t="shared" si="32"/>
        <v>0</v>
      </c>
      <c r="AW33" s="2">
        <f t="shared" si="32"/>
        <v>0</v>
      </c>
      <c r="AX33" s="2">
        <f t="shared" si="32"/>
        <v>0</v>
      </c>
      <c r="AY33" s="2">
        <f t="shared" si="32"/>
        <v>0</v>
      </c>
      <c r="AZ33" s="2">
        <f t="shared" si="32"/>
        <v>0</v>
      </c>
      <c r="BA33" s="2">
        <f t="shared" si="32"/>
        <v>0</v>
      </c>
      <c r="BB33" s="2">
        <f t="shared" si="32"/>
        <v>0</v>
      </c>
      <c r="BC33" s="2">
        <f t="shared" si="32"/>
        <v>0</v>
      </c>
      <c r="BD33" s="2">
        <f t="shared" si="32"/>
        <v>0</v>
      </c>
      <c r="BE33" s="2">
        <f t="shared" si="32"/>
        <v>0</v>
      </c>
      <c r="BF33" s="2">
        <f t="shared" si="32"/>
        <v>295380</v>
      </c>
      <c r="BG33" s="2">
        <f t="shared" si="32"/>
        <v>317260</v>
      </c>
      <c r="BH33" s="2">
        <f t="shared" si="32"/>
        <v>339140</v>
      </c>
      <c r="BI33" s="2">
        <f t="shared" si="32"/>
        <v>355550</v>
      </c>
      <c r="BJ33" s="2">
        <f t="shared" si="32"/>
        <v>371960</v>
      </c>
      <c r="BK33" s="2">
        <f t="shared" si="32"/>
        <v>388370</v>
      </c>
      <c r="BL33" s="2">
        <f t="shared" si="32"/>
        <v>404780</v>
      </c>
      <c r="BM33" s="2">
        <f t="shared" si="32"/>
        <v>415720</v>
      </c>
      <c r="BN33" s="2">
        <f t="shared" si="32"/>
        <v>426660</v>
      </c>
      <c r="BO33" s="2">
        <f t="shared" si="32"/>
        <v>437600</v>
      </c>
      <c r="BP33" s="2">
        <f t="shared" si="32"/>
        <v>448540</v>
      </c>
      <c r="BQ33" s="2">
        <f t="shared" si="32"/>
        <v>459480</v>
      </c>
      <c r="BR33" s="2">
        <f t="shared" si="32"/>
        <v>470420</v>
      </c>
      <c r="BS33" s="2">
        <f t="shared" si="32"/>
        <v>481360</v>
      </c>
      <c r="BT33" s="2">
        <f t="shared" ref="BT33:CE33" si="33">$D33*BT32</f>
        <v>489018</v>
      </c>
      <c r="BU33" s="2">
        <f t="shared" si="33"/>
        <v>497770</v>
      </c>
      <c r="BV33" s="2">
        <f t="shared" si="33"/>
        <v>503240</v>
      </c>
      <c r="BW33" s="2">
        <f t="shared" si="33"/>
        <v>508710</v>
      </c>
      <c r="BX33" s="2">
        <f t="shared" si="33"/>
        <v>514180</v>
      </c>
      <c r="BY33" s="2">
        <f t="shared" si="33"/>
        <v>519650</v>
      </c>
      <c r="BZ33" s="2">
        <f t="shared" si="33"/>
        <v>525120</v>
      </c>
      <c r="CA33" s="2">
        <f t="shared" si="33"/>
        <v>530590</v>
      </c>
      <c r="CB33" s="2">
        <f t="shared" si="33"/>
        <v>536060</v>
      </c>
      <c r="CC33" s="2">
        <f t="shared" si="33"/>
        <v>539342</v>
      </c>
      <c r="CD33" s="2">
        <f t="shared" si="33"/>
        <v>542624</v>
      </c>
      <c r="CE33" s="2">
        <f t="shared" si="33"/>
        <v>547000</v>
      </c>
    </row>
    <row r="34" spans="1:89"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9">
      <c r="D35" s="8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1:89" s="192" customFormat="1">
      <c r="A36" s="192" t="str">
        <f>"Total Valeur "&amp;A27</f>
        <v>Total Valeur Modddjo Plugin DreamWeaver</v>
      </c>
      <c r="C36" s="7"/>
      <c r="D36" s="286"/>
      <c r="E36" s="7"/>
      <c r="F36" s="236"/>
      <c r="G36" s="236"/>
      <c r="H36" s="236"/>
      <c r="I36" s="236"/>
      <c r="J36" s="236"/>
      <c r="K36" s="236"/>
      <c r="L36" s="236">
        <f>L30+L33</f>
        <v>0</v>
      </c>
      <c r="M36" s="236">
        <f t="shared" ref="M36:BS36" si="34">M30+M33</f>
        <v>0</v>
      </c>
      <c r="N36" s="236">
        <f t="shared" si="34"/>
        <v>0</v>
      </c>
      <c r="O36" s="236">
        <f t="shared" si="34"/>
        <v>0</v>
      </c>
      <c r="P36" s="236">
        <f t="shared" si="34"/>
        <v>0</v>
      </c>
      <c r="Q36" s="236">
        <f t="shared" si="34"/>
        <v>0</v>
      </c>
      <c r="R36" s="236">
        <f t="shared" si="34"/>
        <v>0</v>
      </c>
      <c r="S36" s="236">
        <f t="shared" si="34"/>
        <v>0</v>
      </c>
      <c r="T36" s="236">
        <f t="shared" si="34"/>
        <v>0</v>
      </c>
      <c r="U36" s="236">
        <f t="shared" si="34"/>
        <v>0</v>
      </c>
      <c r="V36" s="236">
        <f t="shared" si="34"/>
        <v>0</v>
      </c>
      <c r="W36" s="236">
        <f t="shared" si="34"/>
        <v>0</v>
      </c>
      <c r="X36" s="236">
        <f t="shared" si="34"/>
        <v>0</v>
      </c>
      <c r="Y36" s="236">
        <f t="shared" si="34"/>
        <v>0</v>
      </c>
      <c r="Z36" s="236">
        <f t="shared" si="34"/>
        <v>0</v>
      </c>
      <c r="AA36" s="236">
        <f t="shared" si="34"/>
        <v>0</v>
      </c>
      <c r="AB36" s="236">
        <f t="shared" si="34"/>
        <v>0</v>
      </c>
      <c r="AC36" s="236">
        <f t="shared" si="34"/>
        <v>0</v>
      </c>
      <c r="AD36" s="236">
        <f t="shared" si="34"/>
        <v>0</v>
      </c>
      <c r="AE36" s="236">
        <f t="shared" si="34"/>
        <v>0</v>
      </c>
      <c r="AF36" s="236">
        <f t="shared" si="34"/>
        <v>0</v>
      </c>
      <c r="AG36" s="236">
        <f t="shared" si="34"/>
        <v>0</v>
      </c>
      <c r="AH36" s="236">
        <f t="shared" si="34"/>
        <v>0</v>
      </c>
      <c r="AI36" s="236">
        <f t="shared" si="34"/>
        <v>0</v>
      </c>
      <c r="AJ36" s="236">
        <f t="shared" si="34"/>
        <v>0</v>
      </c>
      <c r="AK36" s="236">
        <f t="shared" si="34"/>
        <v>0</v>
      </c>
      <c r="AL36" s="236">
        <f t="shared" si="34"/>
        <v>0</v>
      </c>
      <c r="AM36" s="236">
        <f t="shared" si="34"/>
        <v>0</v>
      </c>
      <c r="AN36" s="236">
        <f t="shared" si="34"/>
        <v>0</v>
      </c>
      <c r="AO36" s="236">
        <f t="shared" si="34"/>
        <v>0</v>
      </c>
      <c r="AP36" s="236">
        <f t="shared" si="34"/>
        <v>0</v>
      </c>
      <c r="AQ36" s="236">
        <f t="shared" si="34"/>
        <v>0</v>
      </c>
      <c r="AR36" s="236">
        <f t="shared" si="34"/>
        <v>0</v>
      </c>
      <c r="AS36" s="236">
        <f t="shared" si="34"/>
        <v>0</v>
      </c>
      <c r="AT36" s="236">
        <f t="shared" si="34"/>
        <v>0</v>
      </c>
      <c r="AU36" s="236">
        <f t="shared" si="34"/>
        <v>0</v>
      </c>
      <c r="AV36" s="236">
        <f t="shared" si="34"/>
        <v>0</v>
      </c>
      <c r="AW36" s="236">
        <f t="shared" si="34"/>
        <v>10940</v>
      </c>
      <c r="AX36" s="236">
        <f t="shared" si="34"/>
        <v>21880</v>
      </c>
      <c r="AY36" s="236">
        <f t="shared" si="34"/>
        <v>32820</v>
      </c>
      <c r="AZ36" s="236">
        <f t="shared" si="34"/>
        <v>54700</v>
      </c>
      <c r="BA36" s="236">
        <f t="shared" si="34"/>
        <v>87520</v>
      </c>
      <c r="BB36" s="236">
        <f t="shared" si="34"/>
        <v>120340</v>
      </c>
      <c r="BC36" s="236">
        <f t="shared" si="34"/>
        <v>175040</v>
      </c>
      <c r="BD36" s="236">
        <f t="shared" si="34"/>
        <v>218800</v>
      </c>
      <c r="BE36" s="236">
        <f t="shared" si="34"/>
        <v>273500</v>
      </c>
      <c r="BF36" s="236">
        <f t="shared" si="34"/>
        <v>295380</v>
      </c>
      <c r="BG36" s="236">
        <f t="shared" si="34"/>
        <v>317260</v>
      </c>
      <c r="BH36" s="236">
        <f t="shared" si="34"/>
        <v>339140</v>
      </c>
      <c r="BI36" s="236">
        <f t="shared" si="34"/>
        <v>355550</v>
      </c>
      <c r="BJ36" s="236">
        <f t="shared" si="34"/>
        <v>371960</v>
      </c>
      <c r="BK36" s="236">
        <f t="shared" si="34"/>
        <v>388370</v>
      </c>
      <c r="BL36" s="236">
        <f t="shared" si="34"/>
        <v>404780</v>
      </c>
      <c r="BM36" s="236">
        <f t="shared" si="34"/>
        <v>415720</v>
      </c>
      <c r="BN36" s="236">
        <f t="shared" si="34"/>
        <v>426660</v>
      </c>
      <c r="BO36" s="236">
        <f t="shared" si="34"/>
        <v>437600</v>
      </c>
      <c r="BP36" s="236">
        <f t="shared" si="34"/>
        <v>448540</v>
      </c>
      <c r="BQ36" s="236">
        <f t="shared" si="34"/>
        <v>459480</v>
      </c>
      <c r="BR36" s="236">
        <f t="shared" si="34"/>
        <v>470420</v>
      </c>
      <c r="BS36" s="236">
        <f t="shared" si="34"/>
        <v>481360</v>
      </c>
      <c r="BT36" s="236">
        <f t="shared" ref="BT36:CE36" si="35">BT30+BT33</f>
        <v>489018</v>
      </c>
      <c r="BU36" s="236">
        <f t="shared" si="35"/>
        <v>497770</v>
      </c>
      <c r="BV36" s="236">
        <f t="shared" si="35"/>
        <v>503240</v>
      </c>
      <c r="BW36" s="236">
        <f t="shared" si="35"/>
        <v>508710</v>
      </c>
      <c r="BX36" s="236">
        <f t="shared" si="35"/>
        <v>514180</v>
      </c>
      <c r="BY36" s="236">
        <f t="shared" si="35"/>
        <v>519650</v>
      </c>
      <c r="BZ36" s="236">
        <f t="shared" si="35"/>
        <v>525120</v>
      </c>
      <c r="CA36" s="236">
        <f t="shared" si="35"/>
        <v>530590</v>
      </c>
      <c r="CB36" s="236">
        <f t="shared" si="35"/>
        <v>536060</v>
      </c>
      <c r="CC36" s="236">
        <f t="shared" si="35"/>
        <v>539342</v>
      </c>
      <c r="CD36" s="236">
        <f t="shared" si="35"/>
        <v>542624</v>
      </c>
      <c r="CE36" s="236">
        <f t="shared" si="35"/>
        <v>547000</v>
      </c>
    </row>
    <row r="37" spans="1:89" s="188" customFormat="1">
      <c r="B37" s="188" t="s">
        <v>2</v>
      </c>
      <c r="C37" s="234"/>
      <c r="D37" s="234"/>
      <c r="E37" s="234"/>
      <c r="F37" s="235"/>
      <c r="G37" s="235"/>
      <c r="H37" s="235"/>
      <c r="I37" s="235"/>
      <c r="J37" s="235"/>
      <c r="K37" s="235"/>
      <c r="L37" s="235">
        <f t="shared" ref="L37:W37" si="36">L36+K37</f>
        <v>0</v>
      </c>
      <c r="M37" s="235">
        <f t="shared" si="36"/>
        <v>0</v>
      </c>
      <c r="N37" s="235">
        <f t="shared" si="36"/>
        <v>0</v>
      </c>
      <c r="O37" s="235">
        <f t="shared" si="36"/>
        <v>0</v>
      </c>
      <c r="P37" s="235">
        <f t="shared" si="36"/>
        <v>0</v>
      </c>
      <c r="Q37" s="235">
        <f t="shared" si="36"/>
        <v>0</v>
      </c>
      <c r="R37" s="235">
        <f t="shared" si="36"/>
        <v>0</v>
      </c>
      <c r="S37" s="235">
        <f t="shared" si="36"/>
        <v>0</v>
      </c>
      <c r="T37" s="235">
        <f t="shared" si="36"/>
        <v>0</v>
      </c>
      <c r="U37" s="235">
        <f t="shared" si="36"/>
        <v>0</v>
      </c>
      <c r="V37" s="235">
        <f t="shared" si="36"/>
        <v>0</v>
      </c>
      <c r="W37" s="235">
        <f t="shared" si="36"/>
        <v>0</v>
      </c>
      <c r="X37" s="235">
        <f>X36</f>
        <v>0</v>
      </c>
      <c r="Y37" s="235">
        <f t="shared" ref="Y37:AI37" si="37">Y36+X37</f>
        <v>0</v>
      </c>
      <c r="Z37" s="235">
        <f t="shared" si="37"/>
        <v>0</v>
      </c>
      <c r="AA37" s="235">
        <f t="shared" si="37"/>
        <v>0</v>
      </c>
      <c r="AB37" s="235">
        <f t="shared" si="37"/>
        <v>0</v>
      </c>
      <c r="AC37" s="235">
        <f t="shared" si="37"/>
        <v>0</v>
      </c>
      <c r="AD37" s="235">
        <f t="shared" si="37"/>
        <v>0</v>
      </c>
      <c r="AE37" s="235">
        <f t="shared" si="37"/>
        <v>0</v>
      </c>
      <c r="AF37" s="235">
        <f t="shared" si="37"/>
        <v>0</v>
      </c>
      <c r="AG37" s="235">
        <f t="shared" si="37"/>
        <v>0</v>
      </c>
      <c r="AH37" s="235">
        <f t="shared" si="37"/>
        <v>0</v>
      </c>
      <c r="AI37" s="235">
        <f t="shared" si="37"/>
        <v>0</v>
      </c>
      <c r="AJ37" s="235">
        <f>AJ36</f>
        <v>0</v>
      </c>
      <c r="AK37" s="235">
        <f t="shared" ref="AK37:AU37" si="38">AK36+AJ37</f>
        <v>0</v>
      </c>
      <c r="AL37" s="235">
        <f t="shared" si="38"/>
        <v>0</v>
      </c>
      <c r="AM37" s="235">
        <f t="shared" si="38"/>
        <v>0</v>
      </c>
      <c r="AN37" s="235">
        <f t="shared" si="38"/>
        <v>0</v>
      </c>
      <c r="AO37" s="235">
        <f t="shared" si="38"/>
        <v>0</v>
      </c>
      <c r="AP37" s="235">
        <f t="shared" si="38"/>
        <v>0</v>
      </c>
      <c r="AQ37" s="235">
        <f t="shared" si="38"/>
        <v>0</v>
      </c>
      <c r="AR37" s="235">
        <f t="shared" si="38"/>
        <v>0</v>
      </c>
      <c r="AS37" s="235">
        <f t="shared" si="38"/>
        <v>0</v>
      </c>
      <c r="AT37" s="235">
        <f t="shared" si="38"/>
        <v>0</v>
      </c>
      <c r="AU37" s="235">
        <f t="shared" si="38"/>
        <v>0</v>
      </c>
      <c r="AV37" s="235">
        <f>AV36</f>
        <v>0</v>
      </c>
      <c r="AW37" s="235">
        <f t="shared" ref="AW37:BG37" si="39">AW36+AV37</f>
        <v>10940</v>
      </c>
      <c r="AX37" s="235">
        <f t="shared" si="39"/>
        <v>32820</v>
      </c>
      <c r="AY37" s="235">
        <f t="shared" si="39"/>
        <v>65640</v>
      </c>
      <c r="AZ37" s="235">
        <f t="shared" si="39"/>
        <v>120340</v>
      </c>
      <c r="BA37" s="235">
        <f t="shared" si="39"/>
        <v>207860</v>
      </c>
      <c r="BB37" s="235">
        <f t="shared" si="39"/>
        <v>328200</v>
      </c>
      <c r="BC37" s="235">
        <f t="shared" si="39"/>
        <v>503240</v>
      </c>
      <c r="BD37" s="235">
        <f t="shared" si="39"/>
        <v>722040</v>
      </c>
      <c r="BE37" s="235">
        <f t="shared" si="39"/>
        <v>995540</v>
      </c>
      <c r="BF37" s="235">
        <f t="shared" si="39"/>
        <v>1290920</v>
      </c>
      <c r="BG37" s="235">
        <f t="shared" si="39"/>
        <v>1608180</v>
      </c>
      <c r="BH37" s="235">
        <f>BH36</f>
        <v>339140</v>
      </c>
      <c r="BI37" s="235">
        <f t="shared" ref="BI37:BS37" si="40">BI36+BH37</f>
        <v>694690</v>
      </c>
      <c r="BJ37" s="235">
        <f t="shared" si="40"/>
        <v>1066650</v>
      </c>
      <c r="BK37" s="235">
        <f t="shared" si="40"/>
        <v>1455020</v>
      </c>
      <c r="BL37" s="235">
        <f t="shared" si="40"/>
        <v>1859800</v>
      </c>
      <c r="BM37" s="235">
        <f t="shared" si="40"/>
        <v>2275520</v>
      </c>
      <c r="BN37" s="235">
        <f t="shared" si="40"/>
        <v>2702180</v>
      </c>
      <c r="BO37" s="235">
        <f t="shared" si="40"/>
        <v>3139780</v>
      </c>
      <c r="BP37" s="235">
        <f t="shared" si="40"/>
        <v>3588320</v>
      </c>
      <c r="BQ37" s="235">
        <f t="shared" si="40"/>
        <v>4047800</v>
      </c>
      <c r="BR37" s="235">
        <f t="shared" si="40"/>
        <v>4518220</v>
      </c>
      <c r="BS37" s="235">
        <f t="shared" si="40"/>
        <v>4999580</v>
      </c>
      <c r="BT37" s="235">
        <f>BT36</f>
        <v>489018</v>
      </c>
      <c r="BU37" s="235">
        <f t="shared" ref="BU37:CE37" si="41">BU36+BT37</f>
        <v>986788</v>
      </c>
      <c r="BV37" s="235">
        <f t="shared" si="41"/>
        <v>1490028</v>
      </c>
      <c r="BW37" s="235">
        <f t="shared" si="41"/>
        <v>1998738</v>
      </c>
      <c r="BX37" s="235">
        <f t="shared" si="41"/>
        <v>2512918</v>
      </c>
      <c r="BY37" s="235">
        <f t="shared" si="41"/>
        <v>3032568</v>
      </c>
      <c r="BZ37" s="235">
        <f t="shared" si="41"/>
        <v>3557688</v>
      </c>
      <c r="CA37" s="235">
        <f t="shared" si="41"/>
        <v>4088278</v>
      </c>
      <c r="CB37" s="235">
        <f t="shared" si="41"/>
        <v>4624338</v>
      </c>
      <c r="CC37" s="235">
        <f t="shared" si="41"/>
        <v>5163680</v>
      </c>
      <c r="CD37" s="235">
        <f t="shared" si="41"/>
        <v>5706304</v>
      </c>
      <c r="CE37" s="235">
        <f t="shared" si="41"/>
        <v>6253304</v>
      </c>
    </row>
    <row r="38" spans="1:89">
      <c r="C38"/>
      <c r="D38"/>
      <c r="E38"/>
      <c r="BG38" s="244">
        <f>BG37/BG$50</f>
        <v>0.61068865780758375</v>
      </c>
      <c r="BS38" s="244">
        <f>BS37/BS$50</f>
        <v>0.88796786650320536</v>
      </c>
      <c r="CE38" s="244">
        <f>CE37/CE$50</f>
        <v>0.89693661165852934</v>
      </c>
    </row>
    <row r="39" spans="1:89" s="8" customFormat="1">
      <c r="B39"/>
      <c r="C39" s="1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1:89" ht="12.75" customHeight="1">
      <c r="A40" s="212" t="s">
        <v>383</v>
      </c>
      <c r="C40" s="4"/>
      <c r="D40" s="228"/>
    </row>
    <row r="41" spans="1:89">
      <c r="A41" s="212"/>
      <c r="C41" s="4"/>
      <c r="D41" s="228"/>
      <c r="E41" s="6"/>
      <c r="F41" s="3"/>
      <c r="G41" s="4"/>
    </row>
    <row r="42" spans="1:89">
      <c r="C42" s="224"/>
      <c r="D42" s="22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1:89">
      <c r="A43" t="s">
        <v>347</v>
      </c>
      <c r="C43" s="9" t="s">
        <v>327</v>
      </c>
      <c r="D43" s="89">
        <v>7.0000000000000007E-2</v>
      </c>
      <c r="F43" s="2"/>
      <c r="G43" s="2"/>
      <c r="H43" s="2"/>
      <c r="I43" s="2"/>
      <c r="J43" s="2"/>
      <c r="K43" s="2"/>
      <c r="L43" s="2">
        <f>(L23+L36)*$D43</f>
        <v>0</v>
      </c>
      <c r="M43" s="2">
        <f t="shared" ref="M43:BS43" si="42">(M23+M36)*$D43</f>
        <v>0</v>
      </c>
      <c r="N43" s="2">
        <f t="shared" si="42"/>
        <v>0</v>
      </c>
      <c r="O43" s="2">
        <f t="shared" si="42"/>
        <v>0</v>
      </c>
      <c r="P43" s="2">
        <f t="shared" si="42"/>
        <v>0</v>
      </c>
      <c r="Q43" s="2">
        <f t="shared" si="42"/>
        <v>0</v>
      </c>
      <c r="R43" s="2">
        <f t="shared" si="42"/>
        <v>0</v>
      </c>
      <c r="S43" s="2">
        <f t="shared" si="42"/>
        <v>0</v>
      </c>
      <c r="T43" s="2">
        <f t="shared" si="42"/>
        <v>0</v>
      </c>
      <c r="U43" s="2">
        <f t="shared" si="42"/>
        <v>0</v>
      </c>
      <c r="V43" s="2">
        <f t="shared" si="42"/>
        <v>0</v>
      </c>
      <c r="W43" s="2">
        <f t="shared" si="42"/>
        <v>0</v>
      </c>
      <c r="X43" s="2">
        <f t="shared" si="42"/>
        <v>0</v>
      </c>
      <c r="Y43" s="2">
        <f t="shared" si="42"/>
        <v>0</v>
      </c>
      <c r="Z43" s="2">
        <f t="shared" si="42"/>
        <v>0</v>
      </c>
      <c r="AA43" s="2">
        <f t="shared" si="42"/>
        <v>0</v>
      </c>
      <c r="AB43" s="2">
        <f t="shared" si="42"/>
        <v>0</v>
      </c>
      <c r="AC43" s="2">
        <f t="shared" si="42"/>
        <v>0</v>
      </c>
      <c r="AD43" s="2">
        <f t="shared" si="42"/>
        <v>0</v>
      </c>
      <c r="AE43" s="2">
        <f t="shared" si="42"/>
        <v>0</v>
      </c>
      <c r="AF43" s="2">
        <f t="shared" si="42"/>
        <v>0</v>
      </c>
      <c r="AG43" s="2">
        <f t="shared" si="42"/>
        <v>0</v>
      </c>
      <c r="AH43" s="2">
        <f t="shared" si="42"/>
        <v>0</v>
      </c>
      <c r="AI43" s="2">
        <f t="shared" si="42"/>
        <v>0</v>
      </c>
      <c r="AJ43" s="2">
        <f t="shared" si="42"/>
        <v>255.15000000000003</v>
      </c>
      <c r="AK43" s="2">
        <f t="shared" si="42"/>
        <v>510.30000000000007</v>
      </c>
      <c r="AL43" s="2">
        <f t="shared" si="42"/>
        <v>765.45</v>
      </c>
      <c r="AM43" s="2">
        <f t="shared" si="42"/>
        <v>1020.6000000000001</v>
      </c>
      <c r="AN43" s="2">
        <f t="shared" si="42"/>
        <v>1275.7500000000002</v>
      </c>
      <c r="AO43" s="2">
        <f t="shared" si="42"/>
        <v>1530.9</v>
      </c>
      <c r="AP43" s="2">
        <f t="shared" si="42"/>
        <v>2041.2000000000003</v>
      </c>
      <c r="AQ43" s="2">
        <f t="shared" si="42"/>
        <v>2551.5000000000005</v>
      </c>
      <c r="AR43" s="2">
        <f t="shared" si="42"/>
        <v>3061.8</v>
      </c>
      <c r="AS43" s="2">
        <f t="shared" si="42"/>
        <v>3827.2500000000005</v>
      </c>
      <c r="AT43" s="2">
        <f t="shared" si="42"/>
        <v>4592.7000000000007</v>
      </c>
      <c r="AU43" s="2">
        <f t="shared" si="42"/>
        <v>5358.1500000000005</v>
      </c>
      <c r="AV43" s="2">
        <f t="shared" si="42"/>
        <v>6123.6</v>
      </c>
      <c r="AW43" s="2">
        <f t="shared" si="42"/>
        <v>7399.7000000000007</v>
      </c>
      <c r="AX43" s="2">
        <f t="shared" si="42"/>
        <v>8675.8000000000011</v>
      </c>
      <c r="AY43" s="2">
        <f t="shared" si="42"/>
        <v>9951.9000000000015</v>
      </c>
      <c r="AZ43" s="2">
        <f t="shared" si="42"/>
        <v>11483.500000000002</v>
      </c>
      <c r="BA43" s="2">
        <f t="shared" si="42"/>
        <v>13270.6</v>
      </c>
      <c r="BB43" s="2">
        <f t="shared" si="42"/>
        <v>14547.400000000001</v>
      </c>
      <c r="BC43" s="2">
        <f t="shared" si="42"/>
        <v>16335.2</v>
      </c>
      <c r="BD43" s="2">
        <f t="shared" si="42"/>
        <v>17867.5</v>
      </c>
      <c r="BE43" s="2">
        <f t="shared" si="42"/>
        <v>20675.900000000001</v>
      </c>
      <c r="BF43" s="2">
        <f t="shared" si="42"/>
        <v>22207.500000000004</v>
      </c>
      <c r="BG43" s="2">
        <f t="shared" si="42"/>
        <v>23739.100000000002</v>
      </c>
      <c r="BH43" s="2">
        <f t="shared" si="42"/>
        <v>25270.7</v>
      </c>
      <c r="BI43" s="2">
        <f t="shared" si="42"/>
        <v>26419.4</v>
      </c>
      <c r="BJ43" s="2">
        <f t="shared" si="42"/>
        <v>27568.100000000002</v>
      </c>
      <c r="BK43" s="2">
        <f t="shared" si="42"/>
        <v>28716.800000000003</v>
      </c>
      <c r="BL43" s="2">
        <f t="shared" si="42"/>
        <v>29865.500000000004</v>
      </c>
      <c r="BM43" s="2">
        <f t="shared" si="42"/>
        <v>30631.300000000003</v>
      </c>
      <c r="BN43" s="2">
        <f t="shared" si="42"/>
        <v>31397.100000000002</v>
      </c>
      <c r="BO43" s="2">
        <f t="shared" si="42"/>
        <v>32162.9</v>
      </c>
      <c r="BP43" s="2">
        <f t="shared" si="42"/>
        <v>32928.700000000004</v>
      </c>
      <c r="BQ43" s="2">
        <f t="shared" si="42"/>
        <v>33694.5</v>
      </c>
      <c r="BR43" s="2">
        <f t="shared" si="42"/>
        <v>34460.300000000003</v>
      </c>
      <c r="BS43" s="2">
        <f t="shared" si="42"/>
        <v>35226.100000000006</v>
      </c>
      <c r="BT43" s="2">
        <f t="shared" ref="BT43:CE43" si="43">(BT23+BT36)*$D43</f>
        <v>35762.160000000003</v>
      </c>
      <c r="BU43" s="2">
        <f t="shared" si="43"/>
        <v>36374.800000000003</v>
      </c>
      <c r="BV43" s="2">
        <f t="shared" si="43"/>
        <v>36757.700000000004</v>
      </c>
      <c r="BW43" s="2">
        <f t="shared" si="43"/>
        <v>37140.600000000006</v>
      </c>
      <c r="BX43" s="2">
        <f t="shared" si="43"/>
        <v>37523.5</v>
      </c>
      <c r="BY43" s="2">
        <f t="shared" si="43"/>
        <v>37906.400000000001</v>
      </c>
      <c r="BZ43" s="2">
        <f t="shared" si="43"/>
        <v>38289.300000000003</v>
      </c>
      <c r="CA43" s="2">
        <f t="shared" si="43"/>
        <v>38672.200000000004</v>
      </c>
      <c r="CB43" s="2">
        <f t="shared" si="43"/>
        <v>39055.100000000006</v>
      </c>
      <c r="CC43" s="2">
        <f t="shared" si="43"/>
        <v>39284.840000000004</v>
      </c>
      <c r="CD43" s="2">
        <f t="shared" si="43"/>
        <v>39514.58</v>
      </c>
      <c r="CE43" s="2">
        <f t="shared" si="43"/>
        <v>39820.9</v>
      </c>
    </row>
    <row r="44" spans="1:89">
      <c r="D44" s="8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1:89" s="192" customFormat="1">
      <c r="A45" s="192" t="str">
        <f>"Total "&amp;A40</f>
        <v>Total Service</v>
      </c>
      <c r="C45" s="7"/>
      <c r="D45" s="286"/>
      <c r="E45" s="7"/>
      <c r="F45" s="236"/>
      <c r="G45" s="236"/>
      <c r="H45" s="236"/>
      <c r="I45" s="236"/>
      <c r="J45" s="236"/>
      <c r="K45" s="236"/>
      <c r="L45" s="236">
        <f>L43</f>
        <v>0</v>
      </c>
      <c r="M45" s="236">
        <f t="shared" ref="M45:BS45" si="44">M43</f>
        <v>0</v>
      </c>
      <c r="N45" s="236">
        <f t="shared" si="44"/>
        <v>0</v>
      </c>
      <c r="O45" s="236">
        <f t="shared" si="44"/>
        <v>0</v>
      </c>
      <c r="P45" s="236">
        <f t="shared" si="44"/>
        <v>0</v>
      </c>
      <c r="Q45" s="236">
        <f t="shared" si="44"/>
        <v>0</v>
      </c>
      <c r="R45" s="236">
        <f t="shared" si="44"/>
        <v>0</v>
      </c>
      <c r="S45" s="236">
        <f t="shared" si="44"/>
        <v>0</v>
      </c>
      <c r="T45" s="236">
        <f t="shared" si="44"/>
        <v>0</v>
      </c>
      <c r="U45" s="236">
        <f t="shared" si="44"/>
        <v>0</v>
      </c>
      <c r="V45" s="236">
        <f t="shared" si="44"/>
        <v>0</v>
      </c>
      <c r="W45" s="236">
        <f t="shared" si="44"/>
        <v>0</v>
      </c>
      <c r="X45" s="236">
        <f t="shared" si="44"/>
        <v>0</v>
      </c>
      <c r="Y45" s="236">
        <f t="shared" si="44"/>
        <v>0</v>
      </c>
      <c r="Z45" s="236">
        <f t="shared" si="44"/>
        <v>0</v>
      </c>
      <c r="AA45" s="236">
        <f t="shared" si="44"/>
        <v>0</v>
      </c>
      <c r="AB45" s="236">
        <f t="shared" si="44"/>
        <v>0</v>
      </c>
      <c r="AC45" s="236">
        <f t="shared" si="44"/>
        <v>0</v>
      </c>
      <c r="AD45" s="236">
        <f t="shared" si="44"/>
        <v>0</v>
      </c>
      <c r="AE45" s="236">
        <f t="shared" si="44"/>
        <v>0</v>
      </c>
      <c r="AF45" s="236">
        <f t="shared" si="44"/>
        <v>0</v>
      </c>
      <c r="AG45" s="236">
        <f t="shared" si="44"/>
        <v>0</v>
      </c>
      <c r="AH45" s="236">
        <f t="shared" si="44"/>
        <v>0</v>
      </c>
      <c r="AI45" s="236">
        <f t="shared" si="44"/>
        <v>0</v>
      </c>
      <c r="AJ45" s="236">
        <f t="shared" si="44"/>
        <v>255.15000000000003</v>
      </c>
      <c r="AK45" s="236">
        <f t="shared" si="44"/>
        <v>510.30000000000007</v>
      </c>
      <c r="AL45" s="236">
        <f t="shared" si="44"/>
        <v>765.45</v>
      </c>
      <c r="AM45" s="236">
        <f t="shared" si="44"/>
        <v>1020.6000000000001</v>
      </c>
      <c r="AN45" s="236">
        <f t="shared" si="44"/>
        <v>1275.7500000000002</v>
      </c>
      <c r="AO45" s="236">
        <f t="shared" si="44"/>
        <v>1530.9</v>
      </c>
      <c r="AP45" s="236">
        <f t="shared" si="44"/>
        <v>2041.2000000000003</v>
      </c>
      <c r="AQ45" s="236">
        <f t="shared" si="44"/>
        <v>2551.5000000000005</v>
      </c>
      <c r="AR45" s="236">
        <f t="shared" si="44"/>
        <v>3061.8</v>
      </c>
      <c r="AS45" s="236">
        <f t="shared" si="44"/>
        <v>3827.2500000000005</v>
      </c>
      <c r="AT45" s="236">
        <f t="shared" si="44"/>
        <v>4592.7000000000007</v>
      </c>
      <c r="AU45" s="236">
        <f t="shared" si="44"/>
        <v>5358.1500000000005</v>
      </c>
      <c r="AV45" s="236">
        <f t="shared" si="44"/>
        <v>6123.6</v>
      </c>
      <c r="AW45" s="236">
        <f t="shared" si="44"/>
        <v>7399.7000000000007</v>
      </c>
      <c r="AX45" s="236">
        <f t="shared" si="44"/>
        <v>8675.8000000000011</v>
      </c>
      <c r="AY45" s="236">
        <f t="shared" si="44"/>
        <v>9951.9000000000015</v>
      </c>
      <c r="AZ45" s="236">
        <f t="shared" si="44"/>
        <v>11483.500000000002</v>
      </c>
      <c r="BA45" s="236">
        <f t="shared" si="44"/>
        <v>13270.6</v>
      </c>
      <c r="BB45" s="236">
        <f t="shared" si="44"/>
        <v>14547.400000000001</v>
      </c>
      <c r="BC45" s="236">
        <f t="shared" si="44"/>
        <v>16335.2</v>
      </c>
      <c r="BD45" s="236">
        <f t="shared" si="44"/>
        <v>17867.5</v>
      </c>
      <c r="BE45" s="236">
        <f t="shared" si="44"/>
        <v>20675.900000000001</v>
      </c>
      <c r="BF45" s="236">
        <f t="shared" si="44"/>
        <v>22207.500000000004</v>
      </c>
      <c r="BG45" s="236">
        <f t="shared" si="44"/>
        <v>23739.100000000002</v>
      </c>
      <c r="BH45" s="236">
        <f t="shared" si="44"/>
        <v>25270.7</v>
      </c>
      <c r="BI45" s="236">
        <f t="shared" si="44"/>
        <v>26419.4</v>
      </c>
      <c r="BJ45" s="236">
        <f t="shared" si="44"/>
        <v>27568.100000000002</v>
      </c>
      <c r="BK45" s="236">
        <f t="shared" si="44"/>
        <v>28716.800000000003</v>
      </c>
      <c r="BL45" s="236">
        <f t="shared" si="44"/>
        <v>29865.500000000004</v>
      </c>
      <c r="BM45" s="236">
        <f t="shared" si="44"/>
        <v>30631.300000000003</v>
      </c>
      <c r="BN45" s="236">
        <f t="shared" si="44"/>
        <v>31397.100000000002</v>
      </c>
      <c r="BO45" s="236">
        <f t="shared" si="44"/>
        <v>32162.9</v>
      </c>
      <c r="BP45" s="236">
        <f t="shared" si="44"/>
        <v>32928.700000000004</v>
      </c>
      <c r="BQ45" s="236">
        <f t="shared" si="44"/>
        <v>33694.5</v>
      </c>
      <c r="BR45" s="236">
        <f t="shared" si="44"/>
        <v>34460.300000000003</v>
      </c>
      <c r="BS45" s="236">
        <f t="shared" si="44"/>
        <v>35226.100000000006</v>
      </c>
      <c r="BT45" s="236">
        <f t="shared" ref="BT45:CE45" si="45">BT43</f>
        <v>35762.160000000003</v>
      </c>
      <c r="BU45" s="236">
        <f t="shared" si="45"/>
        <v>36374.800000000003</v>
      </c>
      <c r="BV45" s="236">
        <f t="shared" si="45"/>
        <v>36757.700000000004</v>
      </c>
      <c r="BW45" s="236">
        <f t="shared" si="45"/>
        <v>37140.600000000006</v>
      </c>
      <c r="BX45" s="236">
        <f t="shared" si="45"/>
        <v>37523.5</v>
      </c>
      <c r="BY45" s="236">
        <f t="shared" si="45"/>
        <v>37906.400000000001</v>
      </c>
      <c r="BZ45" s="236">
        <f t="shared" si="45"/>
        <v>38289.300000000003</v>
      </c>
      <c r="CA45" s="236">
        <f t="shared" si="45"/>
        <v>38672.200000000004</v>
      </c>
      <c r="CB45" s="236">
        <f t="shared" si="45"/>
        <v>39055.100000000006</v>
      </c>
      <c r="CC45" s="236">
        <f t="shared" si="45"/>
        <v>39284.840000000004</v>
      </c>
      <c r="CD45" s="236">
        <f t="shared" si="45"/>
        <v>39514.58</v>
      </c>
      <c r="CE45" s="236">
        <f t="shared" si="45"/>
        <v>39820.9</v>
      </c>
    </row>
    <row r="46" spans="1:89" s="166" customFormat="1">
      <c r="B46" s="166" t="s">
        <v>2</v>
      </c>
      <c r="C46" s="97"/>
      <c r="D46" s="97"/>
      <c r="E46" s="97"/>
      <c r="F46" s="237"/>
      <c r="G46" s="237"/>
      <c r="H46" s="237"/>
      <c r="I46" s="237"/>
      <c r="J46" s="237"/>
      <c r="K46" s="237"/>
      <c r="L46" s="237">
        <f t="shared" ref="L46:W46" si="46">L45+K46</f>
        <v>0</v>
      </c>
      <c r="M46" s="237">
        <f t="shared" si="46"/>
        <v>0</v>
      </c>
      <c r="N46" s="237">
        <f t="shared" si="46"/>
        <v>0</v>
      </c>
      <c r="O46" s="237">
        <f t="shared" si="46"/>
        <v>0</v>
      </c>
      <c r="P46" s="237">
        <f t="shared" si="46"/>
        <v>0</v>
      </c>
      <c r="Q46" s="237">
        <f t="shared" si="46"/>
        <v>0</v>
      </c>
      <c r="R46" s="237">
        <f t="shared" si="46"/>
        <v>0</v>
      </c>
      <c r="S46" s="237">
        <f t="shared" si="46"/>
        <v>0</v>
      </c>
      <c r="T46" s="237">
        <f t="shared" si="46"/>
        <v>0</v>
      </c>
      <c r="U46" s="237">
        <f t="shared" si="46"/>
        <v>0</v>
      </c>
      <c r="V46" s="237">
        <f t="shared" si="46"/>
        <v>0</v>
      </c>
      <c r="W46" s="237">
        <f t="shared" si="46"/>
        <v>0</v>
      </c>
      <c r="X46" s="237">
        <f>X45</f>
        <v>0</v>
      </c>
      <c r="Y46" s="237">
        <f t="shared" ref="Y46:AI46" si="47">Y45+X46</f>
        <v>0</v>
      </c>
      <c r="Z46" s="237">
        <f t="shared" si="47"/>
        <v>0</v>
      </c>
      <c r="AA46" s="237">
        <f t="shared" si="47"/>
        <v>0</v>
      </c>
      <c r="AB46" s="237">
        <f t="shared" si="47"/>
        <v>0</v>
      </c>
      <c r="AC46" s="237">
        <f t="shared" si="47"/>
        <v>0</v>
      </c>
      <c r="AD46" s="237">
        <f t="shared" si="47"/>
        <v>0</v>
      </c>
      <c r="AE46" s="237">
        <f t="shared" si="47"/>
        <v>0</v>
      </c>
      <c r="AF46" s="237">
        <f t="shared" si="47"/>
        <v>0</v>
      </c>
      <c r="AG46" s="237">
        <f t="shared" si="47"/>
        <v>0</v>
      </c>
      <c r="AH46" s="237">
        <f t="shared" si="47"/>
        <v>0</v>
      </c>
      <c r="AI46" s="237">
        <f t="shared" si="47"/>
        <v>0</v>
      </c>
      <c r="AJ46" s="237">
        <f>AJ45</f>
        <v>255.15000000000003</v>
      </c>
      <c r="AK46" s="237">
        <f t="shared" ref="AK46:AU46" si="48">AK45+AJ46</f>
        <v>765.45</v>
      </c>
      <c r="AL46" s="237">
        <f t="shared" si="48"/>
        <v>1530.9</v>
      </c>
      <c r="AM46" s="237">
        <f t="shared" si="48"/>
        <v>2551.5</v>
      </c>
      <c r="AN46" s="237">
        <f t="shared" si="48"/>
        <v>3827.25</v>
      </c>
      <c r="AO46" s="237">
        <f t="shared" si="48"/>
        <v>5358.15</v>
      </c>
      <c r="AP46" s="237">
        <f t="shared" si="48"/>
        <v>7399.35</v>
      </c>
      <c r="AQ46" s="237">
        <f t="shared" si="48"/>
        <v>9950.85</v>
      </c>
      <c r="AR46" s="237">
        <f t="shared" si="48"/>
        <v>13012.650000000001</v>
      </c>
      <c r="AS46" s="237">
        <f t="shared" si="48"/>
        <v>16839.900000000001</v>
      </c>
      <c r="AT46" s="237">
        <f t="shared" si="48"/>
        <v>21432.600000000002</v>
      </c>
      <c r="AU46" s="237">
        <f t="shared" si="48"/>
        <v>26790.750000000004</v>
      </c>
      <c r="AV46" s="237">
        <f>AV45</f>
        <v>6123.6</v>
      </c>
      <c r="AW46" s="237">
        <f t="shared" ref="AW46:BG46" si="49">AW45+AV46</f>
        <v>13523.300000000001</v>
      </c>
      <c r="AX46" s="237">
        <f t="shared" si="49"/>
        <v>22199.100000000002</v>
      </c>
      <c r="AY46" s="237">
        <f t="shared" si="49"/>
        <v>32151.000000000004</v>
      </c>
      <c r="AZ46" s="237">
        <f t="shared" si="49"/>
        <v>43634.500000000007</v>
      </c>
      <c r="BA46" s="237">
        <f t="shared" si="49"/>
        <v>56905.100000000006</v>
      </c>
      <c r="BB46" s="237">
        <f t="shared" si="49"/>
        <v>71452.5</v>
      </c>
      <c r="BC46" s="237">
        <f t="shared" si="49"/>
        <v>87787.7</v>
      </c>
      <c r="BD46" s="237">
        <f t="shared" si="49"/>
        <v>105655.2</v>
      </c>
      <c r="BE46" s="237">
        <f t="shared" si="49"/>
        <v>126331.1</v>
      </c>
      <c r="BF46" s="237">
        <f t="shared" si="49"/>
        <v>148538.6</v>
      </c>
      <c r="BG46" s="237">
        <f t="shared" si="49"/>
        <v>172277.7</v>
      </c>
      <c r="BH46" s="237">
        <f>BH45</f>
        <v>25270.7</v>
      </c>
      <c r="BI46" s="237">
        <f t="shared" ref="BI46:BS46" si="50">BI45+BH46</f>
        <v>51690.100000000006</v>
      </c>
      <c r="BJ46" s="237">
        <f t="shared" si="50"/>
        <v>79258.200000000012</v>
      </c>
      <c r="BK46" s="237">
        <f t="shared" si="50"/>
        <v>107975.00000000001</v>
      </c>
      <c r="BL46" s="237">
        <f t="shared" si="50"/>
        <v>137840.50000000003</v>
      </c>
      <c r="BM46" s="237">
        <f t="shared" si="50"/>
        <v>168471.80000000005</v>
      </c>
      <c r="BN46" s="237">
        <f t="shared" si="50"/>
        <v>199868.90000000005</v>
      </c>
      <c r="BO46" s="237">
        <f t="shared" si="50"/>
        <v>232031.80000000005</v>
      </c>
      <c r="BP46" s="237">
        <f t="shared" si="50"/>
        <v>264960.50000000006</v>
      </c>
      <c r="BQ46" s="237">
        <f t="shared" si="50"/>
        <v>298655.00000000006</v>
      </c>
      <c r="BR46" s="237">
        <f t="shared" si="50"/>
        <v>333115.30000000005</v>
      </c>
      <c r="BS46" s="237">
        <f t="shared" si="50"/>
        <v>368341.4</v>
      </c>
      <c r="BT46" s="237">
        <f>BT45</f>
        <v>35762.160000000003</v>
      </c>
      <c r="BU46" s="237">
        <f t="shared" ref="BU46:CE46" si="51">BU45+BT46</f>
        <v>72136.960000000006</v>
      </c>
      <c r="BV46" s="237">
        <f t="shared" si="51"/>
        <v>108894.66</v>
      </c>
      <c r="BW46" s="237">
        <f t="shared" si="51"/>
        <v>146035.26</v>
      </c>
      <c r="BX46" s="237">
        <f t="shared" si="51"/>
        <v>183558.76</v>
      </c>
      <c r="BY46" s="237">
        <f t="shared" si="51"/>
        <v>221465.16</v>
      </c>
      <c r="BZ46" s="237">
        <f t="shared" si="51"/>
        <v>259754.46000000002</v>
      </c>
      <c r="CA46" s="237">
        <f t="shared" si="51"/>
        <v>298426.66000000003</v>
      </c>
      <c r="CB46" s="237">
        <f t="shared" si="51"/>
        <v>337481.76</v>
      </c>
      <c r="CC46" s="237">
        <f t="shared" si="51"/>
        <v>376766.60000000003</v>
      </c>
      <c r="CD46" s="237">
        <f t="shared" si="51"/>
        <v>416281.18000000005</v>
      </c>
      <c r="CE46" s="237">
        <f t="shared" si="51"/>
        <v>456102.08000000007</v>
      </c>
    </row>
    <row r="47" spans="1:89">
      <c r="B47" s="232"/>
      <c r="C47" s="233"/>
      <c r="D47" s="232"/>
      <c r="E47" s="225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44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44"/>
      <c r="AJ47" s="223"/>
      <c r="AK47" s="223"/>
      <c r="AL47" s="223"/>
      <c r="AM47" s="223"/>
      <c r="AN47" s="223"/>
      <c r="AO47" s="223"/>
      <c r="AP47" s="223"/>
      <c r="AQ47" s="223"/>
      <c r="AR47" s="223"/>
      <c r="AS47" s="223"/>
      <c r="AT47" s="223"/>
      <c r="AU47" s="244">
        <f>AU46/AU$50</f>
        <v>6.5420560747663559E-2</v>
      </c>
      <c r="AV47" s="223"/>
      <c r="AW47" s="223"/>
      <c r="AX47" s="223"/>
      <c r="AY47" s="223"/>
      <c r="AZ47" s="223"/>
      <c r="BA47" s="223"/>
      <c r="BB47" s="223"/>
      <c r="BC47" s="223"/>
      <c r="BD47" s="223"/>
      <c r="BE47" s="223"/>
      <c r="BF47" s="223"/>
      <c r="BG47" s="244">
        <f>BG46/BG$50</f>
        <v>6.5420560747663545E-2</v>
      </c>
      <c r="BH47" s="223"/>
      <c r="BI47" s="223"/>
      <c r="BJ47" s="223"/>
      <c r="BK47" s="223"/>
      <c r="BL47" s="223"/>
      <c r="BM47" s="223"/>
      <c r="BN47" s="223"/>
      <c r="BO47" s="223"/>
      <c r="BP47" s="223"/>
      <c r="BQ47" s="223"/>
      <c r="BR47" s="223"/>
      <c r="BS47" s="244">
        <f>BS46/BS$50</f>
        <v>6.5420560747663559E-2</v>
      </c>
      <c r="BT47" s="223"/>
      <c r="BU47" s="223"/>
      <c r="BV47" s="223"/>
      <c r="BW47" s="223"/>
      <c r="BX47" s="223"/>
      <c r="BY47" s="223"/>
      <c r="BZ47" s="223"/>
      <c r="CA47" s="223"/>
      <c r="CB47" s="223"/>
      <c r="CC47" s="223"/>
      <c r="CD47" s="223"/>
      <c r="CE47" s="244">
        <f>CE46/CE$50</f>
        <v>6.5420560747663559E-2</v>
      </c>
      <c r="CF47" s="223"/>
      <c r="CG47" s="223"/>
      <c r="CH47" s="223"/>
      <c r="CI47" s="223"/>
      <c r="CJ47" s="223"/>
      <c r="CK47" s="223"/>
    </row>
    <row r="48" spans="1:89" s="8" customFormat="1">
      <c r="B48"/>
      <c r="C48" s="1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</row>
    <row r="49" spans="1:85" s="287" customFormat="1" ht="15">
      <c r="A49" s="287" t="s">
        <v>329</v>
      </c>
      <c r="C49" s="288"/>
      <c r="D49" s="288"/>
      <c r="E49" s="288"/>
      <c r="F49" s="289"/>
      <c r="G49" s="289"/>
      <c r="H49" s="289"/>
      <c r="I49" s="289"/>
      <c r="J49" s="289"/>
      <c r="K49" s="289"/>
      <c r="L49" s="289">
        <f t="shared" ref="L49:AQ49" si="52">L45+L36+L23</f>
        <v>0</v>
      </c>
      <c r="M49" s="289">
        <f t="shared" si="52"/>
        <v>0</v>
      </c>
      <c r="N49" s="289">
        <f t="shared" si="52"/>
        <v>0</v>
      </c>
      <c r="O49" s="289">
        <f t="shared" si="52"/>
        <v>0</v>
      </c>
      <c r="P49" s="289">
        <f t="shared" si="52"/>
        <v>0</v>
      </c>
      <c r="Q49" s="289">
        <f t="shared" si="52"/>
        <v>0</v>
      </c>
      <c r="R49" s="289">
        <f t="shared" si="52"/>
        <v>0</v>
      </c>
      <c r="S49" s="289">
        <f t="shared" si="52"/>
        <v>0</v>
      </c>
      <c r="T49" s="289">
        <f t="shared" si="52"/>
        <v>0</v>
      </c>
      <c r="U49" s="289">
        <f t="shared" si="52"/>
        <v>0</v>
      </c>
      <c r="V49" s="289">
        <f t="shared" si="52"/>
        <v>0</v>
      </c>
      <c r="W49" s="289">
        <f t="shared" si="52"/>
        <v>0</v>
      </c>
      <c r="X49" s="289">
        <f t="shared" si="52"/>
        <v>0</v>
      </c>
      <c r="Y49" s="289">
        <f t="shared" si="52"/>
        <v>0</v>
      </c>
      <c r="Z49" s="289">
        <f t="shared" si="52"/>
        <v>0</v>
      </c>
      <c r="AA49" s="289">
        <f t="shared" si="52"/>
        <v>0</v>
      </c>
      <c r="AB49" s="289">
        <f t="shared" si="52"/>
        <v>0</v>
      </c>
      <c r="AC49" s="289">
        <f t="shared" si="52"/>
        <v>0</v>
      </c>
      <c r="AD49" s="289">
        <f t="shared" si="52"/>
        <v>0</v>
      </c>
      <c r="AE49" s="289">
        <f t="shared" si="52"/>
        <v>0</v>
      </c>
      <c r="AF49" s="289">
        <f t="shared" si="52"/>
        <v>0</v>
      </c>
      <c r="AG49" s="289">
        <f t="shared" si="52"/>
        <v>0</v>
      </c>
      <c r="AH49" s="289">
        <f t="shared" si="52"/>
        <v>0</v>
      </c>
      <c r="AI49" s="289">
        <f t="shared" si="52"/>
        <v>0</v>
      </c>
      <c r="AJ49" s="289">
        <f t="shared" si="52"/>
        <v>3900.15</v>
      </c>
      <c r="AK49" s="289">
        <f t="shared" si="52"/>
        <v>7800.3</v>
      </c>
      <c r="AL49" s="289">
        <f t="shared" si="52"/>
        <v>11700.45</v>
      </c>
      <c r="AM49" s="289">
        <f t="shared" si="52"/>
        <v>15600.6</v>
      </c>
      <c r="AN49" s="289">
        <f t="shared" si="52"/>
        <v>19500.75</v>
      </c>
      <c r="AO49" s="289">
        <f t="shared" si="52"/>
        <v>23400.9</v>
      </c>
      <c r="AP49" s="289">
        <f t="shared" si="52"/>
        <v>31201.200000000001</v>
      </c>
      <c r="AQ49" s="289">
        <f t="shared" si="52"/>
        <v>39001.5</v>
      </c>
      <c r="AR49" s="289">
        <f t="shared" ref="AR49:BS49" si="53">AR45+AR36+AR23</f>
        <v>46801.8</v>
      </c>
      <c r="AS49" s="289">
        <f t="shared" si="53"/>
        <v>58502.25</v>
      </c>
      <c r="AT49" s="289">
        <f t="shared" si="53"/>
        <v>70202.7</v>
      </c>
      <c r="AU49" s="289">
        <f t="shared" si="53"/>
        <v>81903.149999999994</v>
      </c>
      <c r="AV49" s="289">
        <f t="shared" si="53"/>
        <v>93603.6</v>
      </c>
      <c r="AW49" s="289">
        <f t="shared" si="53"/>
        <v>113109.7</v>
      </c>
      <c r="AX49" s="289">
        <f t="shared" si="53"/>
        <v>132615.79999999999</v>
      </c>
      <c r="AY49" s="289">
        <f t="shared" si="53"/>
        <v>152121.9</v>
      </c>
      <c r="AZ49" s="289">
        <f t="shared" si="53"/>
        <v>175533.5</v>
      </c>
      <c r="BA49" s="289">
        <f t="shared" si="53"/>
        <v>202850.6</v>
      </c>
      <c r="BB49" s="289">
        <f t="shared" si="53"/>
        <v>222367.4</v>
      </c>
      <c r="BC49" s="289">
        <f t="shared" si="53"/>
        <v>249695.2</v>
      </c>
      <c r="BD49" s="289">
        <f t="shared" si="53"/>
        <v>273117.5</v>
      </c>
      <c r="BE49" s="289">
        <f t="shared" si="53"/>
        <v>316045.90000000002</v>
      </c>
      <c r="BF49" s="289">
        <f t="shared" si="53"/>
        <v>339457.5</v>
      </c>
      <c r="BG49" s="289">
        <f t="shared" si="53"/>
        <v>362869.1</v>
      </c>
      <c r="BH49" s="289">
        <f t="shared" si="53"/>
        <v>386280.7</v>
      </c>
      <c r="BI49" s="289">
        <f t="shared" si="53"/>
        <v>403839.4</v>
      </c>
      <c r="BJ49" s="289">
        <f t="shared" si="53"/>
        <v>421398.1</v>
      </c>
      <c r="BK49" s="289">
        <f t="shared" si="53"/>
        <v>438956.79999999999</v>
      </c>
      <c r="BL49" s="289">
        <f t="shared" si="53"/>
        <v>456515.5</v>
      </c>
      <c r="BM49" s="289">
        <f t="shared" si="53"/>
        <v>468221.3</v>
      </c>
      <c r="BN49" s="289">
        <f t="shared" si="53"/>
        <v>479927.1</v>
      </c>
      <c r="BO49" s="289">
        <f t="shared" si="53"/>
        <v>491632.9</v>
      </c>
      <c r="BP49" s="289">
        <f t="shared" si="53"/>
        <v>503338.7</v>
      </c>
      <c r="BQ49" s="289">
        <f t="shared" si="53"/>
        <v>515044.5</v>
      </c>
      <c r="BR49" s="289">
        <f t="shared" si="53"/>
        <v>526750.30000000005</v>
      </c>
      <c r="BS49" s="289">
        <f t="shared" si="53"/>
        <v>538456.1</v>
      </c>
      <c r="BT49" s="289">
        <f t="shared" ref="BT49:CE49" si="54">BT45+BT36+BT23</f>
        <v>546650.16</v>
      </c>
      <c r="BU49" s="289">
        <f t="shared" si="54"/>
        <v>556014.80000000005</v>
      </c>
      <c r="BV49" s="289">
        <f t="shared" si="54"/>
        <v>561867.69999999995</v>
      </c>
      <c r="BW49" s="289">
        <f t="shared" si="54"/>
        <v>567720.6</v>
      </c>
      <c r="BX49" s="289">
        <f t="shared" si="54"/>
        <v>573573.5</v>
      </c>
      <c r="BY49" s="289">
        <f t="shared" si="54"/>
        <v>579426.4</v>
      </c>
      <c r="BZ49" s="289">
        <f t="shared" si="54"/>
        <v>585279.30000000005</v>
      </c>
      <c r="CA49" s="289">
        <f t="shared" si="54"/>
        <v>591132.19999999995</v>
      </c>
      <c r="CB49" s="289">
        <f t="shared" si="54"/>
        <v>596985.1</v>
      </c>
      <c r="CC49" s="289">
        <f t="shared" si="54"/>
        <v>600496.84</v>
      </c>
      <c r="CD49" s="289">
        <f t="shared" si="54"/>
        <v>604008.57999999996</v>
      </c>
      <c r="CE49" s="289">
        <f t="shared" si="54"/>
        <v>608690.9</v>
      </c>
    </row>
    <row r="50" spans="1:85" s="166" customFormat="1">
      <c r="B50" s="166" t="s">
        <v>2</v>
      </c>
      <c r="C50" s="97"/>
      <c r="D50" s="97"/>
      <c r="E50" s="97"/>
      <c r="F50" s="237"/>
      <c r="G50" s="237"/>
      <c r="H50" s="237"/>
      <c r="I50" s="237"/>
      <c r="J50" s="237"/>
      <c r="K50" s="237"/>
      <c r="L50" s="237">
        <f t="shared" ref="L50:AH50" si="55">L49+K50</f>
        <v>0</v>
      </c>
      <c r="M50" s="237">
        <f t="shared" si="55"/>
        <v>0</v>
      </c>
      <c r="N50" s="237">
        <f t="shared" si="55"/>
        <v>0</v>
      </c>
      <c r="O50" s="237">
        <f t="shared" si="55"/>
        <v>0</v>
      </c>
      <c r="P50" s="237">
        <f t="shared" si="55"/>
        <v>0</v>
      </c>
      <c r="Q50" s="237">
        <f t="shared" si="55"/>
        <v>0</v>
      </c>
      <c r="R50" s="237">
        <f t="shared" si="55"/>
        <v>0</v>
      </c>
      <c r="S50" s="237">
        <f t="shared" si="55"/>
        <v>0</v>
      </c>
      <c r="T50" s="237">
        <f t="shared" si="55"/>
        <v>0</v>
      </c>
      <c r="U50" s="237">
        <f t="shared" si="55"/>
        <v>0</v>
      </c>
      <c r="V50" s="237">
        <f t="shared" si="55"/>
        <v>0</v>
      </c>
      <c r="W50" s="237">
        <f t="shared" si="55"/>
        <v>0</v>
      </c>
      <c r="X50" s="237">
        <f>X49</f>
        <v>0</v>
      </c>
      <c r="Y50" s="237">
        <f t="shared" si="55"/>
        <v>0</v>
      </c>
      <c r="Z50" s="237">
        <f t="shared" si="55"/>
        <v>0</v>
      </c>
      <c r="AA50" s="237">
        <f t="shared" si="55"/>
        <v>0</v>
      </c>
      <c r="AB50" s="237">
        <f t="shared" si="55"/>
        <v>0</v>
      </c>
      <c r="AC50" s="237">
        <f t="shared" si="55"/>
        <v>0</v>
      </c>
      <c r="AD50" s="237">
        <f t="shared" si="55"/>
        <v>0</v>
      </c>
      <c r="AE50" s="237">
        <f t="shared" si="55"/>
        <v>0</v>
      </c>
      <c r="AF50" s="237">
        <f t="shared" si="55"/>
        <v>0</v>
      </c>
      <c r="AG50" s="237">
        <f t="shared" si="55"/>
        <v>0</v>
      </c>
      <c r="AH50" s="237">
        <f t="shared" si="55"/>
        <v>0</v>
      </c>
      <c r="AI50" s="237">
        <f t="shared" ref="AI50:AP50" si="56">AI49+AH50</f>
        <v>0</v>
      </c>
      <c r="AJ50" s="237">
        <f>AJ49</f>
        <v>3900.15</v>
      </c>
      <c r="AK50" s="237">
        <f t="shared" si="56"/>
        <v>11700.45</v>
      </c>
      <c r="AL50" s="237">
        <f t="shared" si="56"/>
        <v>23400.9</v>
      </c>
      <c r="AM50" s="237">
        <f t="shared" si="56"/>
        <v>39001.5</v>
      </c>
      <c r="AN50" s="237">
        <f t="shared" si="56"/>
        <v>58502.25</v>
      </c>
      <c r="AO50" s="237">
        <f t="shared" si="56"/>
        <v>81903.149999999994</v>
      </c>
      <c r="AP50" s="237">
        <f t="shared" si="56"/>
        <v>113104.34999999999</v>
      </c>
      <c r="AQ50" s="237">
        <f t="shared" ref="AQ50:BB50" si="57">AQ49+AP50</f>
        <v>152105.84999999998</v>
      </c>
      <c r="AR50" s="237">
        <f t="shared" si="57"/>
        <v>198907.64999999997</v>
      </c>
      <c r="AS50" s="237">
        <f t="shared" si="57"/>
        <v>257409.89999999997</v>
      </c>
      <c r="AT50" s="237">
        <f t="shared" si="57"/>
        <v>327612.59999999998</v>
      </c>
      <c r="AU50" s="237">
        <f t="shared" si="57"/>
        <v>409515.75</v>
      </c>
      <c r="AV50" s="237">
        <f>AV49</f>
        <v>93603.6</v>
      </c>
      <c r="AW50" s="237">
        <f t="shared" si="57"/>
        <v>206713.3</v>
      </c>
      <c r="AX50" s="237">
        <f t="shared" si="57"/>
        <v>339329.1</v>
      </c>
      <c r="AY50" s="237">
        <f t="shared" si="57"/>
        <v>491451</v>
      </c>
      <c r="AZ50" s="237">
        <f t="shared" si="57"/>
        <v>666984.5</v>
      </c>
      <c r="BA50" s="237">
        <f t="shared" si="57"/>
        <v>869835.1</v>
      </c>
      <c r="BB50" s="237">
        <f t="shared" si="57"/>
        <v>1092202.5</v>
      </c>
      <c r="BC50" s="237">
        <f t="shared" ref="BC50:BM50" si="58">BC49+BB50</f>
        <v>1341897.7</v>
      </c>
      <c r="BD50" s="237">
        <f t="shared" si="58"/>
        <v>1615015.2</v>
      </c>
      <c r="BE50" s="237">
        <f t="shared" si="58"/>
        <v>1931061.1</v>
      </c>
      <c r="BF50" s="237">
        <f t="shared" si="58"/>
        <v>2270518.6</v>
      </c>
      <c r="BG50" s="237">
        <f t="shared" si="58"/>
        <v>2633387.7000000002</v>
      </c>
      <c r="BH50" s="237">
        <f>BH49</f>
        <v>386280.7</v>
      </c>
      <c r="BI50" s="237">
        <f t="shared" si="58"/>
        <v>790120.10000000009</v>
      </c>
      <c r="BJ50" s="237">
        <f t="shared" si="58"/>
        <v>1211518.2000000002</v>
      </c>
      <c r="BK50" s="237">
        <f t="shared" si="58"/>
        <v>1650475.0000000002</v>
      </c>
      <c r="BL50" s="237">
        <f t="shared" si="58"/>
        <v>2106990.5</v>
      </c>
      <c r="BM50" s="237">
        <f t="shared" si="58"/>
        <v>2575211.7999999998</v>
      </c>
      <c r="BN50" s="237">
        <f t="shared" ref="BN50:BS50" si="59">BN49+BM50</f>
        <v>3055138.9</v>
      </c>
      <c r="BO50" s="237">
        <f t="shared" si="59"/>
        <v>3546771.8</v>
      </c>
      <c r="BP50" s="237">
        <f t="shared" si="59"/>
        <v>4050110.5</v>
      </c>
      <c r="BQ50" s="237">
        <f t="shared" si="59"/>
        <v>4565155</v>
      </c>
      <c r="BR50" s="237">
        <f t="shared" si="59"/>
        <v>5091905.3</v>
      </c>
      <c r="BS50" s="237">
        <f t="shared" si="59"/>
        <v>5630361.3999999994</v>
      </c>
      <c r="BT50" s="237">
        <f>BT49</f>
        <v>546650.16</v>
      </c>
      <c r="BU50" s="237">
        <f t="shared" ref="BU50:CE50" si="60">BU49+BT50</f>
        <v>1102664.96</v>
      </c>
      <c r="BV50" s="237">
        <f t="shared" si="60"/>
        <v>1664532.66</v>
      </c>
      <c r="BW50" s="237">
        <f t="shared" si="60"/>
        <v>2232253.2599999998</v>
      </c>
      <c r="BX50" s="237">
        <f t="shared" si="60"/>
        <v>2805826.76</v>
      </c>
      <c r="BY50" s="237">
        <f t="shared" si="60"/>
        <v>3385253.1599999997</v>
      </c>
      <c r="BZ50" s="237">
        <f t="shared" si="60"/>
        <v>3970532.46</v>
      </c>
      <c r="CA50" s="237">
        <f t="shared" si="60"/>
        <v>4561664.66</v>
      </c>
      <c r="CB50" s="237">
        <f t="shared" si="60"/>
        <v>5158649.76</v>
      </c>
      <c r="CC50" s="237">
        <f t="shared" si="60"/>
        <v>5759146.5999999996</v>
      </c>
      <c r="CD50" s="237">
        <f t="shared" si="60"/>
        <v>6363155.1799999997</v>
      </c>
      <c r="CE50" s="237">
        <f t="shared" si="60"/>
        <v>6971846.0800000001</v>
      </c>
    </row>
    <row r="51" spans="1:85"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</row>
    <row r="52" spans="1:85"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</row>
    <row r="53" spans="1:85"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</row>
    <row r="54" spans="1:85">
      <c r="A54" s="304" t="s">
        <v>3</v>
      </c>
      <c r="B54" s="7"/>
      <c r="C5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</row>
    <row r="55" spans="1:85">
      <c r="B55" s="220"/>
      <c r="C55" s="219"/>
      <c r="D55" s="219" t="s">
        <v>325</v>
      </c>
      <c r="E55" s="219"/>
      <c r="F55" s="220"/>
      <c r="G55" s="220"/>
      <c r="H55" s="220"/>
      <c r="I55" s="220"/>
      <c r="J55" s="220"/>
      <c r="K55" s="220"/>
      <c r="L55" s="220">
        <v>100</v>
      </c>
      <c r="M55" s="220">
        <f>L55</f>
        <v>100</v>
      </c>
      <c r="N55" s="220">
        <f t="shared" ref="N55:AU55" si="61">M55</f>
        <v>100</v>
      </c>
      <c r="O55" s="220">
        <f t="shared" si="61"/>
        <v>100</v>
      </c>
      <c r="P55" s="220">
        <f t="shared" si="61"/>
        <v>100</v>
      </c>
      <c r="Q55" s="220">
        <f t="shared" si="61"/>
        <v>100</v>
      </c>
      <c r="R55" s="220">
        <f t="shared" si="61"/>
        <v>100</v>
      </c>
      <c r="S55" s="220">
        <f t="shared" si="61"/>
        <v>100</v>
      </c>
      <c r="T55" s="220">
        <f t="shared" si="61"/>
        <v>100</v>
      </c>
      <c r="U55" s="220">
        <f t="shared" si="61"/>
        <v>100</v>
      </c>
      <c r="V55" s="220">
        <f t="shared" si="61"/>
        <v>100</v>
      </c>
      <c r="W55" s="220">
        <f t="shared" si="61"/>
        <v>100</v>
      </c>
      <c r="X55" s="220">
        <f t="shared" si="61"/>
        <v>100</v>
      </c>
      <c r="Y55" s="220">
        <f t="shared" si="61"/>
        <v>100</v>
      </c>
      <c r="Z55" s="220">
        <f t="shared" si="61"/>
        <v>100</v>
      </c>
      <c r="AA55" s="220">
        <f t="shared" si="61"/>
        <v>100</v>
      </c>
      <c r="AB55" s="220">
        <f t="shared" si="61"/>
        <v>100</v>
      </c>
      <c r="AC55" s="220">
        <f t="shared" si="61"/>
        <v>100</v>
      </c>
      <c r="AD55" s="220">
        <f t="shared" si="61"/>
        <v>100</v>
      </c>
      <c r="AE55" s="220">
        <f t="shared" si="61"/>
        <v>100</v>
      </c>
      <c r="AF55" s="220">
        <f t="shared" si="61"/>
        <v>100</v>
      </c>
      <c r="AG55" s="220">
        <f t="shared" si="61"/>
        <v>100</v>
      </c>
      <c r="AH55" s="220">
        <f t="shared" si="61"/>
        <v>100</v>
      </c>
      <c r="AI55" s="220">
        <f t="shared" si="61"/>
        <v>100</v>
      </c>
      <c r="AJ55" s="220">
        <v>100</v>
      </c>
      <c r="AK55" s="220">
        <f t="shared" si="61"/>
        <v>100</v>
      </c>
      <c r="AL55" s="220">
        <f t="shared" si="61"/>
        <v>100</v>
      </c>
      <c r="AM55" s="220">
        <f t="shared" si="61"/>
        <v>100</v>
      </c>
      <c r="AN55" s="220">
        <f t="shared" si="61"/>
        <v>100</v>
      </c>
      <c r="AO55" s="220">
        <f t="shared" si="61"/>
        <v>100</v>
      </c>
      <c r="AP55" s="220">
        <f t="shared" si="61"/>
        <v>100</v>
      </c>
      <c r="AQ55" s="220">
        <f t="shared" si="61"/>
        <v>100</v>
      </c>
      <c r="AR55" s="220">
        <f t="shared" si="61"/>
        <v>100</v>
      </c>
      <c r="AS55" s="220">
        <f t="shared" si="61"/>
        <v>100</v>
      </c>
      <c r="AT55" s="220">
        <f t="shared" si="61"/>
        <v>100</v>
      </c>
      <c r="AU55" s="220">
        <f t="shared" si="61"/>
        <v>100</v>
      </c>
      <c r="AV55" s="220">
        <v>103</v>
      </c>
      <c r="AW55" s="220">
        <v>103</v>
      </c>
      <c r="AX55" s="220">
        <v>103</v>
      </c>
      <c r="AY55" s="220">
        <v>103</v>
      </c>
      <c r="AZ55" s="220">
        <v>103</v>
      </c>
      <c r="BA55" s="220">
        <v>103</v>
      </c>
      <c r="BB55" s="220">
        <v>103</v>
      </c>
      <c r="BC55" s="220">
        <v>103</v>
      </c>
      <c r="BD55" s="220">
        <v>103</v>
      </c>
      <c r="BE55" s="220">
        <v>103</v>
      </c>
      <c r="BF55" s="220">
        <v>103</v>
      </c>
      <c r="BG55" s="220">
        <v>103</v>
      </c>
      <c r="BH55" s="220">
        <v>106</v>
      </c>
      <c r="BI55" s="220">
        <v>106</v>
      </c>
      <c r="BJ55" s="220">
        <v>106</v>
      </c>
      <c r="BK55" s="220">
        <v>106</v>
      </c>
      <c r="BL55" s="220">
        <v>106</v>
      </c>
      <c r="BM55" s="220">
        <v>106</v>
      </c>
      <c r="BN55" s="220">
        <v>106</v>
      </c>
      <c r="BO55" s="220">
        <v>106</v>
      </c>
      <c r="BP55" s="220">
        <v>106</v>
      </c>
      <c r="BQ55" s="220">
        <v>106</v>
      </c>
      <c r="BR55" s="220">
        <v>106</v>
      </c>
      <c r="BS55" s="220">
        <v>106</v>
      </c>
      <c r="BT55" s="220">
        <v>110</v>
      </c>
      <c r="BU55" s="220">
        <v>110</v>
      </c>
      <c r="BV55" s="220">
        <v>110</v>
      </c>
      <c r="BW55" s="220">
        <v>110</v>
      </c>
      <c r="BX55" s="220">
        <v>110</v>
      </c>
      <c r="BY55" s="220">
        <v>110</v>
      </c>
      <c r="BZ55" s="220">
        <v>110</v>
      </c>
      <c r="CA55" s="220">
        <v>110</v>
      </c>
      <c r="CB55" s="220">
        <v>110</v>
      </c>
      <c r="CC55" s="220">
        <v>110</v>
      </c>
      <c r="CD55" s="220">
        <v>110</v>
      </c>
      <c r="CE55" s="220">
        <v>110</v>
      </c>
      <c r="CF55" s="221"/>
      <c r="CG55" s="221"/>
    </row>
    <row r="56" spans="1:85"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</row>
    <row r="57" spans="1:85">
      <c r="A57" s="2" t="s">
        <v>386</v>
      </c>
      <c r="C57" t="s">
        <v>394</v>
      </c>
      <c r="D57" s="227">
        <v>250</v>
      </c>
      <c r="F57" s="2"/>
      <c r="G57" s="2"/>
      <c r="H57" s="2"/>
      <c r="I57" s="226"/>
      <c r="J57" s="2"/>
      <c r="K57" s="2"/>
      <c r="L57" s="2">
        <f>'P&amp;L Month'!N54*$D57*L55/100</f>
        <v>0</v>
      </c>
      <c r="M57" s="2">
        <f>'P&amp;L Month'!O54*$D57*M55/100</f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350</v>
      </c>
      <c r="T57" s="2">
        <v>350</v>
      </c>
      <c r="U57" s="2">
        <v>350</v>
      </c>
      <c r="V57" s="2">
        <v>350</v>
      </c>
      <c r="W57" s="2">
        <v>350</v>
      </c>
      <c r="X57" s="2">
        <v>350</v>
      </c>
      <c r="Y57" s="2">
        <v>350</v>
      </c>
      <c r="Z57" s="2">
        <v>350</v>
      </c>
      <c r="AA57" s="2">
        <v>350</v>
      </c>
      <c r="AB57" s="2">
        <v>350</v>
      </c>
      <c r="AC57" s="2">
        <v>350</v>
      </c>
      <c r="AD57" s="2">
        <f>350+500</f>
        <v>850</v>
      </c>
      <c r="AE57" s="2">
        <f>('P&amp;L Month'!AG54-1)*$D57*AE55/100</f>
        <v>250</v>
      </c>
      <c r="AF57" s="2">
        <f>('P&amp;L Month'!AH54-1)*$D57*AF55/100</f>
        <v>500</v>
      </c>
      <c r="AG57" s="2">
        <f>('P&amp;L Month'!AI54-1)*$D57*AG55/100</f>
        <v>750</v>
      </c>
      <c r="AH57" s="2">
        <f>('P&amp;L Month'!AJ54-1)*$D57*AH55/100</f>
        <v>750</v>
      </c>
      <c r="AI57" s="2">
        <f>('P&amp;L Month'!AK54-1)*$D57*AI55/100</f>
        <v>1000</v>
      </c>
      <c r="AJ57" s="2">
        <f>('P&amp;L Month'!AL54-1)*$D57*AJ55/100</f>
        <v>1500</v>
      </c>
      <c r="AK57" s="2">
        <f>('P&amp;L Month'!AM54-1)*$D57*AK55/100</f>
        <v>1750</v>
      </c>
      <c r="AL57" s="2">
        <f>('P&amp;L Month'!AN54-1)*$D57*AL55/100</f>
        <v>2250</v>
      </c>
      <c r="AM57" s="2">
        <f>('P&amp;L Month'!AO54-1)*$D57*AM55/100</f>
        <v>2250</v>
      </c>
      <c r="AN57" s="2">
        <f>('P&amp;L Month'!AP54-1)*$D57*AN55/100</f>
        <v>2500</v>
      </c>
      <c r="AO57" s="2">
        <f>('P&amp;L Month'!AQ54-1)*$D57*AO55/100</f>
        <v>3000</v>
      </c>
      <c r="AP57" s="2">
        <f>('P&amp;L Month'!AR54-1)*$D57*AP55/100</f>
        <v>3250</v>
      </c>
      <c r="AQ57" s="2">
        <f>('P&amp;L Month'!AS54-1)*$D57*AQ55/100</f>
        <v>3250</v>
      </c>
      <c r="AR57" s="2">
        <f>('P&amp;L Month'!AT54-1)*$D57*AR55/100</f>
        <v>4000</v>
      </c>
      <c r="AS57" s="2">
        <f>('P&amp;L Month'!AU54-1)*$D57*AS55/100</f>
        <v>4000</v>
      </c>
      <c r="AT57" s="2">
        <f>('P&amp;L Month'!AV54-1)*$D57*AT55/100</f>
        <v>4000</v>
      </c>
      <c r="AU57" s="2">
        <f>('P&amp;L Month'!AW54-1)*$D57*AU55/100</f>
        <v>4000</v>
      </c>
      <c r="AV57" s="2">
        <f>('P&amp;L Month'!AX54-1)*$D57*AV55/100</f>
        <v>4892.5</v>
      </c>
      <c r="AW57" s="2">
        <f>('P&amp;L Month'!AY54-1)*$D57*AW55/100</f>
        <v>4892.5</v>
      </c>
      <c r="AX57" s="2">
        <f>('P&amp;L Month'!AZ54-1)*$D57*AX55/100</f>
        <v>4892.5</v>
      </c>
      <c r="AY57" s="2">
        <f>('P&amp;L Month'!BA54-1)*$D57*AY55/100</f>
        <v>4892.5</v>
      </c>
      <c r="AZ57" s="2">
        <f>('P&amp;L Month'!BB54-1)*$D57*AZ55/100</f>
        <v>5150</v>
      </c>
      <c r="BA57" s="2">
        <f>('P&amp;L Month'!BC54-1)*$D57*BA55/100</f>
        <v>5150</v>
      </c>
      <c r="BB57" s="2">
        <f>('P&amp;L Month'!BD54-1)*$D57*BB55/100</f>
        <v>5665</v>
      </c>
      <c r="BC57" s="2">
        <f>('P&amp;L Month'!BE54-1)*$D57*BC55/100</f>
        <v>5665</v>
      </c>
      <c r="BD57" s="2">
        <f>('P&amp;L Month'!BF54-1)*$D57*BD55/100</f>
        <v>5922.5</v>
      </c>
      <c r="BE57" s="2">
        <f>('P&amp;L Month'!BG54-1)*$D57*BE55/100</f>
        <v>5922.5</v>
      </c>
      <c r="BF57" s="2">
        <f>('P&amp;L Month'!BH54-1)*$D57*BF55/100</f>
        <v>6180</v>
      </c>
      <c r="BG57" s="2">
        <f>('P&amp;L Month'!BI54-1)*$D57*BG55/100</f>
        <v>6180</v>
      </c>
      <c r="BH57" s="2">
        <f>('P&amp;L Month'!BJ54-1)*$D57*BH55/100</f>
        <v>6360</v>
      </c>
      <c r="BI57" s="2">
        <f>('P&amp;L Month'!BK54-1)*$D57*BI55/100</f>
        <v>6360</v>
      </c>
      <c r="BJ57" s="2">
        <f>('P&amp;L Month'!BL54-1)*$D57*BJ55/100</f>
        <v>6360</v>
      </c>
      <c r="BK57" s="2">
        <f>('P&amp;L Month'!BM54-1)*$D57*BK55/100</f>
        <v>6360</v>
      </c>
      <c r="BL57" s="2">
        <f>('P&amp;L Month'!BN54-1)*$D57*BL55/100</f>
        <v>6625</v>
      </c>
      <c r="BM57" s="2">
        <f>('P&amp;L Month'!BO54-1)*$D57*BM55/100</f>
        <v>6625</v>
      </c>
      <c r="BN57" s="2">
        <f>('P&amp;L Month'!BP54-1)*$D57*BN55/100</f>
        <v>6625</v>
      </c>
      <c r="BO57" s="2">
        <f>('P&amp;L Month'!BQ54-1)*$D57*BO55/100</f>
        <v>6625</v>
      </c>
      <c r="BP57" s="2">
        <f>('P&amp;L Month'!BR54-1)*$D57*BP55/100</f>
        <v>6625</v>
      </c>
      <c r="BQ57" s="2">
        <f>('P&amp;L Month'!BS54-1)*$D57*BQ55/100</f>
        <v>6625</v>
      </c>
      <c r="BR57" s="2">
        <f>('P&amp;L Month'!BT54-1)*$D57*BR55/100</f>
        <v>6625</v>
      </c>
      <c r="BS57" s="2">
        <f>('P&amp;L Month'!BU54-1)*$D57*BS55/100</f>
        <v>6625</v>
      </c>
      <c r="BT57" s="2">
        <f>('P&amp;L Month'!BV54-1)*$D57*BT55/100</f>
        <v>6875</v>
      </c>
      <c r="BU57" s="2">
        <f>('P&amp;L Month'!BW54-1)*$D57*BU55/100</f>
        <v>6875</v>
      </c>
      <c r="BV57" s="2">
        <f>('P&amp;L Month'!BX54-1)*$D57*BV55/100</f>
        <v>6875</v>
      </c>
      <c r="BW57" s="2">
        <f>('P&amp;L Month'!BY54-1)*$D57*BW55/100</f>
        <v>6875</v>
      </c>
      <c r="BX57" s="2">
        <f>('P&amp;L Month'!BZ54-1)*$D57*BX55/100</f>
        <v>6875</v>
      </c>
      <c r="BY57" s="2">
        <f>('P&amp;L Month'!CA54-1)*$D57*BY55/100</f>
        <v>6875</v>
      </c>
      <c r="BZ57" s="2">
        <f>('P&amp;L Month'!CB54-1)*$D57*BZ55/100</f>
        <v>6875</v>
      </c>
      <c r="CA57" s="2">
        <f>('P&amp;L Month'!CC54-1)*$D57*CA55/100</f>
        <v>6875</v>
      </c>
      <c r="CB57" s="2">
        <f>('P&amp;L Month'!CD54-1)*$D57*CB55/100</f>
        <v>6875</v>
      </c>
      <c r="CC57" s="2">
        <f>('P&amp;L Month'!CE54-1)*$D57*CC55/100</f>
        <v>6875</v>
      </c>
      <c r="CD57" s="2">
        <f>('P&amp;L Month'!CF54-1)*$D57*CD55/100</f>
        <v>6875</v>
      </c>
      <c r="CE57" s="2">
        <f>('P&amp;L Month'!CG54-1)*$D57*CE55/100</f>
        <v>6875</v>
      </c>
    </row>
    <row r="58" spans="1:85"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</row>
    <row r="59" spans="1:85">
      <c r="D59" s="22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</row>
    <row r="60" spans="1:85"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</row>
    <row r="61" spans="1:85" s="305" customFormat="1">
      <c r="A61" s="305" t="s">
        <v>330</v>
      </c>
      <c r="C61" s="304"/>
      <c r="D61" s="304"/>
      <c r="E61" s="304"/>
      <c r="F61" s="306"/>
      <c r="G61" s="306"/>
      <c r="H61" s="306"/>
      <c r="I61" s="306"/>
      <c r="J61" s="306"/>
      <c r="K61" s="306"/>
      <c r="L61" s="306">
        <f t="shared" ref="L61:AQ61" si="62">SUM(L57:L60)</f>
        <v>0</v>
      </c>
      <c r="M61" s="306">
        <f t="shared" si="62"/>
        <v>0</v>
      </c>
      <c r="N61" s="306">
        <f t="shared" si="62"/>
        <v>0</v>
      </c>
      <c r="O61" s="306">
        <f t="shared" si="62"/>
        <v>0</v>
      </c>
      <c r="P61" s="306">
        <f t="shared" si="62"/>
        <v>0</v>
      </c>
      <c r="Q61" s="306">
        <f t="shared" si="62"/>
        <v>0</v>
      </c>
      <c r="R61" s="306">
        <f t="shared" si="62"/>
        <v>0</v>
      </c>
      <c r="S61" s="306">
        <f t="shared" si="62"/>
        <v>350</v>
      </c>
      <c r="T61" s="306">
        <f t="shared" si="62"/>
        <v>350</v>
      </c>
      <c r="U61" s="306">
        <f t="shared" si="62"/>
        <v>350</v>
      </c>
      <c r="V61" s="306">
        <f t="shared" si="62"/>
        <v>350</v>
      </c>
      <c r="W61" s="306">
        <f t="shared" si="62"/>
        <v>350</v>
      </c>
      <c r="X61" s="306">
        <f t="shared" si="62"/>
        <v>350</v>
      </c>
      <c r="Y61" s="306">
        <f t="shared" si="62"/>
        <v>350</v>
      </c>
      <c r="Z61" s="306">
        <f t="shared" si="62"/>
        <v>350</v>
      </c>
      <c r="AA61" s="306">
        <f t="shared" si="62"/>
        <v>350</v>
      </c>
      <c r="AB61" s="306">
        <f t="shared" si="62"/>
        <v>350</v>
      </c>
      <c r="AC61" s="306">
        <f t="shared" si="62"/>
        <v>350</v>
      </c>
      <c r="AD61" s="306">
        <f t="shared" si="62"/>
        <v>850</v>
      </c>
      <c r="AE61" s="306">
        <f t="shared" si="62"/>
        <v>250</v>
      </c>
      <c r="AF61" s="306">
        <f t="shared" si="62"/>
        <v>500</v>
      </c>
      <c r="AG61" s="306">
        <f t="shared" si="62"/>
        <v>750</v>
      </c>
      <c r="AH61" s="306">
        <f t="shared" si="62"/>
        <v>750</v>
      </c>
      <c r="AI61" s="306">
        <f t="shared" si="62"/>
        <v>1000</v>
      </c>
      <c r="AJ61" s="306">
        <f t="shared" si="62"/>
        <v>1500</v>
      </c>
      <c r="AK61" s="306">
        <f t="shared" si="62"/>
        <v>1750</v>
      </c>
      <c r="AL61" s="306">
        <f t="shared" si="62"/>
        <v>2250</v>
      </c>
      <c r="AM61" s="306">
        <f t="shared" si="62"/>
        <v>2250</v>
      </c>
      <c r="AN61" s="306">
        <f t="shared" si="62"/>
        <v>2500</v>
      </c>
      <c r="AO61" s="306">
        <f t="shared" si="62"/>
        <v>3000</v>
      </c>
      <c r="AP61" s="306">
        <f t="shared" si="62"/>
        <v>3250</v>
      </c>
      <c r="AQ61" s="306">
        <f t="shared" si="62"/>
        <v>3250</v>
      </c>
      <c r="AR61" s="306">
        <f t="shared" ref="AR61:BS61" si="63">SUM(AR57:AR60)</f>
        <v>4000</v>
      </c>
      <c r="AS61" s="306">
        <f t="shared" si="63"/>
        <v>4000</v>
      </c>
      <c r="AT61" s="306">
        <f t="shared" si="63"/>
        <v>4000</v>
      </c>
      <c r="AU61" s="306">
        <f t="shared" si="63"/>
        <v>4000</v>
      </c>
      <c r="AV61" s="306">
        <f t="shared" si="63"/>
        <v>4892.5</v>
      </c>
      <c r="AW61" s="306">
        <f t="shared" si="63"/>
        <v>4892.5</v>
      </c>
      <c r="AX61" s="306">
        <f t="shared" si="63"/>
        <v>4892.5</v>
      </c>
      <c r="AY61" s="306">
        <f t="shared" si="63"/>
        <v>4892.5</v>
      </c>
      <c r="AZ61" s="306">
        <f t="shared" si="63"/>
        <v>5150</v>
      </c>
      <c r="BA61" s="306">
        <f t="shared" si="63"/>
        <v>5150</v>
      </c>
      <c r="BB61" s="306">
        <f t="shared" si="63"/>
        <v>5665</v>
      </c>
      <c r="BC61" s="306">
        <f t="shared" si="63"/>
        <v>5665</v>
      </c>
      <c r="BD61" s="306">
        <f t="shared" si="63"/>
        <v>5922.5</v>
      </c>
      <c r="BE61" s="306">
        <f t="shared" si="63"/>
        <v>5922.5</v>
      </c>
      <c r="BF61" s="306">
        <f t="shared" si="63"/>
        <v>6180</v>
      </c>
      <c r="BG61" s="306">
        <f t="shared" si="63"/>
        <v>6180</v>
      </c>
      <c r="BH61" s="306">
        <f t="shared" si="63"/>
        <v>6360</v>
      </c>
      <c r="BI61" s="306">
        <f t="shared" si="63"/>
        <v>6360</v>
      </c>
      <c r="BJ61" s="306">
        <f t="shared" si="63"/>
        <v>6360</v>
      </c>
      <c r="BK61" s="306">
        <f t="shared" si="63"/>
        <v>6360</v>
      </c>
      <c r="BL61" s="306">
        <f t="shared" si="63"/>
        <v>6625</v>
      </c>
      <c r="BM61" s="306">
        <f t="shared" si="63"/>
        <v>6625</v>
      </c>
      <c r="BN61" s="306">
        <f t="shared" si="63"/>
        <v>6625</v>
      </c>
      <c r="BO61" s="306">
        <f t="shared" si="63"/>
        <v>6625</v>
      </c>
      <c r="BP61" s="306">
        <f t="shared" si="63"/>
        <v>6625</v>
      </c>
      <c r="BQ61" s="306">
        <f t="shared" si="63"/>
        <v>6625</v>
      </c>
      <c r="BR61" s="306">
        <f t="shared" si="63"/>
        <v>6625</v>
      </c>
      <c r="BS61" s="306">
        <f t="shared" si="63"/>
        <v>6625</v>
      </c>
      <c r="BT61" s="306">
        <f t="shared" ref="BT61:CE61" si="64">SUM(BT57:BT60)</f>
        <v>6875</v>
      </c>
      <c r="BU61" s="306">
        <f t="shared" si="64"/>
        <v>6875</v>
      </c>
      <c r="BV61" s="306">
        <f t="shared" si="64"/>
        <v>6875</v>
      </c>
      <c r="BW61" s="306">
        <f t="shared" si="64"/>
        <v>6875</v>
      </c>
      <c r="BX61" s="306">
        <f t="shared" si="64"/>
        <v>6875</v>
      </c>
      <c r="BY61" s="306">
        <f t="shared" si="64"/>
        <v>6875</v>
      </c>
      <c r="BZ61" s="306">
        <f t="shared" si="64"/>
        <v>6875</v>
      </c>
      <c r="CA61" s="306">
        <f t="shared" si="64"/>
        <v>6875</v>
      </c>
      <c r="CB61" s="306">
        <f t="shared" si="64"/>
        <v>6875</v>
      </c>
      <c r="CC61" s="306">
        <f t="shared" si="64"/>
        <v>6875</v>
      </c>
      <c r="CD61" s="306">
        <f t="shared" si="64"/>
        <v>6875</v>
      </c>
      <c r="CE61" s="306">
        <f t="shared" si="64"/>
        <v>6875</v>
      </c>
    </row>
    <row r="62" spans="1:85" s="166" customFormat="1">
      <c r="B62" s="166" t="s">
        <v>2</v>
      </c>
      <c r="C62" s="97"/>
      <c r="D62" s="97"/>
      <c r="E62" s="97"/>
      <c r="F62" s="237"/>
      <c r="G62" s="237"/>
      <c r="H62" s="237"/>
      <c r="I62" s="237"/>
      <c r="J62" s="237"/>
      <c r="K62" s="237"/>
      <c r="L62" s="237">
        <f t="shared" ref="L62:Q62" si="65">L61+K62</f>
        <v>0</v>
      </c>
      <c r="M62" s="237">
        <f t="shared" si="65"/>
        <v>0</v>
      </c>
      <c r="N62" s="237">
        <f t="shared" si="65"/>
        <v>0</v>
      </c>
      <c r="O62" s="237">
        <f t="shared" si="65"/>
        <v>0</v>
      </c>
      <c r="P62" s="237">
        <f t="shared" si="65"/>
        <v>0</v>
      </c>
      <c r="Q62" s="237">
        <f t="shared" si="65"/>
        <v>0</v>
      </c>
      <c r="R62" s="237">
        <f>R61</f>
        <v>0</v>
      </c>
      <c r="S62" s="237">
        <f t="shared" ref="S62:AC62" si="66">S61+R62</f>
        <v>350</v>
      </c>
      <c r="T62" s="237">
        <f t="shared" si="66"/>
        <v>700</v>
      </c>
      <c r="U62" s="237">
        <f t="shared" si="66"/>
        <v>1050</v>
      </c>
      <c r="V62" s="237">
        <f t="shared" si="66"/>
        <v>1400</v>
      </c>
      <c r="W62" s="237">
        <f t="shared" si="66"/>
        <v>1750</v>
      </c>
      <c r="X62" s="237">
        <f t="shared" si="66"/>
        <v>2100</v>
      </c>
      <c r="Y62" s="237">
        <f t="shared" si="66"/>
        <v>2450</v>
      </c>
      <c r="Z62" s="237">
        <f t="shared" si="66"/>
        <v>2800</v>
      </c>
      <c r="AA62" s="237">
        <f t="shared" si="66"/>
        <v>3150</v>
      </c>
      <c r="AB62" s="237">
        <f t="shared" si="66"/>
        <v>3500</v>
      </c>
      <c r="AC62" s="237">
        <f t="shared" si="66"/>
        <v>3850</v>
      </c>
      <c r="AD62" s="237">
        <f>AD61</f>
        <v>850</v>
      </c>
      <c r="AE62" s="237">
        <f t="shared" ref="AE62:AO62" si="67">AE61+AD62</f>
        <v>1100</v>
      </c>
      <c r="AF62" s="237">
        <f t="shared" si="67"/>
        <v>1600</v>
      </c>
      <c r="AG62" s="237">
        <f t="shared" si="67"/>
        <v>2350</v>
      </c>
      <c r="AH62" s="237">
        <f t="shared" si="67"/>
        <v>3100</v>
      </c>
      <c r="AI62" s="237">
        <f t="shared" si="67"/>
        <v>4100</v>
      </c>
      <c r="AJ62" s="237">
        <f t="shared" si="67"/>
        <v>5600</v>
      </c>
      <c r="AK62" s="237">
        <f t="shared" si="67"/>
        <v>7350</v>
      </c>
      <c r="AL62" s="237">
        <f t="shared" si="67"/>
        <v>9600</v>
      </c>
      <c r="AM62" s="237">
        <f t="shared" si="67"/>
        <v>11850</v>
      </c>
      <c r="AN62" s="237">
        <f t="shared" si="67"/>
        <v>14350</v>
      </c>
      <c r="AO62" s="237">
        <f t="shared" si="67"/>
        <v>17350</v>
      </c>
      <c r="AP62" s="237">
        <f>AP61</f>
        <v>3250</v>
      </c>
      <c r="AQ62" s="237">
        <f t="shared" ref="AQ62:BA62" si="68">AQ61+AP62</f>
        <v>6500</v>
      </c>
      <c r="AR62" s="237">
        <f t="shared" si="68"/>
        <v>10500</v>
      </c>
      <c r="AS62" s="237">
        <f t="shared" si="68"/>
        <v>14500</v>
      </c>
      <c r="AT62" s="237">
        <f t="shared" si="68"/>
        <v>18500</v>
      </c>
      <c r="AU62" s="237">
        <f t="shared" si="68"/>
        <v>22500</v>
      </c>
      <c r="AV62" s="237">
        <f t="shared" si="68"/>
        <v>27392.5</v>
      </c>
      <c r="AW62" s="237">
        <f t="shared" si="68"/>
        <v>32285</v>
      </c>
      <c r="AX62" s="237">
        <f t="shared" si="68"/>
        <v>37177.5</v>
      </c>
      <c r="AY62" s="237">
        <f t="shared" si="68"/>
        <v>42070</v>
      </c>
      <c r="AZ62" s="237">
        <f t="shared" si="68"/>
        <v>47220</v>
      </c>
      <c r="BA62" s="237">
        <f t="shared" si="68"/>
        <v>52370</v>
      </c>
      <c r="BB62" s="237">
        <f>BB61</f>
        <v>5665</v>
      </c>
      <c r="BC62" s="237">
        <f t="shared" ref="BC62:BM62" si="69">BC61+BB62</f>
        <v>11330</v>
      </c>
      <c r="BD62" s="237">
        <f t="shared" si="69"/>
        <v>17252.5</v>
      </c>
      <c r="BE62" s="237">
        <f t="shared" si="69"/>
        <v>23175</v>
      </c>
      <c r="BF62" s="237">
        <f t="shared" si="69"/>
        <v>29355</v>
      </c>
      <c r="BG62" s="237">
        <f t="shared" si="69"/>
        <v>35535</v>
      </c>
      <c r="BH62" s="237">
        <f t="shared" si="69"/>
        <v>41895</v>
      </c>
      <c r="BI62" s="237">
        <f t="shared" si="69"/>
        <v>48255</v>
      </c>
      <c r="BJ62" s="237">
        <f t="shared" si="69"/>
        <v>54615</v>
      </c>
      <c r="BK62" s="237">
        <f t="shared" si="69"/>
        <v>60975</v>
      </c>
      <c r="BL62" s="237">
        <f t="shared" si="69"/>
        <v>67600</v>
      </c>
      <c r="BM62" s="237">
        <f t="shared" si="69"/>
        <v>74225</v>
      </c>
      <c r="BN62" s="237">
        <f t="shared" ref="BN62:BS62" si="70">BN61+BM62</f>
        <v>80850</v>
      </c>
      <c r="BO62" s="237">
        <f t="shared" si="70"/>
        <v>87475</v>
      </c>
      <c r="BP62" s="237">
        <f t="shared" si="70"/>
        <v>94100</v>
      </c>
      <c r="BQ62" s="237">
        <f t="shared" si="70"/>
        <v>100725</v>
      </c>
      <c r="BR62" s="237">
        <f t="shared" si="70"/>
        <v>107350</v>
      </c>
      <c r="BS62" s="237">
        <f t="shared" si="70"/>
        <v>113975</v>
      </c>
      <c r="BT62" s="237">
        <f t="shared" ref="BT62:CE62" si="71">BT61+BS62</f>
        <v>120850</v>
      </c>
      <c r="BU62" s="237">
        <f t="shared" si="71"/>
        <v>127725</v>
      </c>
      <c r="BV62" s="237">
        <f t="shared" si="71"/>
        <v>134600</v>
      </c>
      <c r="BW62" s="237">
        <f t="shared" si="71"/>
        <v>141475</v>
      </c>
      <c r="BX62" s="237">
        <f t="shared" si="71"/>
        <v>148350</v>
      </c>
      <c r="BY62" s="237">
        <f t="shared" si="71"/>
        <v>155225</v>
      </c>
      <c r="BZ62" s="237">
        <f t="shared" si="71"/>
        <v>162100</v>
      </c>
      <c r="CA62" s="237">
        <f t="shared" si="71"/>
        <v>168975</v>
      </c>
      <c r="CB62" s="237">
        <f t="shared" si="71"/>
        <v>175850</v>
      </c>
      <c r="CC62" s="237">
        <f t="shared" si="71"/>
        <v>182725</v>
      </c>
      <c r="CD62" s="237">
        <f t="shared" si="71"/>
        <v>189600</v>
      </c>
      <c r="CE62" s="237">
        <f t="shared" si="71"/>
        <v>196475</v>
      </c>
    </row>
    <row r="63" spans="1:85"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</row>
    <row r="64" spans="1:85">
      <c r="B64" s="57"/>
      <c r="C64" s="9"/>
      <c r="D64" s="9"/>
      <c r="E64" s="9"/>
      <c r="F64" s="9"/>
      <c r="G64" s="9"/>
      <c r="H64" s="9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</row>
    <row r="65" spans="2:83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</row>
    <row r="66" spans="2:83" s="221" customFormat="1">
      <c r="C66" s="219"/>
      <c r="D66" s="219"/>
      <c r="E66" s="219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  <c r="Z66" s="220"/>
      <c r="AA66" s="220"/>
      <c r="AB66" s="220"/>
      <c r="AC66" s="220"/>
      <c r="AD66" s="220"/>
      <c r="AE66" s="220"/>
      <c r="AF66" s="220"/>
      <c r="AG66" s="220"/>
      <c r="AH66" s="220"/>
      <c r="AI66" s="220"/>
      <c r="AJ66" s="220"/>
      <c r="AK66" s="220"/>
      <c r="AL66" s="220"/>
      <c r="AM66" s="220"/>
      <c r="AN66" s="220"/>
      <c r="AO66" s="220"/>
      <c r="AP66" s="220"/>
      <c r="AQ66" s="220"/>
      <c r="AR66" s="220"/>
      <c r="AS66" s="220"/>
      <c r="AT66" s="220"/>
      <c r="AU66" s="220"/>
      <c r="AV66" s="220"/>
      <c r="AW66" s="220"/>
      <c r="AX66" s="220"/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20"/>
      <c r="BL66" s="220"/>
      <c r="BM66" s="220"/>
      <c r="BN66" s="220"/>
      <c r="BO66" s="220"/>
      <c r="BP66" s="220"/>
      <c r="BQ66" s="220"/>
      <c r="BR66" s="220"/>
      <c r="BS66" s="220"/>
      <c r="BT66" s="220"/>
      <c r="BU66" s="220"/>
      <c r="BV66" s="220"/>
      <c r="BW66" s="220"/>
      <c r="BX66" s="220"/>
      <c r="BY66" s="220"/>
      <c r="BZ66" s="220"/>
      <c r="CA66" s="220"/>
      <c r="CB66" s="220"/>
      <c r="CC66" s="220"/>
      <c r="CD66" s="220"/>
      <c r="CE66" s="220"/>
    </row>
    <row r="69" spans="2:83">
      <c r="B69" s="94"/>
      <c r="C69"/>
      <c r="D69"/>
    </row>
    <row r="70" spans="2:83">
      <c r="B70" s="11"/>
      <c r="C70" s="189"/>
      <c r="D70" s="184"/>
      <c r="F70" s="202"/>
    </row>
    <row r="71" spans="2:83">
      <c r="B71" s="11"/>
      <c r="C71" s="189"/>
      <c r="D71" s="184"/>
      <c r="F71" s="202"/>
    </row>
    <row r="72" spans="2:83">
      <c r="B72" s="190"/>
      <c r="C72" s="191"/>
      <c r="D72" s="184"/>
      <c r="F72" s="192"/>
    </row>
    <row r="73" spans="2:83">
      <c r="B73" s="190"/>
      <c r="C73" s="191"/>
      <c r="D73" s="184"/>
      <c r="F73" s="192"/>
      <c r="J73" s="212"/>
    </row>
    <row r="74" spans="2:83">
      <c r="B74" s="11"/>
      <c r="C74" s="191"/>
      <c r="D74" s="18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  <colBreaks count="2" manualBreakCount="2">
    <brk id="17" max="1048575" man="1"/>
    <brk id="2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136"/>
  <sheetViews>
    <sheetView topLeftCell="A7" zoomScaleNormal="80" workbookViewId="0">
      <pane ySplit="1" topLeftCell="A98" activePane="bottomLeft" state="frozenSplit"/>
      <selection activeCell="B7" sqref="B7"/>
      <selection pane="bottomLeft" activeCell="I119" sqref="I119"/>
    </sheetView>
  </sheetViews>
  <sheetFormatPr baseColWidth="10" defaultRowHeight="12.75"/>
  <cols>
    <col min="2" max="2" width="9.140625" customWidth="1"/>
    <col min="3" max="3" width="13.5703125" customWidth="1"/>
    <col min="4" max="4" width="22.5703125" customWidth="1"/>
    <col min="5" max="5" width="13" customWidth="1"/>
    <col min="6" max="6" width="4.5703125" customWidth="1"/>
    <col min="7" max="7" width="4.5703125" style="1" customWidth="1"/>
    <col min="8" max="8" width="2.42578125" customWidth="1"/>
    <col min="9" max="10" width="12.7109375" customWidth="1"/>
    <col min="11" max="11" width="6.7109375" customWidth="1"/>
    <col min="12" max="12" width="12.7109375" customWidth="1"/>
    <col min="13" max="13" width="6.7109375" customWidth="1"/>
    <col min="14" max="14" width="12.7109375" customWidth="1"/>
    <col min="15" max="15" width="6.7109375" customWidth="1"/>
    <col min="16" max="16" width="12.7109375" customWidth="1"/>
    <col min="17" max="17" width="6.7109375" customWidth="1"/>
  </cols>
  <sheetData>
    <row r="1" spans="1:17">
      <c r="F1" s="1"/>
      <c r="H1" s="2"/>
    </row>
    <row r="2" spans="1:17" ht="26.25">
      <c r="B2" s="13" t="s">
        <v>413</v>
      </c>
      <c r="C2" s="13"/>
      <c r="D2" s="13"/>
      <c r="E2" s="13"/>
      <c r="F2" s="14"/>
      <c r="H2" s="2"/>
    </row>
    <row r="3" spans="1:17" ht="26.25">
      <c r="B3" s="13"/>
      <c r="C3" s="13"/>
      <c r="D3" s="13"/>
      <c r="E3" s="13"/>
      <c r="F3" s="14"/>
      <c r="H3" s="2"/>
    </row>
    <row r="4" spans="1:17">
      <c r="B4" s="15"/>
      <c r="C4" s="15"/>
      <c r="D4" s="15"/>
      <c r="E4" s="15"/>
      <c r="F4" s="16"/>
      <c r="H4" s="2"/>
    </row>
    <row r="5" spans="1:17">
      <c r="A5" s="17"/>
      <c r="B5" s="17"/>
      <c r="C5" s="17"/>
      <c r="D5" s="17"/>
      <c r="E5" s="17"/>
      <c r="F5" s="18"/>
      <c r="G5" s="21"/>
      <c r="H5" s="20"/>
    </row>
    <row r="6" spans="1:17">
      <c r="A6" s="17"/>
      <c r="B6" s="19"/>
      <c r="C6" s="19"/>
      <c r="D6" s="19"/>
      <c r="E6" s="19"/>
      <c r="F6" s="21"/>
      <c r="G6" s="18"/>
      <c r="H6" s="20"/>
      <c r="K6" s="291"/>
    </row>
    <row r="7" spans="1:17">
      <c r="A7" s="23"/>
      <c r="B7" s="22"/>
      <c r="C7" s="22"/>
      <c r="D7" s="22"/>
      <c r="E7" s="22"/>
      <c r="F7" s="24"/>
      <c r="G7" s="25"/>
      <c r="H7" s="210"/>
      <c r="I7" s="4" t="s">
        <v>422</v>
      </c>
      <c r="J7" s="210">
        <v>2011</v>
      </c>
      <c r="K7" s="292" t="s">
        <v>346</v>
      </c>
      <c r="L7" s="210">
        <v>2012</v>
      </c>
      <c r="M7" s="292" t="s">
        <v>346</v>
      </c>
      <c r="N7" s="210">
        <v>2013</v>
      </c>
      <c r="O7" s="292" t="s">
        <v>346</v>
      </c>
      <c r="P7" s="210">
        <v>2014</v>
      </c>
      <c r="Q7" s="292" t="s">
        <v>346</v>
      </c>
    </row>
    <row r="8" spans="1:17">
      <c r="A8" s="17"/>
      <c r="B8" s="26" t="s">
        <v>5</v>
      </c>
      <c r="C8" s="26"/>
      <c r="D8" s="27"/>
      <c r="E8" s="27"/>
      <c r="F8" s="28"/>
      <c r="G8" s="76" t="s">
        <v>6</v>
      </c>
      <c r="H8" s="20"/>
      <c r="I8" s="20">
        <f>SUM('P&amp;L Month'!N8:AK8)</f>
        <v>0</v>
      </c>
      <c r="J8" s="20">
        <f>SUM('P&amp;L Month'!AL8:AW8)</f>
        <v>0</v>
      </c>
      <c r="K8" s="291"/>
      <c r="L8" s="20">
        <f>SUM('P&amp;L Month'!AX8:BI8)</f>
        <v>0</v>
      </c>
      <c r="M8" s="291"/>
      <c r="N8" s="20">
        <f>SUM('P&amp;L Month'!BJ8:BU8)</f>
        <v>0</v>
      </c>
      <c r="O8" s="291"/>
      <c r="P8" s="20">
        <f>SUM('P&amp;L Month'!BL8:BW8)</f>
        <v>0</v>
      </c>
      <c r="Q8" s="291"/>
    </row>
    <row r="9" spans="1:17">
      <c r="A9" s="17"/>
      <c r="B9" s="26" t="s">
        <v>7</v>
      </c>
      <c r="C9" s="26"/>
      <c r="D9" s="26"/>
      <c r="E9" s="26"/>
      <c r="F9" s="28"/>
      <c r="G9" s="76" t="s">
        <v>8</v>
      </c>
      <c r="H9" s="20"/>
      <c r="I9" s="20">
        <f>SUM('P&amp;L Month'!N9:AK9)</f>
        <v>0</v>
      </c>
      <c r="J9" s="20">
        <f>SUM('P&amp;L Month'!AL9:AW9)</f>
        <v>382725</v>
      </c>
      <c r="K9" s="291"/>
      <c r="L9" s="20">
        <f>SUM('P&amp;L Month'!AX9:BI9)</f>
        <v>2461110</v>
      </c>
      <c r="M9" s="291"/>
      <c r="N9" s="20">
        <f>SUM('P&amp;L Month'!BJ9:BU9)</f>
        <v>5262020</v>
      </c>
      <c r="O9" s="291"/>
      <c r="P9" s="20">
        <f>SUM('P&amp;L Month'!BV9:CG9)</f>
        <v>6515744</v>
      </c>
      <c r="Q9" s="291"/>
    </row>
    <row r="10" spans="1:17">
      <c r="A10" s="17"/>
      <c r="B10" s="26" t="s">
        <v>9</v>
      </c>
      <c r="C10" s="26"/>
      <c r="D10" s="27"/>
      <c r="E10" s="27"/>
      <c r="F10" s="28"/>
      <c r="G10" s="77" t="s">
        <v>10</v>
      </c>
      <c r="H10" s="20"/>
      <c r="I10" s="20">
        <f>SUM('P&amp;L Month'!N10:AK10)</f>
        <v>0</v>
      </c>
      <c r="J10" s="20">
        <f>SUM('P&amp;L Month'!AL10:AW10)</f>
        <v>26790.750000000004</v>
      </c>
      <c r="K10" s="291"/>
      <c r="L10" s="20">
        <f>SUM('P&amp;L Month'!AX10:BI10)</f>
        <v>172277.7</v>
      </c>
      <c r="M10" s="291"/>
      <c r="N10" s="20">
        <f>SUM('P&amp;L Month'!BJ10:BU10)</f>
        <v>368341.4</v>
      </c>
      <c r="O10" s="291"/>
      <c r="P10" s="20">
        <f>SUM('P&amp;L Month'!BV10:CG10)</f>
        <v>456102.08000000007</v>
      </c>
      <c r="Q10" s="291"/>
    </row>
    <row r="11" spans="1:17">
      <c r="A11" s="17"/>
      <c r="B11" s="26"/>
      <c r="C11" s="26"/>
      <c r="D11" s="26"/>
      <c r="E11" s="26"/>
      <c r="F11" s="28"/>
      <c r="G11" s="76" t="s">
        <v>11</v>
      </c>
      <c r="H11" s="20"/>
      <c r="I11" s="20"/>
      <c r="J11" s="20"/>
      <c r="K11" s="291"/>
      <c r="L11" s="20"/>
      <c r="M11" s="291"/>
      <c r="N11" s="20"/>
      <c r="O11" s="291"/>
      <c r="P11" s="20"/>
      <c r="Q11" s="291"/>
    </row>
    <row r="12" spans="1:17">
      <c r="A12" s="30"/>
      <c r="B12" s="30" t="s">
        <v>12</v>
      </c>
      <c r="C12" s="30"/>
      <c r="D12" s="30"/>
      <c r="E12" s="30"/>
      <c r="F12" s="31"/>
      <c r="G12" s="78" t="s">
        <v>13</v>
      </c>
      <c r="H12" s="32"/>
      <c r="I12" s="60">
        <f>SUM(I8:I10)</f>
        <v>0</v>
      </c>
      <c r="J12" s="60">
        <f>SUM(J8:J10)</f>
        <v>409515.75</v>
      </c>
      <c r="K12" s="291"/>
      <c r="L12" s="60">
        <f>SUM(L8:L10)</f>
        <v>2633387.7000000002</v>
      </c>
      <c r="M12" s="291"/>
      <c r="N12" s="60">
        <f>SUM(N8:N10)</f>
        <v>5630361.4000000004</v>
      </c>
      <c r="O12" s="291"/>
      <c r="P12" s="60">
        <f>SUM(P8:P10)</f>
        <v>6971846.0800000001</v>
      </c>
      <c r="Q12" s="291"/>
    </row>
    <row r="13" spans="1:17">
      <c r="A13" s="17"/>
      <c r="B13" s="33" t="s">
        <v>14</v>
      </c>
      <c r="C13" s="17"/>
      <c r="D13" s="17"/>
      <c r="E13" s="17"/>
      <c r="F13" s="18"/>
      <c r="G13" s="18" t="s">
        <v>15</v>
      </c>
      <c r="H13" s="20"/>
      <c r="I13" s="20">
        <f>SUM('P&amp;L Month'!N13:AK13)</f>
        <v>0</v>
      </c>
      <c r="J13" s="20">
        <f>SUM('P&amp;L Month'!AL13:AW13)</f>
        <v>0</v>
      </c>
      <c r="K13" s="291"/>
      <c r="L13" s="20">
        <f>SUM('P&amp;L Month'!AX13:BI13)</f>
        <v>0</v>
      </c>
      <c r="M13" s="291"/>
      <c r="N13" s="20">
        <f>SUM('P&amp;L Month'!BJ13:BU13)</f>
        <v>0</v>
      </c>
      <c r="O13" s="291"/>
      <c r="P13" s="20">
        <f>SUM('P&amp;L Month'!BV13:CG13)</f>
        <v>0</v>
      </c>
      <c r="Q13" s="291"/>
    </row>
    <row r="14" spans="1:17">
      <c r="A14" s="17"/>
      <c r="B14" s="33" t="s">
        <v>16</v>
      </c>
      <c r="C14" s="17"/>
      <c r="D14" s="17"/>
      <c r="E14" s="17"/>
      <c r="F14" s="18"/>
      <c r="G14" s="18" t="s">
        <v>185</v>
      </c>
      <c r="H14" s="20"/>
      <c r="I14" s="20">
        <f>SUM('P&amp;L Month'!N14:AK14)</f>
        <v>0</v>
      </c>
      <c r="J14" s="20">
        <f>SUM('P&amp;L Month'!AL14:AW14)</f>
        <v>0</v>
      </c>
      <c r="K14" s="291"/>
      <c r="L14" s="20">
        <f>SUM('P&amp;L Month'!AX14:BI14)</f>
        <v>0</v>
      </c>
      <c r="M14" s="291"/>
      <c r="N14" s="20">
        <f>SUM('P&amp;L Month'!BJ14:BU14)</f>
        <v>0</v>
      </c>
      <c r="O14" s="291"/>
      <c r="P14" s="20">
        <f>SUM('P&amp;L Month'!BV14:CG14)</f>
        <v>0</v>
      </c>
      <c r="Q14" s="291"/>
    </row>
    <row r="15" spans="1:17">
      <c r="A15" s="17"/>
      <c r="B15" s="33" t="s">
        <v>17</v>
      </c>
      <c r="C15" s="17"/>
      <c r="D15" s="17"/>
      <c r="E15" s="17"/>
      <c r="F15" s="18"/>
      <c r="G15" s="18" t="s">
        <v>186</v>
      </c>
      <c r="H15" s="20"/>
      <c r="I15" s="20">
        <f>SUM('P&amp;L Month'!N15:AK15)</f>
        <v>0</v>
      </c>
      <c r="J15" s="20">
        <f>SUM('P&amp;L Month'!AL15:AW15)</f>
        <v>0</v>
      </c>
      <c r="K15" s="291"/>
      <c r="L15" s="20">
        <f>SUM('P&amp;L Month'!AX15:BI15)</f>
        <v>0</v>
      </c>
      <c r="M15" s="291"/>
      <c r="N15" s="20">
        <f>SUM('P&amp;L Month'!BJ15:BU15)</f>
        <v>0</v>
      </c>
      <c r="O15" s="291"/>
      <c r="P15" s="20">
        <f>SUM('P&amp;L Month'!BV15:CG15)</f>
        <v>0</v>
      </c>
      <c r="Q15" s="291"/>
    </row>
    <row r="16" spans="1:17">
      <c r="A16" s="17"/>
      <c r="B16" s="33" t="s">
        <v>18</v>
      </c>
      <c r="C16" s="17"/>
      <c r="D16" s="17"/>
      <c r="E16" s="17"/>
      <c r="F16" s="18"/>
      <c r="G16" s="18" t="s">
        <v>19</v>
      </c>
      <c r="H16" s="20"/>
      <c r="I16" s="20">
        <f>SUM('P&amp;L Month'!N16:AK16)</f>
        <v>0</v>
      </c>
      <c r="J16" s="20">
        <f>SUM('P&amp;L Month'!AL16:AW16)</f>
        <v>0</v>
      </c>
      <c r="K16" s="291"/>
      <c r="L16" s="20">
        <f>SUM('P&amp;L Month'!AX16:BI16)</f>
        <v>0</v>
      </c>
      <c r="M16" s="291"/>
      <c r="N16" s="20">
        <f>SUM('P&amp;L Month'!BJ16:BU16)</f>
        <v>0</v>
      </c>
      <c r="O16" s="291"/>
      <c r="P16" s="20">
        <f>SUM('P&amp;L Month'!BV16:CG16)</f>
        <v>0</v>
      </c>
      <c r="Q16" s="291"/>
    </row>
    <row r="17" spans="1:17">
      <c r="A17" s="17"/>
      <c r="B17" s="33" t="s">
        <v>20</v>
      </c>
      <c r="C17" s="17"/>
      <c r="D17" s="17"/>
      <c r="E17" s="17"/>
      <c r="F17" s="18"/>
      <c r="G17" s="18" t="s">
        <v>21</v>
      </c>
      <c r="H17" s="20"/>
      <c r="I17" s="20">
        <f>SUM('P&amp;L Month'!N17:AK17)</f>
        <v>0</v>
      </c>
      <c r="J17" s="20">
        <f>SUM('P&amp;L Month'!AL17:AW17)</f>
        <v>0</v>
      </c>
      <c r="K17" s="291"/>
      <c r="L17" s="20">
        <f>SUM('P&amp;L Month'!AX17:BI17)</f>
        <v>0</v>
      </c>
      <c r="M17" s="291"/>
      <c r="N17" s="20">
        <f>SUM('P&amp;L Month'!BJ17:BU17)</f>
        <v>0</v>
      </c>
      <c r="O17" s="291"/>
      <c r="P17" s="20">
        <f>SUM('P&amp;L Month'!BV17:CG17)</f>
        <v>0</v>
      </c>
      <c r="Q17" s="291"/>
    </row>
    <row r="18" spans="1:17">
      <c r="A18" s="17"/>
      <c r="B18" s="34"/>
      <c r="C18" s="34"/>
      <c r="D18" s="34"/>
      <c r="E18" s="34"/>
      <c r="F18" s="35"/>
      <c r="G18" s="18" t="s">
        <v>22</v>
      </c>
      <c r="H18" s="2"/>
      <c r="I18" s="2"/>
      <c r="J18" s="2"/>
      <c r="K18" s="291"/>
      <c r="L18" s="2"/>
      <c r="M18" s="291"/>
      <c r="N18" s="2"/>
      <c r="O18" s="291"/>
      <c r="P18" s="2"/>
      <c r="Q18" s="291"/>
    </row>
    <row r="19" spans="1:17">
      <c r="A19" s="36"/>
      <c r="B19" s="36"/>
      <c r="C19" s="37" t="s">
        <v>23</v>
      </c>
      <c r="D19" s="37"/>
      <c r="E19" s="37"/>
      <c r="F19" s="38" t="s">
        <v>24</v>
      </c>
      <c r="G19" s="79" t="s">
        <v>25</v>
      </c>
      <c r="H19" s="39"/>
      <c r="I19" s="39">
        <f>SUM(I12:I17)</f>
        <v>0</v>
      </c>
      <c r="J19" s="39">
        <f>SUM(J12:J17)</f>
        <v>409515.75</v>
      </c>
      <c r="K19" s="293">
        <f>J19/J$19</f>
        <v>1</v>
      </c>
      <c r="L19" s="39">
        <f>SUM(L12:L17)</f>
        <v>2633387.7000000002</v>
      </c>
      <c r="M19" s="293">
        <f>L19/L$19</f>
        <v>1</v>
      </c>
      <c r="N19" s="39">
        <f>SUM(N12:N17)</f>
        <v>5630361.4000000004</v>
      </c>
      <c r="O19" s="293">
        <f>N19/N$19</f>
        <v>1</v>
      </c>
      <c r="P19" s="39">
        <f>SUM(P12:P17)</f>
        <v>6971846.0800000001</v>
      </c>
      <c r="Q19" s="293">
        <f>P19/P$19</f>
        <v>1</v>
      </c>
    </row>
    <row r="20" spans="1:17" s="8" customFormat="1">
      <c r="H20" s="90"/>
      <c r="I20" s="90"/>
      <c r="J20" s="90"/>
      <c r="K20" s="294"/>
      <c r="L20" s="90"/>
      <c r="M20" s="294"/>
      <c r="N20" s="90"/>
      <c r="O20" s="294"/>
      <c r="P20" s="90"/>
      <c r="Q20" s="294"/>
    </row>
    <row r="21" spans="1:17">
      <c r="A21" s="17"/>
      <c r="B21" s="17"/>
      <c r="C21" s="17"/>
      <c r="D21" s="17"/>
      <c r="E21" s="17"/>
      <c r="F21" s="18"/>
      <c r="G21" s="18"/>
      <c r="H21" s="20"/>
      <c r="I21" s="20"/>
      <c r="J21" s="20"/>
      <c r="K21" s="291"/>
      <c r="L21" s="20"/>
      <c r="M21" s="291"/>
      <c r="N21" s="20"/>
      <c r="O21" s="291"/>
      <c r="P21" s="20"/>
      <c r="Q21" s="291"/>
    </row>
    <row r="22" spans="1:17">
      <c r="A22" s="17"/>
      <c r="B22" s="33" t="s">
        <v>26</v>
      </c>
      <c r="C22" s="17"/>
      <c r="D22" s="17"/>
      <c r="E22" s="17"/>
      <c r="F22" s="18"/>
      <c r="G22" s="18" t="s">
        <v>27</v>
      </c>
      <c r="H22" s="20"/>
      <c r="I22" s="20">
        <f>SUM('P&amp;L Month'!N22:AK22)</f>
        <v>0</v>
      </c>
      <c r="J22" s="20">
        <f>SUM('P&amp;L Month'!AL22:AW22)</f>
        <v>0</v>
      </c>
      <c r="K22" s="291"/>
      <c r="L22" s="20">
        <f>SUM('P&amp;L Month'!AX22:BI22)</f>
        <v>0</v>
      </c>
      <c r="M22" s="291"/>
      <c r="N22" s="20">
        <f>SUM('P&amp;L Month'!BJ22:BU22)</f>
        <v>0</v>
      </c>
      <c r="O22" s="291"/>
      <c r="P22" s="20">
        <f>SUM('P&amp;L Month'!BV22:CG22)</f>
        <v>0</v>
      </c>
      <c r="Q22" s="291"/>
    </row>
    <row r="23" spans="1:17">
      <c r="A23" s="17"/>
      <c r="B23" s="33" t="s">
        <v>28</v>
      </c>
      <c r="C23" s="17"/>
      <c r="D23" s="17"/>
      <c r="E23" s="17"/>
      <c r="F23" s="18"/>
      <c r="G23" s="18" t="s">
        <v>29</v>
      </c>
      <c r="H23" s="20"/>
      <c r="I23" s="20">
        <f>SUM('P&amp;L Month'!N23:AK23)</f>
        <v>0</v>
      </c>
      <c r="J23" s="20">
        <f>SUM('P&amp;L Month'!AL23:AW23)</f>
        <v>0</v>
      </c>
      <c r="K23" s="291"/>
      <c r="L23" s="20">
        <f>SUM('P&amp;L Month'!AX23:BI23)</f>
        <v>0</v>
      </c>
      <c r="M23" s="291"/>
      <c r="N23" s="20">
        <f>SUM('P&amp;L Month'!BJ23:BU23)</f>
        <v>0</v>
      </c>
      <c r="O23" s="291"/>
      <c r="P23" s="20">
        <f>SUM('P&amp;L Month'!BV23:CG23)</f>
        <v>0</v>
      </c>
      <c r="Q23" s="291"/>
    </row>
    <row r="24" spans="1:17">
      <c r="A24" s="17"/>
      <c r="B24" s="33" t="s">
        <v>30</v>
      </c>
      <c r="C24" s="17"/>
      <c r="D24" s="17"/>
      <c r="E24" s="17"/>
      <c r="F24" s="18"/>
      <c r="G24" s="18" t="s">
        <v>31</v>
      </c>
      <c r="H24" s="20"/>
      <c r="I24" s="20">
        <f>SUM('P&amp;L Month'!N24:AK24)</f>
        <v>0</v>
      </c>
      <c r="J24" s="20">
        <f>SUM('P&amp;L Month'!AL24:AW24)</f>
        <v>0</v>
      </c>
      <c r="K24" s="291"/>
      <c r="L24" s="20">
        <f>SUM('P&amp;L Month'!AX24:BI24)</f>
        <v>0</v>
      </c>
      <c r="M24" s="291"/>
      <c r="N24" s="20">
        <f>SUM('P&amp;L Month'!BJ24:BU24)</f>
        <v>0</v>
      </c>
      <c r="O24" s="291"/>
      <c r="P24" s="20">
        <f>SUM('P&amp;L Month'!BV24:CG24)</f>
        <v>0</v>
      </c>
      <c r="Q24" s="291"/>
    </row>
    <row r="25" spans="1:17">
      <c r="A25" s="17"/>
      <c r="B25" s="33" t="s">
        <v>32</v>
      </c>
      <c r="C25" s="17"/>
      <c r="D25" s="17"/>
      <c r="E25" s="17"/>
      <c r="F25" s="18"/>
      <c r="G25" s="18" t="s">
        <v>33</v>
      </c>
      <c r="H25" s="20"/>
      <c r="I25" s="20">
        <f>SUM('P&amp;L Month'!N25:AK25)</f>
        <v>0</v>
      </c>
      <c r="J25" s="20">
        <f>SUM('P&amp;L Month'!AL25:AW25)</f>
        <v>0</v>
      </c>
      <c r="K25" s="291"/>
      <c r="L25" s="20">
        <f>SUM('P&amp;L Month'!AX25:BI25)</f>
        <v>0</v>
      </c>
      <c r="M25" s="291"/>
      <c r="N25" s="20">
        <f>SUM('P&amp;L Month'!BJ25:BU25)</f>
        <v>0</v>
      </c>
      <c r="O25" s="291"/>
      <c r="P25" s="20">
        <f>SUM('P&amp;L Month'!BV25:CG25)</f>
        <v>0</v>
      </c>
      <c r="Q25" s="291"/>
    </row>
    <row r="26" spans="1:17">
      <c r="A26" s="17"/>
      <c r="B26" s="33" t="s">
        <v>34</v>
      </c>
      <c r="C26" s="17"/>
      <c r="D26" s="17"/>
      <c r="E26" s="17"/>
      <c r="F26" s="18"/>
      <c r="G26" s="18" t="s">
        <v>35</v>
      </c>
      <c r="H26" s="20"/>
      <c r="I26" s="20">
        <f>SUM('P&amp;L Month'!N26:AK26)</f>
        <v>31395.949999999997</v>
      </c>
      <c r="J26" s="20">
        <f>SUM('P&amp;L Month'!AL26:AW26)</f>
        <v>753360.5</v>
      </c>
      <c r="K26" s="293">
        <f>J26/J$19</f>
        <v>1.8396374254225876</v>
      </c>
      <c r="L26" s="20">
        <f>SUM('P&amp;L Month'!AX26:BI26)</f>
        <v>1496977.4650000001</v>
      </c>
      <c r="M26" s="293">
        <f>L26/L$19</f>
        <v>0.56846071886794336</v>
      </c>
      <c r="N26" s="20">
        <f>SUM('P&amp;L Month'!BJ26:BU26)</f>
        <v>2223365.1200000001</v>
      </c>
      <c r="O26" s="293">
        <f>N26/N$19</f>
        <v>0.39488852704908073</v>
      </c>
      <c r="P26" s="20">
        <f>SUM('P&amp;L Month'!BV26:CG26)</f>
        <v>2567497.38</v>
      </c>
      <c r="Q26" s="293">
        <f>P26/P$19</f>
        <v>0.36826650366899666</v>
      </c>
    </row>
    <row r="27" spans="1:17" s="67" customFormat="1" ht="15" customHeight="1">
      <c r="A27" s="63"/>
      <c r="B27" s="63"/>
      <c r="C27" s="63" t="s">
        <v>159</v>
      </c>
      <c r="D27" s="63"/>
      <c r="E27" s="63"/>
      <c r="F27" s="64"/>
      <c r="G27" s="64"/>
      <c r="H27" s="20"/>
      <c r="I27" s="20">
        <f>SUM('P&amp;L Month'!N27:AK27)</f>
        <v>0</v>
      </c>
      <c r="J27" s="20">
        <f>SUM('P&amp;L Month'!AL27:AW27)</f>
        <v>103335.75</v>
      </c>
      <c r="K27" s="295">
        <f>J27/J$19</f>
        <v>0.25233644859813081</v>
      </c>
      <c r="L27" s="20">
        <f>SUM('P&amp;L Month'!AX27:BI27)</f>
        <v>664499.70000000007</v>
      </c>
      <c r="M27" s="295">
        <f>L27/L$19</f>
        <v>0.25233644859813087</v>
      </c>
      <c r="N27" s="20">
        <f>SUM('P&amp;L Month'!BJ27:BU27)</f>
        <v>1420745.4000000004</v>
      </c>
      <c r="O27" s="295">
        <f>N27/N$19</f>
        <v>0.25233644859813087</v>
      </c>
      <c r="P27" s="20">
        <f>SUM('P&amp;L Month'!BV27:CG27)</f>
        <v>1759250.8800000004</v>
      </c>
      <c r="Q27" s="295">
        <f>P27/P$19</f>
        <v>0.25233644859813087</v>
      </c>
    </row>
    <row r="28" spans="1:17" s="67" customFormat="1" ht="15" customHeight="1">
      <c r="A28" s="63"/>
      <c r="B28" s="63"/>
      <c r="C28" s="63" t="s">
        <v>160</v>
      </c>
      <c r="D28" s="63"/>
      <c r="E28" s="64"/>
      <c r="F28" s="64"/>
      <c r="G28" s="80"/>
      <c r="H28" s="20"/>
      <c r="I28" s="20">
        <f>SUM('P&amp;L Month'!N28:AK28)</f>
        <v>7950</v>
      </c>
      <c r="J28" s="20">
        <f>SUM('P&amp;L Month'!AL28:AW28)</f>
        <v>35750</v>
      </c>
      <c r="K28" s="295">
        <f>J28/J$19</f>
        <v>8.7298229677368944E-2</v>
      </c>
      <c r="L28" s="20">
        <f>SUM('P&amp;L Month'!AX28:BI28)</f>
        <v>65405</v>
      </c>
      <c r="M28" s="295">
        <f>L28/L$19</f>
        <v>2.4836829001669596E-2</v>
      </c>
      <c r="N28" s="20">
        <f>SUM('P&amp;L Month'!BJ28:BU28)</f>
        <v>78440</v>
      </c>
      <c r="O28" s="295">
        <f>N28/N$19</f>
        <v>1.393161014495446E-2</v>
      </c>
      <c r="P28" s="20">
        <f>SUM('P&amp;L Month'!BV28:CG28)</f>
        <v>82500</v>
      </c>
      <c r="Q28" s="295">
        <f>P28/P$19</f>
        <v>1.1833307714102605E-2</v>
      </c>
    </row>
    <row r="29" spans="1:17" s="67" customFormat="1" ht="15" customHeight="1">
      <c r="A29" s="63"/>
      <c r="B29" s="63"/>
      <c r="C29" s="63" t="s">
        <v>161</v>
      </c>
      <c r="D29" s="63"/>
      <c r="E29" s="63"/>
      <c r="F29" s="64"/>
      <c r="G29" s="64"/>
      <c r="H29" s="20"/>
      <c r="I29" s="20">
        <f>SUM('P&amp;L Month'!N29:AK29)</f>
        <v>0</v>
      </c>
      <c r="J29" s="20">
        <f>SUM('P&amp;L Month'!AL29:AW29)</f>
        <v>92000</v>
      </c>
      <c r="K29" s="296"/>
      <c r="L29" s="20">
        <f>SUM('P&amp;L Month'!AX29:BI29)</f>
        <v>56000</v>
      </c>
      <c r="M29" s="296"/>
      <c r="N29" s="20">
        <f>SUM('P&amp;L Month'!BJ29:BU29)</f>
        <v>0</v>
      </c>
      <c r="O29" s="296"/>
      <c r="P29" s="20">
        <f>SUM('P&amp;L Month'!BV29:CG29)</f>
        <v>0</v>
      </c>
      <c r="Q29" s="296"/>
    </row>
    <row r="30" spans="1:17" s="67" customFormat="1" ht="15" customHeight="1">
      <c r="A30" s="63"/>
      <c r="B30" s="63"/>
      <c r="C30" s="63" t="s">
        <v>162</v>
      </c>
      <c r="D30" s="63"/>
      <c r="E30" s="63"/>
      <c r="F30" s="64"/>
      <c r="G30" s="64"/>
      <c r="H30" s="20"/>
      <c r="I30" s="20">
        <f>SUM('P&amp;L Month'!N30:AK30)</f>
        <v>8700</v>
      </c>
      <c r="J30" s="20">
        <f>SUM('P&amp;L Month'!AL30:AW30)</f>
        <v>10800</v>
      </c>
      <c r="K30" s="295">
        <f>J30/J$19</f>
        <v>2.6372612042393974E-2</v>
      </c>
      <c r="L30" s="20">
        <f>SUM('P&amp;L Month'!AX30:BI30)</f>
        <v>12000</v>
      </c>
      <c r="M30" s="295">
        <f>L30/L$19</f>
        <v>4.5568679461820225E-3</v>
      </c>
      <c r="N30" s="20">
        <f>SUM('P&amp;L Month'!BJ30:BU30)</f>
        <v>12000</v>
      </c>
      <c r="O30" s="295">
        <f>N30/N$19</f>
        <v>2.1313019089680457E-3</v>
      </c>
      <c r="P30" s="20">
        <f>SUM('P&amp;L Month'!BV30:CG30)</f>
        <v>12000</v>
      </c>
      <c r="Q30" s="295">
        <f>P30/P$19</f>
        <v>1.7212083947785606E-3</v>
      </c>
    </row>
    <row r="31" spans="1:17" s="72" customFormat="1" ht="15" customHeight="1">
      <c r="A31" s="68"/>
      <c r="B31" s="68"/>
      <c r="C31" s="68"/>
      <c r="D31" s="68" t="s">
        <v>163</v>
      </c>
      <c r="E31" s="68"/>
      <c r="F31" s="69"/>
      <c r="G31" s="69"/>
      <c r="H31" s="20"/>
      <c r="I31" s="20">
        <f>SUM('P&amp;L Month'!N31:AK31)</f>
        <v>6000</v>
      </c>
      <c r="J31" s="20">
        <f>SUM('P&amp;L Month'!AL31:AW31)</f>
        <v>5400</v>
      </c>
      <c r="K31" s="297"/>
      <c r="L31" s="20">
        <f>SUM('P&amp;L Month'!AX31:BI31)</f>
        <v>6000</v>
      </c>
      <c r="M31" s="297"/>
      <c r="N31" s="20">
        <f>SUM('P&amp;L Month'!BJ31:BU31)</f>
        <v>6000</v>
      </c>
      <c r="O31" s="297"/>
      <c r="P31" s="20">
        <f>SUM('P&amp;L Month'!BV31:CG31)</f>
        <v>6000</v>
      </c>
      <c r="Q31" s="297"/>
    </row>
    <row r="32" spans="1:17" s="72" customFormat="1" ht="15" customHeight="1">
      <c r="A32" s="68"/>
      <c r="B32" s="68"/>
      <c r="C32" s="68"/>
      <c r="D32" s="68" t="s">
        <v>164</v>
      </c>
      <c r="E32" s="68"/>
      <c r="F32" s="69"/>
      <c r="G32" s="69"/>
      <c r="H32" s="20"/>
      <c r="I32" s="20">
        <f>SUM('P&amp;L Month'!N32:AK32)</f>
        <v>2700</v>
      </c>
      <c r="J32" s="20">
        <f>SUM('P&amp;L Month'!AL32:AW32)</f>
        <v>5400</v>
      </c>
      <c r="K32" s="297"/>
      <c r="L32" s="20">
        <f>SUM('P&amp;L Month'!AX32:BI32)</f>
        <v>6000</v>
      </c>
      <c r="M32" s="297"/>
      <c r="N32" s="20">
        <f>SUM('P&amp;L Month'!BJ32:BU32)</f>
        <v>6000</v>
      </c>
      <c r="O32" s="297"/>
      <c r="P32" s="20">
        <f>SUM('P&amp;L Month'!BV32:CG32)</f>
        <v>6000</v>
      </c>
      <c r="Q32" s="297"/>
    </row>
    <row r="33" spans="1:17" s="67" customFormat="1" ht="15" customHeight="1">
      <c r="A33" s="63"/>
      <c r="B33" s="63"/>
      <c r="C33" s="63" t="s">
        <v>165</v>
      </c>
      <c r="D33" s="63"/>
      <c r="E33" s="63"/>
      <c r="F33" s="64"/>
      <c r="G33" s="64"/>
      <c r="H33" s="20"/>
      <c r="I33" s="20">
        <f>SUM('P&amp;L Month'!N33:AK33)</f>
        <v>0</v>
      </c>
      <c r="J33" s="20">
        <f>SUM('P&amp;L Month'!AL33:AW33)</f>
        <v>0</v>
      </c>
      <c r="K33" s="296"/>
      <c r="L33" s="20">
        <f>SUM('P&amp;L Month'!AX33:BI33)</f>
        <v>0</v>
      </c>
      <c r="M33" s="296"/>
      <c r="N33" s="20">
        <f>SUM('P&amp;L Month'!BJ33:BU33)</f>
        <v>0</v>
      </c>
      <c r="O33" s="296"/>
      <c r="P33" s="20">
        <f>SUM('P&amp;L Month'!BV33:CG33)</f>
        <v>0</v>
      </c>
      <c r="Q33" s="296"/>
    </row>
    <row r="34" spans="1:17" s="67" customFormat="1" ht="15" customHeight="1">
      <c r="A34" s="63"/>
      <c r="B34" s="63"/>
      <c r="C34" s="63" t="s">
        <v>166</v>
      </c>
      <c r="D34" s="63"/>
      <c r="E34" s="63"/>
      <c r="F34" s="64"/>
      <c r="G34" s="64"/>
      <c r="H34" s="20"/>
      <c r="I34" s="20">
        <f>SUM('P&amp;L Month'!N34:AK34)</f>
        <v>14745.95</v>
      </c>
      <c r="J34" s="20">
        <f>SUM('P&amp;L Month'!AL34:AW34)</f>
        <v>511474.75</v>
      </c>
      <c r="K34" s="295">
        <f>J34/J$19</f>
        <v>1.2489745510398562</v>
      </c>
      <c r="L34" s="20">
        <f>SUM('P&amp;L Month'!AX34:BI34)</f>
        <v>699072.76500000001</v>
      </c>
      <c r="M34" s="295">
        <f>L34/L$19</f>
        <v>0.26546518957311144</v>
      </c>
      <c r="N34" s="20">
        <f>SUM('P&amp;L Month'!BJ34:BU34)</f>
        <v>712179.72</v>
      </c>
      <c r="O34" s="295">
        <f>N34/N$19</f>
        <v>0.12648916639702737</v>
      </c>
      <c r="P34" s="20">
        <f>SUM('P&amp;L Month'!BV34:CG34)</f>
        <v>713746.5</v>
      </c>
      <c r="Q34" s="295">
        <f>P34/P$19</f>
        <v>0.10237553896198466</v>
      </c>
    </row>
    <row r="35" spans="1:17" s="72" customFormat="1" ht="15" customHeight="1">
      <c r="A35" s="68"/>
      <c r="B35" s="68"/>
      <c r="C35" s="68"/>
      <c r="D35" s="68" t="s">
        <v>189</v>
      </c>
      <c r="E35" s="68"/>
      <c r="F35" s="69"/>
      <c r="G35" s="69"/>
      <c r="H35" s="20"/>
      <c r="I35" s="20">
        <f>SUM('P&amp;L Month'!N35:AK35)</f>
        <v>412</v>
      </c>
      <c r="J35" s="20">
        <f>SUM('P&amp;L Month'!AL35:AW35)</f>
        <v>2860</v>
      </c>
      <c r="K35" s="295"/>
      <c r="L35" s="20">
        <f>SUM('P&amp;L Month'!AX35:BI35)</f>
        <v>5232.3999999999996</v>
      </c>
      <c r="M35" s="295"/>
      <c r="N35" s="20">
        <f>SUM('P&amp;L Month'!BJ35:BU35)</f>
        <v>6275.2</v>
      </c>
      <c r="O35" s="295"/>
      <c r="P35" s="20">
        <f>SUM('P&amp;L Month'!BV35:CG35)</f>
        <v>6600</v>
      </c>
      <c r="Q35" s="295"/>
    </row>
    <row r="36" spans="1:17" s="72" customFormat="1" ht="15" customHeight="1">
      <c r="A36" s="68"/>
      <c r="B36" s="68"/>
      <c r="C36" s="68"/>
      <c r="D36" s="68" t="s">
        <v>167</v>
      </c>
      <c r="E36" s="68"/>
      <c r="F36" s="69"/>
      <c r="G36" s="69"/>
      <c r="H36" s="20"/>
      <c r="I36" s="20">
        <f>SUM('P&amp;L Month'!N36:AK36)</f>
        <v>154.5</v>
      </c>
      <c r="J36" s="20">
        <f>SUM('P&amp;L Month'!AL36:AW36)</f>
        <v>1072.5</v>
      </c>
      <c r="K36" s="297"/>
      <c r="L36" s="20">
        <f>SUM('P&amp;L Month'!AX36:BI36)</f>
        <v>1962.15</v>
      </c>
      <c r="M36" s="297"/>
      <c r="N36" s="20">
        <f>SUM('P&amp;L Month'!BJ36:BU36)</f>
        <v>2353.1999999999998</v>
      </c>
      <c r="O36" s="297"/>
      <c r="P36" s="20">
        <f>SUM('P&amp;L Month'!BV36:CG36)</f>
        <v>2475</v>
      </c>
      <c r="Q36" s="297"/>
    </row>
    <row r="37" spans="1:17" s="72" customFormat="1" ht="15" customHeight="1">
      <c r="A37" s="68"/>
      <c r="B37" s="68"/>
      <c r="C37" s="68"/>
      <c r="D37" s="68" t="s">
        <v>168</v>
      </c>
      <c r="E37" s="68"/>
      <c r="F37" s="69"/>
      <c r="G37" s="69"/>
      <c r="H37" s="20"/>
      <c r="I37" s="20">
        <f>SUM('P&amp;L Month'!N37:AK37)</f>
        <v>15.450000000000001</v>
      </c>
      <c r="J37" s="20">
        <f>SUM('P&amp;L Month'!AL37:AW37)</f>
        <v>107.25</v>
      </c>
      <c r="K37" s="297"/>
      <c r="L37" s="20">
        <f>SUM('P&amp;L Month'!AX37:BI37)</f>
        <v>196.215</v>
      </c>
      <c r="M37" s="297"/>
      <c r="N37" s="20">
        <f>SUM('P&amp;L Month'!BJ37:BU37)</f>
        <v>235.32</v>
      </c>
      <c r="O37" s="297"/>
      <c r="P37" s="20">
        <f>SUM('P&amp;L Month'!BV37:CG37)</f>
        <v>247.5</v>
      </c>
      <c r="Q37" s="297"/>
    </row>
    <row r="38" spans="1:17" s="72" customFormat="1" ht="15" customHeight="1">
      <c r="A38" s="68"/>
      <c r="B38" s="68"/>
      <c r="C38" s="68"/>
      <c r="D38" s="68" t="s">
        <v>183</v>
      </c>
      <c r="E38" s="87"/>
      <c r="F38" s="69"/>
      <c r="G38" s="69"/>
      <c r="H38" s="20"/>
      <c r="I38" s="20">
        <f>SUM('P&amp;L Month'!N38:AK38)</f>
        <v>1440</v>
      </c>
      <c r="J38" s="20">
        <f>SUM('P&amp;L Month'!AL38:AW38)</f>
        <v>6975</v>
      </c>
      <c r="K38" s="295"/>
      <c r="L38" s="20">
        <f>SUM('P&amp;L Month'!AX38:BI38)</f>
        <v>11970</v>
      </c>
      <c r="M38" s="295"/>
      <c r="N38" s="20">
        <f>SUM('P&amp;L Month'!BJ38:BU38)</f>
        <v>13860</v>
      </c>
      <c r="O38" s="295"/>
      <c r="P38" s="20">
        <f>SUM('P&amp;L Month'!BV38:CG38)</f>
        <v>14040</v>
      </c>
      <c r="Q38" s="295"/>
    </row>
    <row r="39" spans="1:17" s="72" customFormat="1" ht="15" customHeight="1">
      <c r="A39" s="68"/>
      <c r="B39" s="68"/>
      <c r="C39" s="68"/>
      <c r="D39" s="68" t="s">
        <v>184</v>
      </c>
      <c r="E39" s="87"/>
      <c r="F39" s="69"/>
      <c r="G39" s="69"/>
      <c r="H39" s="20"/>
      <c r="I39" s="20">
        <f>SUM('P&amp;L Month'!N39:AK39)</f>
        <v>480</v>
      </c>
      <c r="J39" s="20">
        <f>SUM('P&amp;L Month'!AL39:AW39)</f>
        <v>2325</v>
      </c>
      <c r="K39" s="295"/>
      <c r="L39" s="20">
        <f>SUM('P&amp;L Month'!AX39:BI39)</f>
        <v>3990</v>
      </c>
      <c r="M39" s="295"/>
      <c r="N39" s="20">
        <f>SUM('P&amp;L Month'!BJ39:BU39)</f>
        <v>4620</v>
      </c>
      <c r="O39" s="295"/>
      <c r="P39" s="20">
        <f>SUM('P&amp;L Month'!BV39:CG39)</f>
        <v>4680</v>
      </c>
      <c r="Q39" s="295"/>
    </row>
    <row r="40" spans="1:17" s="72" customFormat="1" ht="15" customHeight="1">
      <c r="A40" s="68"/>
      <c r="B40" s="68"/>
      <c r="C40" s="68"/>
      <c r="D40" s="68" t="s">
        <v>169</v>
      </c>
      <c r="E40" s="68"/>
      <c r="F40" s="69"/>
      <c r="G40" s="69"/>
      <c r="H40" s="20"/>
      <c r="I40" s="20">
        <f>SUM('P&amp;L Month'!N40:AK40)</f>
        <v>160</v>
      </c>
      <c r="J40" s="20">
        <f>SUM('P&amp;L Month'!AL40:AW40)</f>
        <v>775</v>
      </c>
      <c r="K40" s="297"/>
      <c r="L40" s="20">
        <f>SUM('P&amp;L Month'!AX40:BI40)</f>
        <v>1330</v>
      </c>
      <c r="M40" s="297"/>
      <c r="N40" s="20">
        <f>SUM('P&amp;L Month'!BJ40:BU40)</f>
        <v>1540</v>
      </c>
      <c r="O40" s="297"/>
      <c r="P40" s="20">
        <f>SUM('P&amp;L Month'!BV40:CG40)</f>
        <v>1560</v>
      </c>
      <c r="Q40" s="297"/>
    </row>
    <row r="41" spans="1:17" s="72" customFormat="1" ht="15" customHeight="1">
      <c r="A41" s="68"/>
      <c r="B41" s="68"/>
      <c r="C41" s="68"/>
      <c r="D41" s="68" t="s">
        <v>170</v>
      </c>
      <c r="E41" s="68"/>
      <c r="F41" s="69"/>
      <c r="G41" s="69"/>
      <c r="H41" s="20"/>
      <c r="I41" s="20">
        <f>SUM('P&amp;L Month'!N41:AK41)</f>
        <v>224</v>
      </c>
      <c r="J41" s="20">
        <f>SUM('P&amp;L Month'!AL41:AW41)</f>
        <v>1085</v>
      </c>
      <c r="K41" s="297"/>
      <c r="L41" s="20">
        <f>SUM('P&amp;L Month'!AX41:BI41)</f>
        <v>1862</v>
      </c>
      <c r="M41" s="297"/>
      <c r="N41" s="20">
        <f>SUM('P&amp;L Month'!BJ41:BU41)</f>
        <v>2156</v>
      </c>
      <c r="O41" s="297"/>
      <c r="P41" s="20">
        <f>SUM('P&amp;L Month'!BV41:CG41)</f>
        <v>2184</v>
      </c>
      <c r="Q41" s="297"/>
    </row>
    <row r="42" spans="1:17" s="72" customFormat="1" ht="15" customHeight="1">
      <c r="A42" s="68"/>
      <c r="B42" s="68"/>
      <c r="C42" s="68"/>
      <c r="D42" s="68" t="s">
        <v>171</v>
      </c>
      <c r="E42" s="68"/>
      <c r="F42" s="69"/>
      <c r="G42" s="69"/>
      <c r="H42" s="20"/>
      <c r="I42" s="20">
        <f>SUM('P&amp;L Month'!N42:AK42)</f>
        <v>160</v>
      </c>
      <c r="J42" s="20">
        <f>SUM('P&amp;L Month'!AL42:AW42)</f>
        <v>775</v>
      </c>
      <c r="K42" s="297"/>
      <c r="L42" s="20">
        <f>SUM('P&amp;L Month'!AX42:BI42)</f>
        <v>1330</v>
      </c>
      <c r="M42" s="297"/>
      <c r="N42" s="20">
        <f>SUM('P&amp;L Month'!BJ42:BU42)</f>
        <v>1540</v>
      </c>
      <c r="O42" s="297"/>
      <c r="P42" s="20">
        <f>SUM('P&amp;L Month'!BV42:CG42)</f>
        <v>1560</v>
      </c>
      <c r="Q42" s="297"/>
    </row>
    <row r="43" spans="1:17" s="72" customFormat="1" ht="15" customHeight="1">
      <c r="A43" s="68"/>
      <c r="B43" s="68"/>
      <c r="C43" s="68"/>
      <c r="D43" s="68" t="s">
        <v>172</v>
      </c>
      <c r="E43" s="88"/>
      <c r="F43" s="69"/>
      <c r="G43" s="69"/>
      <c r="H43" s="20"/>
      <c r="I43" s="20">
        <f>SUM('P&amp;L Month'!N43:AK43)</f>
        <v>3800</v>
      </c>
      <c r="J43" s="20">
        <f>SUM('P&amp;L Month'!AL43:AW43)</f>
        <v>10000</v>
      </c>
      <c r="K43" s="295"/>
      <c r="L43" s="20">
        <f>SUM('P&amp;L Month'!AX43:BI43)</f>
        <v>12000</v>
      </c>
      <c r="M43" s="295"/>
      <c r="N43" s="20">
        <f>SUM('P&amp;L Month'!BJ43:BU43)</f>
        <v>12000</v>
      </c>
      <c r="O43" s="295"/>
      <c r="P43" s="20">
        <f>SUM('P&amp;L Month'!BV43:CG43)</f>
        <v>12000</v>
      </c>
      <c r="Q43" s="295"/>
    </row>
    <row r="44" spans="1:17" s="72" customFormat="1" ht="15" customHeight="1">
      <c r="A44" s="68"/>
      <c r="B44" s="68"/>
      <c r="C44" s="68"/>
      <c r="D44" s="68" t="s">
        <v>173</v>
      </c>
      <c r="E44" s="68"/>
      <c r="F44" s="69"/>
      <c r="G44" s="69"/>
      <c r="H44" s="20"/>
      <c r="I44" s="20">
        <f>SUM('P&amp;L Month'!N44:AK44)</f>
        <v>1500</v>
      </c>
      <c r="J44" s="20">
        <f>SUM('P&amp;L Month'!AL44:AW44)</f>
        <v>4500</v>
      </c>
      <c r="K44" s="297"/>
      <c r="L44" s="20">
        <f>SUM('P&amp;L Month'!AX44:BI44)</f>
        <v>6000</v>
      </c>
      <c r="M44" s="297"/>
      <c r="N44" s="20">
        <f>SUM('P&amp;L Month'!BJ44:BU44)</f>
        <v>6000</v>
      </c>
      <c r="O44" s="297"/>
      <c r="P44" s="20">
        <f>SUM('P&amp;L Month'!BV44:CG44)</f>
        <v>6000</v>
      </c>
      <c r="Q44" s="297"/>
    </row>
    <row r="45" spans="1:17" s="72" customFormat="1" ht="15" customHeight="1">
      <c r="A45" s="68"/>
      <c r="B45" s="68"/>
      <c r="C45" s="68"/>
      <c r="D45" s="68" t="s">
        <v>333</v>
      </c>
      <c r="E45" s="68"/>
      <c r="F45" s="69"/>
      <c r="G45" s="69"/>
      <c r="H45" s="20"/>
      <c r="I45" s="20">
        <f>SUM('P&amp;L Month'!N45:AK45)</f>
        <v>6400</v>
      </c>
      <c r="J45" s="20">
        <f>SUM('P&amp;L Month'!AL45:AW45)</f>
        <v>31000</v>
      </c>
      <c r="K45" s="295"/>
      <c r="L45" s="20">
        <f>SUM('P&amp;L Month'!AX45:BI45)</f>
        <v>53200</v>
      </c>
      <c r="M45" s="295"/>
      <c r="N45" s="20">
        <f>SUM('P&amp;L Month'!BJ45:BU45)</f>
        <v>61600</v>
      </c>
      <c r="O45" s="295"/>
      <c r="P45" s="20">
        <f>SUM('P&amp;L Month'!BV45:CG45)</f>
        <v>62400</v>
      </c>
      <c r="Q45" s="295"/>
    </row>
    <row r="46" spans="1:17" s="72" customFormat="1" ht="15" customHeight="1">
      <c r="A46" s="68"/>
      <c r="B46" s="68"/>
      <c r="C46" s="68"/>
      <c r="D46" s="68" t="s">
        <v>174</v>
      </c>
      <c r="E46" s="73"/>
      <c r="F46" s="69"/>
      <c r="G46" s="81"/>
      <c r="H46" s="20"/>
      <c r="I46" s="20">
        <f>SUM('P&amp;L Month'!N46:AK46)</f>
        <v>0</v>
      </c>
      <c r="J46" s="20">
        <f>SUM('P&amp;L Month'!AL46:AW46)</f>
        <v>450000</v>
      </c>
      <c r="K46" s="295">
        <f t="shared" ref="K46:K51" si="0">J46/J$19</f>
        <v>1.098858835099749</v>
      </c>
      <c r="L46" s="20">
        <f>SUM('P&amp;L Month'!AX46:BI46)</f>
        <v>600000</v>
      </c>
      <c r="M46" s="295">
        <f t="shared" ref="M46:M51" si="1">L46/L$19</f>
        <v>0.22784339730910111</v>
      </c>
      <c r="N46" s="20">
        <f>SUM('P&amp;L Month'!BJ46:BU46)</f>
        <v>600000</v>
      </c>
      <c r="O46" s="295">
        <f t="shared" ref="O46:O51" si="2">N46/N$19</f>
        <v>0.10656509544840229</v>
      </c>
      <c r="P46" s="20">
        <f>SUM('P&amp;L Month'!BV46:CG46)</f>
        <v>600000</v>
      </c>
      <c r="Q46" s="295">
        <f t="shared" ref="Q46:Q51" si="3">P46/P$19</f>
        <v>8.6060419738928029E-2</v>
      </c>
    </row>
    <row r="47" spans="1:17">
      <c r="A47" s="17"/>
      <c r="B47" s="33" t="s">
        <v>36</v>
      </c>
      <c r="C47" s="17"/>
      <c r="D47" s="17"/>
      <c r="E47" s="17"/>
      <c r="F47" s="18"/>
      <c r="G47" s="18" t="s">
        <v>37</v>
      </c>
      <c r="H47" s="20"/>
      <c r="I47" s="20">
        <f>SUM('P&amp;L Month'!N47:AK47)</f>
        <v>0</v>
      </c>
      <c r="J47" s="20">
        <f>SUM('P&amp;L Month'!AL47:AW47)</f>
        <v>135.85</v>
      </c>
      <c r="K47" s="293">
        <f t="shared" si="0"/>
        <v>3.3173327277400197E-4</v>
      </c>
      <c r="L47" s="20">
        <f>SUM('P&amp;L Month'!AX47:BI47)</f>
        <v>45668.978929999997</v>
      </c>
      <c r="M47" s="293">
        <f t="shared" si="1"/>
        <v>1.7342292185081595E-2</v>
      </c>
      <c r="N47" s="20">
        <f>SUM('P&amp;L Month'!BJ47:BU47)</f>
        <v>132446.57863999996</v>
      </c>
      <c r="O47" s="293">
        <f t="shared" si="2"/>
        <v>2.3523637157643194E-2</v>
      </c>
      <c r="P47" s="20">
        <f>SUM('P&amp;L Month'!BV47:CG47)</f>
        <v>170500.2506</v>
      </c>
      <c r="Q47" s="293">
        <f t="shared" si="3"/>
        <v>2.4455538553714025E-2</v>
      </c>
    </row>
    <row r="48" spans="1:17" s="67" customFormat="1" ht="15" customHeight="1">
      <c r="A48" s="63"/>
      <c r="B48" s="63"/>
      <c r="C48" s="63" t="s">
        <v>175</v>
      </c>
      <c r="D48" s="63"/>
      <c r="E48" s="63"/>
      <c r="F48" s="64"/>
      <c r="G48" s="64"/>
      <c r="H48" s="20"/>
      <c r="I48" s="20">
        <f>SUM('P&amp;L Month'!N48:AK48)</f>
        <v>0</v>
      </c>
      <c r="J48" s="20">
        <f>SUM('P&amp;L Month'!AL48:AW48)</f>
        <v>135.85</v>
      </c>
      <c r="K48" s="295">
        <f t="shared" si="0"/>
        <v>3.3173327277400197E-4</v>
      </c>
      <c r="L48" s="20">
        <f>SUM('P&amp;L Month'!AX48:BI48)</f>
        <v>45668.978929999997</v>
      </c>
      <c r="M48" s="295">
        <f t="shared" si="1"/>
        <v>1.7342292185081595E-2</v>
      </c>
      <c r="N48" s="20">
        <f>SUM('P&amp;L Month'!BJ48:BU48)</f>
        <v>132446.57863999996</v>
      </c>
      <c r="O48" s="295">
        <f t="shared" si="2"/>
        <v>2.3523637157643194E-2</v>
      </c>
      <c r="P48" s="20">
        <f>SUM('P&amp;L Month'!BV48:CG48)</f>
        <v>170500.2506</v>
      </c>
      <c r="Q48" s="295">
        <f t="shared" si="3"/>
        <v>2.4455538553714025E-2</v>
      </c>
    </row>
    <row r="49" spans="1:17" s="67" customFormat="1" ht="15" customHeight="1">
      <c r="A49" s="63"/>
      <c r="B49" s="63"/>
      <c r="C49" s="63" t="s">
        <v>176</v>
      </c>
      <c r="D49" s="63"/>
      <c r="E49" s="63"/>
      <c r="F49" s="64"/>
      <c r="G49" s="64"/>
      <c r="H49" s="20"/>
      <c r="I49" s="20">
        <f>SUM('P&amp;L Month'!N49:AK49)</f>
        <v>0</v>
      </c>
      <c r="J49" s="20">
        <f>SUM('P&amp;L Month'!AL49:AW49)</f>
        <v>0</v>
      </c>
      <c r="K49" s="295">
        <f t="shared" si="0"/>
        <v>0</v>
      </c>
      <c r="L49" s="20">
        <f>SUM('P&amp;L Month'!AX49:BI49)</f>
        <v>0</v>
      </c>
      <c r="M49" s="295">
        <f t="shared" si="1"/>
        <v>0</v>
      </c>
      <c r="N49" s="20">
        <f>SUM('P&amp;L Month'!BJ49:BU49)</f>
        <v>0</v>
      </c>
      <c r="O49" s="295">
        <f t="shared" si="2"/>
        <v>0</v>
      </c>
      <c r="P49" s="20">
        <f>SUM('P&amp;L Month'!BV49:CG49)</f>
        <v>0</v>
      </c>
      <c r="Q49" s="295">
        <f t="shared" si="3"/>
        <v>0</v>
      </c>
    </row>
    <row r="50" spans="1:17" s="67" customFormat="1" ht="15" customHeight="1">
      <c r="A50" s="63"/>
      <c r="B50" s="63"/>
      <c r="C50" s="63"/>
      <c r="D50" s="68" t="s">
        <v>177</v>
      </c>
      <c r="E50" s="88"/>
      <c r="F50" s="69"/>
      <c r="G50" s="69"/>
      <c r="H50" s="20"/>
      <c r="I50" s="20">
        <f>SUM('P&amp;L Month'!N50:AK50)</f>
        <v>0</v>
      </c>
      <c r="J50" s="20">
        <f>SUM('P&amp;L Month'!AL50:AW50)</f>
        <v>0</v>
      </c>
      <c r="K50" s="295">
        <f t="shared" si="0"/>
        <v>0</v>
      </c>
      <c r="L50" s="20">
        <f>SUM('P&amp;L Month'!AX50:BI50)</f>
        <v>0</v>
      </c>
      <c r="M50" s="295">
        <f t="shared" si="1"/>
        <v>0</v>
      </c>
      <c r="N50" s="20">
        <f>SUM('P&amp;L Month'!BJ50:BU50)</f>
        <v>0</v>
      </c>
      <c r="O50" s="295">
        <f t="shared" si="2"/>
        <v>0</v>
      </c>
      <c r="P50" s="20">
        <f>SUM('P&amp;L Month'!BV50:CG50)</f>
        <v>0</v>
      </c>
      <c r="Q50" s="295">
        <f t="shared" si="3"/>
        <v>0</v>
      </c>
    </row>
    <row r="51" spans="1:17" s="67" customFormat="1" ht="15" customHeight="1">
      <c r="A51" s="63"/>
      <c r="B51" s="63"/>
      <c r="C51" s="63"/>
      <c r="D51" s="68" t="s">
        <v>188</v>
      </c>
      <c r="E51" s="88"/>
      <c r="F51" s="69"/>
      <c r="G51" s="69"/>
      <c r="H51" s="20"/>
      <c r="I51" s="20">
        <f>SUM('P&amp;L Month'!N51:AK51)</f>
        <v>0</v>
      </c>
      <c r="J51" s="20">
        <f>SUM('P&amp;L Month'!AL51:AW51)</f>
        <v>0</v>
      </c>
      <c r="K51" s="295">
        <f t="shared" si="0"/>
        <v>0</v>
      </c>
      <c r="L51" s="20">
        <f>SUM('P&amp;L Month'!AX51:BI51)</f>
        <v>0</v>
      </c>
      <c r="M51" s="295">
        <f t="shared" si="1"/>
        <v>0</v>
      </c>
      <c r="N51" s="20">
        <f>SUM('P&amp;L Month'!BJ51:BU51)</f>
        <v>0</v>
      </c>
      <c r="O51" s="295">
        <f t="shared" si="2"/>
        <v>0</v>
      </c>
      <c r="P51" s="20">
        <f>SUM('P&amp;L Month'!BV51:CG51)</f>
        <v>0</v>
      </c>
      <c r="Q51" s="295">
        <f t="shared" si="3"/>
        <v>0</v>
      </c>
    </row>
    <row r="52" spans="1:17" s="67" customFormat="1" ht="15" customHeight="1">
      <c r="A52" s="63"/>
      <c r="B52" s="63"/>
      <c r="C52" s="63"/>
      <c r="D52" s="68" t="s">
        <v>178</v>
      </c>
      <c r="E52" s="68"/>
      <c r="F52" s="69"/>
      <c r="G52" s="69"/>
      <c r="H52" s="20"/>
      <c r="I52" s="20">
        <f>SUM('P&amp;L Month'!N52:AK52)</f>
        <v>0</v>
      </c>
      <c r="J52" s="20">
        <f>SUM('P&amp;L Month'!AL52:AW52)</f>
        <v>0</v>
      </c>
      <c r="K52" s="296"/>
      <c r="L52" s="20">
        <f>SUM('P&amp;L Month'!AX52:BI52)</f>
        <v>0</v>
      </c>
      <c r="M52" s="296"/>
      <c r="N52" s="20">
        <f>SUM('P&amp;L Month'!BJ52:BU52)</f>
        <v>0</v>
      </c>
      <c r="O52" s="296"/>
      <c r="P52" s="20">
        <f>SUM('P&amp;L Month'!BV52:CG52)</f>
        <v>0</v>
      </c>
      <c r="Q52" s="296"/>
    </row>
    <row r="53" spans="1:17">
      <c r="A53" s="17"/>
      <c r="B53" s="33" t="s">
        <v>38</v>
      </c>
      <c r="C53" s="17"/>
      <c r="D53" s="17"/>
      <c r="E53" s="17"/>
      <c r="F53" s="18"/>
      <c r="G53" s="18" t="s">
        <v>39</v>
      </c>
      <c r="H53" s="20"/>
      <c r="I53" s="20">
        <f>SUM('P&amp;L Month'!N53:AK53)</f>
        <v>81610.640000000014</v>
      </c>
      <c r="J53" s="20">
        <f>SUM('P&amp;L Month'!AL53:AW53)</f>
        <v>498145.95349166659</v>
      </c>
      <c r="K53" s="293">
        <f>J53/J$19</f>
        <v>1.2164268492522365</v>
      </c>
      <c r="L53" s="20">
        <f>SUM('P&amp;L Month'!AX53:BI53)</f>
        <v>920456.62730599998</v>
      </c>
      <c r="M53" s="293">
        <f>L53/L$19</f>
        <v>0.34953327506846027</v>
      </c>
      <c r="N53" s="20">
        <f>SUM('P&amp;L Month'!BJ53:BU53)</f>
        <v>1169904.2243806133</v>
      </c>
      <c r="O53" s="293">
        <f>N53/N$19</f>
        <v>0.20778492556101519</v>
      </c>
      <c r="P53" s="20">
        <f>SUM('P&amp;L Month'!BV53:CG53)</f>
        <v>1269168.4826114983</v>
      </c>
      <c r="Q53" s="293">
        <f>P53/P$19</f>
        <v>0.18204195388827321</v>
      </c>
    </row>
    <row r="54" spans="1:17" s="67" customFormat="1" ht="15" customHeight="1">
      <c r="A54" s="63"/>
      <c r="B54" s="63"/>
      <c r="C54" s="63" t="s">
        <v>179</v>
      </c>
      <c r="D54" s="63"/>
      <c r="E54" s="63"/>
      <c r="F54" s="64"/>
      <c r="G54" s="64"/>
      <c r="H54" s="91"/>
      <c r="I54" s="20">
        <f>SUM('P&amp;L Month'!N54:AK54)</f>
        <v>32</v>
      </c>
      <c r="J54" s="91">
        <f>SUM('P&amp;L Month'!AL54:AW54)/12</f>
        <v>12.916666666666666</v>
      </c>
      <c r="K54" s="296"/>
      <c r="L54" s="91">
        <f>SUM('P&amp;L Month'!AX54:BI54)/12</f>
        <v>22.166666666666668</v>
      </c>
      <c r="M54" s="296"/>
      <c r="N54" s="91">
        <f>SUM('P&amp;L Month'!BJ54:BU54)/12</f>
        <v>25.666666666666668</v>
      </c>
      <c r="O54" s="296"/>
      <c r="P54" s="20">
        <f>SUM('P&amp;L Month'!BV54:CG54)</f>
        <v>312</v>
      </c>
      <c r="Q54" s="296"/>
    </row>
    <row r="55" spans="1:17" s="67" customFormat="1" ht="15" customHeight="1">
      <c r="A55" s="63"/>
      <c r="B55" s="63"/>
      <c r="C55" s="63" t="s">
        <v>180</v>
      </c>
      <c r="D55" s="63"/>
      <c r="E55" s="63"/>
      <c r="F55" s="64"/>
      <c r="G55" s="5"/>
      <c r="H55" s="20"/>
      <c r="I55" s="20">
        <f>SUM('P&amp;L Month'!N55:AK55)</f>
        <v>81610.640000000014</v>
      </c>
      <c r="J55" s="20">
        <f>SUM('P&amp;L Month'!AL55:AW55)</f>
        <v>498145.95349166659</v>
      </c>
      <c r="K55" s="296"/>
      <c r="L55" s="20">
        <f>SUM('P&amp;L Month'!AX55:BI55)</f>
        <v>920456.62730599998</v>
      </c>
      <c r="M55" s="296"/>
      <c r="N55" s="20">
        <f>SUM('P&amp;L Month'!BJ55:BU55)</f>
        <v>1169904.2243806133</v>
      </c>
      <c r="O55" s="296"/>
      <c r="P55" s="20">
        <f>SUM('P&amp;L Month'!BV55:CG55)</f>
        <v>1269168.4826114983</v>
      </c>
      <c r="Q55" s="296"/>
    </row>
    <row r="56" spans="1:17" ht="15" customHeight="1">
      <c r="A56" s="17"/>
      <c r="B56" s="33"/>
      <c r="C56" s="68"/>
      <c r="D56" s="70" t="str">
        <f>Staff!B10</f>
        <v>Management &amp; Organisation</v>
      </c>
      <c r="E56" s="230"/>
      <c r="F56" s="69"/>
      <c r="H56" s="20"/>
      <c r="I56" s="20">
        <f>SUM('P&amp;L Month'!N56:AK56)</f>
        <v>54315.640000000014</v>
      </c>
      <c r="J56" s="20">
        <f>SUM('P&amp;L Month'!AL56:AW56)</f>
        <v>213804.98886666665</v>
      </c>
      <c r="K56" s="291"/>
      <c r="L56" s="20">
        <f>SUM('P&amp;L Month'!AX56:BI56)</f>
        <v>278257.971976</v>
      </c>
      <c r="M56" s="291"/>
      <c r="N56" s="20">
        <f>SUM('P&amp;L Month'!BJ56:BU56)</f>
        <v>382285.79237861338</v>
      </c>
      <c r="O56" s="291"/>
      <c r="P56" s="20">
        <f>SUM('P&amp;L Month'!BV56:CG56)</f>
        <v>442938.28439663845</v>
      </c>
      <c r="Q56" s="291"/>
    </row>
    <row r="57" spans="1:17" ht="15" customHeight="1">
      <c r="A57" s="17"/>
      <c r="B57" s="33"/>
      <c r="C57" s="68"/>
      <c r="D57" s="70" t="str">
        <f>Staff!B25</f>
        <v>Ventes et Marketing</v>
      </c>
      <c r="E57" s="230"/>
      <c r="F57" s="69"/>
      <c r="H57" s="20"/>
      <c r="I57" s="20">
        <f>SUM('P&amp;L Month'!N57:AK57)</f>
        <v>0</v>
      </c>
      <c r="J57" s="20">
        <f>SUM('P&amp;L Month'!AL57:AW57)</f>
        <v>96996.324625000008</v>
      </c>
      <c r="K57" s="291"/>
      <c r="L57" s="20">
        <f>SUM('P&amp;L Month'!AX57:BI57)</f>
        <v>372038.34853000008</v>
      </c>
      <c r="M57" s="291"/>
      <c r="N57" s="20">
        <f>SUM('P&amp;L Month'!BJ57:BU57)</f>
        <v>476178.12427799997</v>
      </c>
      <c r="O57" s="291"/>
      <c r="P57" s="20">
        <f>SUM('P&amp;L Month'!BV57:CG57)</f>
        <v>505446.68125914008</v>
      </c>
      <c r="Q57" s="291"/>
    </row>
    <row r="58" spans="1:17" ht="15" customHeight="1">
      <c r="A58" s="17"/>
      <c r="B58" s="33"/>
      <c r="C58" s="68"/>
      <c r="D58" s="70" t="str">
        <f>Staff!B41</f>
        <v>Recherche et Développement</v>
      </c>
      <c r="E58" s="230"/>
      <c r="F58" s="69"/>
      <c r="H58" s="20"/>
      <c r="I58" s="20">
        <f>SUM('P&amp;L Month'!N58:AK58)</f>
        <v>27295</v>
      </c>
      <c r="J58" s="20">
        <f>SUM('P&amp;L Month'!AL58:AW58)</f>
        <v>187344.63999999998</v>
      </c>
      <c r="K58" s="291"/>
      <c r="L58" s="20">
        <f>SUM('P&amp;L Month'!AX58:BI58)</f>
        <v>270160.30679999996</v>
      </c>
      <c r="M58" s="291"/>
      <c r="N58" s="20">
        <f>SUM('P&amp;L Month'!BJ58:BU58)</f>
        <v>311440.30772400001</v>
      </c>
      <c r="O58" s="291"/>
      <c r="P58" s="20">
        <f>SUM('P&amp;L Month'!BV58:CG58)</f>
        <v>320783.51695572009</v>
      </c>
      <c r="Q58" s="291"/>
    </row>
    <row r="59" spans="1:17" ht="15" customHeight="1">
      <c r="A59" s="17"/>
      <c r="B59" s="33"/>
      <c r="C59" s="68"/>
      <c r="D59" s="70" t="str">
        <f>IF(Staff!D40=0,"-",Staff!B40)</f>
        <v>-</v>
      </c>
      <c r="E59" s="230"/>
      <c r="F59" s="69"/>
      <c r="H59" s="20"/>
      <c r="I59" s="20">
        <f>SUM('P&amp;L Month'!N59:AK59)</f>
        <v>0</v>
      </c>
      <c r="J59" s="20">
        <f>SUM('P&amp;L Month'!AL59:AW59)</f>
        <v>0</v>
      </c>
      <c r="K59" s="291"/>
      <c r="L59" s="20">
        <f>SUM('P&amp;L Month'!AX59:BI59)</f>
        <v>0</v>
      </c>
      <c r="M59" s="291"/>
      <c r="N59" s="20">
        <f>SUM('P&amp;L Month'!BJ59:BU59)</f>
        <v>0</v>
      </c>
      <c r="O59" s="291"/>
      <c r="P59" s="20">
        <f>SUM('P&amp;L Month'!BV59:CG59)</f>
        <v>0</v>
      </c>
      <c r="Q59" s="291"/>
    </row>
    <row r="60" spans="1:17" s="67" customFormat="1" ht="15" customHeight="1">
      <c r="A60" s="63"/>
      <c r="B60" s="63"/>
      <c r="C60" s="63" t="s">
        <v>181</v>
      </c>
      <c r="D60" s="63"/>
      <c r="E60" s="63"/>
      <c r="F60" s="64"/>
      <c r="G60" s="64"/>
      <c r="H60" s="20"/>
      <c r="I60" s="20">
        <f>SUM('P&amp;L Month'!N60:AK60)</f>
        <v>0</v>
      </c>
      <c r="J60" s="20">
        <f>SUM('P&amp;L Month'!AL60:AW60)</f>
        <v>0</v>
      </c>
      <c r="K60" s="296"/>
      <c r="L60" s="20">
        <f>SUM('P&amp;L Month'!AX60:BI60)</f>
        <v>0</v>
      </c>
      <c r="M60" s="296"/>
      <c r="N60" s="20">
        <f>SUM('P&amp;L Month'!BJ60:BU60)</f>
        <v>0</v>
      </c>
      <c r="O60" s="296"/>
      <c r="P60" s="20">
        <f>SUM('P&amp;L Month'!BV60:CG60)</f>
        <v>0</v>
      </c>
      <c r="Q60" s="296"/>
    </row>
    <row r="61" spans="1:17">
      <c r="A61" s="17"/>
      <c r="B61" s="33" t="s">
        <v>40</v>
      </c>
      <c r="C61" s="17"/>
      <c r="D61" s="17"/>
      <c r="E61" s="73">
        <f>'P&amp;L Month'!E61</f>
        <v>0.45</v>
      </c>
      <c r="G61" s="18" t="s">
        <v>41</v>
      </c>
      <c r="H61" s="20"/>
      <c r="I61" s="20">
        <f>SUM('P&amp;L Month'!N61:AK61)</f>
        <v>6936.9044000000013</v>
      </c>
      <c r="J61" s="20">
        <f>SUM('P&amp;L Month'!AL61:AW61)</f>
        <v>224165.67907124999</v>
      </c>
      <c r="K61" s="293">
        <f>J61/J$19</f>
        <v>0.54739208216350654</v>
      </c>
      <c r="L61" s="20">
        <f>SUM('P&amp;L Month'!AX61:BI61)</f>
        <v>414205.48228769994</v>
      </c>
      <c r="M61" s="293">
        <f>L61/L$19</f>
        <v>0.15728997378080709</v>
      </c>
      <c r="N61" s="20">
        <f>SUM('P&amp;L Month'!BJ61:BU61)</f>
        <v>526456.90097127587</v>
      </c>
      <c r="O61" s="293">
        <f>N61/N$19</f>
        <v>9.3503216502456812E-2</v>
      </c>
      <c r="P61" s="20">
        <f>SUM('P&amp;L Month'!BV61:CG61)</f>
        <v>571125.81717517436</v>
      </c>
      <c r="Q61" s="293">
        <f>P61/P$19</f>
        <v>8.1918879249722965E-2</v>
      </c>
    </row>
    <row r="62" spans="1:17">
      <c r="A62" s="17"/>
      <c r="B62" s="17"/>
      <c r="C62" s="33"/>
      <c r="D62" s="33" t="s">
        <v>42</v>
      </c>
      <c r="E62" s="33"/>
      <c r="F62" s="40"/>
      <c r="G62" s="18" t="s">
        <v>43</v>
      </c>
      <c r="H62" s="20"/>
      <c r="I62" s="20">
        <f>SUM('P&amp;L Month'!N62:AK62)</f>
        <v>55500</v>
      </c>
      <c r="J62" s="20">
        <f>SUM('P&amp;L Month'!AL62:AW62)</f>
        <v>60000</v>
      </c>
      <c r="K62" s="295">
        <f>J62/J$19</f>
        <v>0.14651451134663318</v>
      </c>
      <c r="L62" s="20">
        <f>SUM('P&amp;L Month'!AX62:BI62)</f>
        <v>70500</v>
      </c>
      <c r="M62" s="295">
        <f>L62/L$19</f>
        <v>2.677159918381938E-2</v>
      </c>
      <c r="N62" s="20">
        <f>SUM('P&amp;L Month'!BJ62:BU62)</f>
        <v>75000</v>
      </c>
      <c r="O62" s="295">
        <f>N62/N$19</f>
        <v>1.3320636931050286E-2</v>
      </c>
      <c r="P62" s="20">
        <f>SUM('P&amp;L Month'!BV62:CG62)</f>
        <v>75000</v>
      </c>
      <c r="Q62" s="295">
        <f>P62/P$19</f>
        <v>1.0757552467366004E-2</v>
      </c>
    </row>
    <row r="63" spans="1:17">
      <c r="A63" s="17"/>
      <c r="B63" s="17"/>
      <c r="C63" s="41" t="s">
        <v>151</v>
      </c>
      <c r="D63" s="33" t="s">
        <v>44</v>
      </c>
      <c r="E63" s="33"/>
      <c r="F63" s="40"/>
      <c r="G63" s="18" t="s">
        <v>45</v>
      </c>
      <c r="H63" s="20"/>
      <c r="I63" s="20">
        <f>SUM('P&amp;L Month'!N63:AK63)</f>
        <v>0</v>
      </c>
      <c r="J63" s="20">
        <f>SUM('P&amp;L Month'!AL63:AW63)</f>
        <v>0</v>
      </c>
      <c r="K63" s="291"/>
      <c r="L63" s="20">
        <f>SUM('P&amp;L Month'!AX63:BI63)</f>
        <v>0</v>
      </c>
      <c r="M63" s="291"/>
      <c r="N63" s="20">
        <f>SUM('P&amp;L Month'!BJ63:BU63)</f>
        <v>0</v>
      </c>
      <c r="O63" s="291"/>
      <c r="P63" s="20">
        <f>SUM('P&amp;L Month'!BV63:CG63)</f>
        <v>0</v>
      </c>
      <c r="Q63" s="291"/>
    </row>
    <row r="64" spans="1:17">
      <c r="A64" s="17"/>
      <c r="B64" s="33" t="s">
        <v>46</v>
      </c>
      <c r="C64" s="42" t="s">
        <v>47</v>
      </c>
      <c r="D64" s="17" t="s">
        <v>44</v>
      </c>
      <c r="E64" s="17"/>
      <c r="F64" s="18"/>
      <c r="G64" s="18" t="s">
        <v>48</v>
      </c>
      <c r="H64" s="20"/>
      <c r="I64" s="20">
        <f>SUM('P&amp;L Month'!N64:AK64)</f>
        <v>0</v>
      </c>
      <c r="J64" s="20">
        <f>SUM('P&amp;L Month'!AL64:AW64)</f>
        <v>0</v>
      </c>
      <c r="K64" s="291"/>
      <c r="L64" s="20">
        <f>SUM('P&amp;L Month'!AX64:BI64)</f>
        <v>0</v>
      </c>
      <c r="M64" s="291"/>
      <c r="N64" s="20">
        <f>SUM('P&amp;L Month'!BJ64:BU64)</f>
        <v>0</v>
      </c>
      <c r="O64" s="291"/>
      <c r="P64" s="20">
        <f>SUM('P&amp;L Month'!BV64:CG64)</f>
        <v>0</v>
      </c>
      <c r="Q64" s="291"/>
    </row>
    <row r="65" spans="1:17">
      <c r="A65" s="17"/>
      <c r="B65" s="17"/>
      <c r="C65" s="43" t="s">
        <v>49</v>
      </c>
      <c r="D65" s="43"/>
      <c r="E65" s="43"/>
      <c r="F65" s="44"/>
      <c r="G65" s="18" t="s">
        <v>187</v>
      </c>
      <c r="H65" s="20"/>
      <c r="I65" s="20">
        <f>SUM('P&amp;L Month'!N65:AK65)</f>
        <v>0</v>
      </c>
      <c r="J65" s="20">
        <f>SUM('P&amp;L Month'!AL65:AW65)</f>
        <v>0</v>
      </c>
      <c r="K65" s="291"/>
      <c r="L65" s="20">
        <f>SUM('P&amp;L Month'!AX65:BI65)</f>
        <v>0</v>
      </c>
      <c r="M65" s="291"/>
      <c r="N65" s="20">
        <f>SUM('P&amp;L Month'!BJ65:BU65)</f>
        <v>0</v>
      </c>
      <c r="O65" s="291"/>
      <c r="P65" s="20">
        <f>SUM('P&amp;L Month'!BV65:CG65)</f>
        <v>0</v>
      </c>
      <c r="Q65" s="291"/>
    </row>
    <row r="66" spans="1:17">
      <c r="A66" s="17"/>
      <c r="B66" s="33" t="s">
        <v>50</v>
      </c>
      <c r="C66" s="17"/>
      <c r="D66" s="17"/>
      <c r="E66" s="17"/>
      <c r="F66" s="18"/>
      <c r="G66" s="18" t="s">
        <v>51</v>
      </c>
      <c r="H66" s="20"/>
      <c r="I66" s="20">
        <f>SUM('P&amp;L Month'!N66:AK66)</f>
        <v>0</v>
      </c>
      <c r="J66" s="20">
        <f>SUM('P&amp;L Month'!AL66:AW66)</f>
        <v>0</v>
      </c>
      <c r="K66" s="291"/>
      <c r="L66" s="20">
        <f>SUM('P&amp;L Month'!AX66:BI66)</f>
        <v>0</v>
      </c>
      <c r="M66" s="291"/>
      <c r="N66" s="20">
        <f>SUM('P&amp;L Month'!BJ66:BU66)</f>
        <v>0</v>
      </c>
      <c r="O66" s="291"/>
      <c r="P66" s="20">
        <f>SUM('P&amp;L Month'!BV66:CG66)</f>
        <v>0</v>
      </c>
      <c r="Q66" s="291"/>
    </row>
    <row r="67" spans="1:17">
      <c r="A67" s="17"/>
      <c r="B67" s="26"/>
      <c r="C67" s="17"/>
      <c r="D67" s="17"/>
      <c r="E67" s="17"/>
      <c r="F67" s="18"/>
      <c r="G67" s="18"/>
      <c r="H67" s="20"/>
      <c r="I67" s="20"/>
      <c r="J67" s="20"/>
      <c r="K67" s="291"/>
      <c r="L67" s="20"/>
      <c r="M67" s="291"/>
      <c r="N67" s="20"/>
      <c r="O67" s="291"/>
      <c r="P67" s="20">
        <f>SUM('P&amp;L Month'!BV67:CG67)</f>
        <v>0</v>
      </c>
      <c r="Q67" s="291"/>
    </row>
    <row r="68" spans="1:17">
      <c r="A68" s="45"/>
      <c r="B68" s="45"/>
      <c r="C68" s="37" t="s">
        <v>52</v>
      </c>
      <c r="D68" s="37"/>
      <c r="E68" s="37"/>
      <c r="F68" s="38" t="s">
        <v>53</v>
      </c>
      <c r="G68" s="31" t="s">
        <v>54</v>
      </c>
      <c r="H68" s="46"/>
      <c r="I68" s="60">
        <f>SUM(I22:I26)+I47+I53+I61+SUM(I62:I66)</f>
        <v>175443.49440000003</v>
      </c>
      <c r="J68" s="60">
        <f>SUM(J22:J26)+J47+J53+J61+SUM(J62:J66)</f>
        <v>1535807.9825629164</v>
      </c>
      <c r="K68" s="293">
        <f>J68/J$19</f>
        <v>3.7503026014577374</v>
      </c>
      <c r="L68" s="60">
        <f>SUM(L22:L26)+L47+L53+L61+SUM(L62:L66)</f>
        <v>2947808.5535236998</v>
      </c>
      <c r="M68" s="293">
        <f>L68/L$19</f>
        <v>1.1193978590861116</v>
      </c>
      <c r="N68" s="60">
        <f>SUM(N22:N26)+N47+N53+N61+SUM(N62:N66)</f>
        <v>4127172.8239918891</v>
      </c>
      <c r="O68" s="293">
        <f>N68/N$19</f>
        <v>0.73302094320124622</v>
      </c>
      <c r="P68" s="60">
        <f>SUM(P22:P26)+P47+P53+P61+SUM(P62:P66)</f>
        <v>4653291.9303866727</v>
      </c>
      <c r="Q68" s="293">
        <f>P68/P$19</f>
        <v>0.66744042782807289</v>
      </c>
    </row>
    <row r="69" spans="1:17" s="8" customFormat="1">
      <c r="H69" s="90"/>
      <c r="I69" s="90"/>
      <c r="J69" s="90"/>
      <c r="K69" s="294"/>
      <c r="L69" s="90"/>
      <c r="M69" s="294"/>
      <c r="N69" s="90"/>
      <c r="O69" s="294"/>
      <c r="P69" s="90"/>
      <c r="Q69" s="294"/>
    </row>
    <row r="70" spans="1:17">
      <c r="G70" s="31"/>
      <c r="H70" s="20"/>
      <c r="I70" s="20"/>
      <c r="J70" s="20"/>
      <c r="K70" s="291"/>
      <c r="L70" s="20"/>
      <c r="M70" s="291"/>
      <c r="N70" s="20"/>
      <c r="O70" s="291"/>
      <c r="P70" s="20"/>
      <c r="Q70" s="291"/>
    </row>
    <row r="71" spans="1:17">
      <c r="A71" s="17"/>
      <c r="B71" s="47"/>
      <c r="C71" s="48"/>
      <c r="D71" s="48"/>
      <c r="E71" s="48"/>
      <c r="F71" s="49"/>
      <c r="G71" s="18"/>
      <c r="H71" s="20"/>
      <c r="I71" s="20"/>
      <c r="J71" s="20"/>
      <c r="K71" s="291"/>
      <c r="L71" s="20"/>
      <c r="M71" s="291"/>
      <c r="N71" s="20"/>
      <c r="O71" s="291"/>
      <c r="P71" s="20"/>
      <c r="Q71" s="291"/>
    </row>
    <row r="72" spans="1:17">
      <c r="A72" s="45">
        <v>1</v>
      </c>
      <c r="B72" s="50" t="s">
        <v>55</v>
      </c>
      <c r="C72" s="37"/>
      <c r="D72" s="37"/>
      <c r="E72" s="37"/>
      <c r="F72" s="38"/>
      <c r="G72" s="82" t="s">
        <v>56</v>
      </c>
      <c r="H72" s="46"/>
      <c r="I72" s="60">
        <f>I19-I68</f>
        <v>-175443.49440000003</v>
      </c>
      <c r="J72" s="60">
        <f>J19-J68</f>
        <v>-1126292.2325629164</v>
      </c>
      <c r="K72" s="293">
        <f>J72/J$19</f>
        <v>-2.7503026014577374</v>
      </c>
      <c r="L72" s="60">
        <f>L19-L68</f>
        <v>-314420.85352369957</v>
      </c>
      <c r="M72" s="293">
        <f>L72/L$19</f>
        <v>-0.11939785908611161</v>
      </c>
      <c r="N72" s="60">
        <f>N19-N68</f>
        <v>1503188.5760081112</v>
      </c>
      <c r="O72" s="293">
        <f>N72/N$19</f>
        <v>0.26697905679875383</v>
      </c>
      <c r="P72" s="60">
        <f>P19-P68</f>
        <v>2318554.1496133273</v>
      </c>
      <c r="Q72" s="293">
        <f>P72/P$19</f>
        <v>0.33255957217192716</v>
      </c>
    </row>
    <row r="73" spans="1:17">
      <c r="A73" s="17"/>
      <c r="B73" s="51"/>
      <c r="C73" s="17"/>
      <c r="D73" s="17"/>
      <c r="E73" s="17"/>
      <c r="F73" s="18"/>
      <c r="H73" s="20"/>
      <c r="I73" s="20"/>
      <c r="J73" s="20"/>
      <c r="K73" s="293"/>
      <c r="L73" s="20"/>
      <c r="M73" s="293"/>
      <c r="N73" s="20"/>
      <c r="O73" s="293"/>
      <c r="P73" s="20"/>
      <c r="Q73" s="293"/>
    </row>
    <row r="74" spans="1:17">
      <c r="A74" s="17"/>
      <c r="B74" s="33" t="s">
        <v>57</v>
      </c>
      <c r="C74" s="17"/>
      <c r="D74" s="17"/>
      <c r="E74" s="17"/>
      <c r="F74" s="18" t="s">
        <v>58</v>
      </c>
      <c r="G74" s="18" t="s">
        <v>59</v>
      </c>
      <c r="H74" s="20"/>
      <c r="I74" s="20">
        <f>SUM('P&amp;L Month'!N74:AK74)</f>
        <v>0</v>
      </c>
      <c r="J74" s="20">
        <f>SUM('P&amp;L Month'!AL74:AW74)</f>
        <v>0</v>
      </c>
      <c r="K74" s="291"/>
      <c r="L74" s="20">
        <f>SUM('P&amp;L Month'!AX74:BI74)</f>
        <v>0</v>
      </c>
      <c r="M74" s="291"/>
      <c r="N74" s="20">
        <f>SUM('P&amp;L Month'!BJ74:BU74)</f>
        <v>0</v>
      </c>
      <c r="O74" s="291"/>
      <c r="P74" s="20">
        <f>SUM('P&amp;L Month'!BL74:BW74)</f>
        <v>0</v>
      </c>
      <c r="Q74" s="291"/>
    </row>
    <row r="75" spans="1:17">
      <c r="A75" s="17"/>
      <c r="B75" s="33" t="s">
        <v>60</v>
      </c>
      <c r="C75" s="17"/>
      <c r="D75" s="17"/>
      <c r="E75" s="17"/>
      <c r="F75" s="18" t="s">
        <v>61</v>
      </c>
      <c r="G75" s="18" t="s">
        <v>62</v>
      </c>
      <c r="H75" s="20"/>
      <c r="I75" s="20">
        <f>SUM('P&amp;L Month'!N75:AK75)</f>
        <v>0</v>
      </c>
      <c r="J75" s="20">
        <f>SUM('P&amp;L Month'!AL75:AW75)</f>
        <v>0</v>
      </c>
      <c r="K75" s="291"/>
      <c r="L75" s="20">
        <f>SUM('P&amp;L Month'!AX75:BI75)</f>
        <v>0</v>
      </c>
      <c r="M75" s="291"/>
      <c r="N75" s="20">
        <f>SUM('P&amp;L Month'!BJ75:BU75)</f>
        <v>0</v>
      </c>
      <c r="O75" s="291"/>
      <c r="P75" s="20">
        <f>SUM('P&amp;L Month'!BL75:BW75)</f>
        <v>0</v>
      </c>
      <c r="Q75" s="291"/>
    </row>
    <row r="76" spans="1:17">
      <c r="A76" s="17"/>
      <c r="B76" s="52" t="s">
        <v>63</v>
      </c>
      <c r="C76" s="17"/>
      <c r="D76" s="17"/>
      <c r="E76" s="17"/>
      <c r="F76" s="18"/>
      <c r="G76" s="18" t="s">
        <v>64</v>
      </c>
      <c r="H76" s="20"/>
      <c r="I76" s="20">
        <f>SUM('P&amp;L Month'!N76:AK76)</f>
        <v>0</v>
      </c>
      <c r="J76" s="20">
        <f>SUM('P&amp;L Month'!AL76:AW76)</f>
        <v>0</v>
      </c>
      <c r="K76" s="291"/>
      <c r="L76" s="20">
        <f>SUM('P&amp;L Month'!AX76:BI76)</f>
        <v>0</v>
      </c>
      <c r="M76" s="291"/>
      <c r="N76" s="20">
        <f>SUM('P&amp;L Month'!BJ76:BU76)</f>
        <v>0</v>
      </c>
      <c r="O76" s="291"/>
      <c r="P76" s="20">
        <f>SUM('P&amp;L Month'!BL76:BW76)</f>
        <v>0</v>
      </c>
      <c r="Q76" s="291"/>
    </row>
    <row r="77" spans="1:17" ht="14.25">
      <c r="A77" s="17"/>
      <c r="B77" s="33" t="s">
        <v>152</v>
      </c>
      <c r="C77" s="17"/>
      <c r="D77" s="17"/>
      <c r="E77" s="17"/>
      <c r="F77" s="18"/>
      <c r="G77" s="18" t="s">
        <v>65</v>
      </c>
      <c r="H77" s="20"/>
      <c r="I77" s="20">
        <f>SUM('P&amp;L Month'!N77:AK77)</f>
        <v>0</v>
      </c>
      <c r="J77" s="20">
        <f>SUM('P&amp;L Month'!AL77:AW77)</f>
        <v>0</v>
      </c>
      <c r="K77" s="291"/>
      <c r="L77" s="20">
        <f>SUM('P&amp;L Month'!AX77:BI77)</f>
        <v>0</v>
      </c>
      <c r="M77" s="291"/>
      <c r="N77" s="20">
        <f>SUM('P&amp;L Month'!BJ77:BU77)</f>
        <v>0</v>
      </c>
      <c r="O77" s="291"/>
      <c r="P77" s="20">
        <f>SUM('P&amp;L Month'!BL77:BW77)</f>
        <v>0</v>
      </c>
      <c r="Q77" s="291"/>
    </row>
    <row r="78" spans="1:17">
      <c r="A78" s="17"/>
      <c r="B78" s="33" t="s">
        <v>66</v>
      </c>
      <c r="C78" s="17"/>
      <c r="D78" s="17"/>
      <c r="E78" s="17"/>
      <c r="F78" s="18"/>
      <c r="G78" s="18" t="s">
        <v>67</v>
      </c>
      <c r="H78" s="20"/>
      <c r="I78" s="20">
        <f>SUM('P&amp;L Month'!N78:AK78)</f>
        <v>0</v>
      </c>
      <c r="J78" s="20">
        <f>SUM('P&amp;L Month'!AL78:AW78)</f>
        <v>0</v>
      </c>
      <c r="K78" s="291"/>
      <c r="L78" s="20">
        <f>SUM('P&amp;L Month'!AX78:BI78)</f>
        <v>0</v>
      </c>
      <c r="M78" s="291"/>
      <c r="N78" s="20">
        <f>SUM('P&amp;L Month'!BJ78:BU78)</f>
        <v>0</v>
      </c>
      <c r="O78" s="291"/>
      <c r="P78" s="20">
        <f>SUM('P&amp;L Month'!BL78:BW78)</f>
        <v>0</v>
      </c>
      <c r="Q78" s="291"/>
    </row>
    <row r="79" spans="1:17">
      <c r="A79" s="17"/>
      <c r="B79" s="33" t="s">
        <v>68</v>
      </c>
      <c r="C79" s="17"/>
      <c r="D79" s="17"/>
      <c r="E79" s="17"/>
      <c r="F79" s="18"/>
      <c r="G79" s="18" t="s">
        <v>69</v>
      </c>
      <c r="H79" s="20"/>
      <c r="I79" s="20">
        <f>SUM('P&amp;L Month'!N79:AK79)</f>
        <v>0</v>
      </c>
      <c r="J79" s="20">
        <f>SUM('P&amp;L Month'!AL79:AW79)</f>
        <v>0</v>
      </c>
      <c r="K79" s="291"/>
      <c r="L79" s="20">
        <f>SUM('P&amp;L Month'!AX79:BI79)</f>
        <v>0</v>
      </c>
      <c r="M79" s="291"/>
      <c r="N79" s="20">
        <f>SUM('P&amp;L Month'!BJ79:BU79)</f>
        <v>0</v>
      </c>
      <c r="O79" s="291"/>
      <c r="P79" s="20">
        <f>SUM('P&amp;L Month'!BL79:BW79)</f>
        <v>0</v>
      </c>
      <c r="Q79" s="291"/>
    </row>
    <row r="80" spans="1:17">
      <c r="A80" s="17"/>
      <c r="B80" s="33" t="s">
        <v>70</v>
      </c>
      <c r="C80" s="17"/>
      <c r="D80" s="17"/>
      <c r="E80" s="17"/>
      <c r="F80" s="18"/>
      <c r="G80" s="18" t="s">
        <v>71</v>
      </c>
      <c r="H80" s="20"/>
      <c r="I80" s="20">
        <f>SUM('P&amp;L Month'!N80:AK80)</f>
        <v>0</v>
      </c>
      <c r="J80" s="20">
        <f>SUM('P&amp;L Month'!AL80:AW80)</f>
        <v>0</v>
      </c>
      <c r="K80" s="291"/>
      <c r="L80" s="20">
        <f>SUM('P&amp;L Month'!AX80:BI80)</f>
        <v>0</v>
      </c>
      <c r="M80" s="291"/>
      <c r="N80" s="20">
        <f>SUM('P&amp;L Month'!BJ80:BU80)</f>
        <v>0</v>
      </c>
      <c r="O80" s="291"/>
      <c r="P80" s="20">
        <f>SUM('P&amp;L Month'!BL80:BW80)</f>
        <v>0</v>
      </c>
      <c r="Q80" s="291"/>
    </row>
    <row r="81" spans="1:17">
      <c r="A81" s="17"/>
      <c r="B81" s="33" t="s">
        <v>72</v>
      </c>
      <c r="C81" s="17"/>
      <c r="D81" s="17"/>
      <c r="E81" s="17"/>
      <c r="F81" s="18"/>
      <c r="G81" s="18" t="s">
        <v>73</v>
      </c>
      <c r="H81" s="20"/>
      <c r="I81" s="20">
        <f>SUM('P&amp;L Month'!N81:AK81)</f>
        <v>0</v>
      </c>
      <c r="J81" s="20">
        <f>SUM('P&amp;L Month'!AL81:AW81)</f>
        <v>0</v>
      </c>
      <c r="K81" s="291"/>
      <c r="L81" s="20">
        <f>SUM('P&amp;L Month'!AX81:BI81)</f>
        <v>0</v>
      </c>
      <c r="M81" s="291"/>
      <c r="N81" s="20">
        <f>SUM('P&amp;L Month'!BJ81:BU81)</f>
        <v>0</v>
      </c>
      <c r="O81" s="291"/>
      <c r="P81" s="20">
        <f>SUM('P&amp;L Month'!BL81:BW81)</f>
        <v>0</v>
      </c>
      <c r="Q81" s="291"/>
    </row>
    <row r="82" spans="1:17">
      <c r="A82" s="17"/>
      <c r="B82" s="33"/>
      <c r="C82" s="17"/>
      <c r="D82" s="17"/>
      <c r="E82" s="17"/>
      <c r="F82" s="18"/>
      <c r="H82" s="20"/>
      <c r="I82" s="20"/>
      <c r="J82" s="20"/>
      <c r="K82" s="291"/>
      <c r="L82" s="20"/>
      <c r="M82" s="291"/>
      <c r="N82" s="20"/>
      <c r="O82" s="291"/>
      <c r="P82" s="20"/>
      <c r="Q82" s="291"/>
    </row>
    <row r="83" spans="1:17">
      <c r="A83" s="45"/>
      <c r="B83" s="45"/>
      <c r="C83" s="37" t="s">
        <v>74</v>
      </c>
      <c r="D83" s="45"/>
      <c r="E83" s="45"/>
      <c r="F83" s="53" t="s">
        <v>75</v>
      </c>
      <c r="G83" s="18" t="s">
        <v>76</v>
      </c>
      <c r="H83" s="20"/>
      <c r="I83" s="20">
        <f>SUM(I74:I81)</f>
        <v>0</v>
      </c>
      <c r="J83" s="20">
        <f>SUM(J74:J81)</f>
        <v>0</v>
      </c>
      <c r="K83" s="291"/>
      <c r="L83" s="20">
        <f>SUM(L74:L81)</f>
        <v>0</v>
      </c>
      <c r="M83" s="291"/>
      <c r="N83" s="20">
        <f>SUM(N74:N81)</f>
        <v>0</v>
      </c>
      <c r="O83" s="291"/>
      <c r="P83" s="20">
        <f>SUM(P74:P81)</f>
        <v>0</v>
      </c>
      <c r="Q83" s="291"/>
    </row>
    <row r="84" spans="1:17">
      <c r="A84" s="17"/>
      <c r="B84" s="26"/>
      <c r="C84" s="26"/>
      <c r="D84" s="26"/>
      <c r="E84" s="26"/>
      <c r="F84" s="28"/>
      <c r="G84" s="83"/>
      <c r="H84" s="20"/>
      <c r="I84" s="20"/>
      <c r="J84" s="20"/>
      <c r="K84" s="291"/>
      <c r="L84" s="20"/>
      <c r="M84" s="291"/>
      <c r="N84" s="20"/>
      <c r="O84" s="291"/>
      <c r="P84" s="20"/>
      <c r="Q84" s="291"/>
    </row>
    <row r="85" spans="1:17">
      <c r="A85" s="17"/>
      <c r="B85" s="33" t="s">
        <v>77</v>
      </c>
      <c r="C85" s="54"/>
      <c r="D85" s="54"/>
      <c r="E85" s="54"/>
      <c r="F85" s="55"/>
      <c r="G85" s="28" t="s">
        <v>78</v>
      </c>
      <c r="H85" s="20"/>
      <c r="I85" s="20">
        <f>SUM('P&amp;L Month'!N85:AK85)</f>
        <v>0</v>
      </c>
      <c r="J85" s="20">
        <f>SUM('P&amp;L Month'!AL85:AW85)</f>
        <v>0</v>
      </c>
      <c r="K85" s="291"/>
      <c r="L85" s="20">
        <f>SUM('P&amp;L Month'!AX85:BI85)</f>
        <v>0</v>
      </c>
      <c r="M85" s="291"/>
      <c r="N85" s="20">
        <f>SUM('P&amp;L Month'!BJ85:BU85)</f>
        <v>0</v>
      </c>
      <c r="O85" s="291"/>
      <c r="P85" s="20">
        <f>SUM('P&amp;L Month'!BL85:BW85)</f>
        <v>0</v>
      </c>
      <c r="Q85" s="291"/>
    </row>
    <row r="86" spans="1:17">
      <c r="A86" s="17"/>
      <c r="B86" s="33" t="s">
        <v>79</v>
      </c>
      <c r="C86" s="54"/>
      <c r="D86" s="54"/>
      <c r="E86" s="54"/>
      <c r="F86" s="55"/>
      <c r="G86" s="84" t="s">
        <v>182</v>
      </c>
      <c r="H86" s="20"/>
      <c r="I86" s="20">
        <f>SUM('P&amp;L Month'!N86:AK86)</f>
        <v>11726.714300877036</v>
      </c>
      <c r="J86" s="20">
        <f>SUM('P&amp;L Month'!AL86:AW86)</f>
        <v>9472.1702623997826</v>
      </c>
      <c r="K86" s="295">
        <f>J86/J$19</f>
        <v>2.3130173289793575E-2</v>
      </c>
      <c r="L86" s="20">
        <f>SUM('P&amp;L Month'!AX86:BI86)</f>
        <v>7246.5801858502273</v>
      </c>
      <c r="M86" s="295">
        <f>L86/L$19</f>
        <v>2.7518090806948883E-3</v>
      </c>
      <c r="N86" s="20">
        <f>SUM('P&amp;L Month'!BJ86:BU86)</f>
        <v>4233.9543311416264</v>
      </c>
      <c r="O86" s="295">
        <f>N86/N$19</f>
        <v>7.5198624570380621E-4</v>
      </c>
      <c r="P86" s="20">
        <f>SUM('P&amp;L Month'!BL86:BW86)</f>
        <v>3278.2514301682108</v>
      </c>
      <c r="Q86" s="295">
        <f>P86/P$19</f>
        <v>4.7021282348336219E-4</v>
      </c>
    </row>
    <row r="87" spans="1:17">
      <c r="A87" s="17"/>
      <c r="B87" s="33" t="s">
        <v>80</v>
      </c>
      <c r="C87" s="54"/>
      <c r="D87" s="54"/>
      <c r="E87" s="54"/>
      <c r="F87" s="55"/>
      <c r="G87" s="85" t="s">
        <v>81</v>
      </c>
      <c r="H87" s="20"/>
      <c r="I87" s="20">
        <f>SUM('P&amp;L Month'!N87:AK87)</f>
        <v>0</v>
      </c>
      <c r="J87" s="20">
        <f>SUM('P&amp;L Month'!AL87:AW87)</f>
        <v>0</v>
      </c>
      <c r="K87" s="291"/>
      <c r="L87" s="20">
        <f>SUM('P&amp;L Month'!AX87:BI87)</f>
        <v>0</v>
      </c>
      <c r="M87" s="291"/>
      <c r="N87" s="20">
        <f>SUM('P&amp;L Month'!BJ87:BU87)</f>
        <v>0</v>
      </c>
      <c r="O87" s="291"/>
      <c r="P87" s="20">
        <f>SUM('P&amp;L Month'!BL87:BW87)</f>
        <v>0</v>
      </c>
      <c r="Q87" s="291"/>
    </row>
    <row r="88" spans="1:17">
      <c r="A88" s="17"/>
      <c r="B88" s="33" t="s">
        <v>82</v>
      </c>
      <c r="C88" s="54"/>
      <c r="D88" s="54"/>
      <c r="E88" s="54"/>
      <c r="F88" s="55"/>
      <c r="G88" s="85" t="s">
        <v>83</v>
      </c>
      <c r="H88" s="20"/>
      <c r="I88" s="20">
        <f>SUM('P&amp;L Month'!N88:AK88)</f>
        <v>0</v>
      </c>
      <c r="J88" s="20">
        <f>SUM('P&amp;L Month'!AL88:AW88)</f>
        <v>0</v>
      </c>
      <c r="K88" s="291"/>
      <c r="L88" s="20">
        <f>SUM('P&amp;L Month'!AX88:BI88)</f>
        <v>0</v>
      </c>
      <c r="M88" s="291"/>
      <c r="N88" s="20">
        <f>SUM('P&amp;L Month'!BJ88:BU88)</f>
        <v>0</v>
      </c>
      <c r="O88" s="291"/>
      <c r="P88" s="20">
        <f>SUM('P&amp;L Month'!BL88:BW88)</f>
        <v>0</v>
      </c>
      <c r="Q88" s="291"/>
    </row>
    <row r="89" spans="1:17">
      <c r="A89" s="17"/>
      <c r="B89" s="26"/>
      <c r="C89" s="54"/>
      <c r="D89" s="54"/>
      <c r="E89" s="54"/>
      <c r="F89" s="55"/>
      <c r="G89" s="84" t="s">
        <v>11</v>
      </c>
      <c r="H89" s="20"/>
      <c r="I89" s="20" t="s">
        <v>22</v>
      </c>
      <c r="J89" s="20" t="s">
        <v>22</v>
      </c>
      <c r="K89" s="291"/>
      <c r="L89" s="20" t="s">
        <v>22</v>
      </c>
      <c r="M89" s="291"/>
      <c r="N89" s="20" t="s">
        <v>22</v>
      </c>
      <c r="O89" s="291"/>
      <c r="P89" s="20" t="s">
        <v>22</v>
      </c>
      <c r="Q89" s="291"/>
    </row>
    <row r="90" spans="1:17">
      <c r="A90" s="36"/>
      <c r="B90" s="45"/>
      <c r="C90" s="37" t="s">
        <v>84</v>
      </c>
      <c r="D90" s="45"/>
      <c r="E90" s="45"/>
      <c r="F90" s="53" t="s">
        <v>85</v>
      </c>
      <c r="G90" s="84" t="s">
        <v>86</v>
      </c>
      <c r="H90" s="20"/>
      <c r="I90" s="20">
        <f>SUM(I85:I88)</f>
        <v>11726.714300877036</v>
      </c>
      <c r="J90" s="20">
        <f>SUM(J85:J88)</f>
        <v>9472.1702623997826</v>
      </c>
      <c r="K90" s="295">
        <f>J90/J$19</f>
        <v>2.3130173289793575E-2</v>
      </c>
      <c r="L90" s="20">
        <f>SUM(L85:L88)</f>
        <v>7246.5801858502273</v>
      </c>
      <c r="M90" s="295">
        <f>L90/L$19</f>
        <v>2.7518090806948883E-3</v>
      </c>
      <c r="N90" s="20">
        <f>SUM(N85:N88)</f>
        <v>4233.9543311416264</v>
      </c>
      <c r="O90" s="295">
        <f>N90/N$19</f>
        <v>7.5198624570380621E-4</v>
      </c>
      <c r="P90" s="20">
        <f>SUM(P85:P88)</f>
        <v>3278.2514301682108</v>
      </c>
      <c r="Q90" s="295">
        <f>P90/P$19</f>
        <v>4.7021282348336219E-4</v>
      </c>
    </row>
    <row r="91" spans="1:17">
      <c r="A91" s="17"/>
      <c r="B91" s="33"/>
      <c r="C91" s="54"/>
      <c r="D91" s="54"/>
      <c r="E91" s="54"/>
      <c r="F91" s="55"/>
      <c r="G91" s="84"/>
      <c r="H91" s="20"/>
      <c r="I91" s="20"/>
      <c r="J91" s="20"/>
      <c r="K91" s="291"/>
      <c r="L91" s="20"/>
      <c r="M91" s="291"/>
      <c r="N91" s="20"/>
      <c r="O91" s="291"/>
      <c r="P91" s="20"/>
      <c r="Q91" s="291"/>
    </row>
    <row r="92" spans="1:17">
      <c r="A92" s="45">
        <v>2</v>
      </c>
      <c r="B92" s="50" t="s">
        <v>87</v>
      </c>
      <c r="C92" s="37"/>
      <c r="D92" s="37"/>
      <c r="E92" s="37"/>
      <c r="F92" s="38"/>
      <c r="G92" s="18" t="s">
        <v>88</v>
      </c>
      <c r="H92" s="20"/>
      <c r="I92" s="20">
        <f>I83-I90</f>
        <v>-11726.714300877036</v>
      </c>
      <c r="J92" s="20">
        <f>J83-J90</f>
        <v>-9472.1702623997826</v>
      </c>
      <c r="K92" s="295">
        <f>J92/J$19</f>
        <v>-2.3130173289793575E-2</v>
      </c>
      <c r="L92" s="20">
        <f>L83-L90</f>
        <v>-7246.5801858502273</v>
      </c>
      <c r="M92" s="295">
        <f>L92/L$19</f>
        <v>-2.7518090806948883E-3</v>
      </c>
      <c r="N92" s="20">
        <f>N83-N90</f>
        <v>-4233.9543311416264</v>
      </c>
      <c r="O92" s="295">
        <f>N92/N$19</f>
        <v>-7.5198624570380621E-4</v>
      </c>
      <c r="P92" s="20">
        <f>P83-P90</f>
        <v>-3278.2514301682108</v>
      </c>
      <c r="Q92" s="295">
        <f>P92/P$19</f>
        <v>-4.7021282348336219E-4</v>
      </c>
    </row>
    <row r="93" spans="1:17">
      <c r="K93" s="291"/>
      <c r="M93" s="291"/>
      <c r="O93" s="291"/>
      <c r="Q93" s="291"/>
    </row>
    <row r="94" spans="1:17">
      <c r="A94" s="17"/>
      <c r="B94" s="26"/>
      <c r="C94" s="54"/>
      <c r="D94" s="54"/>
      <c r="E94" s="54"/>
      <c r="F94" s="55"/>
      <c r="G94" s="84"/>
      <c r="H94" s="20"/>
      <c r="I94" s="20"/>
      <c r="J94" s="20"/>
      <c r="K94" s="291"/>
      <c r="L94" s="20"/>
      <c r="M94" s="291"/>
      <c r="N94" s="20"/>
      <c r="O94" s="291"/>
      <c r="P94" s="20"/>
      <c r="Q94" s="291"/>
    </row>
    <row r="95" spans="1:17">
      <c r="A95" s="45">
        <v>3</v>
      </c>
      <c r="B95" s="56" t="s">
        <v>89</v>
      </c>
      <c r="C95" s="45"/>
      <c r="D95" s="45"/>
      <c r="E95" s="45"/>
      <c r="F95" s="53"/>
      <c r="G95" s="84" t="s">
        <v>90</v>
      </c>
      <c r="H95" s="46"/>
      <c r="I95" s="60">
        <f>I72+I74-I74+I92</f>
        <v>-187170.20870087706</v>
      </c>
      <c r="J95" s="60">
        <f>J72+J74-J74+J92</f>
        <v>-1135764.4028253162</v>
      </c>
      <c r="K95" s="293">
        <f>J95/J$19</f>
        <v>-2.7734327747475307</v>
      </c>
      <c r="L95" s="60">
        <f>L72+L74-L74+L92</f>
        <v>-321667.43370954978</v>
      </c>
      <c r="M95" s="293">
        <f>L95/L$19</f>
        <v>-0.12214966816680649</v>
      </c>
      <c r="N95" s="60">
        <f>N72+N74-N74+N92</f>
        <v>1498954.6216769696</v>
      </c>
      <c r="O95" s="293">
        <f>N95/N$19</f>
        <v>0.26622707055305</v>
      </c>
      <c r="P95" s="60">
        <f>P72+P74-P74+P92</f>
        <v>2315275.8981831591</v>
      </c>
      <c r="Q95" s="293">
        <f>P95/P$19</f>
        <v>0.33208935934844375</v>
      </c>
    </row>
    <row r="96" spans="1:17">
      <c r="A96" s="17"/>
      <c r="B96" s="17"/>
      <c r="C96" s="17"/>
      <c r="D96" s="17"/>
      <c r="E96" s="17"/>
      <c r="F96" s="18"/>
      <c r="G96" s="18"/>
      <c r="H96" s="20"/>
      <c r="I96" s="20"/>
      <c r="J96" s="20"/>
      <c r="K96" s="291"/>
      <c r="L96" s="20"/>
      <c r="M96" s="291"/>
      <c r="N96" s="20"/>
      <c r="O96" s="291"/>
      <c r="P96" s="20"/>
      <c r="Q96" s="291"/>
    </row>
    <row r="97" spans="1:17">
      <c r="A97" s="17"/>
      <c r="B97" s="17"/>
      <c r="C97" s="17"/>
      <c r="D97" s="17"/>
      <c r="E97" s="17"/>
      <c r="F97" s="18"/>
      <c r="G97" s="18"/>
      <c r="H97" s="20"/>
      <c r="I97" s="20"/>
      <c r="J97" s="20"/>
      <c r="K97" s="291"/>
      <c r="L97" s="20"/>
      <c r="M97" s="291"/>
      <c r="N97" s="20"/>
      <c r="O97" s="291"/>
      <c r="P97" s="20"/>
      <c r="Q97" s="291"/>
    </row>
    <row r="98" spans="1:17">
      <c r="A98" s="57"/>
      <c r="B98" s="58" t="s">
        <v>91</v>
      </c>
      <c r="C98" s="58"/>
      <c r="D98" s="58"/>
      <c r="E98" s="58"/>
      <c r="F98" s="58"/>
      <c r="G98" s="86" t="s">
        <v>92</v>
      </c>
      <c r="H98" s="20"/>
      <c r="I98" s="20">
        <f>SUM('P&amp;L Month'!N98:AK98)</f>
        <v>0</v>
      </c>
      <c r="J98" s="20">
        <f>SUM('P&amp;L Month'!AL98:AW98)</f>
        <v>0</v>
      </c>
      <c r="K98" s="291"/>
      <c r="L98" s="20">
        <f>SUM('P&amp;L Month'!AX98:BI98)</f>
        <v>0</v>
      </c>
      <c r="M98" s="291"/>
      <c r="N98" s="20">
        <f>SUM('P&amp;L Month'!BJ98:BU98)</f>
        <v>0</v>
      </c>
      <c r="O98" s="291"/>
      <c r="P98" s="20">
        <f>SUM('P&amp;L Month'!BL98:BW98)</f>
        <v>0</v>
      </c>
      <c r="Q98" s="291"/>
    </row>
    <row r="99" spans="1:17">
      <c r="A99" s="57"/>
      <c r="B99" s="57" t="s">
        <v>93</v>
      </c>
      <c r="C99" s="58"/>
      <c r="D99" s="58"/>
      <c r="E99" s="58"/>
      <c r="F99" s="58"/>
      <c r="G99" s="28" t="s">
        <v>94</v>
      </c>
      <c r="H99" s="20"/>
      <c r="I99" s="20">
        <f>SUM('P&amp;L Month'!N99:AK99)</f>
        <v>0</v>
      </c>
      <c r="J99" s="20">
        <f>SUM('P&amp;L Month'!AL99:AW99)</f>
        <v>0</v>
      </c>
      <c r="K99" s="291"/>
      <c r="L99" s="20">
        <f>SUM('P&amp;L Month'!AX99:BI99)</f>
        <v>0</v>
      </c>
      <c r="M99" s="291"/>
      <c r="N99" s="20">
        <f>SUM('P&amp;L Month'!BJ99:BU99)</f>
        <v>0</v>
      </c>
      <c r="O99" s="291"/>
      <c r="P99" s="20">
        <f>SUM('P&amp;L Month'!BL99:BW99)</f>
        <v>0</v>
      </c>
      <c r="Q99" s="291"/>
    </row>
    <row r="100" spans="1:17">
      <c r="A100" s="57"/>
      <c r="B100" s="57" t="s">
        <v>95</v>
      </c>
      <c r="C100" s="58"/>
      <c r="D100" s="58"/>
      <c r="E100" s="58"/>
      <c r="F100" s="58"/>
      <c r="G100" s="28" t="s">
        <v>96</v>
      </c>
      <c r="H100" s="20"/>
      <c r="I100" s="20">
        <f>SUM('P&amp;L Month'!N100:AK100)</f>
        <v>0</v>
      </c>
      <c r="J100" s="20">
        <f>SUM('P&amp;L Month'!AL100:AW100)</f>
        <v>0</v>
      </c>
      <c r="K100" s="291"/>
      <c r="L100" s="20">
        <f>SUM('P&amp;L Month'!AX100:BI100)</f>
        <v>0</v>
      </c>
      <c r="M100" s="291"/>
      <c r="N100" s="20">
        <f>SUM('P&amp;L Month'!BJ100:BU100)</f>
        <v>0</v>
      </c>
      <c r="O100" s="291"/>
      <c r="P100" s="20">
        <f>SUM('P&amp;L Month'!BL100:BW100)</f>
        <v>0</v>
      </c>
      <c r="Q100" s="291"/>
    </row>
    <row r="101" spans="1:17">
      <c r="K101" s="291"/>
      <c r="M101" s="291"/>
      <c r="O101" s="291"/>
      <c r="Q101" s="291"/>
    </row>
    <row r="102" spans="1:17">
      <c r="A102" s="45"/>
      <c r="B102" s="56"/>
      <c r="C102" s="45" t="s">
        <v>97</v>
      </c>
      <c r="D102" s="45"/>
      <c r="E102" s="45"/>
      <c r="F102" s="53" t="s">
        <v>98</v>
      </c>
      <c r="G102" s="28" t="s">
        <v>99</v>
      </c>
      <c r="H102" s="23"/>
      <c r="I102" s="23">
        <f>SUM(I98:I101)</f>
        <v>0</v>
      </c>
      <c r="J102" s="23">
        <f>SUM(J98:J101)</f>
        <v>0</v>
      </c>
      <c r="K102" s="291"/>
      <c r="L102" s="23">
        <f>SUM(L98:L101)</f>
        <v>0</v>
      </c>
      <c r="M102" s="291"/>
      <c r="N102" s="23">
        <f>SUM(N98:N101)</f>
        <v>0</v>
      </c>
      <c r="O102" s="291"/>
      <c r="P102" s="23">
        <f>SUM(P98:P101)</f>
        <v>0</v>
      </c>
      <c r="Q102" s="291"/>
    </row>
    <row r="103" spans="1:17">
      <c r="K103" s="291"/>
      <c r="M103" s="291"/>
      <c r="O103" s="291"/>
      <c r="Q103" s="291"/>
    </row>
    <row r="104" spans="1:17">
      <c r="A104" s="58"/>
      <c r="B104" s="58" t="s">
        <v>100</v>
      </c>
      <c r="C104" s="58"/>
      <c r="D104" s="58"/>
      <c r="E104" s="58"/>
      <c r="F104" s="58"/>
      <c r="G104" s="28" t="s">
        <v>101</v>
      </c>
      <c r="H104" s="20"/>
      <c r="I104" s="20">
        <f>SUM('P&amp;L Month'!N104:AK104)</f>
        <v>0</v>
      </c>
      <c r="J104" s="20">
        <f>SUM('P&amp;L Month'!AL104:AW104)</f>
        <v>0</v>
      </c>
      <c r="K104" s="291"/>
      <c r="L104" s="20">
        <f>SUM('P&amp;L Month'!AX104:BI104)</f>
        <v>0</v>
      </c>
      <c r="M104" s="291"/>
      <c r="N104" s="20">
        <f>SUM('P&amp;L Month'!BJ104:BU104)</f>
        <v>0</v>
      </c>
      <c r="O104" s="291"/>
      <c r="P104" s="20">
        <f>SUM('P&amp;L Month'!BL104:BW104)</f>
        <v>0</v>
      </c>
      <c r="Q104" s="291"/>
    </row>
    <row r="105" spans="1:17">
      <c r="A105" s="58"/>
      <c r="B105" s="57" t="s">
        <v>102</v>
      </c>
      <c r="C105" s="58"/>
      <c r="D105" s="58"/>
      <c r="E105" s="58"/>
      <c r="F105" s="58"/>
      <c r="G105" s="28" t="s">
        <v>103</v>
      </c>
      <c r="H105" s="20"/>
      <c r="I105" s="20">
        <f>SUM('P&amp;L Month'!N105:AK105)</f>
        <v>0</v>
      </c>
      <c r="J105" s="20">
        <f>SUM('P&amp;L Month'!AL105:AW105)</f>
        <v>0</v>
      </c>
      <c r="K105" s="291"/>
      <c r="L105" s="20">
        <f>SUM('P&amp;L Month'!AX105:BI105)</f>
        <v>0</v>
      </c>
      <c r="M105" s="291"/>
      <c r="N105" s="20">
        <f>SUM('P&amp;L Month'!BJ105:BU105)</f>
        <v>0</v>
      </c>
      <c r="O105" s="291"/>
      <c r="P105" s="20">
        <f>SUM('P&amp;L Month'!BL105:BW105)</f>
        <v>0</v>
      </c>
      <c r="Q105" s="291"/>
    </row>
    <row r="106" spans="1:17">
      <c r="A106" s="58"/>
      <c r="B106" s="57" t="s">
        <v>104</v>
      </c>
      <c r="C106" s="58"/>
      <c r="D106" s="58"/>
      <c r="E106" s="58"/>
      <c r="F106" s="58"/>
      <c r="G106" s="28" t="s">
        <v>105</v>
      </c>
      <c r="H106" s="20"/>
      <c r="I106" s="20">
        <f>SUM('P&amp;L Month'!N106:AK106)</f>
        <v>0</v>
      </c>
      <c r="J106" s="20">
        <f>SUM('P&amp;L Month'!AL106:AW106)</f>
        <v>0</v>
      </c>
      <c r="K106" s="291"/>
      <c r="L106" s="20">
        <f>SUM('P&amp;L Month'!AX106:BI106)</f>
        <v>0</v>
      </c>
      <c r="M106" s="291"/>
      <c r="N106" s="20">
        <f>SUM('P&amp;L Month'!BJ106:BU106)</f>
        <v>0</v>
      </c>
      <c r="O106" s="291"/>
      <c r="P106" s="20">
        <f>SUM('P&amp;L Month'!BL106:BW106)</f>
        <v>0</v>
      </c>
      <c r="Q106" s="291"/>
    </row>
    <row r="107" spans="1:17">
      <c r="A107" s="58"/>
      <c r="B107" s="58"/>
      <c r="C107" s="58"/>
      <c r="D107" s="58"/>
      <c r="E107" s="58"/>
      <c r="F107" s="58"/>
      <c r="G107" s="28"/>
      <c r="H107" s="59"/>
      <c r="I107" s="59"/>
      <c r="J107" s="59"/>
      <c r="K107" s="291"/>
      <c r="L107" s="59"/>
      <c r="M107" s="291"/>
      <c r="N107" s="59"/>
      <c r="O107" s="291"/>
      <c r="P107" s="59"/>
      <c r="Q107" s="291"/>
    </row>
    <row r="108" spans="1:17">
      <c r="A108" s="45"/>
      <c r="B108" s="56"/>
      <c r="C108" s="45" t="s">
        <v>106</v>
      </c>
      <c r="D108" s="45"/>
      <c r="E108" s="45"/>
      <c r="F108" s="53" t="s">
        <v>107</v>
      </c>
      <c r="G108" s="28" t="s">
        <v>108</v>
      </c>
      <c r="H108" s="23"/>
      <c r="I108" s="23">
        <f>SUM(I104:I107)</f>
        <v>0</v>
      </c>
      <c r="J108" s="23">
        <f>SUM(J104:J107)</f>
        <v>0</v>
      </c>
      <c r="K108" s="291"/>
      <c r="L108" s="23">
        <f>SUM(L104:L107)</f>
        <v>0</v>
      </c>
      <c r="M108" s="291"/>
      <c r="N108" s="23">
        <f>SUM(N104:N107)</f>
        <v>0</v>
      </c>
      <c r="O108" s="291"/>
      <c r="P108" s="23">
        <f>SUM(P104:P107)</f>
        <v>0</v>
      </c>
      <c r="Q108" s="291"/>
    </row>
    <row r="109" spans="1:17">
      <c r="K109" s="291"/>
      <c r="M109" s="291"/>
      <c r="O109" s="291"/>
      <c r="Q109" s="291"/>
    </row>
    <row r="110" spans="1:17">
      <c r="A110" s="45">
        <v>3</v>
      </c>
      <c r="B110" s="56" t="s">
        <v>109</v>
      </c>
      <c r="C110" s="45"/>
      <c r="D110" s="45"/>
      <c r="E110" s="45"/>
      <c r="F110" s="53"/>
      <c r="G110" s="28" t="s">
        <v>110</v>
      </c>
      <c r="H110" s="23"/>
      <c r="I110" s="23">
        <f>I102-I108</f>
        <v>0</v>
      </c>
      <c r="J110" s="23">
        <f>J102-J108</f>
        <v>0</v>
      </c>
      <c r="K110" s="291"/>
      <c r="L110" s="23">
        <f>L102-L108</f>
        <v>0</v>
      </c>
      <c r="M110" s="291"/>
      <c r="N110" s="23">
        <f>N102-N108</f>
        <v>0</v>
      </c>
      <c r="O110" s="291"/>
      <c r="P110" s="23">
        <f>P102-P108</f>
        <v>0</v>
      </c>
      <c r="Q110" s="291"/>
    </row>
    <row r="111" spans="1:17">
      <c r="K111" s="291"/>
      <c r="M111" s="291"/>
      <c r="O111" s="291"/>
      <c r="Q111" s="291"/>
    </row>
    <row r="112" spans="1:17">
      <c r="A112" s="58"/>
      <c r="B112" s="57" t="s">
        <v>111</v>
      </c>
      <c r="C112" s="58"/>
      <c r="D112" s="58"/>
      <c r="E112" s="58"/>
      <c r="F112" s="55" t="s">
        <v>112</v>
      </c>
      <c r="G112" s="28" t="s">
        <v>113</v>
      </c>
      <c r="H112" s="20"/>
      <c r="I112" s="20">
        <f>SUM('P&amp;L Month'!N112:AK112)</f>
        <v>0</v>
      </c>
      <c r="J112" s="20">
        <f>SUM('P&amp;L Month'!AL112:AW112)</f>
        <v>0</v>
      </c>
      <c r="K112" s="291"/>
      <c r="L112" s="20">
        <f>SUM('P&amp;L Month'!AX112:BI112)</f>
        <v>0</v>
      </c>
      <c r="M112" s="291"/>
      <c r="N112" s="20">
        <f>SUM('P&amp;L Month'!BJ112:BU112)</f>
        <v>0</v>
      </c>
      <c r="O112" s="291"/>
      <c r="P112" s="20">
        <f>SUM('P&amp;L Month'!BL112:BW112)</f>
        <v>0</v>
      </c>
      <c r="Q112" s="291"/>
    </row>
    <row r="113" spans="1:17">
      <c r="A113" s="57"/>
      <c r="B113" s="58" t="s">
        <v>114</v>
      </c>
      <c r="C113" s="58"/>
      <c r="D113" s="58"/>
      <c r="E113" s="58"/>
      <c r="F113" s="55" t="s">
        <v>115</v>
      </c>
      <c r="G113" s="28" t="s">
        <v>116</v>
      </c>
      <c r="H113" s="20"/>
      <c r="I113" s="20">
        <f>SUM('P&amp;L Month'!N113:AK113)</f>
        <v>0</v>
      </c>
      <c r="J113" s="20">
        <f>SUM('P&amp;L Month'!AL113:AW113)</f>
        <v>0</v>
      </c>
      <c r="K113" s="291"/>
      <c r="L113" s="20">
        <f>SUM('P&amp;L Month'!AX113:BI113)</f>
        <v>0</v>
      </c>
      <c r="M113" s="291"/>
      <c r="N113" s="20">
        <f>SUM('P&amp;L Month'!BJ113:BU113)</f>
        <v>0</v>
      </c>
      <c r="O113" s="291"/>
      <c r="P113" s="20">
        <f>SUM('P&amp;L Month'!BL113:BW113)</f>
        <v>30914.011979916046</v>
      </c>
      <c r="Q113" s="291"/>
    </row>
    <row r="114" spans="1:17">
      <c r="K114" s="291"/>
      <c r="M114" s="291"/>
      <c r="O114" s="291"/>
      <c r="Q114" s="291"/>
    </row>
    <row r="115" spans="1:17">
      <c r="A115" s="45"/>
      <c r="B115" s="56"/>
      <c r="C115" s="45" t="s">
        <v>117</v>
      </c>
      <c r="D115" s="45"/>
      <c r="E115" s="45"/>
      <c r="F115" s="53"/>
      <c r="G115" s="28" t="s">
        <v>118</v>
      </c>
      <c r="H115" s="60"/>
      <c r="I115" s="60">
        <f>I19+I74+I83+I102</f>
        <v>0</v>
      </c>
      <c r="J115" s="60">
        <f>J19+J74+J83+J102</f>
        <v>409515.75</v>
      </c>
      <c r="K115" s="291"/>
      <c r="L115" s="60">
        <f>L19+L74+L83+L102</f>
        <v>2633387.7000000002</v>
      </c>
      <c r="M115" s="291"/>
      <c r="N115" s="60">
        <f>N19+N74+N83+N102</f>
        <v>5630361.4000000004</v>
      </c>
      <c r="O115" s="291"/>
      <c r="P115" s="60">
        <f>P19+P74+P83+P102</f>
        <v>6971846.0800000001</v>
      </c>
      <c r="Q115" s="291"/>
    </row>
    <row r="116" spans="1:17">
      <c r="K116" s="291"/>
      <c r="M116" s="291"/>
      <c r="O116" s="291"/>
      <c r="Q116" s="291"/>
    </row>
    <row r="117" spans="1:17">
      <c r="A117" s="45"/>
      <c r="B117" s="56"/>
      <c r="C117" s="45" t="s">
        <v>119</v>
      </c>
      <c r="D117" s="45"/>
      <c r="E117" s="45"/>
      <c r="F117" s="53"/>
      <c r="G117" s="28" t="s">
        <v>120</v>
      </c>
      <c r="H117" s="46"/>
      <c r="I117" s="60">
        <f>I68+I75+I90+I108+I112+I113</f>
        <v>187170.20870087706</v>
      </c>
      <c r="J117" s="60">
        <f>J68+J75+J90+J108+J112+J113</f>
        <v>1545280.1528253162</v>
      </c>
      <c r="K117" s="291"/>
      <c r="L117" s="60">
        <f>L68+L75+L90+L108+L112+L113</f>
        <v>2955055.1337095499</v>
      </c>
      <c r="M117" s="291"/>
      <c r="N117" s="60">
        <f>N68+N75+N90+N108+N112+N113</f>
        <v>4131406.7783230306</v>
      </c>
      <c r="O117" s="291"/>
      <c r="P117" s="60">
        <f>P68+P75+P90+P108+P112+P113</f>
        <v>4687484.1937967567</v>
      </c>
      <c r="Q117" s="291"/>
    </row>
    <row r="118" spans="1:17">
      <c r="K118" s="291"/>
      <c r="M118" s="291"/>
      <c r="O118" s="291"/>
      <c r="Q118" s="291"/>
    </row>
    <row r="119" spans="1:17">
      <c r="A119" s="45">
        <v>4</v>
      </c>
      <c r="B119" s="56" t="s">
        <v>121</v>
      </c>
      <c r="C119" s="45"/>
      <c r="D119" s="45"/>
      <c r="E119" s="45"/>
      <c r="F119" s="53"/>
      <c r="G119" s="28" t="s">
        <v>122</v>
      </c>
      <c r="H119" s="60"/>
      <c r="I119" s="60">
        <f>I115-I117</f>
        <v>-187170.20870087706</v>
      </c>
      <c r="J119" s="60">
        <f>J115-J117</f>
        <v>-1135764.4028253162</v>
      </c>
      <c r="K119" s="293">
        <f>J119/J$19</f>
        <v>-2.7734327747475307</v>
      </c>
      <c r="L119" s="60">
        <f>L115-L117</f>
        <v>-321667.43370954972</v>
      </c>
      <c r="M119" s="293">
        <f>L119/L$19</f>
        <v>-0.12214966816680646</v>
      </c>
      <c r="N119" s="60">
        <f>N115-N117</f>
        <v>1498954.6216769698</v>
      </c>
      <c r="O119" s="293">
        <f>N119/N$19</f>
        <v>0.26622707055305006</v>
      </c>
      <c r="P119" s="60">
        <f>P115-P117</f>
        <v>2284361.8862032434</v>
      </c>
      <c r="Q119" s="293">
        <f>P119/P$19</f>
        <v>0.32765523793710077</v>
      </c>
    </row>
    <row r="120" spans="1:17" s="8" customFormat="1" hidden="1">
      <c r="H120" s="90"/>
      <c r="I120" s="90"/>
      <c r="J120" s="90"/>
      <c r="L120" s="90"/>
      <c r="N120" s="90"/>
      <c r="P120" s="90"/>
    </row>
    <row r="121" spans="1:17" hidden="1">
      <c r="A121" s="45"/>
      <c r="B121" s="56"/>
      <c r="C121" s="45"/>
      <c r="D121" s="45"/>
      <c r="E121" s="45"/>
      <c r="F121" s="53"/>
      <c r="G121" s="28"/>
      <c r="H121" s="60"/>
    </row>
    <row r="122" spans="1:17" hidden="1"/>
    <row r="123" spans="1:17" hidden="1">
      <c r="A123" s="61">
        <v>1</v>
      </c>
      <c r="B123" s="62" t="s">
        <v>123</v>
      </c>
      <c r="C123" s="58"/>
      <c r="D123" s="58"/>
      <c r="E123" s="58"/>
      <c r="F123" s="58"/>
      <c r="G123" s="28" t="s">
        <v>124</v>
      </c>
      <c r="H123" s="59"/>
    </row>
    <row r="124" spans="1:17" hidden="1">
      <c r="A124" s="61">
        <v>2</v>
      </c>
      <c r="B124" s="62" t="s">
        <v>125</v>
      </c>
      <c r="C124" s="58"/>
      <c r="D124" s="58"/>
      <c r="E124" s="58"/>
      <c r="F124" s="58"/>
      <c r="G124" s="28" t="s">
        <v>126</v>
      </c>
      <c r="H124" s="59"/>
    </row>
    <row r="125" spans="1:17" hidden="1">
      <c r="A125" s="61"/>
      <c r="B125" s="57" t="s">
        <v>127</v>
      </c>
      <c r="C125" s="58"/>
      <c r="D125" s="58"/>
      <c r="E125" s="58"/>
      <c r="F125" s="58"/>
      <c r="G125" s="28" t="s">
        <v>128</v>
      </c>
      <c r="H125" s="59"/>
    </row>
    <row r="126" spans="1:17" hidden="1">
      <c r="A126" s="61">
        <v>3</v>
      </c>
      <c r="B126" s="62" t="s">
        <v>129</v>
      </c>
      <c r="C126" s="58"/>
      <c r="D126" s="58"/>
      <c r="E126" s="58"/>
      <c r="F126" s="58"/>
      <c r="G126" s="28" t="s">
        <v>130</v>
      </c>
      <c r="H126" s="59"/>
    </row>
    <row r="127" spans="1:17" hidden="1">
      <c r="A127" s="61"/>
      <c r="B127" s="57" t="s">
        <v>131</v>
      </c>
      <c r="C127" s="58"/>
      <c r="D127" s="58"/>
      <c r="E127" s="58"/>
      <c r="F127" s="58"/>
      <c r="G127" s="28" t="s">
        <v>132</v>
      </c>
      <c r="H127" s="59"/>
    </row>
    <row r="128" spans="1:17" hidden="1">
      <c r="A128" s="61">
        <v>4</v>
      </c>
      <c r="B128" s="62" t="s">
        <v>133</v>
      </c>
      <c r="C128" s="58"/>
      <c r="D128" s="58"/>
      <c r="E128" s="58"/>
      <c r="F128" s="58"/>
      <c r="G128" s="28" t="s">
        <v>134</v>
      </c>
      <c r="H128" s="59"/>
    </row>
    <row r="129" spans="1:8" hidden="1">
      <c r="A129" s="61">
        <v>5</v>
      </c>
      <c r="B129" s="62" t="s">
        <v>135</v>
      </c>
      <c r="C129" s="58"/>
      <c r="D129" s="58"/>
      <c r="E129" s="58"/>
      <c r="F129" s="58"/>
      <c r="G129" s="28" t="s">
        <v>136</v>
      </c>
      <c r="H129" s="59"/>
    </row>
    <row r="130" spans="1:8" hidden="1">
      <c r="A130" s="61">
        <v>6</v>
      </c>
      <c r="B130" s="62" t="s">
        <v>137</v>
      </c>
      <c r="C130" s="58"/>
      <c r="D130" s="58"/>
      <c r="E130" s="58"/>
      <c r="F130" s="58"/>
      <c r="G130" s="28" t="s">
        <v>138</v>
      </c>
      <c r="H130" s="59"/>
    </row>
    <row r="131" spans="1:8" hidden="1">
      <c r="A131" s="61" t="s">
        <v>139</v>
      </c>
      <c r="B131" s="62" t="s">
        <v>140</v>
      </c>
      <c r="C131" s="58"/>
      <c r="D131" s="58"/>
      <c r="E131" s="58"/>
      <c r="F131" s="58"/>
      <c r="G131" s="28" t="s">
        <v>141</v>
      </c>
      <c r="H131" s="59"/>
    </row>
    <row r="132" spans="1:8" hidden="1">
      <c r="A132" s="61">
        <v>9</v>
      </c>
      <c r="B132" s="62" t="s">
        <v>142</v>
      </c>
      <c r="C132" s="58"/>
      <c r="D132" s="58"/>
      <c r="E132" s="58"/>
      <c r="F132" s="58"/>
      <c r="G132" s="28" t="s">
        <v>143</v>
      </c>
      <c r="H132" s="59"/>
    </row>
    <row r="133" spans="1:8" hidden="1">
      <c r="A133" s="61">
        <v>10</v>
      </c>
      <c r="B133" s="62" t="s">
        <v>144</v>
      </c>
      <c r="C133" s="58"/>
      <c r="D133" s="58"/>
      <c r="E133" s="58"/>
      <c r="F133" s="58"/>
      <c r="G133" s="28" t="s">
        <v>145</v>
      </c>
      <c r="H133" s="59"/>
    </row>
    <row r="134" spans="1:8" hidden="1">
      <c r="A134" s="61">
        <v>11</v>
      </c>
      <c r="B134" s="62" t="s">
        <v>146</v>
      </c>
      <c r="C134" s="58"/>
      <c r="D134" s="58"/>
      <c r="E134" s="58"/>
      <c r="F134" s="58"/>
      <c r="G134" s="28" t="s">
        <v>147</v>
      </c>
      <c r="H134" s="59"/>
    </row>
    <row r="135" spans="1:8" hidden="1">
      <c r="A135" s="61">
        <v>12</v>
      </c>
      <c r="B135" s="62" t="s">
        <v>148</v>
      </c>
      <c r="C135" s="58"/>
      <c r="D135" s="58"/>
      <c r="E135" s="58"/>
      <c r="F135" s="58"/>
      <c r="G135" s="28" t="s">
        <v>149</v>
      </c>
      <c r="H135" s="59"/>
    </row>
    <row r="136" spans="1:8" hidden="1">
      <c r="A136" s="61">
        <v>13</v>
      </c>
      <c r="B136" s="62" t="s">
        <v>150</v>
      </c>
      <c r="C136" s="58"/>
      <c r="D136" s="58"/>
      <c r="E136" s="58"/>
      <c r="F136" s="58"/>
      <c r="G136" s="28"/>
      <c r="H136" s="59"/>
    </row>
  </sheetData>
  <phoneticPr fontId="0" type="noConversion"/>
  <pageMargins left="0.36" right="0.43" top="0.984251969" bottom="0.984251969" header="0.4921259845" footer="0.4921259845"/>
  <pageSetup paperSize="9" scale="60" orientation="portrait" horizontalDpi="300" verticalDpi="300" r:id="rId1"/>
  <headerFooter alignWithMargins="0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L47"/>
  <sheetViews>
    <sheetView view="pageBreakPreview" zoomScaleNormal="100" zoomScaleSheetLayoutView="100" workbookViewId="0">
      <pane xSplit="5" ySplit="2" topLeftCell="F15" activePane="bottomRight" state="frozen"/>
      <selection activeCell="E11" sqref="E11"/>
      <selection pane="topRight" activeCell="E11" sqref="E11"/>
      <selection pane="bottomLeft" activeCell="E11" sqref="E11"/>
      <selection pane="bottomRight" activeCell="H35" sqref="H35"/>
    </sheetView>
  </sheetViews>
  <sheetFormatPr baseColWidth="10" defaultRowHeight="12.75"/>
  <cols>
    <col min="1" max="2" width="2" customWidth="1"/>
    <col min="3" max="3" width="12.85546875" customWidth="1"/>
    <col min="4" max="4" width="8.42578125" customWidth="1"/>
    <col min="5" max="5" width="4.42578125" customWidth="1"/>
    <col min="6" max="6" width="7.140625" customWidth="1"/>
    <col min="7" max="12" width="8.7109375" customWidth="1"/>
    <col min="13" max="18" width="8.7109375" hidden="1" customWidth="1"/>
    <col min="19" max="90" width="8.7109375" customWidth="1"/>
  </cols>
  <sheetData>
    <row r="1" spans="1:90">
      <c r="F1" s="185" t="s">
        <v>307</v>
      </c>
      <c r="G1" s="186"/>
      <c r="H1" s="186"/>
      <c r="I1" s="301"/>
      <c r="J1" s="301"/>
      <c r="K1" s="301"/>
      <c r="M1" t="s">
        <v>295</v>
      </c>
      <c r="T1" t="s">
        <v>295</v>
      </c>
    </row>
    <row r="2" spans="1:90">
      <c r="F2" s="210">
        <v>2007</v>
      </c>
      <c r="G2" s="4">
        <v>2009</v>
      </c>
      <c r="H2" s="4" t="s">
        <v>423</v>
      </c>
      <c r="I2" s="210">
        <v>2011</v>
      </c>
      <c r="J2" s="210">
        <v>2012</v>
      </c>
      <c r="K2" s="210">
        <v>2013</v>
      </c>
      <c r="M2" s="112">
        <v>39630</v>
      </c>
      <c r="N2" s="112">
        <v>39661</v>
      </c>
      <c r="O2" s="112">
        <v>39692</v>
      </c>
      <c r="P2" s="112">
        <v>39722</v>
      </c>
      <c r="Q2" s="112">
        <v>39753</v>
      </c>
      <c r="R2" s="112">
        <v>39783</v>
      </c>
      <c r="S2" s="112">
        <v>39814</v>
      </c>
      <c r="T2" s="112">
        <v>39845</v>
      </c>
      <c r="U2" s="112">
        <v>39873</v>
      </c>
      <c r="V2" s="112">
        <v>39904</v>
      </c>
      <c r="W2" s="112">
        <v>39934</v>
      </c>
      <c r="X2" s="112">
        <v>39965</v>
      </c>
      <c r="Y2" s="112">
        <v>39995</v>
      </c>
      <c r="Z2" s="112">
        <v>40026</v>
      </c>
      <c r="AA2" s="112">
        <v>40057</v>
      </c>
      <c r="AB2" s="112">
        <v>40087</v>
      </c>
      <c r="AC2" s="112">
        <v>40118</v>
      </c>
      <c r="AD2" s="112">
        <v>40148</v>
      </c>
      <c r="AE2" s="112">
        <v>40179</v>
      </c>
      <c r="AF2" s="112">
        <v>40210</v>
      </c>
      <c r="AG2" s="112">
        <v>40238</v>
      </c>
      <c r="AH2" s="112">
        <v>40269</v>
      </c>
      <c r="AI2" s="112">
        <v>40299</v>
      </c>
      <c r="AJ2" s="112">
        <v>40330</v>
      </c>
      <c r="AK2" s="112">
        <v>40360</v>
      </c>
      <c r="AL2" s="112">
        <v>40391</v>
      </c>
      <c r="AM2" s="112">
        <v>40422</v>
      </c>
      <c r="AN2" s="112">
        <v>40452</v>
      </c>
      <c r="AO2" s="112">
        <v>40483</v>
      </c>
      <c r="AP2" s="112">
        <v>40513</v>
      </c>
      <c r="AQ2" s="112">
        <v>40544</v>
      </c>
      <c r="AR2" s="112">
        <v>40575</v>
      </c>
      <c r="AS2" s="112">
        <v>40603</v>
      </c>
      <c r="AT2" s="112">
        <v>40634</v>
      </c>
      <c r="AU2" s="112">
        <v>40664</v>
      </c>
      <c r="AV2" s="112">
        <v>40695</v>
      </c>
      <c r="AW2" s="112">
        <v>40725</v>
      </c>
      <c r="AX2" s="112">
        <v>40756</v>
      </c>
      <c r="AY2" s="112">
        <v>40787</v>
      </c>
      <c r="AZ2" s="112">
        <v>40817</v>
      </c>
      <c r="BA2" s="112">
        <v>40848</v>
      </c>
      <c r="BB2" s="112">
        <v>40878</v>
      </c>
      <c r="BC2" s="112">
        <v>40909</v>
      </c>
      <c r="BD2" s="112">
        <v>40940</v>
      </c>
      <c r="BE2" s="112">
        <v>40969</v>
      </c>
      <c r="BF2" s="112">
        <v>41000</v>
      </c>
      <c r="BG2" s="112">
        <v>41030</v>
      </c>
      <c r="BH2" s="112">
        <v>41061</v>
      </c>
      <c r="BI2" s="112">
        <v>41091</v>
      </c>
      <c r="BJ2" s="112">
        <v>41122</v>
      </c>
      <c r="BK2" s="112">
        <v>41153</v>
      </c>
      <c r="BL2" s="112">
        <v>41183</v>
      </c>
      <c r="BM2" s="112">
        <v>41214</v>
      </c>
      <c r="BN2" s="112">
        <v>41244</v>
      </c>
      <c r="BO2" s="112">
        <v>41275</v>
      </c>
      <c r="BP2" s="112">
        <v>41306</v>
      </c>
      <c r="BQ2" s="112">
        <v>41334</v>
      </c>
      <c r="BR2" s="112">
        <v>41365</v>
      </c>
      <c r="BS2" s="112">
        <v>41395</v>
      </c>
      <c r="BT2" s="112">
        <v>41426</v>
      </c>
      <c r="BU2" s="112">
        <v>41456</v>
      </c>
      <c r="BV2" s="112">
        <v>41487</v>
      </c>
      <c r="BW2" s="112">
        <v>41518</v>
      </c>
      <c r="BX2" s="112">
        <v>41548</v>
      </c>
      <c r="BY2" s="112">
        <v>41579</v>
      </c>
      <c r="BZ2" s="112">
        <v>41609</v>
      </c>
      <c r="CA2" s="112">
        <v>41640</v>
      </c>
      <c r="CB2" s="112">
        <v>41671</v>
      </c>
      <c r="CC2" s="112">
        <v>41699</v>
      </c>
      <c r="CD2" s="112">
        <v>41730</v>
      </c>
      <c r="CE2" s="112">
        <v>41760</v>
      </c>
      <c r="CF2" s="112">
        <v>41791</v>
      </c>
      <c r="CG2" s="112">
        <v>41821</v>
      </c>
      <c r="CH2" s="112">
        <v>41852</v>
      </c>
      <c r="CI2" s="112">
        <v>41883</v>
      </c>
      <c r="CJ2" s="112">
        <v>41913</v>
      </c>
      <c r="CK2" s="112">
        <v>41944</v>
      </c>
      <c r="CL2" s="112">
        <v>41974</v>
      </c>
    </row>
    <row r="3" spans="1:90">
      <c r="A3" s="12" t="s">
        <v>205</v>
      </c>
      <c r="B3" s="12"/>
    </row>
    <row r="4" spans="1:90">
      <c r="B4" s="12" t="s">
        <v>191</v>
      </c>
      <c r="F4" s="15"/>
      <c r="G4" s="15"/>
      <c r="H4" s="15"/>
      <c r="I4" s="15"/>
      <c r="J4" s="15"/>
      <c r="K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</row>
    <row r="5" spans="1:90">
      <c r="C5" t="s">
        <v>417</v>
      </c>
      <c r="F5" s="102">
        <f xml:space="preserve"> +AD5</f>
        <v>250000</v>
      </c>
      <c r="G5" s="102">
        <f>+AD5</f>
        <v>250000</v>
      </c>
      <c r="H5" s="102">
        <f>+AP5</f>
        <v>250000</v>
      </c>
      <c r="I5" s="102">
        <f xml:space="preserve"> +BB5</f>
        <v>250000</v>
      </c>
      <c r="J5" s="102">
        <f>+BN5</f>
        <v>250000</v>
      </c>
      <c r="K5" s="102">
        <f>+BZ5</f>
        <v>250000</v>
      </c>
      <c r="M5" s="102">
        <f>SUM(invest!$G13:G13)</f>
        <v>0</v>
      </c>
      <c r="N5" s="102">
        <f>SUM(invest!$G13:H13)</f>
        <v>0</v>
      </c>
      <c r="O5" s="102">
        <f>SUM(invest!$G13:I13)</f>
        <v>0</v>
      </c>
      <c r="P5" s="102">
        <f>SUM(invest!$G13:J13)</f>
        <v>0</v>
      </c>
      <c r="Q5" s="102">
        <f>SUM(invest!$G13:K13)</f>
        <v>0</v>
      </c>
      <c r="R5" s="102">
        <f>SUM(invest!$G13:L13)</f>
        <v>0</v>
      </c>
      <c r="S5" s="102">
        <f>SUM(invest!$G13:M13)</f>
        <v>0</v>
      </c>
      <c r="T5" s="102">
        <f>SUM(invest!$G13:N13)</f>
        <v>0</v>
      </c>
      <c r="U5" s="102">
        <f>SUM(invest!$G13:O13)</f>
        <v>0</v>
      </c>
      <c r="V5" s="102">
        <f>SUM(invest!$G13:P13)</f>
        <v>0</v>
      </c>
      <c r="W5" s="102">
        <f>SUM(invest!$G13:Q13)</f>
        <v>0</v>
      </c>
      <c r="X5" s="102">
        <f>SUM(invest!$G13:R13)</f>
        <v>0</v>
      </c>
      <c r="Y5" s="102">
        <f>SUM(invest!$G13:S13)</f>
        <v>0</v>
      </c>
      <c r="Z5" s="102">
        <f>SUM(invest!$G13:T13)</f>
        <v>0</v>
      </c>
      <c r="AA5" s="102">
        <v>0</v>
      </c>
      <c r="AB5" s="102">
        <v>0</v>
      </c>
      <c r="AC5" s="102">
        <v>0</v>
      </c>
      <c r="AD5" s="102">
        <f>SUM(invest!$G13:X13)</f>
        <v>250000</v>
      </c>
      <c r="AE5" s="102">
        <f>SUM(invest!$G13:Y13)</f>
        <v>250000</v>
      </c>
      <c r="AF5" s="102">
        <f>SUM(invest!$G13:Z13)</f>
        <v>250000</v>
      </c>
      <c r="AG5" s="102">
        <f>SUM(invest!$G13:AA13)</f>
        <v>250000</v>
      </c>
      <c r="AH5" s="102">
        <f>SUM(invest!$G13:AB13)</f>
        <v>250000</v>
      </c>
      <c r="AI5" s="102">
        <f>SUM(invest!$G13:AC13)</f>
        <v>250000</v>
      </c>
      <c r="AJ5" s="102">
        <f>SUM(invest!$G13:AD13)</f>
        <v>250000</v>
      </c>
      <c r="AK5" s="102">
        <f>SUM(invest!$G13:AE13)</f>
        <v>250000</v>
      </c>
      <c r="AL5" s="102">
        <f>SUM(invest!$G13:AF13)</f>
        <v>250000</v>
      </c>
      <c r="AM5" s="102">
        <f>SUM(invest!$G13:AG13)</f>
        <v>250000</v>
      </c>
      <c r="AN5" s="102">
        <f>SUM(invest!$G13:AH13)</f>
        <v>250000</v>
      </c>
      <c r="AO5" s="102">
        <f>SUM(invest!$G13:AI13)</f>
        <v>250000</v>
      </c>
      <c r="AP5" s="102">
        <f>SUM(invest!$G13:AJ13)</f>
        <v>250000</v>
      </c>
      <c r="AQ5" s="102">
        <f>SUM(invest!$G13:AK13)</f>
        <v>250000</v>
      </c>
      <c r="AR5" s="102">
        <f>SUM(invest!$G13:AL13)</f>
        <v>250000</v>
      </c>
      <c r="AS5" s="102">
        <f>SUM(invest!$G13:AM13)</f>
        <v>250000</v>
      </c>
      <c r="AT5" s="102">
        <f>SUM(invest!$G13:AN13)</f>
        <v>250000</v>
      </c>
      <c r="AU5" s="102">
        <f>SUM(invest!$G13:AO13)</f>
        <v>250000</v>
      </c>
      <c r="AV5" s="102">
        <f>SUM(invest!$G13:AP13)</f>
        <v>250000</v>
      </c>
      <c r="AW5" s="102">
        <f>SUM(invest!$G13:AQ13)</f>
        <v>250000</v>
      </c>
      <c r="AX5" s="102">
        <f>SUM(invest!$G13:AR13)</f>
        <v>250000</v>
      </c>
      <c r="AY5" s="102">
        <f>SUM(invest!$G13:AS13)</f>
        <v>250000</v>
      </c>
      <c r="AZ5" s="102">
        <f>SUM(invest!$G13:AT13)</f>
        <v>250000</v>
      </c>
      <c r="BA5" s="102">
        <f>SUM(invest!$G13:AU13)</f>
        <v>250000</v>
      </c>
      <c r="BB5" s="102">
        <f>SUM(invest!$G13:AV13)</f>
        <v>250000</v>
      </c>
      <c r="BC5" s="102">
        <f>SUM(invest!$G13:AW13)</f>
        <v>250000</v>
      </c>
      <c r="BD5" s="102">
        <f>SUM(invest!$G13:AX13)</f>
        <v>250000</v>
      </c>
      <c r="BE5" s="102">
        <f>SUM(invest!$G13:AY13)</f>
        <v>250000</v>
      </c>
      <c r="BF5" s="102">
        <f>SUM(invest!$G13:AZ13)</f>
        <v>250000</v>
      </c>
      <c r="BG5" s="102">
        <f>SUM(invest!$G13:BA13)</f>
        <v>250000</v>
      </c>
      <c r="BH5" s="102">
        <f>SUM(invest!$G13:BB13)</f>
        <v>250000</v>
      </c>
      <c r="BI5" s="102">
        <f>SUM(invest!$G13:BC13)</f>
        <v>250000</v>
      </c>
      <c r="BJ5" s="102">
        <f>SUM(invest!$G13:BD13)</f>
        <v>250000</v>
      </c>
      <c r="BK5" s="102">
        <f>SUM(invest!$G13:BE13)</f>
        <v>250000</v>
      </c>
      <c r="BL5" s="102">
        <f>SUM(invest!$G13:BF13)</f>
        <v>250000</v>
      </c>
      <c r="BM5" s="102">
        <f>SUM(invest!$G13:BG13)</f>
        <v>250000</v>
      </c>
      <c r="BN5" s="102">
        <f>SUM(invest!$G13:BH13)</f>
        <v>250000</v>
      </c>
      <c r="BO5" s="102">
        <f>SUM(invest!$G13:BI13)</f>
        <v>250000</v>
      </c>
      <c r="BP5" s="102">
        <f>SUM(invest!$G13:BJ13)</f>
        <v>250000</v>
      </c>
      <c r="BQ5" s="102">
        <f>SUM(invest!$G13:BK13)</f>
        <v>250000</v>
      </c>
      <c r="BR5" s="102">
        <f>SUM(invest!$G13:BL13)</f>
        <v>250000</v>
      </c>
      <c r="BS5" s="102">
        <f>SUM(invest!$G13:BM13)</f>
        <v>250000</v>
      </c>
      <c r="BT5" s="102">
        <f>SUM(invest!$G13:BN13)</f>
        <v>250000</v>
      </c>
      <c r="BU5" s="102">
        <f>SUM(invest!$G13:BO13)</f>
        <v>250000</v>
      </c>
      <c r="BV5" s="102">
        <f>SUM(invest!$G13:BP13)</f>
        <v>250000</v>
      </c>
      <c r="BW5" s="102">
        <f>SUM(invest!$G13:BQ13)</f>
        <v>250000</v>
      </c>
      <c r="BX5" s="102">
        <f>SUM(invest!$G13:BR13)</f>
        <v>250000</v>
      </c>
      <c r="BY5" s="102">
        <f>SUM(invest!$G13:BS13)</f>
        <v>250000</v>
      </c>
      <c r="BZ5" s="102">
        <f>SUM(invest!$G13:BT13)</f>
        <v>250000</v>
      </c>
      <c r="CA5" s="102">
        <f>SUM(invest!$G13:CG13)</f>
        <v>250000</v>
      </c>
      <c r="CB5" s="102">
        <f>SUM(invest!$G13:CH13)</f>
        <v>250000</v>
      </c>
      <c r="CC5" s="102">
        <f>SUM(invest!$G13:CI13)</f>
        <v>250000</v>
      </c>
      <c r="CD5" s="102">
        <f>SUM(invest!$G13:CJ13)</f>
        <v>250000</v>
      </c>
      <c r="CE5" s="102">
        <f>SUM(invest!$G13:CK13)</f>
        <v>250000</v>
      </c>
      <c r="CF5" s="102">
        <f>SUM(invest!$G13:CL13)</f>
        <v>250000</v>
      </c>
      <c r="CG5" s="102">
        <f>SUM(invest!$G13:CM13)</f>
        <v>250000</v>
      </c>
      <c r="CH5" s="102">
        <f>SUM(invest!$G13:CN13)</f>
        <v>250000</v>
      </c>
      <c r="CI5" s="102">
        <f>SUM(invest!$G13:CO13)</f>
        <v>250000</v>
      </c>
      <c r="CJ5" s="102">
        <f>SUM(invest!$G13:CP13)</f>
        <v>250000</v>
      </c>
      <c r="CK5" s="102">
        <f>SUM(invest!$G13:CQ13)</f>
        <v>250000</v>
      </c>
      <c r="CL5" s="102">
        <f>SUM(invest!$G13:CR13)</f>
        <v>250000</v>
      </c>
    </row>
    <row r="6" spans="1:90">
      <c r="C6" t="s">
        <v>211</v>
      </c>
      <c r="F6" s="102">
        <f xml:space="preserve"> +AD6</f>
        <v>0</v>
      </c>
      <c r="G6" s="102">
        <f>+AD6</f>
        <v>0</v>
      </c>
      <c r="H6" s="102">
        <f>+AP6</f>
        <v>8000</v>
      </c>
      <c r="I6" s="102">
        <f xml:space="preserve"> +BB6</f>
        <v>32000</v>
      </c>
      <c r="J6" s="102">
        <f>+BN6</f>
        <v>50000</v>
      </c>
      <c r="K6" s="102">
        <f>+BZ6</f>
        <v>50000</v>
      </c>
      <c r="M6" s="102">
        <f>SUM(invest!$G24:G24)</f>
        <v>0</v>
      </c>
      <c r="N6" s="102">
        <f>SUM(invest!$G24:H24)</f>
        <v>0</v>
      </c>
      <c r="O6" s="102">
        <f>SUM(invest!$G24:I24)</f>
        <v>0</v>
      </c>
      <c r="P6" s="102">
        <f>SUM(invest!$G24:J24)</f>
        <v>0</v>
      </c>
      <c r="Q6" s="102">
        <f>SUM(invest!$G24:K24)</f>
        <v>0</v>
      </c>
      <c r="R6" s="102">
        <f>SUM(invest!$G24:L24)</f>
        <v>0</v>
      </c>
      <c r="S6" s="102">
        <f>SUM(invest!$G24:M24)</f>
        <v>0</v>
      </c>
      <c r="T6" s="102">
        <f>SUM(invest!$G24:N24)</f>
        <v>0</v>
      </c>
      <c r="U6" s="102">
        <f>SUM(invest!$G24:O24)</f>
        <v>0</v>
      </c>
      <c r="V6" s="102">
        <f>SUM(invest!$G24:P24)</f>
        <v>0</v>
      </c>
      <c r="W6" s="102">
        <f>SUM(invest!$G24:Q24)</f>
        <v>0</v>
      </c>
      <c r="X6" s="102">
        <f>SUM(invest!$G24:R24)</f>
        <v>0</v>
      </c>
      <c r="Y6" s="102">
        <f>SUM(invest!$G24:S24)</f>
        <v>0</v>
      </c>
      <c r="Z6" s="102">
        <f>SUM(invest!$G24:T24)</f>
        <v>0</v>
      </c>
      <c r="AA6" s="102">
        <f>SUM(invest!$G24:U24)</f>
        <v>0</v>
      </c>
      <c r="AB6" s="102">
        <f>SUM(invest!$G24:V24)</f>
        <v>0</v>
      </c>
      <c r="AC6" s="102">
        <f>SUM(invest!$G24:W24)</f>
        <v>0</v>
      </c>
      <c r="AD6" s="102">
        <f>SUM(invest!$G24:X24)</f>
        <v>0</v>
      </c>
      <c r="AE6" s="102">
        <f>SUM(invest!$G24:Y24)</f>
        <v>0</v>
      </c>
      <c r="AF6" s="102">
        <f>SUM(invest!$G24:Z24)</f>
        <v>0</v>
      </c>
      <c r="AG6" s="102">
        <f>SUM(invest!$G24:AA24)</f>
        <v>0</v>
      </c>
      <c r="AH6" s="102">
        <f>SUM(invest!$G24:AB24)</f>
        <v>0</v>
      </c>
      <c r="AI6" s="102">
        <f>SUM(invest!$G24:AC24)</f>
        <v>0</v>
      </c>
      <c r="AJ6" s="102">
        <f>SUM(invest!$G24:AD24)</f>
        <v>0</v>
      </c>
      <c r="AK6" s="102">
        <f>SUM(invest!$G24:AE24)</f>
        <v>0</v>
      </c>
      <c r="AL6" s="102">
        <f>SUM(invest!$G24:AF24)</f>
        <v>0</v>
      </c>
      <c r="AM6" s="102">
        <f>SUM(invest!$G24:AG24)</f>
        <v>8000</v>
      </c>
      <c r="AN6" s="102">
        <f>SUM(invest!$G24:AH24)</f>
        <v>8000</v>
      </c>
      <c r="AO6" s="102">
        <f>SUM(invest!$G24:AI24)</f>
        <v>8000</v>
      </c>
      <c r="AP6" s="102">
        <f>SUM(invest!$G24:AJ24)</f>
        <v>8000</v>
      </c>
      <c r="AQ6" s="102">
        <f>SUM(invest!$G24:AK24)</f>
        <v>8000</v>
      </c>
      <c r="AR6" s="102">
        <f>SUM(invest!$G24:AL24)</f>
        <v>8000</v>
      </c>
      <c r="AS6" s="102">
        <f>SUM(invest!$G24:AM24)</f>
        <v>8000</v>
      </c>
      <c r="AT6" s="102">
        <f>SUM(invest!$G24:AN24)</f>
        <v>8000</v>
      </c>
      <c r="AU6" s="102">
        <f>SUM(invest!$G24:AO24)</f>
        <v>8000</v>
      </c>
      <c r="AV6" s="102">
        <f>SUM(invest!$G24:AP24)</f>
        <v>8000</v>
      </c>
      <c r="AW6" s="102">
        <f>SUM(invest!$G24:AQ24)</f>
        <v>32000</v>
      </c>
      <c r="AX6" s="102">
        <f>SUM(invest!$G24:AR24)</f>
        <v>32000</v>
      </c>
      <c r="AY6" s="102">
        <f>SUM(invest!$G24:AS24)</f>
        <v>32000</v>
      </c>
      <c r="AZ6" s="102">
        <f>SUM(invest!$G24:AT24)</f>
        <v>32000</v>
      </c>
      <c r="BA6" s="102">
        <f>SUM(invest!$G24:AU24)</f>
        <v>32000</v>
      </c>
      <c r="BB6" s="102">
        <f>SUM(invest!$G24:AV24)</f>
        <v>32000</v>
      </c>
      <c r="BC6" s="102">
        <f>SUM(invest!$G24:AW24)</f>
        <v>32000</v>
      </c>
      <c r="BD6" s="102">
        <f>SUM(invest!$G24:AX24)</f>
        <v>32000</v>
      </c>
      <c r="BE6" s="102">
        <f>SUM(invest!$G24:AY24)</f>
        <v>32000</v>
      </c>
      <c r="BF6" s="102">
        <f>SUM(invest!$G24:AZ24)</f>
        <v>32000</v>
      </c>
      <c r="BG6" s="102">
        <f>SUM(invest!$G24:BA24)</f>
        <v>32000</v>
      </c>
      <c r="BH6" s="102">
        <f>SUM(invest!$G24:BB24)</f>
        <v>32000</v>
      </c>
      <c r="BI6" s="102">
        <f>SUM(invest!$G24:BC24)</f>
        <v>50000</v>
      </c>
      <c r="BJ6" s="102">
        <f>SUM(invest!$G24:BD24)</f>
        <v>50000</v>
      </c>
      <c r="BK6" s="102">
        <f>SUM(invest!$G24:BE24)</f>
        <v>50000</v>
      </c>
      <c r="BL6" s="102">
        <f>SUM(invest!$G24:BF24)</f>
        <v>50000</v>
      </c>
      <c r="BM6" s="102">
        <f>SUM(invest!$G24:BG24)</f>
        <v>50000</v>
      </c>
      <c r="BN6" s="102">
        <f>SUM(invest!$G24:BH24)</f>
        <v>50000</v>
      </c>
      <c r="BO6" s="102">
        <f>SUM(invest!$G24:BI24)</f>
        <v>50000</v>
      </c>
      <c r="BP6" s="102">
        <f>SUM(invest!$G24:BJ24)</f>
        <v>50000</v>
      </c>
      <c r="BQ6" s="102">
        <f>SUM(invest!$G24:BK24)</f>
        <v>50000</v>
      </c>
      <c r="BR6" s="102">
        <f>SUM(invest!$G24:BL24)</f>
        <v>50000</v>
      </c>
      <c r="BS6" s="102">
        <f>SUM(invest!$G24:BM24)</f>
        <v>50000</v>
      </c>
      <c r="BT6" s="102">
        <f>SUM(invest!$G24:BN24)</f>
        <v>50000</v>
      </c>
      <c r="BU6" s="102">
        <f>SUM(invest!$G24:BO24)</f>
        <v>50000</v>
      </c>
      <c r="BV6" s="102">
        <f>SUM(invest!$G24:BP24)</f>
        <v>50000</v>
      </c>
      <c r="BW6" s="102">
        <f>SUM(invest!$G24:BQ24)</f>
        <v>50000</v>
      </c>
      <c r="BX6" s="102">
        <f>SUM(invest!$G24:BR24)</f>
        <v>50000</v>
      </c>
      <c r="BY6" s="102">
        <f>SUM(invest!$G24:BS24)</f>
        <v>50000</v>
      </c>
      <c r="BZ6" s="102">
        <f>SUM(invest!$G24:BT24)</f>
        <v>50000</v>
      </c>
      <c r="CA6" s="102">
        <f>SUM(invest!$G24:CG24)</f>
        <v>50000</v>
      </c>
      <c r="CB6" s="102">
        <f>SUM(invest!$G24:CH24)</f>
        <v>50000</v>
      </c>
      <c r="CC6" s="102">
        <f>SUM(invest!$G24:CI24)</f>
        <v>50000</v>
      </c>
      <c r="CD6" s="102">
        <f>SUM(invest!$G24:CJ24)</f>
        <v>50000</v>
      </c>
      <c r="CE6" s="102">
        <f>SUM(invest!$G24:CK24)</f>
        <v>50000</v>
      </c>
      <c r="CF6" s="102">
        <f>SUM(invest!$G24:CL24)</f>
        <v>50000</v>
      </c>
      <c r="CG6" s="102">
        <f>SUM(invest!$G24:CM24)</f>
        <v>50000</v>
      </c>
      <c r="CH6" s="102">
        <f>SUM(invest!$G24:CN24)</f>
        <v>50000</v>
      </c>
      <c r="CI6" s="102">
        <f>SUM(invest!$G24:CO24)</f>
        <v>50000</v>
      </c>
      <c r="CJ6" s="102">
        <f>SUM(invest!$G24:CP24)</f>
        <v>50000</v>
      </c>
      <c r="CK6" s="102">
        <f>SUM(invest!$G24:CQ24)</f>
        <v>50000</v>
      </c>
      <c r="CL6" s="102">
        <f>SUM(invest!$G24:CR24)</f>
        <v>50000</v>
      </c>
    </row>
    <row r="7" spans="1:90">
      <c r="C7" s="161" t="s">
        <v>1</v>
      </c>
      <c r="D7" s="161"/>
      <c r="E7" s="161"/>
      <c r="F7" s="162">
        <f t="shared" ref="F7:K7" si="0">F6+F5</f>
        <v>250000</v>
      </c>
      <c r="G7" s="162">
        <f t="shared" si="0"/>
        <v>250000</v>
      </c>
      <c r="H7" s="162">
        <f t="shared" si="0"/>
        <v>258000</v>
      </c>
      <c r="I7" s="162">
        <f t="shared" si="0"/>
        <v>282000</v>
      </c>
      <c r="J7" s="162">
        <f t="shared" si="0"/>
        <v>300000</v>
      </c>
      <c r="K7" s="162">
        <f t="shared" si="0"/>
        <v>300000</v>
      </c>
      <c r="M7" s="162">
        <f>M6+M5</f>
        <v>0</v>
      </c>
      <c r="N7" s="162">
        <f>N6+N5</f>
        <v>0</v>
      </c>
      <c r="O7" s="162">
        <f>O6+O5</f>
        <v>0</v>
      </c>
      <c r="P7" s="162">
        <f t="shared" ref="P7:BH7" si="1">P6+P5</f>
        <v>0</v>
      </c>
      <c r="Q7" s="162">
        <f t="shared" si="1"/>
        <v>0</v>
      </c>
      <c r="R7" s="162">
        <f t="shared" si="1"/>
        <v>0</v>
      </c>
      <c r="S7" s="162">
        <f t="shared" si="1"/>
        <v>0</v>
      </c>
      <c r="T7" s="162">
        <f t="shared" si="1"/>
        <v>0</v>
      </c>
      <c r="U7" s="162">
        <f t="shared" si="1"/>
        <v>0</v>
      </c>
      <c r="V7" s="162">
        <f t="shared" si="1"/>
        <v>0</v>
      </c>
      <c r="W7" s="162">
        <f t="shared" si="1"/>
        <v>0</v>
      </c>
      <c r="X7" s="162">
        <f t="shared" si="1"/>
        <v>0</v>
      </c>
      <c r="Y7" s="162">
        <f t="shared" si="1"/>
        <v>0</v>
      </c>
      <c r="Z7" s="162">
        <f t="shared" si="1"/>
        <v>0</v>
      </c>
      <c r="AA7" s="162">
        <f t="shared" si="1"/>
        <v>0</v>
      </c>
      <c r="AB7" s="162">
        <f t="shared" si="1"/>
        <v>0</v>
      </c>
      <c r="AC7" s="162">
        <f t="shared" si="1"/>
        <v>0</v>
      </c>
      <c r="AD7" s="162">
        <f t="shared" si="1"/>
        <v>250000</v>
      </c>
      <c r="AE7" s="162">
        <f t="shared" si="1"/>
        <v>250000</v>
      </c>
      <c r="AF7" s="162">
        <f t="shared" si="1"/>
        <v>250000</v>
      </c>
      <c r="AG7" s="162">
        <f t="shared" si="1"/>
        <v>250000</v>
      </c>
      <c r="AH7" s="162">
        <f t="shared" si="1"/>
        <v>250000</v>
      </c>
      <c r="AI7" s="162">
        <f t="shared" si="1"/>
        <v>250000</v>
      </c>
      <c r="AJ7" s="162">
        <f t="shared" si="1"/>
        <v>250000</v>
      </c>
      <c r="AK7" s="162">
        <f t="shared" si="1"/>
        <v>250000</v>
      </c>
      <c r="AL7" s="162">
        <f t="shared" si="1"/>
        <v>250000</v>
      </c>
      <c r="AM7" s="162">
        <f t="shared" si="1"/>
        <v>258000</v>
      </c>
      <c r="AN7" s="162">
        <f t="shared" si="1"/>
        <v>258000</v>
      </c>
      <c r="AO7" s="162">
        <f t="shared" si="1"/>
        <v>258000</v>
      </c>
      <c r="AP7" s="162">
        <f t="shared" si="1"/>
        <v>258000</v>
      </c>
      <c r="AQ7" s="162">
        <f t="shared" si="1"/>
        <v>258000</v>
      </c>
      <c r="AR7" s="162">
        <f t="shared" si="1"/>
        <v>258000</v>
      </c>
      <c r="AS7" s="162">
        <f t="shared" si="1"/>
        <v>258000</v>
      </c>
      <c r="AT7" s="162">
        <f t="shared" si="1"/>
        <v>258000</v>
      </c>
      <c r="AU7" s="162">
        <f t="shared" si="1"/>
        <v>258000</v>
      </c>
      <c r="AV7" s="162">
        <f t="shared" si="1"/>
        <v>258000</v>
      </c>
      <c r="AW7" s="162">
        <f t="shared" si="1"/>
        <v>282000</v>
      </c>
      <c r="AX7" s="162">
        <f t="shared" si="1"/>
        <v>282000</v>
      </c>
      <c r="AY7" s="162">
        <f t="shared" si="1"/>
        <v>282000</v>
      </c>
      <c r="AZ7" s="162">
        <f t="shared" si="1"/>
        <v>282000</v>
      </c>
      <c r="BA7" s="162">
        <f t="shared" si="1"/>
        <v>282000</v>
      </c>
      <c r="BB7" s="162">
        <f t="shared" si="1"/>
        <v>282000</v>
      </c>
      <c r="BC7" s="162">
        <f t="shared" si="1"/>
        <v>282000</v>
      </c>
      <c r="BD7" s="162">
        <f t="shared" si="1"/>
        <v>282000</v>
      </c>
      <c r="BE7" s="162">
        <f t="shared" si="1"/>
        <v>282000</v>
      </c>
      <c r="BF7" s="162">
        <f t="shared" si="1"/>
        <v>282000</v>
      </c>
      <c r="BG7" s="162">
        <f t="shared" si="1"/>
        <v>282000</v>
      </c>
      <c r="BH7" s="162">
        <f t="shared" si="1"/>
        <v>282000</v>
      </c>
      <c r="BI7" s="162">
        <f t="shared" ref="BI7:BT7" si="2">BI6+BI5</f>
        <v>300000</v>
      </c>
      <c r="BJ7" s="162">
        <f t="shared" si="2"/>
        <v>300000</v>
      </c>
      <c r="BK7" s="162">
        <f t="shared" si="2"/>
        <v>300000</v>
      </c>
      <c r="BL7" s="162">
        <f t="shared" si="2"/>
        <v>300000</v>
      </c>
      <c r="BM7" s="162">
        <f t="shared" si="2"/>
        <v>300000</v>
      </c>
      <c r="BN7" s="162">
        <f t="shared" si="2"/>
        <v>300000</v>
      </c>
      <c r="BO7" s="162">
        <f t="shared" si="2"/>
        <v>300000</v>
      </c>
      <c r="BP7" s="162">
        <f t="shared" si="2"/>
        <v>300000</v>
      </c>
      <c r="BQ7" s="162">
        <f t="shared" si="2"/>
        <v>300000</v>
      </c>
      <c r="BR7" s="162">
        <f t="shared" si="2"/>
        <v>300000</v>
      </c>
      <c r="BS7" s="162">
        <f t="shared" si="2"/>
        <v>300000</v>
      </c>
      <c r="BT7" s="162">
        <f t="shared" si="2"/>
        <v>300000</v>
      </c>
      <c r="BU7" s="162">
        <f t="shared" ref="BU7:BZ7" si="3">BU6+BU5</f>
        <v>300000</v>
      </c>
      <c r="BV7" s="162">
        <f t="shared" si="3"/>
        <v>300000</v>
      </c>
      <c r="BW7" s="162">
        <f t="shared" si="3"/>
        <v>300000</v>
      </c>
      <c r="BX7" s="162">
        <f t="shared" si="3"/>
        <v>300000</v>
      </c>
      <c r="BY7" s="162">
        <f t="shared" si="3"/>
        <v>300000</v>
      </c>
      <c r="BZ7" s="162">
        <f t="shared" si="3"/>
        <v>300000</v>
      </c>
      <c r="CA7" s="162">
        <f t="shared" ref="CA7:CL7" si="4">CA6+CA5</f>
        <v>300000</v>
      </c>
      <c r="CB7" s="162">
        <f t="shared" si="4"/>
        <v>300000</v>
      </c>
      <c r="CC7" s="162">
        <f t="shared" si="4"/>
        <v>300000</v>
      </c>
      <c r="CD7" s="162">
        <f t="shared" si="4"/>
        <v>300000</v>
      </c>
      <c r="CE7" s="162">
        <f t="shared" si="4"/>
        <v>300000</v>
      </c>
      <c r="CF7" s="162">
        <f t="shared" si="4"/>
        <v>300000</v>
      </c>
      <c r="CG7" s="162">
        <f t="shared" si="4"/>
        <v>300000</v>
      </c>
      <c r="CH7" s="162">
        <f t="shared" si="4"/>
        <v>300000</v>
      </c>
      <c r="CI7" s="162">
        <f t="shared" si="4"/>
        <v>300000</v>
      </c>
      <c r="CJ7" s="162">
        <f t="shared" si="4"/>
        <v>300000</v>
      </c>
      <c r="CK7" s="162">
        <f t="shared" si="4"/>
        <v>300000</v>
      </c>
      <c r="CL7" s="162">
        <f t="shared" si="4"/>
        <v>300000</v>
      </c>
    </row>
    <row r="8" spans="1:90">
      <c r="B8" s="12" t="s">
        <v>206</v>
      </c>
      <c r="F8" s="15"/>
      <c r="G8" s="15"/>
      <c r="H8" s="15"/>
      <c r="I8" s="15"/>
      <c r="J8" s="15"/>
      <c r="K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</row>
    <row r="9" spans="1:90">
      <c r="C9" t="s">
        <v>1</v>
      </c>
      <c r="F9" s="102">
        <f xml:space="preserve"> +AD9</f>
        <v>-4166.666666666667</v>
      </c>
      <c r="G9" s="102">
        <f>+AD9</f>
        <v>-4166.666666666667</v>
      </c>
      <c r="H9" s="102">
        <f>+AP9</f>
        <v>-55500</v>
      </c>
      <c r="I9" s="102">
        <f xml:space="preserve"> +BB9</f>
        <v>-115500</v>
      </c>
      <c r="J9" s="102">
        <f>+BN9</f>
        <v>-186000</v>
      </c>
      <c r="K9" s="102">
        <f>+BZ9</f>
        <v>-261000</v>
      </c>
      <c r="M9" s="102">
        <f>-SUM(invest!$G65:G65)</f>
        <v>0</v>
      </c>
      <c r="N9" s="102">
        <f>-SUM(invest!$G65:H65)</f>
        <v>0</v>
      </c>
      <c r="O9" s="102">
        <f>-SUM(invest!$G65:I65)</f>
        <v>0</v>
      </c>
      <c r="P9" s="102">
        <f>-SUM(invest!$G65:J65)</f>
        <v>0</v>
      </c>
      <c r="Q9" s="102">
        <f>-SUM(invest!$G65:K65)</f>
        <v>0</v>
      </c>
      <c r="R9" s="102">
        <f>-SUM(invest!$G65:L65)</f>
        <v>0</v>
      </c>
      <c r="S9" s="102">
        <f>-SUM(invest!$G65:M65)</f>
        <v>0</v>
      </c>
      <c r="T9" s="102">
        <f>-SUM(invest!$G65:N65)</f>
        <v>0</v>
      </c>
      <c r="U9" s="102">
        <f>-SUM(invest!$G65:O65)</f>
        <v>0</v>
      </c>
      <c r="V9" s="102">
        <f>-SUM(invest!$G65:P65)</f>
        <v>0</v>
      </c>
      <c r="W9" s="102">
        <f>-SUM(invest!$G65:Q65)</f>
        <v>0</v>
      </c>
      <c r="X9" s="102">
        <f>-SUM(invest!$G65:R65)</f>
        <v>0</v>
      </c>
      <c r="Y9" s="102">
        <f>-SUM(invest!$G65:S65)</f>
        <v>0</v>
      </c>
      <c r="Z9" s="102">
        <f>-SUM(invest!$G65:T65)</f>
        <v>0</v>
      </c>
      <c r="AA9" s="102">
        <f>-SUM(invest!$G65:U65)</f>
        <v>0</v>
      </c>
      <c r="AB9" s="102">
        <f>-SUM(invest!$G65:V65)</f>
        <v>0</v>
      </c>
      <c r="AC9" s="102">
        <f>-SUM(invest!$G65:W65)</f>
        <v>0</v>
      </c>
      <c r="AD9" s="102">
        <f>-SUM(invest!$G65:X65)</f>
        <v>-4166.666666666667</v>
      </c>
      <c r="AE9" s="102">
        <f>-SUM(invest!$G65:Y65)</f>
        <v>-8333.3333333333339</v>
      </c>
      <c r="AF9" s="102">
        <f>-SUM(invest!$G65:Z65)</f>
        <v>-12500</v>
      </c>
      <c r="AG9" s="102">
        <f>-SUM(invest!$G65:AA65)</f>
        <v>-16666.666666666668</v>
      </c>
      <c r="AH9" s="102">
        <f>-SUM(invest!$G65:AB65)</f>
        <v>-20833.333333333336</v>
      </c>
      <c r="AI9" s="102">
        <f>-SUM(invest!$G65:AC65)</f>
        <v>-25000.000000000004</v>
      </c>
      <c r="AJ9" s="102">
        <f>-SUM(invest!$G65:AD65)</f>
        <v>-29166.666666666672</v>
      </c>
      <c r="AK9" s="102">
        <f>-SUM(invest!$G65:AE65)</f>
        <v>-33333.333333333336</v>
      </c>
      <c r="AL9" s="102">
        <f>-SUM(invest!$G65:AF65)</f>
        <v>-37500</v>
      </c>
      <c r="AM9" s="102">
        <f>-SUM(invest!$G65:AG65)</f>
        <v>-42000</v>
      </c>
      <c r="AN9" s="102">
        <f>-SUM(invest!$G65:AH65)</f>
        <v>-46500</v>
      </c>
      <c r="AO9" s="102">
        <f>-SUM(invest!$G65:AI65)</f>
        <v>-51000</v>
      </c>
      <c r="AP9" s="102">
        <f>-SUM(invest!$G65:AJ65)</f>
        <v>-55500</v>
      </c>
      <c r="AQ9" s="102">
        <f>-SUM(invest!$G65:AK65)</f>
        <v>-60000</v>
      </c>
      <c r="AR9" s="102">
        <f>-SUM(invest!$G65:AL65)</f>
        <v>-64500</v>
      </c>
      <c r="AS9" s="102">
        <f>-SUM(invest!$G65:AM65)</f>
        <v>-69000</v>
      </c>
      <c r="AT9" s="102">
        <f>-SUM(invest!$G65:AN65)</f>
        <v>-73500</v>
      </c>
      <c r="AU9" s="102">
        <f>-SUM(invest!$G65:AO65)</f>
        <v>-78000</v>
      </c>
      <c r="AV9" s="102">
        <f>-SUM(invest!$G65:AP65)</f>
        <v>-82500</v>
      </c>
      <c r="AW9" s="102">
        <f>-SUM(invest!$G65:AQ65)</f>
        <v>-88000</v>
      </c>
      <c r="AX9" s="102">
        <f>-SUM(invest!$G65:AR65)</f>
        <v>-93500</v>
      </c>
      <c r="AY9" s="102">
        <f>-SUM(invest!$G65:AS65)</f>
        <v>-99000</v>
      </c>
      <c r="AZ9" s="102">
        <f>-SUM(invest!$G65:AT65)</f>
        <v>-104500</v>
      </c>
      <c r="BA9" s="102">
        <f>-SUM(invest!$G65:AU65)</f>
        <v>-110000</v>
      </c>
      <c r="BB9" s="102">
        <f>-SUM(invest!$G65:AV65)</f>
        <v>-115500</v>
      </c>
      <c r="BC9" s="102">
        <f>-SUM(invest!$G65:AW65)</f>
        <v>-121000</v>
      </c>
      <c r="BD9" s="102">
        <f>-SUM(invest!$G65:AX65)</f>
        <v>-126500</v>
      </c>
      <c r="BE9" s="102">
        <f>-SUM(invest!$G65:AY65)</f>
        <v>-132000</v>
      </c>
      <c r="BF9" s="102">
        <f>-SUM(invest!$G65:AZ65)</f>
        <v>-137500</v>
      </c>
      <c r="BG9" s="102">
        <f>-SUM(invest!$G65:BA65)</f>
        <v>-143000</v>
      </c>
      <c r="BH9" s="102">
        <f>-SUM(invest!$G65:BB65)</f>
        <v>-148500</v>
      </c>
      <c r="BI9" s="102">
        <f>-SUM(invest!$G65:BC65)</f>
        <v>-154750</v>
      </c>
      <c r="BJ9" s="102">
        <f>-SUM(invest!$G65:BD65)</f>
        <v>-161000</v>
      </c>
      <c r="BK9" s="102">
        <f>-SUM(invest!$G65:BE65)</f>
        <v>-167250</v>
      </c>
      <c r="BL9" s="102">
        <f>-SUM(invest!$G65:BF65)</f>
        <v>-173500</v>
      </c>
      <c r="BM9" s="102">
        <f>-SUM(invest!$G65:BG65)</f>
        <v>-179750</v>
      </c>
      <c r="BN9" s="102">
        <f>-SUM(invest!$G65:BH65)</f>
        <v>-186000</v>
      </c>
      <c r="BO9" s="102">
        <f>-SUM(invest!$G65:BI65)</f>
        <v>-192250</v>
      </c>
      <c r="BP9" s="102">
        <f>-SUM(invest!$G65:BJ65)</f>
        <v>-198500</v>
      </c>
      <c r="BQ9" s="102">
        <f>-SUM(invest!$G65:BK65)</f>
        <v>-204750</v>
      </c>
      <c r="BR9" s="102">
        <f>-SUM(invest!$G65:BL65)</f>
        <v>-211000</v>
      </c>
      <c r="BS9" s="102">
        <f>-SUM(invest!$G65:BM65)</f>
        <v>-217250</v>
      </c>
      <c r="BT9" s="102">
        <f>-SUM(invest!$G65:BN65)</f>
        <v>-223500</v>
      </c>
      <c r="BU9" s="102">
        <f>-SUM(invest!$G65:BO65)</f>
        <v>-229750</v>
      </c>
      <c r="BV9" s="102">
        <f>-SUM(invest!$G65:BP65)</f>
        <v>-236000</v>
      </c>
      <c r="BW9" s="102">
        <f>-SUM(invest!$G65:BQ65)</f>
        <v>-242250</v>
      </c>
      <c r="BX9" s="102">
        <f>-SUM(invest!$G65:BR65)</f>
        <v>-248500</v>
      </c>
      <c r="BY9" s="102">
        <f>-SUM(invest!$G65:BS65)</f>
        <v>-254750</v>
      </c>
      <c r="BZ9" s="102">
        <f>-SUM(invest!$G65:BT65)</f>
        <v>-261000</v>
      </c>
      <c r="CA9" s="102">
        <f>-SUM(invest!$G65:CG65)</f>
        <v>-336000</v>
      </c>
      <c r="CB9" s="102">
        <f>-SUM(invest!$G65:CH65)</f>
        <v>-336000</v>
      </c>
      <c r="CC9" s="102">
        <f>-SUM(invest!$G65:CI65)</f>
        <v>-336000</v>
      </c>
      <c r="CD9" s="102">
        <f>-SUM(invest!$G65:CJ65)</f>
        <v>-336000</v>
      </c>
      <c r="CE9" s="102">
        <f>-SUM(invest!$G65:CK65)</f>
        <v>-336000</v>
      </c>
      <c r="CF9" s="102">
        <f>-SUM(invest!$G65:CL65)</f>
        <v>-336000</v>
      </c>
      <c r="CG9" s="102">
        <f>-SUM(invest!$G65:CM65)</f>
        <v>-336000</v>
      </c>
      <c r="CH9" s="102">
        <f>-SUM(invest!$G65:CN65)</f>
        <v>-336000</v>
      </c>
      <c r="CI9" s="102">
        <f>-SUM(invest!$G65:CO65)</f>
        <v>-336000</v>
      </c>
      <c r="CJ9" s="102">
        <f>-SUM(invest!$G65:CP65)</f>
        <v>-336000</v>
      </c>
      <c r="CK9" s="102">
        <f>-SUM(invest!$G65:CQ65)</f>
        <v>-336000</v>
      </c>
      <c r="CL9" s="102">
        <f>-SUM(invest!$G65:CR65)</f>
        <v>-336000</v>
      </c>
    </row>
    <row r="10" spans="1:90">
      <c r="B10" s="163" t="s">
        <v>207</v>
      </c>
      <c r="C10" s="161"/>
      <c r="D10" s="161"/>
      <c r="E10" s="161"/>
      <c r="F10" s="164">
        <f t="shared" ref="F10:K10" si="5">F7+F9</f>
        <v>245833.33333333334</v>
      </c>
      <c r="G10" s="164">
        <f t="shared" si="5"/>
        <v>245833.33333333334</v>
      </c>
      <c r="H10" s="164">
        <f t="shared" si="5"/>
        <v>202500</v>
      </c>
      <c r="I10" s="164">
        <f t="shared" si="5"/>
        <v>166500</v>
      </c>
      <c r="J10" s="164">
        <f t="shared" si="5"/>
        <v>114000</v>
      </c>
      <c r="K10" s="164">
        <f t="shared" si="5"/>
        <v>39000</v>
      </c>
      <c r="M10" s="164">
        <f>M7+M9</f>
        <v>0</v>
      </c>
      <c r="N10" s="164">
        <f>N7+N9</f>
        <v>0</v>
      </c>
      <c r="O10" s="164">
        <f>O7+O9</f>
        <v>0</v>
      </c>
      <c r="P10" s="164">
        <f t="shared" ref="P10:BH10" si="6">P7+P9</f>
        <v>0</v>
      </c>
      <c r="Q10" s="164">
        <f t="shared" si="6"/>
        <v>0</v>
      </c>
      <c r="R10" s="164">
        <f t="shared" si="6"/>
        <v>0</v>
      </c>
      <c r="S10" s="164">
        <f t="shared" si="6"/>
        <v>0</v>
      </c>
      <c r="T10" s="164">
        <f t="shared" si="6"/>
        <v>0</v>
      </c>
      <c r="U10" s="164">
        <f t="shared" si="6"/>
        <v>0</v>
      </c>
      <c r="V10" s="164">
        <f t="shared" si="6"/>
        <v>0</v>
      </c>
      <c r="W10" s="164">
        <f t="shared" si="6"/>
        <v>0</v>
      </c>
      <c r="X10" s="164">
        <f t="shared" si="6"/>
        <v>0</v>
      </c>
      <c r="Y10" s="164">
        <f t="shared" si="6"/>
        <v>0</v>
      </c>
      <c r="Z10" s="164">
        <f t="shared" si="6"/>
        <v>0</v>
      </c>
      <c r="AA10" s="164">
        <f t="shared" si="6"/>
        <v>0</v>
      </c>
      <c r="AB10" s="164">
        <f t="shared" si="6"/>
        <v>0</v>
      </c>
      <c r="AC10" s="164">
        <f t="shared" si="6"/>
        <v>0</v>
      </c>
      <c r="AD10" s="164">
        <f t="shared" si="6"/>
        <v>245833.33333333334</v>
      </c>
      <c r="AE10" s="164">
        <f t="shared" si="6"/>
        <v>241666.66666666666</v>
      </c>
      <c r="AF10" s="164">
        <f t="shared" si="6"/>
        <v>237500</v>
      </c>
      <c r="AG10" s="164">
        <f t="shared" si="6"/>
        <v>233333.33333333334</v>
      </c>
      <c r="AH10" s="164">
        <f t="shared" si="6"/>
        <v>229166.66666666666</v>
      </c>
      <c r="AI10" s="164">
        <f t="shared" si="6"/>
        <v>225000</v>
      </c>
      <c r="AJ10" s="164">
        <f t="shared" si="6"/>
        <v>220833.33333333331</v>
      </c>
      <c r="AK10" s="164">
        <f t="shared" si="6"/>
        <v>216666.66666666666</v>
      </c>
      <c r="AL10" s="164">
        <f t="shared" si="6"/>
        <v>212500</v>
      </c>
      <c r="AM10" s="164">
        <f t="shared" si="6"/>
        <v>216000</v>
      </c>
      <c r="AN10" s="164">
        <f t="shared" si="6"/>
        <v>211500</v>
      </c>
      <c r="AO10" s="164">
        <f t="shared" si="6"/>
        <v>207000</v>
      </c>
      <c r="AP10" s="164">
        <f t="shared" si="6"/>
        <v>202500</v>
      </c>
      <c r="AQ10" s="164">
        <f t="shared" si="6"/>
        <v>198000</v>
      </c>
      <c r="AR10" s="164">
        <f t="shared" si="6"/>
        <v>193500</v>
      </c>
      <c r="AS10" s="164">
        <f t="shared" si="6"/>
        <v>189000</v>
      </c>
      <c r="AT10" s="164">
        <f t="shared" si="6"/>
        <v>184500</v>
      </c>
      <c r="AU10" s="164">
        <f t="shared" si="6"/>
        <v>180000</v>
      </c>
      <c r="AV10" s="164">
        <f t="shared" si="6"/>
        <v>175500</v>
      </c>
      <c r="AW10" s="164">
        <f t="shared" si="6"/>
        <v>194000</v>
      </c>
      <c r="AX10" s="164">
        <f t="shared" si="6"/>
        <v>188500</v>
      </c>
      <c r="AY10" s="164">
        <f t="shared" si="6"/>
        <v>183000</v>
      </c>
      <c r="AZ10" s="164">
        <f t="shared" si="6"/>
        <v>177500</v>
      </c>
      <c r="BA10" s="164">
        <f t="shared" si="6"/>
        <v>172000</v>
      </c>
      <c r="BB10" s="164">
        <f t="shared" si="6"/>
        <v>166500</v>
      </c>
      <c r="BC10" s="164">
        <f t="shared" si="6"/>
        <v>161000</v>
      </c>
      <c r="BD10" s="164">
        <f t="shared" si="6"/>
        <v>155500</v>
      </c>
      <c r="BE10" s="164">
        <f t="shared" si="6"/>
        <v>150000</v>
      </c>
      <c r="BF10" s="164">
        <f t="shared" si="6"/>
        <v>144500</v>
      </c>
      <c r="BG10" s="164">
        <f t="shared" si="6"/>
        <v>139000</v>
      </c>
      <c r="BH10" s="164">
        <f t="shared" si="6"/>
        <v>133500</v>
      </c>
      <c r="BI10" s="164">
        <f t="shared" ref="BI10:BT10" si="7">BI7+BI9</f>
        <v>145250</v>
      </c>
      <c r="BJ10" s="164">
        <f t="shared" si="7"/>
        <v>139000</v>
      </c>
      <c r="BK10" s="164">
        <f t="shared" si="7"/>
        <v>132750</v>
      </c>
      <c r="BL10" s="164">
        <f t="shared" si="7"/>
        <v>126500</v>
      </c>
      <c r="BM10" s="164">
        <f t="shared" si="7"/>
        <v>120250</v>
      </c>
      <c r="BN10" s="164">
        <f t="shared" si="7"/>
        <v>114000</v>
      </c>
      <c r="BO10" s="164">
        <f t="shared" si="7"/>
        <v>107750</v>
      </c>
      <c r="BP10" s="164">
        <f t="shared" si="7"/>
        <v>101500</v>
      </c>
      <c r="BQ10" s="164">
        <f t="shared" si="7"/>
        <v>95250</v>
      </c>
      <c r="BR10" s="164">
        <f t="shared" si="7"/>
        <v>89000</v>
      </c>
      <c r="BS10" s="164">
        <f t="shared" si="7"/>
        <v>82750</v>
      </c>
      <c r="BT10" s="164">
        <f t="shared" si="7"/>
        <v>76500</v>
      </c>
      <c r="BU10" s="164">
        <f t="shared" ref="BU10:BZ10" si="8">BU7+BU9</f>
        <v>70250</v>
      </c>
      <c r="BV10" s="164">
        <f t="shared" si="8"/>
        <v>64000</v>
      </c>
      <c r="BW10" s="164">
        <f t="shared" si="8"/>
        <v>57750</v>
      </c>
      <c r="BX10" s="164">
        <f t="shared" si="8"/>
        <v>51500</v>
      </c>
      <c r="BY10" s="164">
        <f t="shared" si="8"/>
        <v>45250</v>
      </c>
      <c r="BZ10" s="164">
        <f t="shared" si="8"/>
        <v>39000</v>
      </c>
      <c r="CA10" s="164">
        <f t="shared" ref="CA10:CL10" si="9">CA7+CA9</f>
        <v>-36000</v>
      </c>
      <c r="CB10" s="164">
        <f t="shared" si="9"/>
        <v>-36000</v>
      </c>
      <c r="CC10" s="164">
        <f t="shared" si="9"/>
        <v>-36000</v>
      </c>
      <c r="CD10" s="164">
        <f t="shared" si="9"/>
        <v>-36000</v>
      </c>
      <c r="CE10" s="164">
        <f t="shared" si="9"/>
        <v>-36000</v>
      </c>
      <c r="CF10" s="164">
        <f t="shared" si="9"/>
        <v>-36000</v>
      </c>
      <c r="CG10" s="164">
        <f t="shared" si="9"/>
        <v>-36000</v>
      </c>
      <c r="CH10" s="164">
        <f t="shared" si="9"/>
        <v>-36000</v>
      </c>
      <c r="CI10" s="164">
        <f t="shared" si="9"/>
        <v>-36000</v>
      </c>
      <c r="CJ10" s="164">
        <f t="shared" si="9"/>
        <v>-36000</v>
      </c>
      <c r="CK10" s="164">
        <f t="shared" si="9"/>
        <v>-36000</v>
      </c>
      <c r="CL10" s="164">
        <f t="shared" si="9"/>
        <v>-36000</v>
      </c>
    </row>
    <row r="11" spans="1:90">
      <c r="F11" s="15"/>
      <c r="G11" s="15"/>
      <c r="H11" s="15"/>
      <c r="I11" s="15"/>
      <c r="J11" s="15"/>
      <c r="K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</row>
    <row r="12" spans="1:90">
      <c r="B12" s="12" t="s">
        <v>212</v>
      </c>
      <c r="F12" s="160">
        <f xml:space="preserve"> +AD12</f>
        <v>0</v>
      </c>
      <c r="G12" s="160">
        <f>+AD12</f>
        <v>0</v>
      </c>
      <c r="H12" s="160">
        <f>+AP12</f>
        <v>0</v>
      </c>
      <c r="I12" s="160">
        <f xml:space="preserve"> +BB12</f>
        <v>0</v>
      </c>
      <c r="J12" s="160">
        <f>+BN12</f>
        <v>0</v>
      </c>
      <c r="K12" s="160">
        <f>+BZ12</f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7">
        <v>0</v>
      </c>
      <c r="U12" s="167">
        <v>0</v>
      </c>
      <c r="V12" s="167">
        <v>0</v>
      </c>
      <c r="W12" s="167">
        <v>0</v>
      </c>
      <c r="X12" s="167">
        <v>0</v>
      </c>
      <c r="Y12" s="167">
        <v>0</v>
      </c>
      <c r="Z12" s="167">
        <v>0</v>
      </c>
      <c r="AA12" s="167">
        <v>0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  <c r="AL12" s="167">
        <v>0</v>
      </c>
      <c r="AM12" s="167">
        <v>0</v>
      </c>
      <c r="AN12" s="167">
        <v>0</v>
      </c>
      <c r="AO12" s="167">
        <v>0</v>
      </c>
      <c r="AP12" s="167">
        <v>0</v>
      </c>
      <c r="AQ12" s="167">
        <v>0</v>
      </c>
      <c r="AR12" s="167">
        <v>0</v>
      </c>
      <c r="AS12" s="167">
        <v>0</v>
      </c>
      <c r="AT12" s="167">
        <v>0</v>
      </c>
      <c r="AU12" s="167">
        <v>0</v>
      </c>
      <c r="AV12" s="167">
        <v>0</v>
      </c>
      <c r="AW12" s="167">
        <v>0</v>
      </c>
      <c r="AX12" s="167">
        <v>0</v>
      </c>
      <c r="AY12" s="167">
        <v>0</v>
      </c>
      <c r="AZ12" s="167">
        <v>0</v>
      </c>
      <c r="BA12" s="167">
        <v>0</v>
      </c>
      <c r="BB12" s="167">
        <v>0</v>
      </c>
      <c r="BC12" s="167">
        <v>0</v>
      </c>
      <c r="BD12" s="167">
        <v>0</v>
      </c>
      <c r="BE12" s="167">
        <v>0</v>
      </c>
      <c r="BF12" s="167">
        <v>0</v>
      </c>
      <c r="BG12" s="167">
        <v>0</v>
      </c>
      <c r="BH12" s="167">
        <v>0</v>
      </c>
      <c r="BI12" s="167">
        <v>0</v>
      </c>
      <c r="BJ12" s="167">
        <v>0</v>
      </c>
      <c r="BK12" s="167">
        <v>0</v>
      </c>
      <c r="BL12" s="167">
        <v>0</v>
      </c>
      <c r="BM12" s="167">
        <v>0</v>
      </c>
      <c r="BN12" s="167">
        <v>0</v>
      </c>
      <c r="BO12" s="167">
        <v>0</v>
      </c>
      <c r="BP12" s="167">
        <v>0</v>
      </c>
      <c r="BQ12" s="167">
        <v>0</v>
      </c>
      <c r="BR12" s="167">
        <v>0</v>
      </c>
      <c r="BS12" s="167">
        <v>0</v>
      </c>
      <c r="BT12" s="167">
        <v>0</v>
      </c>
      <c r="BU12" s="167">
        <v>0</v>
      </c>
      <c r="BV12" s="167">
        <v>0</v>
      </c>
      <c r="BW12" s="167">
        <v>0</v>
      </c>
      <c r="BX12" s="167">
        <v>0</v>
      </c>
      <c r="BY12" s="167">
        <v>0</v>
      </c>
      <c r="BZ12" s="167">
        <v>0</v>
      </c>
      <c r="CA12" s="167">
        <v>0</v>
      </c>
      <c r="CB12" s="167">
        <v>0</v>
      </c>
      <c r="CC12" s="167">
        <v>0</v>
      </c>
      <c r="CD12" s="167">
        <v>0</v>
      </c>
      <c r="CE12" s="167">
        <v>0</v>
      </c>
      <c r="CF12" s="167">
        <v>0</v>
      </c>
      <c r="CG12" s="167">
        <v>0</v>
      </c>
      <c r="CH12" s="167">
        <v>0</v>
      </c>
      <c r="CI12" s="167">
        <v>0</v>
      </c>
      <c r="CJ12" s="167">
        <v>0</v>
      </c>
      <c r="CK12" s="167">
        <v>0</v>
      </c>
      <c r="CL12" s="167">
        <v>0</v>
      </c>
    </row>
    <row r="13" spans="1:90">
      <c r="F13" s="15"/>
      <c r="G13" s="15"/>
      <c r="H13" s="15"/>
      <c r="I13" s="15"/>
      <c r="J13" s="15"/>
      <c r="K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</row>
    <row r="14" spans="1:90">
      <c r="B14" s="12" t="s">
        <v>208</v>
      </c>
      <c r="F14" s="15"/>
      <c r="G14" s="15"/>
      <c r="H14" s="15"/>
      <c r="I14" s="15"/>
      <c r="J14" s="15"/>
      <c r="K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</row>
    <row r="15" spans="1:90">
      <c r="C15" t="s">
        <v>209</v>
      </c>
      <c r="D15" t="s">
        <v>210</v>
      </c>
      <c r="E15" s="166">
        <v>5</v>
      </c>
      <c r="F15" s="257">
        <f xml:space="preserve"> +AD15</f>
        <v>0</v>
      </c>
      <c r="G15" s="257">
        <f>+AD15</f>
        <v>0</v>
      </c>
      <c r="H15" s="257">
        <f>+AP15</f>
        <v>0</v>
      </c>
      <c r="I15" s="257">
        <f xml:space="preserve"> +BB15</f>
        <v>16326.027899999997</v>
      </c>
      <c r="J15" s="257">
        <f>+BN15</f>
        <v>72331.907266666662</v>
      </c>
      <c r="K15" s="257">
        <f>+BZ15</f>
        <v>107332.24926666665</v>
      </c>
      <c r="L15" s="2"/>
      <c r="M15" s="257">
        <f>'P&amp;L Month'!H19*1.196*IF($E15&gt;30,30,$E15)/30</f>
        <v>0</v>
      </c>
      <c r="N15" s="257">
        <f>'P&amp;L Month'!I19*1.196*IF($E15&gt;30,30,$E15)/30</f>
        <v>0</v>
      </c>
      <c r="O15" s="257">
        <f>'P&amp;L Month'!J19*1.196*IF($E15&gt;30,30,$E15)/30</f>
        <v>0</v>
      </c>
      <c r="P15" s="257">
        <f>'P&amp;L Month'!K19*1.196*IF($E15&gt;30,30,$E15)/30</f>
        <v>0</v>
      </c>
      <c r="Q15" s="257">
        <f>'P&amp;L Month'!L19*1.196*IF($E15&gt;30,30,$E15)/30</f>
        <v>0</v>
      </c>
      <c r="R15" s="257">
        <f>'P&amp;L Month'!M19*1.196*IF($E15&gt;30,30,$E15)/30</f>
        <v>0</v>
      </c>
      <c r="S15" s="257">
        <f>'P&amp;L Month'!N19*1.196*IF($E15&gt;30,30,$E15)/30</f>
        <v>0</v>
      </c>
      <c r="T15" s="257">
        <f>'P&amp;L Month'!O19*1.196*IF($E15&gt;30,30,$E15)/30</f>
        <v>0</v>
      </c>
      <c r="U15" s="257">
        <f>'P&amp;L Month'!P19*1.196*IF($E15&gt;30,30,$E15)/30</f>
        <v>0</v>
      </c>
      <c r="V15" s="257">
        <f>'P&amp;L Month'!Q19*1.196*IF($E15&gt;30,30,$E15)/30</f>
        <v>0</v>
      </c>
      <c r="W15" s="257">
        <f>'P&amp;L Month'!R19*1.196*IF($E15&gt;30,30,$E15)/30</f>
        <v>0</v>
      </c>
      <c r="X15" s="257">
        <f>'P&amp;L Month'!S19*1.196*IF($E15&gt;30,30,$E15)/30</f>
        <v>0</v>
      </c>
      <c r="Y15" s="257">
        <f>'P&amp;L Month'!T19*1.196*IF($E15&gt;30,30,$E15)/30</f>
        <v>0</v>
      </c>
      <c r="Z15" s="257">
        <f>'P&amp;L Month'!U19*1.196*IF($E15&gt;30,30,$E15)/30</f>
        <v>0</v>
      </c>
      <c r="AA15" s="257">
        <f>'P&amp;L Month'!V19*1.196*IF($E15&gt;30,30,$E15)/30</f>
        <v>0</v>
      </c>
      <c r="AB15" s="257">
        <f>'P&amp;L Month'!W19*1.196*IF($E15&gt;30,30,$E15)/30</f>
        <v>0</v>
      </c>
      <c r="AC15" s="257">
        <f>'P&amp;L Month'!X19*1.196*IF($E15&gt;30,30,$E15)/30</f>
        <v>0</v>
      </c>
      <c r="AD15" s="257">
        <f>'P&amp;L Month'!Y19*1.196*IF($E15&gt;30,30,$E15)/30</f>
        <v>0</v>
      </c>
      <c r="AE15" s="257">
        <f>'P&amp;L Month'!Z19*1.196*IF($E15&gt;30,30,$E15)/30</f>
        <v>0</v>
      </c>
      <c r="AF15" s="257">
        <f>'P&amp;L Month'!AA19*1.196*IF($E15&gt;30,30,$E15)/30</f>
        <v>0</v>
      </c>
      <c r="AG15" s="257">
        <f>'P&amp;L Month'!AB19*1.196*IF($E15&gt;30,30,$E15)/30</f>
        <v>0</v>
      </c>
      <c r="AH15" s="257">
        <f>'P&amp;L Month'!AC19*1.196*IF($E15&gt;30,30,$E15)/30</f>
        <v>0</v>
      </c>
      <c r="AI15" s="257">
        <f>'P&amp;L Month'!AD19*1.196*IF($E15&gt;30,30,$E15)/30</f>
        <v>0</v>
      </c>
      <c r="AJ15" s="257">
        <f>'P&amp;L Month'!AE19*1.196*IF($E15&gt;30,30,$E15)/30</f>
        <v>0</v>
      </c>
      <c r="AK15" s="257">
        <f>'P&amp;L Month'!AF19*1.196*IF($E15&gt;30,30,$E15)/30</f>
        <v>0</v>
      </c>
      <c r="AL15" s="257">
        <f>'P&amp;L Month'!AG19*1.196*IF($E15&gt;30,30,$E15)/30</f>
        <v>0</v>
      </c>
      <c r="AM15" s="257">
        <f>'P&amp;L Month'!AH19*1.196*IF($E15&gt;30,30,$E15)/30</f>
        <v>0</v>
      </c>
      <c r="AN15" s="257">
        <f>'P&amp;L Month'!AI19*1.196*IF($E15&gt;30,30,$E15)/30</f>
        <v>0</v>
      </c>
      <c r="AO15" s="257">
        <f>'P&amp;L Month'!AJ19*1.196*IF($E15&gt;30,30,$E15)/30</f>
        <v>0</v>
      </c>
      <c r="AP15" s="257">
        <f>'P&amp;L Month'!AK19*1.196*IF($E15&gt;30,30,$E15)/30</f>
        <v>0</v>
      </c>
      <c r="AQ15" s="257">
        <f>'P&amp;L Month'!AL19*1.196*IF($E15&gt;30,30,$E15)/30</f>
        <v>777.42989999999986</v>
      </c>
      <c r="AR15" s="257">
        <f>'P&amp;L Month'!AM19*1.196*IF($E15&gt;30,30,$E15)/30</f>
        <v>1554.8597999999997</v>
      </c>
      <c r="AS15" s="257">
        <f>'P&amp;L Month'!AN19*1.196*IF($E15&gt;30,30,$E15)/30</f>
        <v>2332.2896999999998</v>
      </c>
      <c r="AT15" s="257">
        <f>'P&amp;L Month'!AO19*1.196*IF($E15&gt;30,30,$E15)/30</f>
        <v>3109.7195999999994</v>
      </c>
      <c r="AU15" s="257">
        <f>'P&amp;L Month'!AP19*1.196*IF($E15&gt;30,30,$E15)/30</f>
        <v>3887.1495</v>
      </c>
      <c r="AV15" s="257">
        <f>'P&amp;L Month'!AQ19*1.196*IF($E15&gt;30,30,$E15)/30</f>
        <v>4664.5793999999996</v>
      </c>
      <c r="AW15" s="257">
        <f>'P&amp;L Month'!AR19*1.196*IF($E15&gt;30,30,$E15)/30</f>
        <v>6219.4391999999989</v>
      </c>
      <c r="AX15" s="257">
        <f>'P&amp;L Month'!AS19*1.196*IF($E15&gt;30,30,$E15)/30</f>
        <v>7774.299</v>
      </c>
      <c r="AY15" s="257">
        <f>'P&amp;L Month'!AT19*1.196*IF($E15&gt;30,30,$E15)/30</f>
        <v>9329.1587999999992</v>
      </c>
      <c r="AZ15" s="257">
        <f>'P&amp;L Month'!AU19*1.196*IF($E15&gt;30,30,$E15)/30</f>
        <v>11661.448499999999</v>
      </c>
      <c r="BA15" s="257">
        <f>'P&amp;L Month'!AV19*1.196*IF($E15&gt;30,30,$E15)/30</f>
        <v>13993.7382</v>
      </c>
      <c r="BB15" s="257">
        <f>'P&amp;L Month'!AW19*1.196*IF($E15&gt;30,30,$E15)/30</f>
        <v>16326.027899999997</v>
      </c>
      <c r="BC15" s="257">
        <f>'P&amp;L Month'!AX19*1.196*IF($E15&gt;30,30,$E15)/30</f>
        <v>18658.317599999998</v>
      </c>
      <c r="BD15" s="257">
        <f>'P&amp;L Month'!AY19*1.196*IF($E15&gt;30,30,$E15)/30</f>
        <v>22546.533533333331</v>
      </c>
      <c r="BE15" s="257">
        <f>'P&amp;L Month'!AZ19*1.196*IF($E15&gt;30,30,$E15)/30</f>
        <v>26434.749466666664</v>
      </c>
      <c r="BF15" s="257">
        <f>'P&amp;L Month'!BA19*1.196*IF($E15&gt;30,30,$E15)/30</f>
        <v>30322.965399999994</v>
      </c>
      <c r="BG15" s="257">
        <f>'P&amp;L Month'!BB19*1.196*IF($E15&gt;30,30,$E15)/30</f>
        <v>34989.67766666667</v>
      </c>
      <c r="BH15" s="257">
        <f>'P&amp;L Month'!BC19*1.196*IF($E15&gt;30,30,$E15)/30</f>
        <v>40434.886266666668</v>
      </c>
      <c r="BI15" s="257">
        <f>'P&amp;L Month'!BD19*1.196*IF($E15&gt;30,30,$E15)/30</f>
        <v>44325.235066666661</v>
      </c>
      <c r="BJ15" s="257">
        <f>'P&amp;L Month'!BE19*1.196*IF($E15&gt;30,30,$E15)/30</f>
        <v>49772.576533333326</v>
      </c>
      <c r="BK15" s="257">
        <f>'P&amp;L Month'!BF19*1.196*IF($E15&gt;30,30,$E15)/30</f>
        <v>54441.421666666662</v>
      </c>
      <c r="BL15" s="257">
        <f>'P&amp;L Month'!BG19*1.196*IF($E15&gt;30,30,$E15)/30</f>
        <v>62998.482733333338</v>
      </c>
      <c r="BM15" s="257">
        <f>'P&amp;L Month'!BH19*1.196*IF($E15&gt;30,30,$E15)/30</f>
        <v>67665.194999999992</v>
      </c>
      <c r="BN15" s="257">
        <f>'P&amp;L Month'!BI19*1.196*IF($E15&gt;30,30,$E15)/30</f>
        <v>72331.907266666662</v>
      </c>
      <c r="BO15" s="257">
        <f>'P&amp;L Month'!BJ19*1.196*IF($E15&gt;30,30,$E15)/30</f>
        <v>76998.619533333331</v>
      </c>
      <c r="BP15" s="257">
        <f>'P&amp;L Month'!BK19*1.196*IF($E15&gt;30,30,$E15)/30</f>
        <v>80498.653733333325</v>
      </c>
      <c r="BQ15" s="257">
        <f>'P&amp;L Month'!BL19*1.196*IF($E15&gt;30,30,$E15)/30</f>
        <v>83998.68793333332</v>
      </c>
      <c r="BR15" s="257">
        <f>'P&amp;L Month'!BM19*1.196*IF($E15&gt;30,30,$E15)/30</f>
        <v>87498.722133333329</v>
      </c>
      <c r="BS15" s="257">
        <f>'P&amp;L Month'!BN19*1.196*IF($E15&gt;30,30,$E15)/30</f>
        <v>90998.756333333309</v>
      </c>
      <c r="BT15" s="257">
        <f>'P&amp;L Month'!BO19*1.196*IF($E15&gt;30,30,$E15)/30</f>
        <v>93332.112466666658</v>
      </c>
      <c r="BU15" s="257">
        <f>'P&amp;L Month'!BP19*1.196*IF($E15&gt;30,30,$E15)/30</f>
        <v>95665.468599999978</v>
      </c>
      <c r="BV15" s="257">
        <f>'P&amp;L Month'!BQ19*1.196*IF($E15&gt;30,30,$E15)/30</f>
        <v>97998.824733333342</v>
      </c>
      <c r="BW15" s="257">
        <f>'P&amp;L Month'!BR19*1.196*IF($E15&gt;30,30,$E15)/30</f>
        <v>100332.18086666666</v>
      </c>
      <c r="BX15" s="257">
        <f>'P&amp;L Month'!BS19*1.196*IF($E15&gt;30,30,$E15)/30</f>
        <v>102665.537</v>
      </c>
      <c r="BY15" s="257">
        <f>'P&amp;L Month'!BT19*1.196*IF($E15&gt;30,30,$E15)/30</f>
        <v>104998.89313333335</v>
      </c>
      <c r="BZ15" s="257">
        <f>'P&amp;L Month'!BU19*1.196*IF($E15&gt;30,30,$E15)/30</f>
        <v>107332.24926666665</v>
      </c>
      <c r="CA15" s="257">
        <f>'P&amp;L Month'!BV19*1.196*IF($E15&gt;30,30,$E15)/30</f>
        <v>108965.59856</v>
      </c>
      <c r="CB15" s="257">
        <f>'P&amp;L Month'!BW19*1.196*IF($E15&gt;30,30,$E15)/30</f>
        <v>110832.28346666666</v>
      </c>
      <c r="CC15" s="257">
        <f>'P&amp;L Month'!BX19*1.196*IF($E15&gt;30,30,$E15)/30</f>
        <v>111998.96153333332</v>
      </c>
      <c r="CD15" s="257">
        <f>'P&amp;L Month'!BY19*1.196*IF($E15&gt;30,30,$E15)/30</f>
        <v>113165.63960000001</v>
      </c>
      <c r="CE15" s="257">
        <f>'P&amp;L Month'!BZ19*1.196*IF($E15&gt;30,30,$E15)/30</f>
        <v>114332.31766666665</v>
      </c>
      <c r="CF15" s="257">
        <f>'P&amp;L Month'!CA19*1.196*IF($E15&gt;30,30,$E15)/30</f>
        <v>115498.99573333332</v>
      </c>
      <c r="CG15" s="257">
        <f>'P&amp;L Month'!CB19*1.196*IF($E15&gt;30,30,$E15)/30</f>
        <v>116665.6738</v>
      </c>
      <c r="CH15" s="257">
        <f>'P&amp;L Month'!CC19*1.196*IF($E15&gt;30,30,$E15)/30</f>
        <v>117832.35186666666</v>
      </c>
      <c r="CI15" s="257">
        <f>'P&amp;L Month'!CD19*1.196*IF($E15&gt;30,30,$E15)/30</f>
        <v>118999.02993333332</v>
      </c>
      <c r="CJ15" s="257">
        <f>'P&amp;L Month'!CE19*1.196*IF($E15&gt;30,30,$E15)/30</f>
        <v>119699.03677333333</v>
      </c>
      <c r="CK15" s="257">
        <f>'P&amp;L Month'!CF19*1.196*IF($E15&gt;30,30,$E15)/30</f>
        <v>120399.04361333331</v>
      </c>
      <c r="CL15" s="257">
        <f>'P&amp;L Month'!CG19*1.196*IF($E15&gt;30,30,$E15)/30</f>
        <v>121332.38606666666</v>
      </c>
    </row>
    <row r="16" spans="1:90">
      <c r="C16" t="s">
        <v>321</v>
      </c>
      <c r="F16" s="102">
        <f xml:space="preserve"> +AD16</f>
        <v>49274.400000000001</v>
      </c>
      <c r="G16" s="102">
        <f>+AD16</f>
        <v>49274.400000000001</v>
      </c>
      <c r="H16" s="102">
        <f>+AP16</f>
        <v>49551.726199999961</v>
      </c>
      <c r="I16" s="102">
        <f xml:space="preserve"> +BB16</f>
        <v>88226.913199999981</v>
      </c>
      <c r="J16" s="102">
        <f>+BN16</f>
        <v>0</v>
      </c>
      <c r="K16" s="102">
        <f>+BZ16</f>
        <v>0</v>
      </c>
      <c r="M16" s="102">
        <f>+'Détail CF'!F95</f>
        <v>0</v>
      </c>
      <c r="N16" s="102">
        <f>+'Détail CF'!G95</f>
        <v>0</v>
      </c>
      <c r="O16" s="102">
        <f>+'Détail CF'!H95</f>
        <v>0</v>
      </c>
      <c r="P16" s="102">
        <f>+'Détail CF'!I95</f>
        <v>0</v>
      </c>
      <c r="Q16" s="102">
        <f>+'Détail CF'!J95</f>
        <v>0</v>
      </c>
      <c r="R16" s="102">
        <f>+'Détail CF'!K95</f>
        <v>0</v>
      </c>
      <c r="S16" s="102">
        <f>+'Détail CF'!L95</f>
        <v>0</v>
      </c>
      <c r="T16" s="102">
        <f>+'Détail CF'!M95</f>
        <v>0</v>
      </c>
      <c r="U16" s="102">
        <f>+'Détail CF'!N95</f>
        <v>0</v>
      </c>
      <c r="V16" s="102">
        <f>+'Détail CF'!O95</f>
        <v>0</v>
      </c>
      <c r="W16" s="102">
        <f>+'Détail CF'!P95</f>
        <v>0</v>
      </c>
      <c r="X16" s="102">
        <f>+'Détail CF'!Q95</f>
        <v>0</v>
      </c>
      <c r="Y16" s="102">
        <f>+'Détail CF'!R95</f>
        <v>0</v>
      </c>
      <c r="Z16" s="102">
        <f>+'Détail CF'!S95</f>
        <v>0</v>
      </c>
      <c r="AA16" s="102">
        <f>+'Détail CF'!T95</f>
        <v>68.599999999999966</v>
      </c>
      <c r="AB16" s="102">
        <f>+'Détail CF'!U95</f>
        <v>137.19999999999993</v>
      </c>
      <c r="AC16" s="102">
        <f>+'Détail CF'!V95</f>
        <v>205.7999999999999</v>
      </c>
      <c r="AD16" s="102">
        <f>+'Détail CF'!W95</f>
        <v>49274.400000000001</v>
      </c>
      <c r="AE16" s="102">
        <f>+'Détail CF'!X95</f>
        <v>49853.383999999969</v>
      </c>
      <c r="AF16" s="102">
        <f>+'Détail CF'!Y95</f>
        <v>49669.767999999967</v>
      </c>
      <c r="AG16" s="102">
        <f>+'Détail CF'!Z95</f>
        <v>49486.151999999965</v>
      </c>
      <c r="AH16" s="102">
        <f>+'Détail CF'!AA95</f>
        <v>49318.029799999968</v>
      </c>
      <c r="AI16" s="102">
        <f>+'Détail CF'!AB95</f>
        <v>49161.76559999997</v>
      </c>
      <c r="AJ16" s="102">
        <f>+'Détail CF'!AC95</f>
        <v>49044.701399999969</v>
      </c>
      <c r="AK16" s="102">
        <f>+'Détail CF'!AD95</f>
        <v>48935.771199999966</v>
      </c>
      <c r="AL16" s="102">
        <f>+'Détail CF'!AE95</f>
        <v>48947.420199999964</v>
      </c>
      <c r="AM16" s="102">
        <f>+'Détail CF'!AF95</f>
        <v>50415.300199999961</v>
      </c>
      <c r="AN16" s="102">
        <f>+'Détail CF'!AG95</f>
        <v>50184.80919999996</v>
      </c>
      <c r="AO16" s="102">
        <f>+'Détail CF'!AH95</f>
        <v>49853.788199999959</v>
      </c>
      <c r="AP16" s="102">
        <f>+'Détail CF'!AI95</f>
        <v>49551.726199999961</v>
      </c>
      <c r="AQ16" s="102">
        <f>+'Détail CF'!AJ95</f>
        <v>49128.65219999996</v>
      </c>
      <c r="AR16" s="102">
        <f>+'Détail CF'!AK95</f>
        <v>50803.941199999957</v>
      </c>
      <c r="AS16" s="102">
        <f>+'Détail CF'!AL95</f>
        <v>52776.482199999962</v>
      </c>
      <c r="AT16" s="102">
        <f>+'Détail CF'!AM95</f>
        <v>54878.02719999996</v>
      </c>
      <c r="AU16" s="102">
        <f>+'Détail CF'!AN95</f>
        <v>59435.795199999971</v>
      </c>
      <c r="AV16" s="102">
        <f>+'Détail CF'!AO95</f>
        <v>67524.815199999968</v>
      </c>
      <c r="AW16" s="102">
        <f>+'Détail CF'!AP95</f>
        <v>76536.19819999997</v>
      </c>
      <c r="AX16" s="102">
        <f>+'Détail CF'!AQ95</f>
        <v>82794.779199999961</v>
      </c>
      <c r="AY16" s="102">
        <f>+'Détail CF'!AR95</f>
        <v>85302.165199999959</v>
      </c>
      <c r="AZ16" s="102">
        <f>+'Détail CF'!AS95</f>
        <v>87521.28919999997</v>
      </c>
      <c r="BA16" s="102">
        <f>+'Détail CF'!AT95</f>
        <v>87751.405199999965</v>
      </c>
      <c r="BB16" s="102">
        <f>+'Détail CF'!AU95</f>
        <v>88226.913199999981</v>
      </c>
      <c r="BC16" s="102">
        <f>+'Détail CF'!AV95</f>
        <v>84274.208389999985</v>
      </c>
      <c r="BD16" s="102">
        <f>+'Détail CF'!AW95</f>
        <v>80176.473479999971</v>
      </c>
      <c r="BE16" s="102">
        <f>+'Détail CF'!AX95</f>
        <v>72828.274569999994</v>
      </c>
      <c r="BF16" s="102">
        <f>+'Détail CF'!AY95</f>
        <v>63209.611659999988</v>
      </c>
      <c r="BG16" s="102">
        <f>+'Détail CF'!AZ95</f>
        <v>50741.965760000006</v>
      </c>
      <c r="BH16" s="102">
        <f>+'Détail CF'!BA95</f>
        <v>33725.319960000015</v>
      </c>
      <c r="BI16" s="102">
        <f>+'Détail CF'!BB95</f>
        <v>16056.532180000038</v>
      </c>
      <c r="BJ16" s="102">
        <f>+'Détail CF'!BC95</f>
        <v>0</v>
      </c>
      <c r="BK16" s="102">
        <f>+'Détail CF'!BD95</f>
        <v>0</v>
      </c>
      <c r="BL16" s="102">
        <f>+'Détail CF'!BE95</f>
        <v>0</v>
      </c>
      <c r="BM16" s="102">
        <f>+'Détail CF'!BF95</f>
        <v>0</v>
      </c>
      <c r="BN16" s="102">
        <f>+'Détail CF'!BG95</f>
        <v>0</v>
      </c>
      <c r="BO16" s="102">
        <f>+'Détail CF'!BH95</f>
        <v>0</v>
      </c>
      <c r="BP16" s="102">
        <f>+'Détail CF'!BI95</f>
        <v>0</v>
      </c>
      <c r="BQ16" s="102">
        <f>+'Détail CF'!BJ95</f>
        <v>0</v>
      </c>
      <c r="BR16" s="102">
        <f>+'Détail CF'!BK95</f>
        <v>0</v>
      </c>
      <c r="BS16" s="102">
        <f>+'Détail CF'!BL95</f>
        <v>0</v>
      </c>
      <c r="BT16" s="102">
        <f>+'Détail CF'!BM95</f>
        <v>0</v>
      </c>
      <c r="BU16" s="102">
        <f>+'Détail CF'!BN95</f>
        <v>0</v>
      </c>
      <c r="BV16" s="102">
        <f>+'Détail CF'!BO95</f>
        <v>0</v>
      </c>
      <c r="BW16" s="102">
        <f>+'Détail CF'!BP95</f>
        <v>0</v>
      </c>
      <c r="BX16" s="102">
        <f>+'Détail CF'!BQ95</f>
        <v>0</v>
      </c>
      <c r="BY16" s="102">
        <f>+'Détail CF'!BR95</f>
        <v>0</v>
      </c>
      <c r="BZ16" s="102">
        <f>+'Détail CF'!BS95</f>
        <v>0</v>
      </c>
      <c r="CA16" s="102">
        <f>+'Détail CF'!BT95</f>
        <v>0</v>
      </c>
      <c r="CB16" s="102">
        <f>+'Détail CF'!BU95</f>
        <v>0</v>
      </c>
      <c r="CC16" s="102">
        <f>+'Détail CF'!BV95</f>
        <v>0</v>
      </c>
      <c r="CD16" s="102">
        <f>+'Détail CF'!BW95</f>
        <v>0</v>
      </c>
      <c r="CE16" s="102">
        <f>+'Détail CF'!BX95</f>
        <v>0</v>
      </c>
      <c r="CF16" s="102">
        <f>+'Détail CF'!BY95</f>
        <v>0</v>
      </c>
      <c r="CG16" s="102">
        <f>+'Détail CF'!BZ95</f>
        <v>0</v>
      </c>
      <c r="CH16" s="102">
        <f>+'Détail CF'!CA95</f>
        <v>0</v>
      </c>
      <c r="CI16" s="102">
        <f>+'Détail CF'!CB95</f>
        <v>0</v>
      </c>
      <c r="CJ16" s="102">
        <f>+'Détail CF'!CC95</f>
        <v>0</v>
      </c>
      <c r="CK16" s="102">
        <f>+'Détail CF'!CD95</f>
        <v>0</v>
      </c>
      <c r="CL16" s="102">
        <f>+'Détail CF'!CE95</f>
        <v>0</v>
      </c>
    </row>
    <row r="17" spans="1:90">
      <c r="C17" t="s">
        <v>322</v>
      </c>
      <c r="F17" s="102">
        <f xml:space="preserve"> +AD17</f>
        <v>0</v>
      </c>
      <c r="G17" s="102">
        <f>+AD17</f>
        <v>0</v>
      </c>
      <c r="H17" s="102">
        <f>+AP17</f>
        <v>0</v>
      </c>
      <c r="I17" s="102">
        <f xml:space="preserve"> +BB17</f>
        <v>0</v>
      </c>
      <c r="J17" s="102">
        <f>+BN17</f>
        <v>0</v>
      </c>
      <c r="K17" s="102">
        <f>+BZ17</f>
        <v>0</v>
      </c>
      <c r="M17" s="102">
        <f>+'Détail CF'!F80</f>
        <v>0</v>
      </c>
      <c r="N17" s="102">
        <f>+'Détail CF'!G80</f>
        <v>0</v>
      </c>
      <c r="O17" s="102">
        <f>+'Détail CF'!H80</f>
        <v>0</v>
      </c>
      <c r="P17" s="102">
        <f>+'Détail CF'!I80</f>
        <v>0</v>
      </c>
      <c r="Q17" s="102">
        <f>+'Détail CF'!J80</f>
        <v>0</v>
      </c>
      <c r="R17" s="102">
        <f>+'Détail CF'!K80</f>
        <v>0</v>
      </c>
      <c r="S17" s="102">
        <f>+'Détail CF'!L80</f>
        <v>0</v>
      </c>
      <c r="T17" s="102">
        <f>+'Détail CF'!M80</f>
        <v>0</v>
      </c>
      <c r="U17" s="102">
        <f>+'Détail CF'!N80</f>
        <v>0</v>
      </c>
      <c r="V17" s="102">
        <f>+'Détail CF'!O80</f>
        <v>0</v>
      </c>
      <c r="W17" s="102">
        <f>+'Détail CF'!P80</f>
        <v>0</v>
      </c>
      <c r="X17" s="102">
        <f>+'Détail CF'!Q80</f>
        <v>0</v>
      </c>
      <c r="Y17" s="102">
        <f>+'Détail CF'!R80</f>
        <v>0</v>
      </c>
      <c r="Z17" s="102">
        <f>+'Détail CF'!S80</f>
        <v>0</v>
      </c>
      <c r="AA17" s="102">
        <f>+'Détail CF'!T80</f>
        <v>0</v>
      </c>
      <c r="AB17" s="102">
        <f>+'Détail CF'!U80</f>
        <v>0</v>
      </c>
      <c r="AC17" s="102">
        <f>+'Détail CF'!V80</f>
        <v>0</v>
      </c>
      <c r="AD17" s="102">
        <f>+'Détail CF'!W80</f>
        <v>0</v>
      </c>
      <c r="AE17" s="102">
        <f>+'Détail CF'!X80</f>
        <v>0</v>
      </c>
      <c r="AF17" s="102">
        <f>+'Détail CF'!Y80</f>
        <v>0</v>
      </c>
      <c r="AG17" s="102">
        <f>+'Détail CF'!Z80</f>
        <v>0</v>
      </c>
      <c r="AH17" s="102">
        <f>+'Détail CF'!AA80</f>
        <v>0</v>
      </c>
      <c r="AI17" s="102">
        <f>+'Détail CF'!AB80</f>
        <v>0</v>
      </c>
      <c r="AJ17" s="102">
        <f>+'Détail CF'!AC80</f>
        <v>0</v>
      </c>
      <c r="AK17" s="102">
        <f>+'Détail CF'!AD80</f>
        <v>0</v>
      </c>
      <c r="AL17" s="102">
        <f>+'Détail CF'!AE80</f>
        <v>0</v>
      </c>
      <c r="AM17" s="102">
        <f>+'Détail CF'!AF80</f>
        <v>0</v>
      </c>
      <c r="AN17" s="102">
        <f>+'Détail CF'!AG80</f>
        <v>0</v>
      </c>
      <c r="AO17" s="102">
        <f>+'Détail CF'!AH80</f>
        <v>0</v>
      </c>
      <c r="AP17" s="102">
        <f>+'Détail CF'!AI80</f>
        <v>0</v>
      </c>
      <c r="AQ17" s="102">
        <f>+'Détail CF'!AJ80</f>
        <v>0</v>
      </c>
      <c r="AR17" s="102">
        <f>+'Détail CF'!AK80</f>
        <v>0</v>
      </c>
      <c r="AS17" s="102">
        <f>+'Détail CF'!AL80</f>
        <v>0</v>
      </c>
      <c r="AT17" s="102">
        <f>+'Détail CF'!AM80</f>
        <v>0</v>
      </c>
      <c r="AU17" s="102">
        <f>+'Détail CF'!AN80</f>
        <v>0</v>
      </c>
      <c r="AV17" s="102">
        <f>+'Détail CF'!AO80</f>
        <v>0</v>
      </c>
      <c r="AW17" s="102">
        <f>+'Détail CF'!AP80</f>
        <v>0</v>
      </c>
      <c r="AX17" s="102">
        <f>+'Détail CF'!AQ80</f>
        <v>0</v>
      </c>
      <c r="AY17" s="102">
        <f>+'Détail CF'!AR80</f>
        <v>0</v>
      </c>
      <c r="AZ17" s="102">
        <f>+'Détail CF'!AS80</f>
        <v>0</v>
      </c>
      <c r="BA17" s="102">
        <f>+'Détail CF'!AT80</f>
        <v>0</v>
      </c>
      <c r="BB17" s="102">
        <f>+'Détail CF'!AU80</f>
        <v>0</v>
      </c>
      <c r="BC17" s="102">
        <f>+'Détail CF'!AV80</f>
        <v>0</v>
      </c>
      <c r="BD17" s="102">
        <f>+'Détail CF'!AW80</f>
        <v>0</v>
      </c>
      <c r="BE17" s="102">
        <f>+'Détail CF'!AX80</f>
        <v>0</v>
      </c>
      <c r="BF17" s="102">
        <f>+'Détail CF'!AY80</f>
        <v>0</v>
      </c>
      <c r="BG17" s="102">
        <f>+'Détail CF'!AZ80</f>
        <v>0</v>
      </c>
      <c r="BH17" s="102">
        <f>+'Détail CF'!BA80</f>
        <v>0</v>
      </c>
      <c r="BI17" s="102">
        <f>+'Détail CF'!BB80</f>
        <v>0</v>
      </c>
      <c r="BJ17" s="102">
        <f>+'Détail CF'!BC80</f>
        <v>0</v>
      </c>
      <c r="BK17" s="102">
        <f>+'Détail CF'!BD80</f>
        <v>0</v>
      </c>
      <c r="BL17" s="102">
        <f>+'Détail CF'!BE80</f>
        <v>0</v>
      </c>
      <c r="BM17" s="102">
        <f>+'Détail CF'!BF80</f>
        <v>0</v>
      </c>
      <c r="BN17" s="102">
        <f>+'Détail CF'!BG80</f>
        <v>0</v>
      </c>
      <c r="BO17" s="102">
        <f>+'Détail CF'!BH80</f>
        <v>0</v>
      </c>
      <c r="BP17" s="102">
        <f>+'Détail CF'!BI80</f>
        <v>0</v>
      </c>
      <c r="BQ17" s="102">
        <f>+'Détail CF'!BJ80</f>
        <v>0</v>
      </c>
      <c r="BR17" s="102">
        <f>+'Détail CF'!BK80</f>
        <v>0</v>
      </c>
      <c r="BS17" s="102">
        <f>+'Détail CF'!BL80</f>
        <v>0</v>
      </c>
      <c r="BT17" s="102">
        <f>+'Détail CF'!BM80</f>
        <v>0</v>
      </c>
      <c r="BU17" s="102">
        <f>+'Détail CF'!BN80</f>
        <v>0</v>
      </c>
      <c r="BV17" s="102">
        <f>+'Détail CF'!BO80</f>
        <v>0</v>
      </c>
      <c r="BW17" s="102">
        <f>+'Détail CF'!BP80</f>
        <v>0</v>
      </c>
      <c r="BX17" s="102">
        <f>+'Détail CF'!BQ80</f>
        <v>0</v>
      </c>
      <c r="BY17" s="102">
        <f>+'Détail CF'!BR80</f>
        <v>0</v>
      </c>
      <c r="BZ17" s="102">
        <f>+'Détail CF'!BS80</f>
        <v>0</v>
      </c>
      <c r="CA17" s="102">
        <f>+'Détail CF'!BT80</f>
        <v>0</v>
      </c>
      <c r="CB17" s="102">
        <f>+'Détail CF'!BU80</f>
        <v>0</v>
      </c>
      <c r="CC17" s="102">
        <f>+'Détail CF'!BV80</f>
        <v>0</v>
      </c>
      <c r="CD17" s="102">
        <f>+'Détail CF'!BW80</f>
        <v>0</v>
      </c>
      <c r="CE17" s="102">
        <f>+'Détail CF'!BX80</f>
        <v>0</v>
      </c>
      <c r="CF17" s="102">
        <f>+'Détail CF'!BY80</f>
        <v>0</v>
      </c>
      <c r="CG17" s="102">
        <f>+'Détail CF'!BZ80</f>
        <v>0</v>
      </c>
      <c r="CH17" s="102">
        <f>+'Détail CF'!CA80</f>
        <v>0</v>
      </c>
      <c r="CI17" s="102">
        <f>+'Détail CF'!CB80</f>
        <v>0</v>
      </c>
      <c r="CJ17" s="102">
        <f>+'Détail CF'!CC80</f>
        <v>0</v>
      </c>
      <c r="CK17" s="102">
        <f>+'Détail CF'!CD80</f>
        <v>0</v>
      </c>
      <c r="CL17" s="102">
        <f>+'Détail CF'!CE80</f>
        <v>0</v>
      </c>
    </row>
    <row r="18" spans="1:90">
      <c r="C18" t="s">
        <v>211</v>
      </c>
      <c r="F18" s="102">
        <f xml:space="preserve"> +AD18</f>
        <v>0</v>
      </c>
      <c r="G18" s="102">
        <f>+AD18</f>
        <v>0</v>
      </c>
      <c r="H18" s="102">
        <f>+AP18</f>
        <v>15958.758199999989</v>
      </c>
      <c r="I18" s="102">
        <f xml:space="preserve"> +BB18</f>
        <v>64926.843317875311</v>
      </c>
      <c r="J18" s="102">
        <f>+BN18</f>
        <v>103167.86065277975</v>
      </c>
      <c r="K18" s="102">
        <f>+BZ18</f>
        <v>118204.37849052147</v>
      </c>
      <c r="M18" s="102">
        <f>'Détail CF'!F21+'Détail CF'!F78</f>
        <v>0</v>
      </c>
      <c r="N18" s="102">
        <f>'Détail CF'!G21+'Détail CF'!G78</f>
        <v>0</v>
      </c>
      <c r="O18" s="102">
        <f>'Détail CF'!H21+'Détail CF'!H78</f>
        <v>0</v>
      </c>
      <c r="P18" s="102">
        <f>'Détail CF'!I21+'Détail CF'!I78</f>
        <v>0</v>
      </c>
      <c r="Q18" s="102">
        <f>'Détail CF'!J21+'Détail CF'!J78</f>
        <v>0</v>
      </c>
      <c r="R18" s="102">
        <f>'Détail CF'!K21+'Détail CF'!K78</f>
        <v>0</v>
      </c>
      <c r="S18" s="102">
        <f>'Détail CF'!L21+'Détail CF'!L78</f>
        <v>0</v>
      </c>
      <c r="T18" s="102">
        <f>'Détail CF'!M21+'Détail CF'!M78</f>
        <v>0</v>
      </c>
      <c r="U18" s="102">
        <f>'Détail CF'!N21+'Détail CF'!N78</f>
        <v>0</v>
      </c>
      <c r="V18" s="102">
        <f>'Détail CF'!O21+'Détail CF'!O78</f>
        <v>0</v>
      </c>
      <c r="W18" s="102">
        <f>'Détail CF'!P21+'Détail CF'!P78</f>
        <v>0</v>
      </c>
      <c r="X18" s="102">
        <f>'Détail CF'!Q21+'Détail CF'!Q78</f>
        <v>0</v>
      </c>
      <c r="Y18" s="102">
        <f>'Détail CF'!R21+'Détail CF'!R78</f>
        <v>0</v>
      </c>
      <c r="Z18" s="102">
        <f>'Détail CF'!S21+'Détail CF'!S78</f>
        <v>0</v>
      </c>
      <c r="AA18" s="102">
        <f>'Détail CF'!T21+'Détail CF'!T78</f>
        <v>0</v>
      </c>
      <c r="AB18" s="102">
        <f>'Détail CF'!U21+'Détail CF'!U78</f>
        <v>0</v>
      </c>
      <c r="AC18" s="102">
        <f>'Détail CF'!V21+'Détail CF'!V78</f>
        <v>0</v>
      </c>
      <c r="AD18" s="102">
        <f>'Détail CF'!W21+'Détail CF'!W78</f>
        <v>0</v>
      </c>
      <c r="AE18" s="102">
        <f>'Détail CF'!X21+'Détail CF'!X78</f>
        <v>3270.96</v>
      </c>
      <c r="AF18" s="102">
        <f>'Détail CF'!Y21+'Détail CF'!Y78</f>
        <v>4088.7</v>
      </c>
      <c r="AG18" s="102">
        <f>'Détail CF'!Z21+'Détail CF'!Z78</f>
        <v>4906.4399999999987</v>
      </c>
      <c r="AH18" s="102">
        <f>'Détail CF'!AA21+'Détail CF'!AA78</f>
        <v>3270.9599999999991</v>
      </c>
      <c r="AI18" s="102">
        <f>'Détail CF'!AB21+'Détail CF'!AB78</f>
        <v>4088.6999999999989</v>
      </c>
      <c r="AJ18" s="102">
        <f>'Détail CF'!AC21+'Détail CF'!AC78</f>
        <v>4906.4399999999987</v>
      </c>
      <c r="AK18" s="102">
        <f>'Détail CF'!AD21+'Détail CF'!AD78</f>
        <v>3369.0887999999977</v>
      </c>
      <c r="AL18" s="102">
        <f>'Détail CF'!AE21+'Détail CF'!AE78</f>
        <v>4211.3609999999962</v>
      </c>
      <c r="AM18" s="102">
        <f>'Détail CF'!AF21+'Détail CF'!AF78</f>
        <v>8226.0331999999944</v>
      </c>
      <c r="AN18" s="102">
        <f>'Détail CF'!AG21+'Détail CF'!AG78</f>
        <v>9317.3387999999923</v>
      </c>
      <c r="AO18" s="102">
        <f>'Détail CF'!AH21+'Détail CF'!AH78</f>
        <v>11646.673499999994</v>
      </c>
      <c r="AP18" s="102">
        <f>'Détail CF'!AI21+'Détail CF'!AI78</f>
        <v>15958.758199999989</v>
      </c>
      <c r="AQ18" s="102">
        <f>'Détail CF'!AJ21+'Détail CF'!AJ78</f>
        <v>16851.788800000031</v>
      </c>
      <c r="AR18" s="102">
        <f>'Détail CF'!AK21+'Détail CF'!AK78</f>
        <v>23444.03600000004</v>
      </c>
      <c r="AS18" s="102">
        <f>'Détail CF'!AL21+'Détail CF'!AL78</f>
        <v>32851.788200000025</v>
      </c>
      <c r="AT18" s="102">
        <f>'Détail CF'!AM21+'Détail CF'!AM78</f>
        <v>23831.06879999995</v>
      </c>
      <c r="AU18" s="102">
        <f>'Détail CF'!AN21+'Détail CF'!AN78</f>
        <v>32432.502666666587</v>
      </c>
      <c r="AV18" s="102">
        <f>'Détail CF'!AO21+'Détail CF'!AO78</f>
        <v>43809.786533333252</v>
      </c>
      <c r="AW18" s="102">
        <f>'Détail CF'!AP21+'Détail CF'!AP78</f>
        <v>34606.895329416584</v>
      </c>
      <c r="AX18" s="102">
        <f>'Détail CF'!AQ21+'Détail CF'!AQ78</f>
        <v>43326.189260520841</v>
      </c>
      <c r="AY18" s="102">
        <f>'Détail CF'!AR21+'Détail CF'!AR78</f>
        <v>60417.207682562745</v>
      </c>
      <c r="AZ18" s="102">
        <f>'Détail CF'!AS21+'Détail CF'!AS78</f>
        <v>43171.945380666919</v>
      </c>
      <c r="BA18" s="102">
        <f>'Détail CF'!AT21+'Détail CF'!AT78</f>
        <v>54040.009613333641</v>
      </c>
      <c r="BB18" s="102">
        <f>'Détail CF'!AU21+'Détail CF'!AU78</f>
        <v>64926.843317875311</v>
      </c>
      <c r="BC18" s="102">
        <f>'Détail CF'!AV21+'Détail CF'!AV78</f>
        <v>51211.113440666973</v>
      </c>
      <c r="BD18" s="102">
        <f>'Détail CF'!AW21+'Détail CF'!AW78</f>
        <v>64179.063153333285</v>
      </c>
      <c r="BE18" s="102">
        <f>'Détail CF'!AX21+'Détail CF'!AX78</f>
        <v>77188.305704124912</v>
      </c>
      <c r="BF18" s="102">
        <f>'Détail CF'!AY21+'Détail CF'!AY78</f>
        <v>51789.21317441656</v>
      </c>
      <c r="BG18" s="102">
        <f>'Détail CF'!AZ21+'Détail CF'!AZ78</f>
        <v>67925.0882967707</v>
      </c>
      <c r="BH18" s="102">
        <f>'Détail CF'!BA21+'Détail CF'!BA78</f>
        <v>81917.291576312331</v>
      </c>
      <c r="BI18" s="102">
        <f>'Détail CF'!BB21+'Détail CF'!BB78</f>
        <v>61256.988635919748</v>
      </c>
      <c r="BJ18" s="102">
        <f>'Détail CF'!BC21+'Détail CF'!BC78</f>
        <v>76984.277462399827</v>
      </c>
      <c r="BK18" s="102">
        <f>'Détail CF'!BD21+'Détail CF'!BD78</f>
        <v>96190.637282354874</v>
      </c>
      <c r="BL18" s="102">
        <f>'Détail CF'!BE21+'Détail CF'!BE78</f>
        <v>65873.42618471985</v>
      </c>
      <c r="BM18" s="102">
        <f>'Détail CF'!BF21+'Détail CF'!BF78</f>
        <v>85363.525424099818</v>
      </c>
      <c r="BN18" s="102">
        <f>'Détail CF'!BG21+'Détail CF'!BG78</f>
        <v>103167.86065277975</v>
      </c>
      <c r="BO18" s="102">
        <f>'Détail CF'!BH21+'Détail CF'!BH78</f>
        <v>69890.482920719849</v>
      </c>
      <c r="BP18" s="102">
        <f>'Détail CF'!BI21+'Détail CF'!BI78</f>
        <v>87943.874056499888</v>
      </c>
      <c r="BQ18" s="102">
        <f>'Détail CF'!BJ21+'Détail CF'!BJ78</f>
        <v>106059.45810767962</v>
      </c>
      <c r="BR18" s="102">
        <f>'Détail CF'!BK21+'Détail CF'!BK78</f>
        <v>71881.338402719965</v>
      </c>
      <c r="BS18" s="102">
        <f>'Détail CF'!BL21+'Détail CF'!BL78</f>
        <v>92172.24920493328</v>
      </c>
      <c r="BT18" s="102">
        <f>'Détail CF'!BM21+'Détail CF'!BM78</f>
        <v>111220.27117919645</v>
      </c>
      <c r="BU18" s="102">
        <f>'Détail CF'!BN21+'Détail CF'!BN78</f>
        <v>77206.634165080817</v>
      </c>
      <c r="BV18" s="102">
        <f>'Détail CF'!BO21+'Détail CF'!BO78</f>
        <v>96881.450198751118</v>
      </c>
      <c r="BW18" s="102">
        <f>'Détail CF'!BP21+'Détail CF'!BP78</f>
        <v>116649.55560552112</v>
      </c>
      <c r="BX18" s="102">
        <f>'Détail CF'!BQ21+'Détail CF'!BQ78</f>
        <v>78326.106642280691</v>
      </c>
      <c r="BY18" s="102">
        <f>'Détail CF'!BR21+'Détail CF'!BR78</f>
        <v>98280.790795251</v>
      </c>
      <c r="BZ18" s="102">
        <f>'Détail CF'!BS21+'Détail CF'!BS78</f>
        <v>118204.37849052147</v>
      </c>
      <c r="CA18" s="102">
        <f>'Détail CF'!BT21+'Détail CF'!BT78</f>
        <v>79196.807457880903</v>
      </c>
      <c r="CB18" s="102">
        <f>'Détail CF'!BU21+'Détail CF'!BU78</f>
        <v>99244.780983951176</v>
      </c>
      <c r="CC18" s="102">
        <f>'Détail CF'!BV21+'Détail CF'!BV78</f>
        <v>119354.94742542124</v>
      </c>
      <c r="CD18" s="102">
        <f>'Détail CF'!BW21+'Détail CF'!BW78</f>
        <v>79943.122442680818</v>
      </c>
      <c r="CE18" s="102">
        <f>'Détail CF'!BX21+'Détail CF'!BX78</f>
        <v>100177.67471495103</v>
      </c>
      <c r="CF18" s="102">
        <f>'Détail CF'!BY21+'Détail CF'!BY78</f>
        <v>120474.41990262094</v>
      </c>
      <c r="CG18" s="102">
        <f>'Détail CF'!BZ21+'Détail CF'!BZ78</f>
        <v>82684.727830861273</v>
      </c>
      <c r="CH18" s="102">
        <f>'Détail CF'!CA21+'Détail CF'!CA78</f>
        <v>103554.92711785602</v>
      </c>
      <c r="CI18" s="102">
        <f>'Détail CF'!CB21+'Détail CF'!CB78</f>
        <v>124400.24923869123</v>
      </c>
      <c r="CJ18" s="102">
        <f>'Détail CF'!CC21+'Détail CF'!CC78</f>
        <v>83132.516821740443</v>
      </c>
      <c r="CK18" s="102">
        <f>'Détail CF'!CD21+'Détail CF'!CD78</f>
        <v>104040.0318579762</v>
      </c>
      <c r="CL18" s="102">
        <f>'Détail CF'!CE21+'Détail CF'!CE78</f>
        <v>124978.64335191142</v>
      </c>
    </row>
    <row r="19" spans="1:90">
      <c r="B19" s="163" t="s">
        <v>213</v>
      </c>
      <c r="C19" s="161"/>
      <c r="D19" s="161"/>
      <c r="E19" s="161"/>
      <c r="F19" s="164">
        <f t="shared" ref="F19:K19" si="10">SUM(F15:F18)</f>
        <v>49274.400000000001</v>
      </c>
      <c r="G19" s="164">
        <f t="shared" si="10"/>
        <v>49274.400000000001</v>
      </c>
      <c r="H19" s="164">
        <f t="shared" si="10"/>
        <v>65510.48439999995</v>
      </c>
      <c r="I19" s="164">
        <f t="shared" si="10"/>
        <v>169479.78441787529</v>
      </c>
      <c r="J19" s="164">
        <f t="shared" si="10"/>
        <v>175499.7679194464</v>
      </c>
      <c r="K19" s="164">
        <f t="shared" si="10"/>
        <v>225536.62775718811</v>
      </c>
      <c r="M19" s="164">
        <f>SUM(M15:M18)</f>
        <v>0</v>
      </c>
      <c r="N19" s="164">
        <f>SUM(N15:N18)</f>
        <v>0</v>
      </c>
      <c r="O19" s="164">
        <f>SUM(O15:O18)</f>
        <v>0</v>
      </c>
      <c r="P19" s="164">
        <f t="shared" ref="P19:BH19" si="11">SUM(P15:P18)</f>
        <v>0</v>
      </c>
      <c r="Q19" s="164">
        <f t="shared" si="11"/>
        <v>0</v>
      </c>
      <c r="R19" s="164">
        <f t="shared" si="11"/>
        <v>0</v>
      </c>
      <c r="S19" s="164">
        <f t="shared" si="11"/>
        <v>0</v>
      </c>
      <c r="T19" s="164">
        <f t="shared" si="11"/>
        <v>0</v>
      </c>
      <c r="U19" s="164">
        <f t="shared" si="11"/>
        <v>0</v>
      </c>
      <c r="V19" s="164">
        <f t="shared" si="11"/>
        <v>0</v>
      </c>
      <c r="W19" s="164">
        <f t="shared" si="11"/>
        <v>0</v>
      </c>
      <c r="X19" s="164">
        <f t="shared" si="11"/>
        <v>0</v>
      </c>
      <c r="Y19" s="164">
        <f t="shared" si="11"/>
        <v>0</v>
      </c>
      <c r="Z19" s="164">
        <f t="shared" si="11"/>
        <v>0</v>
      </c>
      <c r="AA19" s="164">
        <f t="shared" si="11"/>
        <v>68.599999999999966</v>
      </c>
      <c r="AB19" s="164">
        <f t="shared" si="11"/>
        <v>137.19999999999993</v>
      </c>
      <c r="AC19" s="164">
        <f t="shared" si="11"/>
        <v>205.7999999999999</v>
      </c>
      <c r="AD19" s="164">
        <f t="shared" si="11"/>
        <v>49274.400000000001</v>
      </c>
      <c r="AE19" s="164">
        <f t="shared" si="11"/>
        <v>53124.343999999968</v>
      </c>
      <c r="AF19" s="164">
        <f t="shared" si="11"/>
        <v>53758.467999999964</v>
      </c>
      <c r="AG19" s="164">
        <f t="shared" si="11"/>
        <v>54392.591999999961</v>
      </c>
      <c r="AH19" s="164">
        <f t="shared" si="11"/>
        <v>52588.989799999967</v>
      </c>
      <c r="AI19" s="164">
        <f t="shared" si="11"/>
        <v>53250.465599999967</v>
      </c>
      <c r="AJ19" s="164">
        <f t="shared" si="11"/>
        <v>53951.141399999964</v>
      </c>
      <c r="AK19" s="164">
        <f t="shared" si="11"/>
        <v>52304.859999999964</v>
      </c>
      <c r="AL19" s="164">
        <f t="shared" si="11"/>
        <v>53158.781199999961</v>
      </c>
      <c r="AM19" s="164">
        <f t="shared" si="11"/>
        <v>58641.33339999996</v>
      </c>
      <c r="AN19" s="164">
        <f t="shared" si="11"/>
        <v>59502.14799999995</v>
      </c>
      <c r="AO19" s="164">
        <f t="shared" si="11"/>
        <v>61500.461699999956</v>
      </c>
      <c r="AP19" s="164">
        <f t="shared" si="11"/>
        <v>65510.48439999995</v>
      </c>
      <c r="AQ19" s="164">
        <f t="shared" si="11"/>
        <v>66757.870899999994</v>
      </c>
      <c r="AR19" s="164">
        <f t="shared" si="11"/>
        <v>75802.837</v>
      </c>
      <c r="AS19" s="164">
        <f t="shared" si="11"/>
        <v>87960.560099999988</v>
      </c>
      <c r="AT19" s="164">
        <f t="shared" si="11"/>
        <v>81818.815599999914</v>
      </c>
      <c r="AU19" s="164">
        <f t="shared" si="11"/>
        <v>95755.447366666558</v>
      </c>
      <c r="AV19" s="164">
        <f t="shared" si="11"/>
        <v>115999.18113333322</v>
      </c>
      <c r="AW19" s="164">
        <f t="shared" si="11"/>
        <v>117362.53272941655</v>
      </c>
      <c r="AX19" s="164">
        <f t="shared" si="11"/>
        <v>133895.26746052079</v>
      </c>
      <c r="AY19" s="164">
        <f t="shared" si="11"/>
        <v>155048.53168256272</v>
      </c>
      <c r="AZ19" s="164">
        <f t="shared" si="11"/>
        <v>142354.68308066687</v>
      </c>
      <c r="BA19" s="164">
        <f t="shared" si="11"/>
        <v>155785.15301333362</v>
      </c>
      <c r="BB19" s="164">
        <f t="shared" si="11"/>
        <v>169479.78441787529</v>
      </c>
      <c r="BC19" s="164">
        <f t="shared" si="11"/>
        <v>154143.63943066695</v>
      </c>
      <c r="BD19" s="164">
        <f t="shared" si="11"/>
        <v>166902.07016666658</v>
      </c>
      <c r="BE19" s="164">
        <f t="shared" si="11"/>
        <v>176451.32974079158</v>
      </c>
      <c r="BF19" s="164">
        <f t="shared" si="11"/>
        <v>145321.79023441655</v>
      </c>
      <c r="BG19" s="164">
        <f t="shared" si="11"/>
        <v>153656.73172343738</v>
      </c>
      <c r="BH19" s="164">
        <f t="shared" si="11"/>
        <v>156077.49780297902</v>
      </c>
      <c r="BI19" s="164">
        <f t="shared" ref="BI19:BT19" si="12">SUM(BI15:BI18)</f>
        <v>121638.75588258644</v>
      </c>
      <c r="BJ19" s="164">
        <f t="shared" si="12"/>
        <v>126756.85399573315</v>
      </c>
      <c r="BK19" s="164">
        <f t="shared" si="12"/>
        <v>150632.05894902154</v>
      </c>
      <c r="BL19" s="164">
        <f t="shared" si="12"/>
        <v>128871.90891805319</v>
      </c>
      <c r="BM19" s="164">
        <f t="shared" si="12"/>
        <v>153028.72042409983</v>
      </c>
      <c r="BN19" s="164">
        <f t="shared" si="12"/>
        <v>175499.7679194464</v>
      </c>
      <c r="BO19" s="164">
        <f t="shared" si="12"/>
        <v>146889.10245405318</v>
      </c>
      <c r="BP19" s="164">
        <f t="shared" si="12"/>
        <v>168442.5277898332</v>
      </c>
      <c r="BQ19" s="164">
        <f t="shared" si="12"/>
        <v>190058.14604101295</v>
      </c>
      <c r="BR19" s="164">
        <f t="shared" si="12"/>
        <v>159380.06053605329</v>
      </c>
      <c r="BS19" s="164">
        <f t="shared" si="12"/>
        <v>183171.00553826659</v>
      </c>
      <c r="BT19" s="164">
        <f t="shared" si="12"/>
        <v>204552.3836458631</v>
      </c>
      <c r="BU19" s="164">
        <f t="shared" ref="BU19:BZ19" si="13">SUM(BU15:BU18)</f>
        <v>172872.10276508081</v>
      </c>
      <c r="BV19" s="164">
        <f t="shared" si="13"/>
        <v>194880.27493208446</v>
      </c>
      <c r="BW19" s="164">
        <f t="shared" si="13"/>
        <v>216981.7364721878</v>
      </c>
      <c r="BX19" s="164">
        <f t="shared" si="13"/>
        <v>180991.64364228069</v>
      </c>
      <c r="BY19" s="164">
        <f t="shared" si="13"/>
        <v>203279.68392858433</v>
      </c>
      <c r="BZ19" s="164">
        <f t="shared" si="13"/>
        <v>225536.62775718811</v>
      </c>
      <c r="CA19" s="164">
        <f t="shared" ref="CA19:CL19" si="14">SUM(CA15:CA18)</f>
        <v>188162.40601788089</v>
      </c>
      <c r="CB19" s="164">
        <f t="shared" si="14"/>
        <v>210077.06445061782</v>
      </c>
      <c r="CC19" s="164">
        <f t="shared" si="14"/>
        <v>231353.90895875456</v>
      </c>
      <c r="CD19" s="164">
        <f t="shared" si="14"/>
        <v>193108.76204268081</v>
      </c>
      <c r="CE19" s="164">
        <f t="shared" si="14"/>
        <v>214509.99238161769</v>
      </c>
      <c r="CF19" s="164">
        <f t="shared" si="14"/>
        <v>235973.41563595424</v>
      </c>
      <c r="CG19" s="164">
        <f t="shared" si="14"/>
        <v>199350.40163086128</v>
      </c>
      <c r="CH19" s="164">
        <f t="shared" si="14"/>
        <v>221387.27898452268</v>
      </c>
      <c r="CI19" s="164">
        <f t="shared" si="14"/>
        <v>243399.27917202457</v>
      </c>
      <c r="CJ19" s="164">
        <f t="shared" si="14"/>
        <v>202831.55359507375</v>
      </c>
      <c r="CK19" s="164">
        <f t="shared" si="14"/>
        <v>224439.07547130951</v>
      </c>
      <c r="CL19" s="164">
        <f t="shared" si="14"/>
        <v>246311.02941857808</v>
      </c>
    </row>
    <row r="20" spans="1:90">
      <c r="F20" s="15"/>
      <c r="G20" s="15"/>
      <c r="H20" s="15"/>
      <c r="I20" s="15"/>
      <c r="J20" s="15"/>
      <c r="K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</row>
    <row r="21" spans="1:90">
      <c r="B21" s="12" t="s">
        <v>214</v>
      </c>
      <c r="F21" s="160">
        <f xml:space="preserve"> +AD21</f>
        <v>398475.39999999997</v>
      </c>
      <c r="G21" s="160">
        <f>+AD21</f>
        <v>398475.39999999997</v>
      </c>
      <c r="H21" s="160">
        <f>+AP21</f>
        <v>947326.63235963415</v>
      </c>
      <c r="I21" s="160">
        <f xml:space="preserve"> +BB21</f>
        <v>0</v>
      </c>
      <c r="J21" s="160">
        <f>+BN21</f>
        <v>0</v>
      </c>
      <c r="K21" s="160">
        <f>+BZ21</f>
        <v>1354724.1313476763</v>
      </c>
      <c r="M21" s="160">
        <f>IF(M10+M12+M19-SUM(M27:M29)-M33-M35-SUM(M38:M41)&gt;0,0,-M10-M12-M19 +SUM(M27:M29)+M33+M35+SUM(M38:M41))</f>
        <v>0</v>
      </c>
      <c r="N21" s="160">
        <f t="shared" ref="N21:BT21" si="15">IF(N10+N12+N19-SUM(N27:N29)-N33-N35-SUM(N38:N41)&gt;0,0,-N10-N12-N19 +SUM(N27:N29)+N33+N35+SUM(N38:N41))</f>
        <v>0</v>
      </c>
      <c r="O21" s="160">
        <f t="shared" si="15"/>
        <v>0</v>
      </c>
      <c r="P21" s="160">
        <f t="shared" si="15"/>
        <v>0</v>
      </c>
      <c r="Q21" s="160">
        <f t="shared" si="15"/>
        <v>0</v>
      </c>
      <c r="R21" s="160">
        <f t="shared" si="15"/>
        <v>0</v>
      </c>
      <c r="S21" s="160">
        <f t="shared" si="15"/>
        <v>0</v>
      </c>
      <c r="T21" s="160">
        <f t="shared" si="15"/>
        <v>0</v>
      </c>
      <c r="U21" s="160">
        <f t="shared" si="15"/>
        <v>0</v>
      </c>
      <c r="V21" s="160">
        <f t="shared" si="15"/>
        <v>0</v>
      </c>
      <c r="W21" s="160">
        <f t="shared" si="15"/>
        <v>0</v>
      </c>
      <c r="X21" s="160">
        <f t="shared" si="15"/>
        <v>0</v>
      </c>
      <c r="Y21" s="160">
        <f t="shared" si="15"/>
        <v>0</v>
      </c>
      <c r="Z21" s="160">
        <f t="shared" si="15"/>
        <v>0</v>
      </c>
      <c r="AA21" s="160">
        <f t="shared" si="15"/>
        <v>0</v>
      </c>
      <c r="AB21" s="160">
        <f t="shared" si="15"/>
        <v>0</v>
      </c>
      <c r="AC21" s="160">
        <f t="shared" si="15"/>
        <v>0</v>
      </c>
      <c r="AD21" s="160">
        <f t="shared" si="15"/>
        <v>398475.39999999997</v>
      </c>
      <c r="AE21" s="160">
        <f t="shared" si="15"/>
        <v>331324.02190947928</v>
      </c>
      <c r="AF21" s="160">
        <f t="shared" si="15"/>
        <v>318825.22080610704</v>
      </c>
      <c r="AG21" s="160">
        <f t="shared" si="15"/>
        <v>306328.35268988338</v>
      </c>
      <c r="AH21" s="160">
        <f t="shared" si="15"/>
        <v>696214.31156080856</v>
      </c>
      <c r="AI21" s="160">
        <f t="shared" si="15"/>
        <v>683502.01561888203</v>
      </c>
      <c r="AJ21" s="160">
        <f t="shared" si="15"/>
        <v>670651.75666410429</v>
      </c>
      <c r="AK21" s="160">
        <f t="shared" si="15"/>
        <v>659523.65349647508</v>
      </c>
      <c r="AL21" s="160">
        <f t="shared" si="15"/>
        <v>646361.16991599428</v>
      </c>
      <c r="AM21" s="160">
        <f t="shared" si="15"/>
        <v>1025259.0821226625</v>
      </c>
      <c r="AN21" s="160">
        <f t="shared" si="15"/>
        <v>1000825.6094975823</v>
      </c>
      <c r="AO21" s="160">
        <f t="shared" si="15"/>
        <v>976761.78254323953</v>
      </c>
      <c r="AP21" s="160">
        <f t="shared" si="15"/>
        <v>947326.63235963415</v>
      </c>
      <c r="AQ21" s="160">
        <f t="shared" si="15"/>
        <v>910903.44094676606</v>
      </c>
      <c r="AR21" s="160">
        <f t="shared" si="15"/>
        <v>866663.66010463529</v>
      </c>
      <c r="AS21" s="160">
        <f t="shared" si="15"/>
        <v>795543.63303324196</v>
      </c>
      <c r="AT21" s="160">
        <f t="shared" si="15"/>
        <v>742509.41133258597</v>
      </c>
      <c r="AU21" s="160">
        <f t="shared" si="15"/>
        <v>652081.38880266761</v>
      </c>
      <c r="AV21" s="160">
        <f t="shared" si="15"/>
        <v>520212.77904348623</v>
      </c>
      <c r="AW21" s="160">
        <f t="shared" si="15"/>
        <v>433137.4340918758</v>
      </c>
      <c r="AX21" s="160">
        <f t="shared" si="15"/>
        <v>302354.59052554099</v>
      </c>
      <c r="AY21" s="160">
        <f t="shared" si="15"/>
        <v>177636.32906477299</v>
      </c>
      <c r="AZ21" s="160">
        <f t="shared" si="15"/>
        <v>88261.12651194667</v>
      </c>
      <c r="BA21" s="160">
        <f t="shared" si="15"/>
        <v>0</v>
      </c>
      <c r="BB21" s="160">
        <f t="shared" si="15"/>
        <v>0</v>
      </c>
      <c r="BC21" s="160">
        <f t="shared" si="15"/>
        <v>0</v>
      </c>
      <c r="BD21" s="160">
        <f t="shared" si="15"/>
        <v>0</v>
      </c>
      <c r="BE21" s="160">
        <f t="shared" si="15"/>
        <v>0</v>
      </c>
      <c r="BF21" s="160">
        <f t="shared" si="15"/>
        <v>0</v>
      </c>
      <c r="BG21" s="160">
        <f t="shared" si="15"/>
        <v>0</v>
      </c>
      <c r="BH21" s="160">
        <f t="shared" si="15"/>
        <v>0</v>
      </c>
      <c r="BI21" s="160">
        <f t="shared" si="15"/>
        <v>0</v>
      </c>
      <c r="BJ21" s="160">
        <f t="shared" si="15"/>
        <v>0</v>
      </c>
      <c r="BK21" s="160">
        <f t="shared" si="15"/>
        <v>0</v>
      </c>
      <c r="BL21" s="160">
        <f t="shared" si="15"/>
        <v>0</v>
      </c>
      <c r="BM21" s="160">
        <f t="shared" si="15"/>
        <v>0</v>
      </c>
      <c r="BN21" s="160">
        <f t="shared" si="15"/>
        <v>0</v>
      </c>
      <c r="BO21" s="160">
        <f t="shared" si="15"/>
        <v>0</v>
      </c>
      <c r="BP21" s="160">
        <f t="shared" si="15"/>
        <v>0</v>
      </c>
      <c r="BQ21" s="160">
        <f t="shared" si="15"/>
        <v>83463.82562152145</v>
      </c>
      <c r="BR21" s="160">
        <f t="shared" si="15"/>
        <v>247563.88101703612</v>
      </c>
      <c r="BS21" s="160">
        <f t="shared" si="15"/>
        <v>365498.99706628895</v>
      </c>
      <c r="BT21" s="160">
        <f t="shared" si="15"/>
        <v>432546.67642273789</v>
      </c>
      <c r="BU21" s="160">
        <f t="shared" ref="BU21:BZ21" si="16">IF(BU10+BU12+BU19-SUM(BU27:BU29)-BU33-BU35-SUM(BU38:BU41)&gt;0,0,-BU10-BU12-BU19 +SUM(BU27:BU29)+BU33+BU35+SUM(BU38:BU41))</f>
        <v>613365.4001901187</v>
      </c>
      <c r="BV21" s="160">
        <f t="shared" si="16"/>
        <v>748569.97612029244</v>
      </c>
      <c r="BW21" s="160">
        <f t="shared" si="16"/>
        <v>891755.56788794289</v>
      </c>
      <c r="BX21" s="160">
        <f t="shared" si="16"/>
        <v>1101107.0192361835</v>
      </c>
      <c r="BY21" s="160">
        <f t="shared" si="16"/>
        <v>1260254.6426787907</v>
      </c>
      <c r="BZ21" s="160">
        <f t="shared" si="16"/>
        <v>1354724.1313476763</v>
      </c>
      <c r="CA21" s="160">
        <f t="shared" ref="CA21:CL21" si="17">IF(CA10+CA12+CA19-SUM(CA27:CA29)-CA33-CA35-SUM(CA38:CA41)&gt;0,0,-CA10-CA12-CA19 +SUM(CA27:CA29)+CA33+CA35+SUM(CA38:CA41))</f>
        <v>1612046.4957704516</v>
      </c>
      <c r="CB21" s="160">
        <f t="shared" si="17"/>
        <v>1789084.0726088223</v>
      </c>
      <c r="CC21" s="160">
        <f t="shared" si="17"/>
        <v>1970182.4574957928</v>
      </c>
      <c r="CD21" s="160">
        <f t="shared" si="17"/>
        <v>2213135.9266509777</v>
      </c>
      <c r="CE21" s="160">
        <f t="shared" si="17"/>
        <v>2400350.5524351476</v>
      </c>
      <c r="CF21" s="160">
        <f t="shared" si="17"/>
        <v>2509020.5474879425</v>
      </c>
      <c r="CG21" s="160">
        <f t="shared" si="17"/>
        <v>2758317.1203388232</v>
      </c>
      <c r="CH21" s="160">
        <f t="shared" si="17"/>
        <v>2952955.0289381165</v>
      </c>
      <c r="CI21" s="160">
        <f t="shared" si="17"/>
        <v>3151759.581645587</v>
      </c>
      <c r="CJ21" s="160">
        <f t="shared" si="17"/>
        <v>3414828.6780995121</v>
      </c>
      <c r="CK21" s="160">
        <f t="shared" si="17"/>
        <v>3617064.2666822602</v>
      </c>
      <c r="CL21" s="160">
        <f t="shared" si="17"/>
        <v>3734544.9857159783</v>
      </c>
    </row>
    <row r="22" spans="1:90">
      <c r="F22" s="15"/>
      <c r="G22" s="15"/>
      <c r="H22" s="15"/>
      <c r="I22" s="15"/>
      <c r="J22" s="15"/>
      <c r="K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</row>
    <row r="23" spans="1:90">
      <c r="A23" s="111" t="s">
        <v>215</v>
      </c>
      <c r="B23" s="120"/>
      <c r="C23" s="120"/>
      <c r="D23" s="120"/>
      <c r="E23" s="120"/>
      <c r="F23" s="165">
        <f t="shared" ref="F23:K23" si="18">F10+F12+F19+F21</f>
        <v>693583.1333333333</v>
      </c>
      <c r="G23" s="165">
        <f t="shared" si="18"/>
        <v>693583.1333333333</v>
      </c>
      <c r="H23" s="165">
        <f t="shared" si="18"/>
        <v>1215337.1167596341</v>
      </c>
      <c r="I23" s="165">
        <f t="shared" si="18"/>
        <v>335979.78441787529</v>
      </c>
      <c r="J23" s="165">
        <f t="shared" si="18"/>
        <v>289499.7679194464</v>
      </c>
      <c r="K23" s="165">
        <f t="shared" si="18"/>
        <v>1619260.7591048644</v>
      </c>
      <c r="M23" s="165">
        <f>M10+M12+M19+M21</f>
        <v>0</v>
      </c>
      <c r="N23" s="165">
        <f>N10+N12+N19+N21</f>
        <v>0</v>
      </c>
      <c r="O23" s="165">
        <f>O10+O12+O19+O21</f>
        <v>0</v>
      </c>
      <c r="P23" s="165">
        <f t="shared" ref="P23:BH23" si="19">P10+P12+P19+P21</f>
        <v>0</v>
      </c>
      <c r="Q23" s="165">
        <f t="shared" si="19"/>
        <v>0</v>
      </c>
      <c r="R23" s="165">
        <f t="shared" si="19"/>
        <v>0</v>
      </c>
      <c r="S23" s="165">
        <f t="shared" si="19"/>
        <v>0</v>
      </c>
      <c r="T23" s="165">
        <f t="shared" si="19"/>
        <v>0</v>
      </c>
      <c r="U23" s="165">
        <f t="shared" si="19"/>
        <v>0</v>
      </c>
      <c r="V23" s="165">
        <f t="shared" si="19"/>
        <v>0</v>
      </c>
      <c r="W23" s="165">
        <f t="shared" si="19"/>
        <v>0</v>
      </c>
      <c r="X23" s="165">
        <f t="shared" si="19"/>
        <v>0</v>
      </c>
      <c r="Y23" s="165">
        <f t="shared" si="19"/>
        <v>0</v>
      </c>
      <c r="Z23" s="165">
        <f t="shared" si="19"/>
        <v>0</v>
      </c>
      <c r="AA23" s="165">
        <f t="shared" si="19"/>
        <v>68.599999999999966</v>
      </c>
      <c r="AB23" s="165">
        <f t="shared" si="19"/>
        <v>137.19999999999993</v>
      </c>
      <c r="AC23" s="165">
        <f t="shared" si="19"/>
        <v>205.7999999999999</v>
      </c>
      <c r="AD23" s="165">
        <f t="shared" si="19"/>
        <v>693583.1333333333</v>
      </c>
      <c r="AE23" s="165">
        <f t="shared" si="19"/>
        <v>626115.03257614584</v>
      </c>
      <c r="AF23" s="165">
        <f t="shared" si="19"/>
        <v>610083.68880610703</v>
      </c>
      <c r="AG23" s="165">
        <f t="shared" si="19"/>
        <v>594054.27802321664</v>
      </c>
      <c r="AH23" s="165">
        <f t="shared" si="19"/>
        <v>977969.96802747517</v>
      </c>
      <c r="AI23" s="165">
        <f t="shared" si="19"/>
        <v>961752.48121888202</v>
      </c>
      <c r="AJ23" s="165">
        <f t="shared" si="19"/>
        <v>945436.23139743763</v>
      </c>
      <c r="AK23" s="165">
        <f t="shared" si="19"/>
        <v>928495.18016314169</v>
      </c>
      <c r="AL23" s="165">
        <f t="shared" si="19"/>
        <v>912019.95111599425</v>
      </c>
      <c r="AM23" s="165">
        <f t="shared" si="19"/>
        <v>1299900.4155226625</v>
      </c>
      <c r="AN23" s="165">
        <f t="shared" si="19"/>
        <v>1271827.7574975821</v>
      </c>
      <c r="AO23" s="165">
        <f t="shared" si="19"/>
        <v>1245262.2442432395</v>
      </c>
      <c r="AP23" s="165">
        <f t="shared" si="19"/>
        <v>1215337.1167596341</v>
      </c>
      <c r="AQ23" s="165">
        <f t="shared" si="19"/>
        <v>1175661.3118467662</v>
      </c>
      <c r="AR23" s="165">
        <f t="shared" si="19"/>
        <v>1135966.4971046352</v>
      </c>
      <c r="AS23" s="165">
        <f t="shared" si="19"/>
        <v>1072504.193133242</v>
      </c>
      <c r="AT23" s="165">
        <f t="shared" si="19"/>
        <v>1008828.2269325859</v>
      </c>
      <c r="AU23" s="165">
        <f t="shared" si="19"/>
        <v>927836.83616933413</v>
      </c>
      <c r="AV23" s="165">
        <f t="shared" si="19"/>
        <v>811711.96017681947</v>
      </c>
      <c r="AW23" s="165">
        <f t="shared" si="19"/>
        <v>744499.96682129242</v>
      </c>
      <c r="AX23" s="165">
        <f t="shared" si="19"/>
        <v>624749.85798606183</v>
      </c>
      <c r="AY23" s="165">
        <f t="shared" si="19"/>
        <v>515684.86074733571</v>
      </c>
      <c r="AZ23" s="165">
        <f t="shared" si="19"/>
        <v>408115.80959261354</v>
      </c>
      <c r="BA23" s="165">
        <f t="shared" si="19"/>
        <v>327785.15301333362</v>
      </c>
      <c r="BB23" s="165">
        <f t="shared" si="19"/>
        <v>335979.78441787529</v>
      </c>
      <c r="BC23" s="165">
        <f t="shared" si="19"/>
        <v>315143.63943066692</v>
      </c>
      <c r="BD23" s="165">
        <f t="shared" si="19"/>
        <v>322402.07016666658</v>
      </c>
      <c r="BE23" s="165">
        <f t="shared" si="19"/>
        <v>326451.32974079158</v>
      </c>
      <c r="BF23" s="165">
        <f t="shared" si="19"/>
        <v>289821.79023441655</v>
      </c>
      <c r="BG23" s="165">
        <f t="shared" si="19"/>
        <v>292656.73172343738</v>
      </c>
      <c r="BH23" s="165">
        <f t="shared" si="19"/>
        <v>289577.49780297902</v>
      </c>
      <c r="BI23" s="165">
        <f t="shared" ref="BI23:BT23" si="20">BI10+BI12+BI19+BI21</f>
        <v>266888.75588258647</v>
      </c>
      <c r="BJ23" s="165">
        <f t="shared" si="20"/>
        <v>265756.85399573314</v>
      </c>
      <c r="BK23" s="165">
        <f t="shared" si="20"/>
        <v>283382.05894902151</v>
      </c>
      <c r="BL23" s="165">
        <f t="shared" si="20"/>
        <v>255371.9089180532</v>
      </c>
      <c r="BM23" s="165">
        <f t="shared" si="20"/>
        <v>273278.72042409983</v>
      </c>
      <c r="BN23" s="165">
        <f t="shared" si="20"/>
        <v>289499.7679194464</v>
      </c>
      <c r="BO23" s="165">
        <f t="shared" si="20"/>
        <v>254639.10245405318</v>
      </c>
      <c r="BP23" s="165">
        <f t="shared" si="20"/>
        <v>269942.5277898332</v>
      </c>
      <c r="BQ23" s="165">
        <f t="shared" si="20"/>
        <v>368771.9716625344</v>
      </c>
      <c r="BR23" s="165">
        <f t="shared" si="20"/>
        <v>495943.94155308942</v>
      </c>
      <c r="BS23" s="165">
        <f t="shared" si="20"/>
        <v>631420.00260455557</v>
      </c>
      <c r="BT23" s="165">
        <f t="shared" si="20"/>
        <v>713599.06006860104</v>
      </c>
      <c r="BU23" s="165">
        <f t="shared" ref="BU23:BZ23" si="21">BU10+BU12+BU19+BU21</f>
        <v>856487.50295519945</v>
      </c>
      <c r="BV23" s="165">
        <f t="shared" si="21"/>
        <v>1007450.2510523769</v>
      </c>
      <c r="BW23" s="165">
        <f t="shared" si="21"/>
        <v>1166487.3043601308</v>
      </c>
      <c r="BX23" s="165">
        <f t="shared" si="21"/>
        <v>1333598.6628784642</v>
      </c>
      <c r="BY23" s="165">
        <f t="shared" si="21"/>
        <v>1508784.3266073749</v>
      </c>
      <c r="BZ23" s="165">
        <f t="shared" si="21"/>
        <v>1619260.7591048644</v>
      </c>
      <c r="CA23" s="165">
        <f t="shared" ref="CA23:CL23" si="22">CA10+CA12+CA19+CA21</f>
        <v>1764208.9017883325</v>
      </c>
      <c r="CB23" s="165">
        <f t="shared" si="22"/>
        <v>1963161.1370594401</v>
      </c>
      <c r="CC23" s="165">
        <f t="shared" si="22"/>
        <v>2165536.3664545473</v>
      </c>
      <c r="CD23" s="165">
        <f t="shared" si="22"/>
        <v>2370244.6886936584</v>
      </c>
      <c r="CE23" s="165">
        <f t="shared" si="22"/>
        <v>2578860.5448167655</v>
      </c>
      <c r="CF23" s="165">
        <f t="shared" si="22"/>
        <v>2708993.9631238966</v>
      </c>
      <c r="CG23" s="165">
        <f t="shared" si="22"/>
        <v>2921667.5219696844</v>
      </c>
      <c r="CH23" s="165">
        <f t="shared" si="22"/>
        <v>3138342.307922639</v>
      </c>
      <c r="CI23" s="165">
        <f t="shared" si="22"/>
        <v>3359158.8608176117</v>
      </c>
      <c r="CJ23" s="165">
        <f t="shared" si="22"/>
        <v>3581660.2316945856</v>
      </c>
      <c r="CK23" s="165">
        <f t="shared" si="22"/>
        <v>3805503.3421535697</v>
      </c>
      <c r="CL23" s="165">
        <f t="shared" si="22"/>
        <v>3944856.0151345562</v>
      </c>
    </row>
    <row r="24" spans="1:90">
      <c r="F24" s="15"/>
      <c r="G24" s="15"/>
      <c r="H24" s="15"/>
      <c r="I24" s="15"/>
      <c r="J24" s="15"/>
      <c r="K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</row>
    <row r="25" spans="1:90">
      <c r="F25" s="15"/>
      <c r="G25" s="15"/>
      <c r="H25" s="15"/>
      <c r="I25" s="15"/>
      <c r="J25" s="15"/>
      <c r="K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</row>
    <row r="26" spans="1:90">
      <c r="A26" s="12" t="s">
        <v>216</v>
      </c>
      <c r="F26" s="15"/>
      <c r="G26" s="15"/>
      <c r="H26" s="15"/>
      <c r="I26" s="15"/>
      <c r="J26" s="15"/>
      <c r="K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</row>
    <row r="27" spans="1:90">
      <c r="B27" s="12" t="s">
        <v>225</v>
      </c>
      <c r="F27" s="102">
        <f xml:space="preserve"> +AD27</f>
        <v>400000</v>
      </c>
      <c r="G27" s="102">
        <f>+AD27</f>
        <v>400000</v>
      </c>
      <c r="H27" s="102">
        <f>+AP27</f>
        <v>1200000</v>
      </c>
      <c r="I27" s="102">
        <f xml:space="preserve"> +BB27</f>
        <v>1200000</v>
      </c>
      <c r="J27" s="102">
        <f>+BN27</f>
        <v>1200000</v>
      </c>
      <c r="K27" s="102">
        <f>+BZ27</f>
        <v>1200000</v>
      </c>
      <c r="M27" s="201"/>
      <c r="N27" s="102"/>
      <c r="O27" s="201"/>
      <c r="P27" s="201"/>
      <c r="Q27" s="201"/>
      <c r="R27" s="102">
        <f t="shared" ref="R27:AS28" si="23">Q27</f>
        <v>0</v>
      </c>
      <c r="S27" s="201">
        <v>0</v>
      </c>
      <c r="T27" s="102">
        <f t="shared" si="23"/>
        <v>0</v>
      </c>
      <c r="U27" s="102">
        <f t="shared" si="23"/>
        <v>0</v>
      </c>
      <c r="V27" s="102">
        <f t="shared" si="23"/>
        <v>0</v>
      </c>
      <c r="W27" s="102">
        <f t="shared" si="23"/>
        <v>0</v>
      </c>
      <c r="X27" s="102">
        <f t="shared" si="23"/>
        <v>0</v>
      </c>
      <c r="Y27" s="102">
        <f t="shared" si="23"/>
        <v>0</v>
      </c>
      <c r="Z27" s="102">
        <f t="shared" si="23"/>
        <v>0</v>
      </c>
      <c r="AA27" s="102">
        <f t="shared" si="23"/>
        <v>0</v>
      </c>
      <c r="AB27" s="102">
        <f t="shared" si="23"/>
        <v>0</v>
      </c>
      <c r="AC27" s="102">
        <f t="shared" si="23"/>
        <v>0</v>
      </c>
      <c r="AD27" s="298">
        <v>400000</v>
      </c>
      <c r="AE27" s="102">
        <f t="shared" si="23"/>
        <v>400000</v>
      </c>
      <c r="AF27" s="102">
        <f t="shared" si="23"/>
        <v>400000</v>
      </c>
      <c r="AG27" s="102">
        <f t="shared" si="23"/>
        <v>400000</v>
      </c>
      <c r="AH27" s="298">
        <v>800000</v>
      </c>
      <c r="AI27" s="102">
        <f t="shared" si="23"/>
        <v>800000</v>
      </c>
      <c r="AJ27" s="102">
        <f t="shared" si="23"/>
        <v>800000</v>
      </c>
      <c r="AK27" s="102">
        <f t="shared" si="23"/>
        <v>800000</v>
      </c>
      <c r="AL27" s="102">
        <f t="shared" si="23"/>
        <v>800000</v>
      </c>
      <c r="AM27" s="298">
        <v>1200000</v>
      </c>
      <c r="AN27" s="102">
        <f t="shared" si="23"/>
        <v>1200000</v>
      </c>
      <c r="AO27" s="102">
        <f t="shared" si="23"/>
        <v>1200000</v>
      </c>
      <c r="AP27" s="102">
        <f t="shared" si="23"/>
        <v>1200000</v>
      </c>
      <c r="AQ27" s="102">
        <f t="shared" si="23"/>
        <v>1200000</v>
      </c>
      <c r="AR27" s="102">
        <f t="shared" si="23"/>
        <v>1200000</v>
      </c>
      <c r="AS27" s="102">
        <f t="shared" si="23"/>
        <v>1200000</v>
      </c>
      <c r="AT27" s="102">
        <f t="shared" ref="AT27:BT28" si="24">AS27</f>
        <v>1200000</v>
      </c>
      <c r="AU27" s="102">
        <f t="shared" si="24"/>
        <v>1200000</v>
      </c>
      <c r="AV27" s="102">
        <f t="shared" si="24"/>
        <v>1200000</v>
      </c>
      <c r="AW27" s="102">
        <f t="shared" si="24"/>
        <v>1200000</v>
      </c>
      <c r="AX27" s="102">
        <f t="shared" si="24"/>
        <v>1200000</v>
      </c>
      <c r="AY27" s="102">
        <f t="shared" si="24"/>
        <v>1200000</v>
      </c>
      <c r="AZ27" s="102">
        <f t="shared" si="24"/>
        <v>1200000</v>
      </c>
      <c r="BA27" s="102">
        <f t="shared" si="24"/>
        <v>1200000</v>
      </c>
      <c r="BB27" s="102">
        <f t="shared" si="24"/>
        <v>1200000</v>
      </c>
      <c r="BC27" s="102">
        <f t="shared" si="24"/>
        <v>1200000</v>
      </c>
      <c r="BD27" s="102">
        <f t="shared" si="24"/>
        <v>1200000</v>
      </c>
      <c r="BE27" s="102">
        <f t="shared" si="24"/>
        <v>1200000</v>
      </c>
      <c r="BF27" s="102">
        <f t="shared" si="24"/>
        <v>1200000</v>
      </c>
      <c r="BG27" s="102">
        <f t="shared" si="24"/>
        <v>1200000</v>
      </c>
      <c r="BH27" s="102">
        <f t="shared" si="24"/>
        <v>1200000</v>
      </c>
      <c r="BI27" s="102">
        <f t="shared" si="24"/>
        <v>1200000</v>
      </c>
      <c r="BJ27" s="102">
        <f t="shared" si="24"/>
        <v>1200000</v>
      </c>
      <c r="BK27" s="102">
        <f t="shared" si="24"/>
        <v>1200000</v>
      </c>
      <c r="BL27" s="102">
        <f t="shared" si="24"/>
        <v>1200000</v>
      </c>
      <c r="BM27" s="102">
        <f t="shared" si="24"/>
        <v>1200000</v>
      </c>
      <c r="BN27" s="102">
        <f t="shared" si="24"/>
        <v>1200000</v>
      </c>
      <c r="BO27" s="102">
        <f t="shared" si="24"/>
        <v>1200000</v>
      </c>
      <c r="BP27" s="102">
        <f t="shared" si="24"/>
        <v>1200000</v>
      </c>
      <c r="BQ27" s="102">
        <f t="shared" si="24"/>
        <v>1200000</v>
      </c>
      <c r="BR27" s="102">
        <f t="shared" si="24"/>
        <v>1200000</v>
      </c>
      <c r="BS27" s="102">
        <f t="shared" si="24"/>
        <v>1200000</v>
      </c>
      <c r="BT27" s="102">
        <f t="shared" si="24"/>
        <v>1200000</v>
      </c>
      <c r="BU27" s="102">
        <f t="shared" ref="BU27:BZ28" si="25">BT27</f>
        <v>1200000</v>
      </c>
      <c r="BV27" s="102">
        <f t="shared" si="25"/>
        <v>1200000</v>
      </c>
      <c r="BW27" s="102">
        <f t="shared" si="25"/>
        <v>1200000</v>
      </c>
      <c r="BX27" s="102">
        <f t="shared" si="25"/>
        <v>1200000</v>
      </c>
      <c r="BY27" s="102">
        <f t="shared" si="25"/>
        <v>1200000</v>
      </c>
      <c r="BZ27" s="102">
        <f t="shared" si="25"/>
        <v>1200000</v>
      </c>
      <c r="CA27" s="102">
        <f t="shared" ref="CA27:CL27" si="26">BZ27</f>
        <v>1200000</v>
      </c>
      <c r="CB27" s="102">
        <f t="shared" si="26"/>
        <v>1200000</v>
      </c>
      <c r="CC27" s="102">
        <f t="shared" si="26"/>
        <v>1200000</v>
      </c>
      <c r="CD27" s="102">
        <f t="shared" si="26"/>
        <v>1200000</v>
      </c>
      <c r="CE27" s="102">
        <f t="shared" si="26"/>
        <v>1200000</v>
      </c>
      <c r="CF27" s="102">
        <f t="shared" si="26"/>
        <v>1200000</v>
      </c>
      <c r="CG27" s="102">
        <f t="shared" si="26"/>
        <v>1200000</v>
      </c>
      <c r="CH27" s="102">
        <f t="shared" si="26"/>
        <v>1200000</v>
      </c>
      <c r="CI27" s="102">
        <f t="shared" si="26"/>
        <v>1200000</v>
      </c>
      <c r="CJ27" s="102">
        <f t="shared" si="26"/>
        <v>1200000</v>
      </c>
      <c r="CK27" s="102">
        <f t="shared" si="26"/>
        <v>1200000</v>
      </c>
      <c r="CL27" s="102">
        <f t="shared" si="26"/>
        <v>1200000</v>
      </c>
    </row>
    <row r="28" spans="1:90">
      <c r="B28" s="12" t="s">
        <v>226</v>
      </c>
      <c r="F28" s="102">
        <f xml:space="preserve"> +AD28</f>
        <v>0</v>
      </c>
      <c r="G28" s="102">
        <f>+AD28</f>
        <v>0</v>
      </c>
      <c r="H28" s="102">
        <f>+AP28</f>
        <v>0</v>
      </c>
      <c r="I28" s="102">
        <f xml:space="preserve"> +BB28</f>
        <v>0</v>
      </c>
      <c r="J28" s="102">
        <f>+BN28</f>
        <v>0</v>
      </c>
      <c r="K28" s="102">
        <f>+BZ28</f>
        <v>0</v>
      </c>
      <c r="M28" s="102">
        <v>0</v>
      </c>
      <c r="N28" s="102">
        <v>0</v>
      </c>
      <c r="O28" s="102">
        <v>0</v>
      </c>
      <c r="P28" s="102">
        <v>0</v>
      </c>
      <c r="Q28" s="102">
        <v>0</v>
      </c>
      <c r="R28" s="102">
        <v>0</v>
      </c>
      <c r="S28" s="102">
        <v>0</v>
      </c>
      <c r="T28" s="102">
        <f t="shared" si="23"/>
        <v>0</v>
      </c>
      <c r="U28" s="102">
        <f t="shared" si="23"/>
        <v>0</v>
      </c>
      <c r="V28" s="102">
        <f t="shared" si="23"/>
        <v>0</v>
      </c>
      <c r="W28" s="102">
        <f t="shared" si="23"/>
        <v>0</v>
      </c>
      <c r="X28" s="102">
        <f t="shared" si="23"/>
        <v>0</v>
      </c>
      <c r="Y28" s="102">
        <f t="shared" si="23"/>
        <v>0</v>
      </c>
      <c r="Z28" s="102">
        <f t="shared" si="23"/>
        <v>0</v>
      </c>
      <c r="AA28" s="102">
        <f t="shared" si="23"/>
        <v>0</v>
      </c>
      <c r="AB28" s="102">
        <f t="shared" si="23"/>
        <v>0</v>
      </c>
      <c r="AC28" s="102">
        <f t="shared" si="23"/>
        <v>0</v>
      </c>
      <c r="AD28" s="102">
        <f t="shared" si="23"/>
        <v>0</v>
      </c>
      <c r="AE28" s="102">
        <f t="shared" si="23"/>
        <v>0</v>
      </c>
      <c r="AF28" s="102">
        <f t="shared" si="23"/>
        <v>0</v>
      </c>
      <c r="AG28" s="102">
        <f t="shared" si="23"/>
        <v>0</v>
      </c>
      <c r="AH28" s="102">
        <f t="shared" si="23"/>
        <v>0</v>
      </c>
      <c r="AI28" s="102">
        <f t="shared" si="23"/>
        <v>0</v>
      </c>
      <c r="AJ28" s="102">
        <f t="shared" si="23"/>
        <v>0</v>
      </c>
      <c r="AK28" s="102">
        <f t="shared" si="23"/>
        <v>0</v>
      </c>
      <c r="AL28" s="102">
        <f t="shared" si="23"/>
        <v>0</v>
      </c>
      <c r="AM28" s="102">
        <f t="shared" si="23"/>
        <v>0</v>
      </c>
      <c r="AN28" s="102">
        <f t="shared" si="23"/>
        <v>0</v>
      </c>
      <c r="AO28" s="102">
        <f t="shared" si="23"/>
        <v>0</v>
      </c>
      <c r="AP28" s="102">
        <f t="shared" si="23"/>
        <v>0</v>
      </c>
      <c r="AQ28" s="102">
        <f t="shared" si="23"/>
        <v>0</v>
      </c>
      <c r="AR28" s="102">
        <f t="shared" si="23"/>
        <v>0</v>
      </c>
      <c r="AS28" s="102">
        <f t="shared" si="23"/>
        <v>0</v>
      </c>
      <c r="AT28" s="102">
        <f t="shared" si="24"/>
        <v>0</v>
      </c>
      <c r="AU28" s="102">
        <f t="shared" si="24"/>
        <v>0</v>
      </c>
      <c r="AV28" s="102">
        <f t="shared" si="24"/>
        <v>0</v>
      </c>
      <c r="AW28" s="102">
        <f t="shared" si="24"/>
        <v>0</v>
      </c>
      <c r="AX28" s="102">
        <f t="shared" si="24"/>
        <v>0</v>
      </c>
      <c r="AY28" s="102">
        <f t="shared" si="24"/>
        <v>0</v>
      </c>
      <c r="AZ28" s="102">
        <f t="shared" si="24"/>
        <v>0</v>
      </c>
      <c r="BA28" s="102">
        <f t="shared" si="24"/>
        <v>0</v>
      </c>
      <c r="BB28" s="102">
        <f t="shared" si="24"/>
        <v>0</v>
      </c>
      <c r="BC28" s="102">
        <f t="shared" si="24"/>
        <v>0</v>
      </c>
      <c r="BD28" s="102">
        <f t="shared" si="24"/>
        <v>0</v>
      </c>
      <c r="BE28" s="102">
        <f t="shared" si="24"/>
        <v>0</v>
      </c>
      <c r="BF28" s="102">
        <f t="shared" si="24"/>
        <v>0</v>
      </c>
      <c r="BG28" s="102">
        <f t="shared" si="24"/>
        <v>0</v>
      </c>
      <c r="BH28" s="102">
        <f t="shared" si="24"/>
        <v>0</v>
      </c>
      <c r="BI28" s="102">
        <f t="shared" si="24"/>
        <v>0</v>
      </c>
      <c r="BJ28" s="102">
        <f t="shared" si="24"/>
        <v>0</v>
      </c>
      <c r="BK28" s="102">
        <f t="shared" si="24"/>
        <v>0</v>
      </c>
      <c r="BL28" s="102">
        <f t="shared" si="24"/>
        <v>0</v>
      </c>
      <c r="BM28" s="102">
        <f t="shared" si="24"/>
        <v>0</v>
      </c>
      <c r="BN28" s="102">
        <f t="shared" si="24"/>
        <v>0</v>
      </c>
      <c r="BO28" s="102">
        <f t="shared" si="24"/>
        <v>0</v>
      </c>
      <c r="BP28" s="102">
        <f t="shared" si="24"/>
        <v>0</v>
      </c>
      <c r="BQ28" s="102">
        <f t="shared" si="24"/>
        <v>0</v>
      </c>
      <c r="BR28" s="102">
        <f t="shared" si="24"/>
        <v>0</v>
      </c>
      <c r="BS28" s="102">
        <f t="shared" si="24"/>
        <v>0</v>
      </c>
      <c r="BT28" s="102">
        <f t="shared" si="24"/>
        <v>0</v>
      </c>
      <c r="BU28" s="102">
        <f t="shared" si="25"/>
        <v>0</v>
      </c>
      <c r="BV28" s="102">
        <f t="shared" si="25"/>
        <v>0</v>
      </c>
      <c r="BW28" s="102">
        <f t="shared" si="25"/>
        <v>0</v>
      </c>
      <c r="BX28" s="102">
        <f t="shared" si="25"/>
        <v>0</v>
      </c>
      <c r="BY28" s="102">
        <f t="shared" si="25"/>
        <v>0</v>
      </c>
      <c r="BZ28" s="102">
        <f t="shared" si="25"/>
        <v>0</v>
      </c>
      <c r="CA28" s="102">
        <f t="shared" ref="CA28:CL28" si="27">BZ28</f>
        <v>0</v>
      </c>
      <c r="CB28" s="102">
        <f t="shared" si="27"/>
        <v>0</v>
      </c>
      <c r="CC28" s="102">
        <f t="shared" si="27"/>
        <v>0</v>
      </c>
      <c r="CD28" s="102">
        <f t="shared" si="27"/>
        <v>0</v>
      </c>
      <c r="CE28" s="102">
        <f t="shared" si="27"/>
        <v>0</v>
      </c>
      <c r="CF28" s="102">
        <f t="shared" si="27"/>
        <v>0</v>
      </c>
      <c r="CG28" s="102">
        <f t="shared" si="27"/>
        <v>0</v>
      </c>
      <c r="CH28" s="102">
        <f t="shared" si="27"/>
        <v>0</v>
      </c>
      <c r="CI28" s="102">
        <f t="shared" si="27"/>
        <v>0</v>
      </c>
      <c r="CJ28" s="102">
        <f t="shared" si="27"/>
        <v>0</v>
      </c>
      <c r="CK28" s="102">
        <f t="shared" si="27"/>
        <v>0</v>
      </c>
      <c r="CL28" s="102">
        <f t="shared" si="27"/>
        <v>0</v>
      </c>
    </row>
    <row r="29" spans="1:90">
      <c r="B29" s="12" t="s">
        <v>227</v>
      </c>
      <c r="F29" s="102">
        <f xml:space="preserve"> +AD29</f>
        <v>-8466.6666666666679</v>
      </c>
      <c r="G29" s="102">
        <f>+AD29</f>
        <v>-8466.6666666666679</v>
      </c>
      <c r="H29" s="102">
        <f>+AP29</f>
        <v>-187170.20870087703</v>
      </c>
      <c r="I29" s="102">
        <f xml:space="preserve"> +BB29</f>
        <v>-1322934.6115261933</v>
      </c>
      <c r="J29" s="102">
        <f>+BN29</f>
        <v>-1644602.0452357428</v>
      </c>
      <c r="K29" s="102">
        <f>+BZ29</f>
        <v>-145647.42355877382</v>
      </c>
      <c r="M29" s="102">
        <f>M30+L29</f>
        <v>0</v>
      </c>
      <c r="N29" s="102">
        <f t="shared" ref="N29:BT29" si="28">N30+M29</f>
        <v>0</v>
      </c>
      <c r="O29" s="102">
        <f t="shared" si="28"/>
        <v>0</v>
      </c>
      <c r="P29" s="102">
        <f t="shared" si="28"/>
        <v>0</v>
      </c>
      <c r="Q29" s="102">
        <f t="shared" si="28"/>
        <v>0</v>
      </c>
      <c r="R29" s="102">
        <f t="shared" si="28"/>
        <v>0</v>
      </c>
      <c r="S29" s="102">
        <f t="shared" si="28"/>
        <v>0</v>
      </c>
      <c r="T29" s="102">
        <f t="shared" si="28"/>
        <v>0</v>
      </c>
      <c r="U29" s="102">
        <f t="shared" si="28"/>
        <v>0</v>
      </c>
      <c r="V29" s="102">
        <f t="shared" si="28"/>
        <v>0</v>
      </c>
      <c r="W29" s="102">
        <f t="shared" si="28"/>
        <v>0</v>
      </c>
      <c r="X29" s="102">
        <f t="shared" si="28"/>
        <v>0</v>
      </c>
      <c r="Y29" s="102">
        <f t="shared" si="28"/>
        <v>0</v>
      </c>
      <c r="Z29" s="102">
        <f t="shared" si="28"/>
        <v>-350</v>
      </c>
      <c r="AA29" s="102">
        <f t="shared" si="28"/>
        <v>-700</v>
      </c>
      <c r="AB29" s="102">
        <f t="shared" si="28"/>
        <v>-1050</v>
      </c>
      <c r="AC29" s="102">
        <f t="shared" si="28"/>
        <v>-1400</v>
      </c>
      <c r="AD29" s="102">
        <f t="shared" si="28"/>
        <v>-8466.6666666666679</v>
      </c>
      <c r="AE29" s="102">
        <f t="shared" si="28"/>
        <v>-19829.743012851406</v>
      </c>
      <c r="AF29" s="102">
        <f t="shared" si="28"/>
        <v>-31171.982371887549</v>
      </c>
      <c r="AG29" s="102">
        <f t="shared" si="28"/>
        <v>-42543.384743775096</v>
      </c>
      <c r="AH29" s="102">
        <f t="shared" si="28"/>
        <v>-53983.500128514046</v>
      </c>
      <c r="AI29" s="102">
        <f t="shared" si="28"/>
        <v>-65602.778526104405</v>
      </c>
      <c r="AJ29" s="102">
        <f t="shared" si="28"/>
        <v>-77201.219936546171</v>
      </c>
      <c r="AK29" s="102">
        <f t="shared" si="28"/>
        <v>-89623.596759839333</v>
      </c>
      <c r="AL29" s="102">
        <f t="shared" si="28"/>
        <v>-101357.3365959839</v>
      </c>
      <c r="AM29" s="102">
        <f t="shared" si="28"/>
        <v>-118429.0227783132</v>
      </c>
      <c r="AN29" s="102">
        <f t="shared" si="28"/>
        <v>-140181.21352323849</v>
      </c>
      <c r="AO29" s="102">
        <f t="shared" si="28"/>
        <v>-162011.90049742642</v>
      </c>
      <c r="AP29" s="102">
        <f t="shared" si="28"/>
        <v>-187170.20870087703</v>
      </c>
      <c r="AQ29" s="102">
        <f t="shared" si="28"/>
        <v>-241312.54873359029</v>
      </c>
      <c r="AR29" s="102">
        <f t="shared" si="28"/>
        <v>-302603.13499556622</v>
      </c>
      <c r="AS29" s="102">
        <f t="shared" si="28"/>
        <v>-375729.01748680475</v>
      </c>
      <c r="AT29" s="102">
        <f t="shared" si="28"/>
        <v>-461317.39620730595</v>
      </c>
      <c r="AU29" s="102">
        <f t="shared" si="28"/>
        <v>-571051.85449040309</v>
      </c>
      <c r="AV29" s="102">
        <f t="shared" si="28"/>
        <v>-672920.30900276289</v>
      </c>
      <c r="AW29" s="102">
        <f t="shared" si="28"/>
        <v>-793343.31727813534</v>
      </c>
      <c r="AX29" s="102">
        <f t="shared" si="28"/>
        <v>-894694.06382575422</v>
      </c>
      <c r="AY29" s="102">
        <f t="shared" si="28"/>
        <v>-1014215.4237768694</v>
      </c>
      <c r="AZ29" s="102">
        <f t="shared" si="28"/>
        <v>-1123706.6600439809</v>
      </c>
      <c r="BA29" s="102">
        <f t="shared" si="28"/>
        <v>-1234567.7726270889</v>
      </c>
      <c r="BB29" s="102">
        <f t="shared" si="28"/>
        <v>-1322934.6115261933</v>
      </c>
      <c r="BC29" s="102">
        <f t="shared" si="28"/>
        <v>-1429127.2446337941</v>
      </c>
      <c r="BD29" s="102">
        <f t="shared" si="28"/>
        <v>-1519653.6025823911</v>
      </c>
      <c r="BE29" s="102">
        <f t="shared" si="28"/>
        <v>-1599323.6853719847</v>
      </c>
      <c r="BF29" s="102">
        <f t="shared" si="28"/>
        <v>-1665407.0114838246</v>
      </c>
      <c r="BG29" s="102">
        <f t="shared" si="28"/>
        <v>-1716374.4047129108</v>
      </c>
      <c r="BH29" s="102">
        <f t="shared" si="28"/>
        <v>-1747174.9612642433</v>
      </c>
      <c r="BI29" s="102">
        <f t="shared" si="28"/>
        <v>-1777126.360213689</v>
      </c>
      <c r="BJ29" s="102">
        <f t="shared" si="28"/>
        <v>-1783444.4765160563</v>
      </c>
      <c r="BK29" s="102">
        <f t="shared" si="28"/>
        <v>-1780577.8618573456</v>
      </c>
      <c r="BL29" s="102">
        <f t="shared" si="28"/>
        <v>-1747590.5249360562</v>
      </c>
      <c r="BM29" s="102">
        <f t="shared" si="28"/>
        <v>-1703981.5961071886</v>
      </c>
      <c r="BN29" s="102">
        <f t="shared" si="28"/>
        <v>-1644602.0452357428</v>
      </c>
      <c r="BO29" s="102">
        <f t="shared" si="28"/>
        <v>-1569339.2713957187</v>
      </c>
      <c r="BP29" s="102">
        <f t="shared" si="28"/>
        <v>-1482516.0157271163</v>
      </c>
      <c r="BQ29" s="102">
        <f t="shared" si="28"/>
        <v>-1383975.9801199355</v>
      </c>
      <c r="BR29" s="102">
        <f t="shared" si="28"/>
        <v>-1274499.7986961764</v>
      </c>
      <c r="BS29" s="102">
        <f t="shared" si="28"/>
        <v>-1157299.6742015057</v>
      </c>
      <c r="BT29" s="102">
        <f t="shared" si="28"/>
        <v>-1032592.0535542567</v>
      </c>
      <c r="BU29" s="102">
        <f t="shared" ref="BU29:BZ29" si="29">BU30+BT29</f>
        <v>-904161.31042445533</v>
      </c>
      <c r="BV29" s="102">
        <f t="shared" si="29"/>
        <v>-767988.8380840756</v>
      </c>
      <c r="BW29" s="102">
        <f t="shared" si="29"/>
        <v>-624074.63653311762</v>
      </c>
      <c r="BX29" s="102">
        <f t="shared" si="29"/>
        <v>-472418.70577158133</v>
      </c>
      <c r="BY29" s="102">
        <f t="shared" si="29"/>
        <v>-313021.04579946666</v>
      </c>
      <c r="BZ29" s="102">
        <f t="shared" si="29"/>
        <v>-145647.42355877382</v>
      </c>
      <c r="CA29" s="102">
        <f t="shared" ref="CA29:CL29" si="30">CA30+BZ29</f>
        <v>23026.039536583528</v>
      </c>
      <c r="CB29" s="102">
        <f t="shared" si="30"/>
        <v>175179.40121952479</v>
      </c>
      <c r="CC29" s="102">
        <f t="shared" si="30"/>
        <v>330512.82190386596</v>
      </c>
      <c r="CD29" s="102">
        <f t="shared" si="30"/>
        <v>489026.3015896072</v>
      </c>
      <c r="CE29" s="102">
        <f t="shared" si="30"/>
        <v>650719.84027674841</v>
      </c>
      <c r="CF29" s="102">
        <f t="shared" si="30"/>
        <v>815593.43796528969</v>
      </c>
      <c r="CG29" s="102">
        <f t="shared" si="30"/>
        <v>980453.33436670317</v>
      </c>
      <c r="CH29" s="102">
        <f t="shared" si="30"/>
        <v>1148572.9290092366</v>
      </c>
      <c r="CI29" s="102">
        <f t="shared" si="30"/>
        <v>1320071.6807524702</v>
      </c>
      <c r="CJ29" s="102">
        <f t="shared" si="30"/>
        <v>1493518.2875164035</v>
      </c>
      <c r="CK29" s="102">
        <f t="shared" si="30"/>
        <v>1668912.7493010368</v>
      </c>
      <c r="CL29" s="102">
        <f t="shared" si="30"/>
        <v>1846970.7171463703</v>
      </c>
    </row>
    <row r="30" spans="1:90">
      <c r="B30" s="12"/>
      <c r="C30" s="197" t="s">
        <v>296</v>
      </c>
      <c r="D30" s="197"/>
      <c r="E30" s="197"/>
      <c r="F30" s="198">
        <f>+F29-E29</f>
        <v>-8466.6666666666679</v>
      </c>
      <c r="G30" s="198">
        <f>+G29-E29</f>
        <v>-8466.6666666666679</v>
      </c>
      <c r="H30" s="198">
        <f>+H29-F29</f>
        <v>-178703.54203421038</v>
      </c>
      <c r="I30" s="198">
        <f>+I29-H29</f>
        <v>-1135764.4028253164</v>
      </c>
      <c r="J30" s="198">
        <f>+J29-I29</f>
        <v>-321667.43370954948</v>
      </c>
      <c r="K30" s="198">
        <f>+K29-J29</f>
        <v>1498954.6216769689</v>
      </c>
      <c r="L30" s="197"/>
      <c r="M30" s="198">
        <f>'P&amp;L Month'!H119</f>
        <v>0</v>
      </c>
      <c r="N30" s="198">
        <f>'P&amp;L Month'!I119</f>
        <v>0</v>
      </c>
      <c r="O30" s="198">
        <f>'P&amp;L Month'!J119</f>
        <v>0</v>
      </c>
      <c r="P30" s="198">
        <f>'P&amp;L Month'!K119</f>
        <v>0</v>
      </c>
      <c r="Q30" s="198">
        <f>'P&amp;L Month'!L119</f>
        <v>0</v>
      </c>
      <c r="R30" s="198">
        <f>'P&amp;L Month'!M119</f>
        <v>0</v>
      </c>
      <c r="S30" s="198">
        <f>'P&amp;L Month'!N119</f>
        <v>0</v>
      </c>
      <c r="T30" s="198">
        <f>'P&amp;L Month'!O119</f>
        <v>0</v>
      </c>
      <c r="U30" s="198">
        <f>'P&amp;L Month'!P119</f>
        <v>0</v>
      </c>
      <c r="V30" s="198">
        <f>'P&amp;L Month'!Q119</f>
        <v>0</v>
      </c>
      <c r="W30" s="198">
        <f>'P&amp;L Month'!R119</f>
        <v>0</v>
      </c>
      <c r="X30" s="198">
        <f>'P&amp;L Month'!S119</f>
        <v>0</v>
      </c>
      <c r="Y30" s="198">
        <f>'P&amp;L Month'!T119</f>
        <v>0</v>
      </c>
      <c r="Z30" s="198">
        <f>'P&amp;L Month'!U119</f>
        <v>-350</v>
      </c>
      <c r="AA30" s="198">
        <f>'P&amp;L Month'!V119</f>
        <v>-350</v>
      </c>
      <c r="AB30" s="198">
        <f>'P&amp;L Month'!W119</f>
        <v>-350</v>
      </c>
      <c r="AC30" s="198">
        <f>'P&amp;L Month'!X119</f>
        <v>-350</v>
      </c>
      <c r="AD30" s="198">
        <f>'P&amp;L Month'!Y119</f>
        <v>-7066.666666666667</v>
      </c>
      <c r="AE30" s="198">
        <f>'P&amp;L Month'!Z119</f>
        <v>-11363.076346184738</v>
      </c>
      <c r="AF30" s="198">
        <f>'P&amp;L Month'!AA119</f>
        <v>-11342.239359036143</v>
      </c>
      <c r="AG30" s="198">
        <f>'P&amp;L Month'!AB119</f>
        <v>-11371.402371887547</v>
      </c>
      <c r="AH30" s="198">
        <f>'P&amp;L Month'!AC119</f>
        <v>-11440.115384738952</v>
      </c>
      <c r="AI30" s="198">
        <f>'P&amp;L Month'!AD119</f>
        <v>-11619.278397590357</v>
      </c>
      <c r="AJ30" s="198">
        <f>'P&amp;L Month'!AE119</f>
        <v>-11598.441410441761</v>
      </c>
      <c r="AK30" s="198">
        <f>'P&amp;L Month'!AF119</f>
        <v>-12422.376823293167</v>
      </c>
      <c r="AL30" s="198">
        <f>'P&amp;L Month'!AG119</f>
        <v>-11733.739836144572</v>
      </c>
      <c r="AM30" s="198">
        <f>'P&amp;L Month'!AH119</f>
        <v>-17071.686182329307</v>
      </c>
      <c r="AN30" s="198">
        <f>'P&amp;L Month'!AI119</f>
        <v>-21752.19074492529</v>
      </c>
      <c r="AO30" s="198">
        <f>'P&amp;L Month'!AJ119</f>
        <v>-21830.686974187942</v>
      </c>
      <c r="AP30" s="198">
        <f>'P&amp;L Month'!AK119</f>
        <v>-25158.308203450593</v>
      </c>
      <c r="AQ30" s="198">
        <f>'P&amp;L Month'!AL119</f>
        <v>-54142.340032713248</v>
      </c>
      <c r="AR30" s="198">
        <f>'P&amp;L Month'!AM119</f>
        <v>-61290.586261975899</v>
      </c>
      <c r="AS30" s="198">
        <f>'P&amp;L Month'!AN119</f>
        <v>-73125.882491238546</v>
      </c>
      <c r="AT30" s="198">
        <f>'P&amp;L Month'!AO119</f>
        <v>-85588.378720501205</v>
      </c>
      <c r="AU30" s="198">
        <f>'P&amp;L Month'!AP119</f>
        <v>-109734.45828309718</v>
      </c>
      <c r="AV30" s="198">
        <f>'P&amp;L Month'!AQ119</f>
        <v>-101868.45451235981</v>
      </c>
      <c r="AW30" s="198">
        <f>'P&amp;L Month'!AR119</f>
        <v>-120423.00827537246</v>
      </c>
      <c r="AX30" s="198">
        <f>'P&amp;L Month'!AS119</f>
        <v>-101350.74654761885</v>
      </c>
      <c r="AY30" s="198">
        <f>'P&amp;L Month'!AT119</f>
        <v>-119521.35995111523</v>
      </c>
      <c r="AZ30" s="198">
        <f>'P&amp;L Month'!AU119</f>
        <v>-109491.23626711161</v>
      </c>
      <c r="BA30" s="198">
        <f>'P&amp;L Month'!AV119</f>
        <v>-110861.112583108</v>
      </c>
      <c r="BB30" s="198">
        <f>'P&amp;L Month'!AW119</f>
        <v>-88366.83889910439</v>
      </c>
      <c r="BC30" s="198">
        <f>'P&amp;L Month'!AX119</f>
        <v>-106192.63310760079</v>
      </c>
      <c r="BD30" s="198">
        <f>'P&amp;L Month'!AY119</f>
        <v>-90526.357948597157</v>
      </c>
      <c r="BE30" s="198">
        <f>'P&amp;L Month'!AZ119</f>
        <v>-79670.08278959358</v>
      </c>
      <c r="BF30" s="198">
        <f>'P&amp;L Month'!BA119</f>
        <v>-66083.326111839939</v>
      </c>
      <c r="BG30" s="198">
        <f>'P&amp;L Month'!BB119</f>
        <v>-50967.393229086301</v>
      </c>
      <c r="BH30" s="198">
        <f>'P&amp;L Month'!BC119</f>
        <v>-30800.556551332673</v>
      </c>
      <c r="BI30" s="198">
        <f>'P&amp;L Month'!BD119</f>
        <v>-29951.398949445749</v>
      </c>
      <c r="BJ30" s="198">
        <f>'P&amp;L Month'!BE119</f>
        <v>-6318.1163023674162</v>
      </c>
      <c r="BK30" s="198">
        <f>'P&amp;L Month'!BF119</f>
        <v>2866.6146587108378</v>
      </c>
      <c r="BL30" s="198">
        <f>'P&amp;L Month'!BG119</f>
        <v>32987.336921289214</v>
      </c>
      <c r="BM30" s="198">
        <f>'P&amp;L Month'!BH119</f>
        <v>43608.92882886756</v>
      </c>
      <c r="BN30" s="198">
        <f>'P&amp;L Month'!BI119</f>
        <v>59379.550871445856</v>
      </c>
      <c r="BO30" s="198">
        <f>'P&amp;L Month'!BJ119</f>
        <v>75262.773840024136</v>
      </c>
      <c r="BP30" s="198">
        <f>'P&amp;L Month'!BK119</f>
        <v>86823.255668602476</v>
      </c>
      <c r="BQ30" s="198">
        <f>'P&amp;L Month'!BL119</f>
        <v>98540.035607180791</v>
      </c>
      <c r="BR30" s="198">
        <f>'P&amp;L Month'!BM119</f>
        <v>109476.18142375903</v>
      </c>
      <c r="BS30" s="198">
        <f>'P&amp;L Month'!BN119</f>
        <v>117200.12449467072</v>
      </c>
      <c r="BT30" s="198">
        <f>'P&amp;L Month'!BO119</f>
        <v>124707.62064724904</v>
      </c>
      <c r="BU30" s="198">
        <f>'P&amp;L Month'!BP119</f>
        <v>128430.74312980135</v>
      </c>
      <c r="BV30" s="198">
        <f>'P&amp;L Month'!BQ119</f>
        <v>136172.47234037967</v>
      </c>
      <c r="BW30" s="198">
        <f>'P&amp;L Month'!BR119</f>
        <v>143914.20155095792</v>
      </c>
      <c r="BX30" s="198">
        <f>'P&amp;L Month'!BS119</f>
        <v>151655.93076153629</v>
      </c>
      <c r="BY30" s="198">
        <f>'P&amp;L Month'!BT119</f>
        <v>159397.65997211466</v>
      </c>
      <c r="BZ30" s="198">
        <f>'P&amp;L Month'!BU119</f>
        <v>167373.62224069284</v>
      </c>
      <c r="CA30" s="198">
        <f>'P&amp;L Month'!BV119</f>
        <v>168673.46309535735</v>
      </c>
      <c r="CB30" s="198">
        <f>'P&amp;L Month'!BW119</f>
        <v>152153.36168294126</v>
      </c>
      <c r="CC30" s="198">
        <f>'P&amp;L Month'!BX119</f>
        <v>155333.42068434117</v>
      </c>
      <c r="CD30" s="198">
        <f>'P&amp;L Month'!BY119</f>
        <v>158513.47968574124</v>
      </c>
      <c r="CE30" s="198">
        <f>'P&amp;L Month'!BZ119</f>
        <v>161693.5386871412</v>
      </c>
      <c r="CF30" s="198">
        <f>'P&amp;L Month'!CA119</f>
        <v>164873.59768854122</v>
      </c>
      <c r="CG30" s="198">
        <f>'P&amp;L Month'!CB119</f>
        <v>164859.89640141348</v>
      </c>
      <c r="CH30" s="198">
        <f>'P&amp;L Month'!CC119</f>
        <v>168119.59464253346</v>
      </c>
      <c r="CI30" s="198">
        <f>'P&amp;L Month'!CD119</f>
        <v>171498.75174323347</v>
      </c>
      <c r="CJ30" s="198">
        <f>'P&amp;L Month'!CE119</f>
        <v>173446.60676393338</v>
      </c>
      <c r="CK30" s="198">
        <f>'P&amp;L Month'!CF119</f>
        <v>175394.4617846334</v>
      </c>
      <c r="CL30" s="198">
        <f>'P&amp;L Month'!CG119</f>
        <v>178057.96784533345</v>
      </c>
    </row>
    <row r="31" spans="1:90">
      <c r="B31" s="163" t="s">
        <v>228</v>
      </c>
      <c r="C31" s="161"/>
      <c r="D31" s="161"/>
      <c r="E31" s="161"/>
      <c r="F31" s="164">
        <f t="shared" ref="F31:K31" si="31">SUM(F27:F29)</f>
        <v>391533.33333333331</v>
      </c>
      <c r="G31" s="164">
        <f t="shared" si="31"/>
        <v>391533.33333333331</v>
      </c>
      <c r="H31" s="164">
        <f t="shared" si="31"/>
        <v>1012829.791299123</v>
      </c>
      <c r="I31" s="164">
        <f t="shared" si="31"/>
        <v>-122934.61152619333</v>
      </c>
      <c r="J31" s="164">
        <f t="shared" si="31"/>
        <v>-444602.04523574281</v>
      </c>
      <c r="K31" s="164">
        <f t="shared" si="31"/>
        <v>1054352.5764412261</v>
      </c>
      <c r="M31" s="164">
        <f>SUM(M27:M29)</f>
        <v>0</v>
      </c>
      <c r="N31" s="164">
        <f>SUM(N27:N29)</f>
        <v>0</v>
      </c>
      <c r="O31" s="164">
        <f>SUM(O27:O29)</f>
        <v>0</v>
      </c>
      <c r="P31" s="164">
        <f t="shared" ref="P31:BH31" si="32">SUM(P27:P29)</f>
        <v>0</v>
      </c>
      <c r="Q31" s="164">
        <f t="shared" si="32"/>
        <v>0</v>
      </c>
      <c r="R31" s="164">
        <f t="shared" si="32"/>
        <v>0</v>
      </c>
      <c r="S31" s="164">
        <f t="shared" si="32"/>
        <v>0</v>
      </c>
      <c r="T31" s="164">
        <f t="shared" si="32"/>
        <v>0</v>
      </c>
      <c r="U31" s="164">
        <f t="shared" si="32"/>
        <v>0</v>
      </c>
      <c r="V31" s="164">
        <f t="shared" si="32"/>
        <v>0</v>
      </c>
      <c r="W31" s="164">
        <f t="shared" si="32"/>
        <v>0</v>
      </c>
      <c r="X31" s="164">
        <f t="shared" si="32"/>
        <v>0</v>
      </c>
      <c r="Y31" s="164">
        <f t="shared" si="32"/>
        <v>0</v>
      </c>
      <c r="Z31" s="164">
        <f t="shared" si="32"/>
        <v>-350</v>
      </c>
      <c r="AA31" s="164">
        <f t="shared" si="32"/>
        <v>-700</v>
      </c>
      <c r="AB31" s="164">
        <f t="shared" si="32"/>
        <v>-1050</v>
      </c>
      <c r="AC31" s="164">
        <f t="shared" si="32"/>
        <v>-1400</v>
      </c>
      <c r="AD31" s="164">
        <f t="shared" si="32"/>
        <v>391533.33333333331</v>
      </c>
      <c r="AE31" s="164">
        <f t="shared" si="32"/>
        <v>380170.2569871486</v>
      </c>
      <c r="AF31" s="164">
        <f t="shared" si="32"/>
        <v>368828.01762811246</v>
      </c>
      <c r="AG31" s="164">
        <f t="shared" si="32"/>
        <v>357456.61525622488</v>
      </c>
      <c r="AH31" s="164">
        <f t="shared" si="32"/>
        <v>746016.49987148598</v>
      </c>
      <c r="AI31" s="164">
        <f t="shared" si="32"/>
        <v>734397.2214738956</v>
      </c>
      <c r="AJ31" s="164">
        <f t="shared" si="32"/>
        <v>722798.78006345383</v>
      </c>
      <c r="AK31" s="164">
        <f t="shared" si="32"/>
        <v>710376.40324016067</v>
      </c>
      <c r="AL31" s="164">
        <f t="shared" si="32"/>
        <v>698642.66340401606</v>
      </c>
      <c r="AM31" s="164">
        <f t="shared" si="32"/>
        <v>1081570.9772216869</v>
      </c>
      <c r="AN31" s="164">
        <f t="shared" si="32"/>
        <v>1059818.7864767616</v>
      </c>
      <c r="AO31" s="164">
        <f t="shared" si="32"/>
        <v>1037988.0995025736</v>
      </c>
      <c r="AP31" s="164">
        <f t="shared" si="32"/>
        <v>1012829.791299123</v>
      </c>
      <c r="AQ31" s="164">
        <f t="shared" si="32"/>
        <v>958687.45126640971</v>
      </c>
      <c r="AR31" s="164">
        <f t="shared" si="32"/>
        <v>897396.86500443378</v>
      </c>
      <c r="AS31" s="164">
        <f t="shared" si="32"/>
        <v>824270.98251319525</v>
      </c>
      <c r="AT31" s="164">
        <f t="shared" si="32"/>
        <v>738682.60379269405</v>
      </c>
      <c r="AU31" s="164">
        <f t="shared" si="32"/>
        <v>628948.14550959691</v>
      </c>
      <c r="AV31" s="164">
        <f t="shared" si="32"/>
        <v>527079.69099723711</v>
      </c>
      <c r="AW31" s="164">
        <f t="shared" si="32"/>
        <v>406656.68272186466</v>
      </c>
      <c r="AX31" s="164">
        <f t="shared" si="32"/>
        <v>305305.93617424578</v>
      </c>
      <c r="AY31" s="164">
        <f t="shared" si="32"/>
        <v>185784.57622313057</v>
      </c>
      <c r="AZ31" s="164">
        <f t="shared" si="32"/>
        <v>76293.339956019074</v>
      </c>
      <c r="BA31" s="164">
        <f t="shared" si="32"/>
        <v>-34567.77262708894</v>
      </c>
      <c r="BB31" s="164">
        <f t="shared" si="32"/>
        <v>-122934.61152619333</v>
      </c>
      <c r="BC31" s="164">
        <f t="shared" si="32"/>
        <v>-229127.24463379406</v>
      </c>
      <c r="BD31" s="164">
        <f t="shared" si="32"/>
        <v>-319653.60258239112</v>
      </c>
      <c r="BE31" s="164">
        <f t="shared" si="32"/>
        <v>-399323.68537198473</v>
      </c>
      <c r="BF31" s="164">
        <f t="shared" si="32"/>
        <v>-465407.01148382458</v>
      </c>
      <c r="BG31" s="164">
        <f t="shared" si="32"/>
        <v>-516374.40471291076</v>
      </c>
      <c r="BH31" s="164">
        <f t="shared" si="32"/>
        <v>-547174.96126424335</v>
      </c>
      <c r="BI31" s="164">
        <f t="shared" ref="BI31:BT31" si="33">SUM(BI27:BI29)</f>
        <v>-577126.36021368904</v>
      </c>
      <c r="BJ31" s="164">
        <f t="shared" si="33"/>
        <v>-583444.47651605634</v>
      </c>
      <c r="BK31" s="164">
        <f t="shared" si="33"/>
        <v>-580577.86185734556</v>
      </c>
      <c r="BL31" s="164">
        <f t="shared" si="33"/>
        <v>-547590.52493605623</v>
      </c>
      <c r="BM31" s="164">
        <f t="shared" si="33"/>
        <v>-503981.59610718861</v>
      </c>
      <c r="BN31" s="164">
        <f t="shared" si="33"/>
        <v>-444602.04523574281</v>
      </c>
      <c r="BO31" s="164">
        <f t="shared" si="33"/>
        <v>-369339.27139571868</v>
      </c>
      <c r="BP31" s="164">
        <f t="shared" si="33"/>
        <v>-282516.01572711626</v>
      </c>
      <c r="BQ31" s="164">
        <f t="shared" si="33"/>
        <v>-183975.98011993547</v>
      </c>
      <c r="BR31" s="164">
        <f t="shared" si="33"/>
        <v>-74499.798696176382</v>
      </c>
      <c r="BS31" s="164">
        <f t="shared" si="33"/>
        <v>42700.325798494276</v>
      </c>
      <c r="BT31" s="164">
        <f t="shared" si="33"/>
        <v>167407.94644574332</v>
      </c>
      <c r="BU31" s="164">
        <f t="shared" ref="BU31:BZ31" si="34">SUM(BU27:BU29)</f>
        <v>295838.68957554467</v>
      </c>
      <c r="BV31" s="164">
        <f t="shared" si="34"/>
        <v>432011.1619159244</v>
      </c>
      <c r="BW31" s="164">
        <f t="shared" si="34"/>
        <v>575925.36346688238</v>
      </c>
      <c r="BX31" s="164">
        <f t="shared" si="34"/>
        <v>727581.29422841873</v>
      </c>
      <c r="BY31" s="164">
        <f t="shared" si="34"/>
        <v>886978.95420053334</v>
      </c>
      <c r="BZ31" s="164">
        <f t="shared" si="34"/>
        <v>1054352.5764412261</v>
      </c>
      <c r="CA31" s="164">
        <f t="shared" ref="CA31:CL31" si="35">SUM(CA27:CA29)</f>
        <v>1223026.0395365835</v>
      </c>
      <c r="CB31" s="164">
        <f t="shared" si="35"/>
        <v>1375179.4012195249</v>
      </c>
      <c r="CC31" s="164">
        <f t="shared" si="35"/>
        <v>1530512.821903866</v>
      </c>
      <c r="CD31" s="164">
        <f t="shared" si="35"/>
        <v>1689026.3015896073</v>
      </c>
      <c r="CE31" s="164">
        <f t="shared" si="35"/>
        <v>1850719.8402767484</v>
      </c>
      <c r="CF31" s="164">
        <f t="shared" si="35"/>
        <v>2015593.4379652897</v>
      </c>
      <c r="CG31" s="164">
        <f t="shared" si="35"/>
        <v>2180453.3343667034</v>
      </c>
      <c r="CH31" s="164">
        <f t="shared" si="35"/>
        <v>2348572.9290092364</v>
      </c>
      <c r="CI31" s="164">
        <f t="shared" si="35"/>
        <v>2520071.6807524702</v>
      </c>
      <c r="CJ31" s="164">
        <f t="shared" si="35"/>
        <v>2693518.2875164035</v>
      </c>
      <c r="CK31" s="164">
        <f t="shared" si="35"/>
        <v>2868912.7493010368</v>
      </c>
      <c r="CL31" s="164">
        <f t="shared" si="35"/>
        <v>3046970.7171463706</v>
      </c>
    </row>
    <row r="32" spans="1:90">
      <c r="B32" s="12"/>
      <c r="F32" s="102"/>
      <c r="G32" s="102"/>
      <c r="H32" s="102"/>
      <c r="I32" s="102"/>
      <c r="J32" s="102"/>
      <c r="K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</row>
    <row r="33" spans="1:90">
      <c r="B33" s="12" t="s">
        <v>229</v>
      </c>
      <c r="F33" s="160">
        <f xml:space="preserve"> +AD33</f>
        <v>0</v>
      </c>
      <c r="G33" s="160">
        <f>+AD33</f>
        <v>0</v>
      </c>
      <c r="H33" s="160">
        <f>+AP33</f>
        <v>0</v>
      </c>
      <c r="I33" s="160">
        <f xml:space="preserve"> +BB33</f>
        <v>0</v>
      </c>
      <c r="J33" s="160">
        <f>+BN33</f>
        <v>0</v>
      </c>
      <c r="K33" s="160">
        <f>+BZ33</f>
        <v>0</v>
      </c>
      <c r="M33" s="167">
        <v>0</v>
      </c>
      <c r="N33" s="167">
        <v>0</v>
      </c>
      <c r="O33" s="167">
        <v>0</v>
      </c>
      <c r="P33" s="167">
        <v>0</v>
      </c>
      <c r="Q33" s="167">
        <v>0</v>
      </c>
      <c r="R33" s="167">
        <v>0</v>
      </c>
      <c r="S33" s="167">
        <v>0</v>
      </c>
      <c r="T33" s="167">
        <v>0</v>
      </c>
      <c r="U33" s="167">
        <v>0</v>
      </c>
      <c r="V33" s="167">
        <v>0</v>
      </c>
      <c r="W33" s="167">
        <v>0</v>
      </c>
      <c r="X33" s="167">
        <v>0</v>
      </c>
      <c r="Y33" s="167">
        <v>0</v>
      </c>
      <c r="Z33" s="167">
        <v>0</v>
      </c>
      <c r="AA33" s="167">
        <v>0</v>
      </c>
      <c r="AB33" s="167">
        <v>0</v>
      </c>
      <c r="AC33" s="167">
        <v>0</v>
      </c>
      <c r="AD33" s="167">
        <v>0</v>
      </c>
      <c r="AE33" s="167">
        <v>0</v>
      </c>
      <c r="AF33" s="167">
        <v>0</v>
      </c>
      <c r="AG33" s="167">
        <v>0</v>
      </c>
      <c r="AH33" s="167">
        <v>0</v>
      </c>
      <c r="AI33" s="167">
        <v>0</v>
      </c>
      <c r="AJ33" s="167">
        <v>0</v>
      </c>
      <c r="AK33" s="167">
        <v>0</v>
      </c>
      <c r="AL33" s="167">
        <v>0</v>
      </c>
      <c r="AM33" s="167">
        <v>0</v>
      </c>
      <c r="AN33" s="167">
        <v>0</v>
      </c>
      <c r="AO33" s="167">
        <v>0</v>
      </c>
      <c r="AP33" s="167">
        <v>0</v>
      </c>
      <c r="AQ33" s="167">
        <v>0</v>
      </c>
      <c r="AR33" s="167">
        <v>0</v>
      </c>
      <c r="AS33" s="167">
        <v>0</v>
      </c>
      <c r="AT33" s="167">
        <v>0</v>
      </c>
      <c r="AU33" s="167">
        <v>0</v>
      </c>
      <c r="AV33" s="167">
        <v>0</v>
      </c>
      <c r="AW33" s="167">
        <v>0</v>
      </c>
      <c r="AX33" s="167">
        <v>0</v>
      </c>
      <c r="AY33" s="167">
        <v>0</v>
      </c>
      <c r="AZ33" s="167">
        <v>0</v>
      </c>
      <c r="BA33" s="167">
        <v>0</v>
      </c>
      <c r="BB33" s="167">
        <v>0</v>
      </c>
      <c r="BC33" s="167">
        <v>0</v>
      </c>
      <c r="BD33" s="167">
        <v>0</v>
      </c>
      <c r="BE33" s="167">
        <v>0</v>
      </c>
      <c r="BF33" s="167">
        <v>0</v>
      </c>
      <c r="BG33" s="167">
        <v>0</v>
      </c>
      <c r="BH33" s="167">
        <v>0</v>
      </c>
      <c r="BI33" s="167">
        <v>0</v>
      </c>
      <c r="BJ33" s="167">
        <v>0</v>
      </c>
      <c r="BK33" s="167">
        <v>0</v>
      </c>
      <c r="BL33" s="167">
        <v>0</v>
      </c>
      <c r="BM33" s="167">
        <v>0</v>
      </c>
      <c r="BN33" s="167">
        <v>0</v>
      </c>
      <c r="BO33" s="167">
        <v>0</v>
      </c>
      <c r="BP33" s="167">
        <v>0</v>
      </c>
      <c r="BQ33" s="167">
        <v>0</v>
      </c>
      <c r="BR33" s="167">
        <v>0</v>
      </c>
      <c r="BS33" s="167">
        <v>0</v>
      </c>
      <c r="BT33" s="167">
        <v>0</v>
      </c>
      <c r="BU33" s="167">
        <v>0</v>
      </c>
      <c r="BV33" s="167">
        <v>0</v>
      </c>
      <c r="BW33" s="167">
        <v>0</v>
      </c>
      <c r="BX33" s="167">
        <v>0</v>
      </c>
      <c r="BY33" s="167">
        <v>0</v>
      </c>
      <c r="BZ33" s="167">
        <v>0</v>
      </c>
      <c r="CA33" s="167">
        <v>0</v>
      </c>
      <c r="CB33" s="167">
        <v>0</v>
      </c>
      <c r="CC33" s="167">
        <v>0</v>
      </c>
      <c r="CD33" s="167">
        <v>0</v>
      </c>
      <c r="CE33" s="167">
        <v>0</v>
      </c>
      <c r="CF33" s="167">
        <v>0</v>
      </c>
      <c r="CG33" s="167">
        <v>0</v>
      </c>
      <c r="CH33" s="167">
        <v>0</v>
      </c>
      <c r="CI33" s="167">
        <v>0</v>
      </c>
      <c r="CJ33" s="167">
        <v>0</v>
      </c>
      <c r="CK33" s="167">
        <v>0</v>
      </c>
      <c r="CL33" s="167">
        <v>0</v>
      </c>
    </row>
    <row r="34" spans="1:90">
      <c r="B34" s="12"/>
      <c r="F34" s="102"/>
      <c r="G34" s="102"/>
      <c r="H34" s="102"/>
      <c r="I34" s="102"/>
      <c r="J34" s="102"/>
      <c r="K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</row>
    <row r="35" spans="1:90">
      <c r="B35" s="12" t="s">
        <v>230</v>
      </c>
      <c r="F35" s="160">
        <f xml:space="preserve"> +AD35</f>
        <v>0</v>
      </c>
      <c r="G35" s="160">
        <f>+AD35</f>
        <v>0</v>
      </c>
      <c r="H35" s="160">
        <f>+AP35</f>
        <v>200933.38946051113</v>
      </c>
      <c r="I35" s="160">
        <f xml:space="preserve"> +BB35</f>
        <v>164243.50206137216</v>
      </c>
      <c r="J35" s="160">
        <f>+BN35</f>
        <v>116684.83638207833</v>
      </c>
      <c r="K35" s="160">
        <f>+BZ35</f>
        <v>48748.395263639133</v>
      </c>
      <c r="M35" s="160">
        <f>fincmt!D15</f>
        <v>0</v>
      </c>
      <c r="N35" s="160">
        <f>fincmt!E15</f>
        <v>0</v>
      </c>
      <c r="O35" s="160">
        <f>fincmt!F15</f>
        <v>0</v>
      </c>
      <c r="P35" s="160">
        <f>fincmt!G15</f>
        <v>0</v>
      </c>
      <c r="Q35" s="160">
        <f>fincmt!H15</f>
        <v>0</v>
      </c>
      <c r="R35" s="160">
        <f>fincmt!I15</f>
        <v>0</v>
      </c>
      <c r="S35" s="160">
        <f>fincmt!J15</f>
        <v>0</v>
      </c>
      <c r="T35" s="160">
        <f>fincmt!K15</f>
        <v>0</v>
      </c>
      <c r="U35" s="160">
        <f>fincmt!L15</f>
        <v>0</v>
      </c>
      <c r="V35" s="160">
        <f>fincmt!M15</f>
        <v>0</v>
      </c>
      <c r="W35" s="160">
        <f>fincmt!N15</f>
        <v>0</v>
      </c>
      <c r="X35" s="160">
        <f>fincmt!O15</f>
        <v>0</v>
      </c>
      <c r="Y35" s="160">
        <f>fincmt!P15</f>
        <v>0</v>
      </c>
      <c r="Z35" s="160">
        <f>fincmt!Q15</f>
        <v>0</v>
      </c>
      <c r="AA35" s="160">
        <f>fincmt!R15</f>
        <v>0</v>
      </c>
      <c r="AB35" s="160">
        <f>fincmt!S15</f>
        <v>0</v>
      </c>
      <c r="AC35" s="160">
        <f>fincmt!T15</f>
        <v>0</v>
      </c>
      <c r="AD35" s="160">
        <f>fincmt!U15</f>
        <v>0</v>
      </c>
      <c r="AE35" s="160">
        <f>fincmt!V15</f>
        <v>245282.19158899729</v>
      </c>
      <c r="AF35" s="160">
        <f>fincmt!W15</f>
        <v>240564.38317799458</v>
      </c>
      <c r="AG35" s="160">
        <f>fincmt!X15</f>
        <v>235846.57476699183</v>
      </c>
      <c r="AH35" s="160">
        <f>fincmt!Y15</f>
        <v>231128.76635598912</v>
      </c>
      <c r="AI35" s="160">
        <f>fincmt!Z15</f>
        <v>226410.95794498641</v>
      </c>
      <c r="AJ35" s="160">
        <f>fincmt!AA15</f>
        <v>221693.1495339837</v>
      </c>
      <c r="AK35" s="160">
        <f>fincmt!AB15</f>
        <v>216975.34112298099</v>
      </c>
      <c r="AL35" s="160">
        <f>fincmt!AC15</f>
        <v>212257.53271197825</v>
      </c>
      <c r="AM35" s="160">
        <f>fincmt!AD15</f>
        <v>207539.72430097553</v>
      </c>
      <c r="AN35" s="160">
        <f>fincmt!AE15</f>
        <v>210670.94602082073</v>
      </c>
      <c r="AO35" s="160">
        <f>fincmt!AF15</f>
        <v>205802.16774066593</v>
      </c>
      <c r="AP35" s="160">
        <f>fincmt!AG15</f>
        <v>200933.38946051113</v>
      </c>
      <c r="AQ35" s="160">
        <f>fincmt!AH15</f>
        <v>196064.61118035633</v>
      </c>
      <c r="AR35" s="160">
        <f>fincmt!AI15</f>
        <v>191195.83290020152</v>
      </c>
      <c r="AS35" s="160">
        <f>fincmt!AJ15</f>
        <v>186327.05462004672</v>
      </c>
      <c r="AT35" s="160">
        <f>fincmt!AK15</f>
        <v>181458.27633989192</v>
      </c>
      <c r="AU35" s="160">
        <f>fincmt!AL15</f>
        <v>176589.49805973712</v>
      </c>
      <c r="AV35" s="160">
        <f>fincmt!AM15</f>
        <v>171720.71977958232</v>
      </c>
      <c r="AW35" s="160">
        <f>fincmt!AN15</f>
        <v>166851.94149942751</v>
      </c>
      <c r="AX35" s="160">
        <f>fincmt!AO15</f>
        <v>185530.25361181644</v>
      </c>
      <c r="AY35" s="160">
        <f>fincmt!AP15</f>
        <v>180208.56572420537</v>
      </c>
      <c r="AZ35" s="160">
        <f>fincmt!AQ15</f>
        <v>174886.8778365943</v>
      </c>
      <c r="BA35" s="160">
        <f>fincmt!AR15</f>
        <v>169565.18994898323</v>
      </c>
      <c r="BB35" s="160">
        <f>fincmt!AS15</f>
        <v>164243.50206137216</v>
      </c>
      <c r="BC35" s="160">
        <f>fincmt!AT15</f>
        <v>158921.81417376109</v>
      </c>
      <c r="BD35" s="160">
        <f>fincmt!AU15</f>
        <v>153600.12628615001</v>
      </c>
      <c r="BE35" s="160">
        <f>fincmt!AV15</f>
        <v>148278.43839853894</v>
      </c>
      <c r="BF35" s="160">
        <f>fincmt!AW15</f>
        <v>142956.75051092787</v>
      </c>
      <c r="BG35" s="160">
        <f>fincmt!AX15</f>
        <v>137635.0626233168</v>
      </c>
      <c r="BH35" s="160">
        <f>fincmt!AY15</f>
        <v>132313.37473570573</v>
      </c>
      <c r="BI35" s="160">
        <f>fincmt!AZ15</f>
        <v>126991.68684809466</v>
      </c>
      <c r="BJ35" s="160">
        <f>fincmt!BA15</f>
        <v>139330.31675489139</v>
      </c>
      <c r="BK35" s="160">
        <f>fincmt!BB15</f>
        <v>133668.94666168813</v>
      </c>
      <c r="BL35" s="160">
        <f>fincmt!BC15</f>
        <v>128007.57656848486</v>
      </c>
      <c r="BM35" s="160">
        <f>fincmt!BD15</f>
        <v>122346.20647528159</v>
      </c>
      <c r="BN35" s="160">
        <f>fincmt!BE15</f>
        <v>116684.83638207833</v>
      </c>
      <c r="BO35" s="160">
        <f>fincmt!BF15</f>
        <v>111023.46628887506</v>
      </c>
      <c r="BP35" s="160">
        <f>fincmt!BG15</f>
        <v>105362.09619567179</v>
      </c>
      <c r="BQ35" s="160">
        <f>fincmt!BH15</f>
        <v>99700.726102468529</v>
      </c>
      <c r="BR35" s="160">
        <f>fincmt!BI15</f>
        <v>94039.356009265262</v>
      </c>
      <c r="BS35" s="160">
        <f>fincmt!BJ15</f>
        <v>88377.985916061996</v>
      </c>
      <c r="BT35" s="160">
        <f>fincmt!BK15</f>
        <v>82716.61582285873</v>
      </c>
      <c r="BU35" s="160">
        <f>fincmt!BL15</f>
        <v>77055.245729655464</v>
      </c>
      <c r="BV35" s="160">
        <f>fincmt!BM15</f>
        <v>71393.875636452198</v>
      </c>
      <c r="BW35" s="160">
        <f>fincmt!BN15</f>
        <v>65732.505543248932</v>
      </c>
      <c r="BX35" s="160">
        <f>fincmt!BO15</f>
        <v>60071.135450045665</v>
      </c>
      <c r="BY35" s="160">
        <f>fincmt!BP15</f>
        <v>54409.765356842399</v>
      </c>
      <c r="BZ35" s="160">
        <f>fincmt!BQ15</f>
        <v>48748.395263639133</v>
      </c>
      <c r="CA35" s="160">
        <f>fincmt!CD15</f>
        <v>0</v>
      </c>
      <c r="CB35" s="160">
        <f>fincmt!CE15</f>
        <v>0</v>
      </c>
      <c r="CC35" s="160">
        <f>fincmt!CF15</f>
        <v>0</v>
      </c>
      <c r="CD35" s="160">
        <f>fincmt!CG15</f>
        <v>0</v>
      </c>
      <c r="CE35" s="160">
        <f>fincmt!CH15</f>
        <v>0</v>
      </c>
      <c r="CF35" s="160">
        <f>fincmt!CI15</f>
        <v>0</v>
      </c>
      <c r="CG35" s="160">
        <f>fincmt!CJ15</f>
        <v>0</v>
      </c>
      <c r="CH35" s="160">
        <f>fincmt!CK15</f>
        <v>0</v>
      </c>
      <c r="CI35" s="160">
        <f>fincmt!CL15</f>
        <v>0</v>
      </c>
      <c r="CJ35" s="160">
        <f>fincmt!CM15</f>
        <v>0</v>
      </c>
      <c r="CK35" s="160">
        <f>fincmt!CN15</f>
        <v>0</v>
      </c>
      <c r="CL35" s="160">
        <f>fincmt!CO15</f>
        <v>0</v>
      </c>
    </row>
    <row r="36" spans="1:90">
      <c r="B36" s="12" t="s">
        <v>257</v>
      </c>
      <c r="F36" s="160">
        <f xml:space="preserve"> +AD36</f>
        <v>0</v>
      </c>
      <c r="G36" s="160">
        <f>+AD36</f>
        <v>0</v>
      </c>
      <c r="H36" s="160">
        <f>+AP36</f>
        <v>0</v>
      </c>
      <c r="I36" s="160">
        <f xml:space="preserve"> +BB36</f>
        <v>125404.78128269647</v>
      </c>
      <c r="J36" s="160">
        <f>+BN36</f>
        <v>238430.38957311079</v>
      </c>
      <c r="K36" s="160">
        <f>+BZ36</f>
        <v>0</v>
      </c>
      <c r="M36" s="160">
        <f t="shared" ref="M36:AR36" si="36">IF(M10+M12+M19-SUM(M27:M29)-M33-M35-SUM(M38:M41)&gt;0,M10+M12+M19-SUM(M27:M29)-M33-M35-SUM(M38:M41),0)</f>
        <v>0</v>
      </c>
      <c r="N36" s="160">
        <f t="shared" si="36"/>
        <v>0</v>
      </c>
      <c r="O36" s="160">
        <f t="shared" si="36"/>
        <v>0</v>
      </c>
      <c r="P36" s="160">
        <f t="shared" si="36"/>
        <v>0</v>
      </c>
      <c r="Q36" s="160">
        <f t="shared" si="36"/>
        <v>0</v>
      </c>
      <c r="R36" s="160">
        <f t="shared" si="36"/>
        <v>0</v>
      </c>
      <c r="S36" s="160">
        <f t="shared" si="36"/>
        <v>0</v>
      </c>
      <c r="T36" s="160">
        <f t="shared" si="36"/>
        <v>0</v>
      </c>
      <c r="U36" s="160">
        <f t="shared" si="36"/>
        <v>0</v>
      </c>
      <c r="V36" s="160">
        <f t="shared" si="36"/>
        <v>0</v>
      </c>
      <c r="W36" s="160">
        <f t="shared" si="36"/>
        <v>0</v>
      </c>
      <c r="X36" s="160">
        <f t="shared" si="36"/>
        <v>0</v>
      </c>
      <c r="Y36" s="160">
        <f t="shared" si="36"/>
        <v>0</v>
      </c>
      <c r="Z36" s="160">
        <f t="shared" si="36"/>
        <v>350</v>
      </c>
      <c r="AA36" s="160">
        <f t="shared" si="36"/>
        <v>768.59999999999991</v>
      </c>
      <c r="AB36" s="160">
        <f t="shared" si="36"/>
        <v>1187.1999999999998</v>
      </c>
      <c r="AC36" s="160">
        <f>IF(AC10+AC12+AC19-SUM(AC27:AC29)-AC33-AC35-SUM(AC38:AC41)&gt;0,AC10+AC12+AC19-SUM(AC27:AC29)-AC33-AC35-SUM(AC38:AC41),0)</f>
        <v>1605.8</v>
      </c>
      <c r="AD36" s="160">
        <f t="shared" si="36"/>
        <v>0</v>
      </c>
      <c r="AE36" s="160">
        <f t="shared" si="36"/>
        <v>0</v>
      </c>
      <c r="AF36" s="160">
        <f t="shared" si="36"/>
        <v>0</v>
      </c>
      <c r="AG36" s="160">
        <f t="shared" si="36"/>
        <v>0</v>
      </c>
      <c r="AH36" s="160">
        <f t="shared" si="36"/>
        <v>0</v>
      </c>
      <c r="AI36" s="160">
        <f t="shared" si="36"/>
        <v>0</v>
      </c>
      <c r="AJ36" s="160">
        <f t="shared" si="36"/>
        <v>0</v>
      </c>
      <c r="AK36" s="160">
        <f t="shared" si="36"/>
        <v>0</v>
      </c>
      <c r="AL36" s="160">
        <f t="shared" si="36"/>
        <v>0</v>
      </c>
      <c r="AM36" s="160">
        <f t="shared" si="36"/>
        <v>0</v>
      </c>
      <c r="AN36" s="160">
        <f t="shared" si="36"/>
        <v>0</v>
      </c>
      <c r="AO36" s="160">
        <f t="shared" si="36"/>
        <v>0</v>
      </c>
      <c r="AP36" s="160">
        <f t="shared" si="36"/>
        <v>0</v>
      </c>
      <c r="AQ36" s="160">
        <f t="shared" si="36"/>
        <v>0</v>
      </c>
      <c r="AR36" s="160">
        <f t="shared" si="36"/>
        <v>0</v>
      </c>
      <c r="AS36" s="160">
        <f t="shared" ref="AS36:BT36" si="37">IF(AS10+AS12+AS19-SUM(AS27:AS29)-AS33-AS35-SUM(AS38:AS41)&gt;0,AS10+AS12+AS19-SUM(AS27:AS29)-AS33-AS35-SUM(AS38:AS41),0)</f>
        <v>0</v>
      </c>
      <c r="AT36" s="160">
        <f t="shared" si="37"/>
        <v>0</v>
      </c>
      <c r="AU36" s="160">
        <f t="shared" si="37"/>
        <v>0</v>
      </c>
      <c r="AV36" s="160">
        <f t="shared" si="37"/>
        <v>0</v>
      </c>
      <c r="AW36" s="160">
        <f t="shared" si="37"/>
        <v>0</v>
      </c>
      <c r="AX36" s="160">
        <f t="shared" si="37"/>
        <v>0</v>
      </c>
      <c r="AY36" s="160">
        <f t="shared" si="37"/>
        <v>0</v>
      </c>
      <c r="AZ36" s="160">
        <f t="shared" si="37"/>
        <v>0</v>
      </c>
      <c r="BA36" s="160">
        <f t="shared" si="37"/>
        <v>13839.88349143925</v>
      </c>
      <c r="BB36" s="160">
        <f t="shared" si="37"/>
        <v>125404.78128269647</v>
      </c>
      <c r="BC36" s="160">
        <f t="shared" si="37"/>
        <v>196696.33209569994</v>
      </c>
      <c r="BD36" s="160">
        <f t="shared" si="37"/>
        <v>292050.73526290769</v>
      </c>
      <c r="BE36" s="160">
        <f t="shared" si="37"/>
        <v>364606.85470923746</v>
      </c>
      <c r="BF36" s="160">
        <f t="shared" si="37"/>
        <v>385931.22639731527</v>
      </c>
      <c r="BG36" s="160">
        <f t="shared" si="37"/>
        <v>435459.71289303352</v>
      </c>
      <c r="BH36" s="160">
        <f t="shared" si="37"/>
        <v>460432.30053151655</v>
      </c>
      <c r="BI36" s="160">
        <f t="shared" si="37"/>
        <v>433283.62253818067</v>
      </c>
      <c r="BJ36" s="160">
        <f t="shared" si="37"/>
        <v>426363.62555689801</v>
      </c>
      <c r="BK36" s="160">
        <f t="shared" si="37"/>
        <v>404846.96737967845</v>
      </c>
      <c r="BL36" s="160">
        <f t="shared" si="37"/>
        <v>319195.46863562526</v>
      </c>
      <c r="BM36" s="160">
        <f t="shared" si="37"/>
        <v>265390.37832600967</v>
      </c>
      <c r="BN36" s="160">
        <f t="shared" si="37"/>
        <v>238430.38957311079</v>
      </c>
      <c r="BO36" s="160">
        <f t="shared" si="37"/>
        <v>107713.13700089708</v>
      </c>
      <c r="BP36" s="160">
        <f t="shared" si="37"/>
        <v>16907.516201276332</v>
      </c>
      <c r="BQ36" s="160">
        <f t="shared" si="37"/>
        <v>0</v>
      </c>
      <c r="BR36" s="160">
        <f t="shared" si="37"/>
        <v>0</v>
      </c>
      <c r="BS36" s="160">
        <f t="shared" si="37"/>
        <v>0</v>
      </c>
      <c r="BT36" s="160">
        <f t="shared" si="37"/>
        <v>0</v>
      </c>
      <c r="BU36" s="160">
        <f t="shared" ref="BU36:BZ36" si="38">IF(BU10+BU12+BU19-SUM(BU27:BU29)-BU33-BU35-SUM(BU38:BU41)&gt;0,BU10+BU12+BU19-SUM(BU27:BU29)-BU33-BU35-SUM(BU38:BU41),0)</f>
        <v>0</v>
      </c>
      <c r="BV36" s="160">
        <f t="shared" si="38"/>
        <v>0</v>
      </c>
      <c r="BW36" s="160">
        <f t="shared" si="38"/>
        <v>0</v>
      </c>
      <c r="BX36" s="160">
        <f t="shared" si="38"/>
        <v>0</v>
      </c>
      <c r="BY36" s="160">
        <f t="shared" si="38"/>
        <v>0</v>
      </c>
      <c r="BZ36" s="160">
        <f t="shared" si="38"/>
        <v>0</v>
      </c>
      <c r="CA36" s="160">
        <f t="shared" ref="CA36:CL36" si="39">IF(CA10+CA12+CA19-SUM(CA27:CA29)-CA33-CA35-SUM(CA38:CA41)&gt;0,CA10+CA12+CA19-SUM(CA27:CA29)-CA33-CA35-SUM(CA38:CA41),0)</f>
        <v>0</v>
      </c>
      <c r="CB36" s="160">
        <f t="shared" si="39"/>
        <v>0</v>
      </c>
      <c r="CC36" s="160">
        <f t="shared" si="39"/>
        <v>0</v>
      </c>
      <c r="CD36" s="160">
        <f t="shared" si="39"/>
        <v>0</v>
      </c>
      <c r="CE36" s="160">
        <f t="shared" si="39"/>
        <v>0</v>
      </c>
      <c r="CF36" s="160">
        <f t="shared" si="39"/>
        <v>0</v>
      </c>
      <c r="CG36" s="160">
        <f t="shared" si="39"/>
        <v>0</v>
      </c>
      <c r="CH36" s="160">
        <f t="shared" si="39"/>
        <v>0</v>
      </c>
      <c r="CI36" s="160">
        <f t="shared" si="39"/>
        <v>0</v>
      </c>
      <c r="CJ36" s="160">
        <f t="shared" si="39"/>
        <v>0</v>
      </c>
      <c r="CK36" s="160">
        <f t="shared" si="39"/>
        <v>0</v>
      </c>
      <c r="CL36" s="160">
        <f t="shared" si="39"/>
        <v>0</v>
      </c>
    </row>
    <row r="37" spans="1:90">
      <c r="F37" s="160"/>
      <c r="G37" s="160"/>
      <c r="H37" s="160"/>
      <c r="I37" s="160"/>
      <c r="J37" s="160"/>
      <c r="K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  <c r="CG37" s="160"/>
      <c r="CH37" s="160"/>
      <c r="CI37" s="160"/>
      <c r="CJ37" s="160"/>
      <c r="CK37" s="160"/>
      <c r="CL37" s="160"/>
    </row>
    <row r="38" spans="1:90">
      <c r="B38" s="12" t="s">
        <v>242</v>
      </c>
      <c r="F38" s="160">
        <f xml:space="preserve"> +AD38</f>
        <v>302049.8</v>
      </c>
      <c r="G38" s="160">
        <f>+AD38</f>
        <v>302049.8</v>
      </c>
      <c r="H38" s="160">
        <f>+AP38</f>
        <v>1573.9360000000333</v>
      </c>
      <c r="I38" s="160">
        <f xml:space="preserve"> +BB38</f>
        <v>169266.11259999999</v>
      </c>
      <c r="J38" s="160">
        <f>+BN38</f>
        <v>336257.24184000003</v>
      </c>
      <c r="K38" s="160">
        <f>+BZ38</f>
        <v>445896.33789999923</v>
      </c>
      <c r="M38" s="160">
        <f>'Détail CF'!F77</f>
        <v>0</v>
      </c>
      <c r="N38" s="160">
        <f>'Détail CF'!G77</f>
        <v>0</v>
      </c>
      <c r="O38" s="160">
        <f>'Détail CF'!H77</f>
        <v>0</v>
      </c>
      <c r="P38" s="160">
        <f>'Détail CF'!I77</f>
        <v>0</v>
      </c>
      <c r="Q38" s="160">
        <f>'Détail CF'!J77</f>
        <v>0</v>
      </c>
      <c r="R38" s="160">
        <f>'Détail CF'!K77</f>
        <v>0</v>
      </c>
      <c r="S38" s="160">
        <f>'Détail CF'!L77</f>
        <v>0</v>
      </c>
      <c r="T38" s="160">
        <f>'Détail CF'!M77</f>
        <v>0</v>
      </c>
      <c r="U38" s="160">
        <f>'Détail CF'!N77</f>
        <v>0</v>
      </c>
      <c r="V38" s="160">
        <f>'Détail CF'!O77</f>
        <v>0</v>
      </c>
      <c r="W38" s="160">
        <f>'Détail CF'!P77</f>
        <v>0</v>
      </c>
      <c r="X38" s="160">
        <f>'Détail CF'!Q77</f>
        <v>0</v>
      </c>
      <c r="Y38" s="160">
        <f>'Détail CF'!R77</f>
        <v>0</v>
      </c>
      <c r="Z38" s="160">
        <f>'Détail CF'!S77</f>
        <v>0</v>
      </c>
      <c r="AA38" s="160">
        <f>'Détail CF'!T77</f>
        <v>0</v>
      </c>
      <c r="AB38" s="160">
        <f>'Détail CF'!U77</f>
        <v>0</v>
      </c>
      <c r="AC38" s="160">
        <f>'Détail CF'!V77</f>
        <v>0</v>
      </c>
      <c r="AD38" s="160">
        <f>'Détail CF'!W77</f>
        <v>302049.8</v>
      </c>
      <c r="AE38" s="160">
        <f>'Détail CF'!X77</f>
        <v>662.58400000004337</v>
      </c>
      <c r="AF38" s="160">
        <f>'Détail CF'!Y77</f>
        <v>691.28800000001206</v>
      </c>
      <c r="AG38" s="160">
        <f>'Détail CF'!Z77</f>
        <v>751.08800000000053</v>
      </c>
      <c r="AH38" s="160">
        <f>'Détail CF'!AA77</f>
        <v>824.70180000000391</v>
      </c>
      <c r="AI38" s="160">
        <f>'Détail CF'!AB77</f>
        <v>944.30179999998086</v>
      </c>
      <c r="AJ38" s="160">
        <f>'Détail CF'!AC77</f>
        <v>944.30180000003895</v>
      </c>
      <c r="AK38" s="160">
        <f>'Détail CF'!AD77</f>
        <v>1143.4358000000125</v>
      </c>
      <c r="AL38" s="160">
        <f>'Détail CF'!AE77</f>
        <v>1119.7550000000397</v>
      </c>
      <c r="AM38" s="160">
        <f>'Détail CF'!AF77</f>
        <v>10789.713999999956</v>
      </c>
      <c r="AN38" s="160">
        <f>'Détail CF'!AG77</f>
        <v>1338.0249999999421</v>
      </c>
      <c r="AO38" s="160">
        <f>'Détail CF'!AH77</f>
        <v>1471.9770000000019</v>
      </c>
      <c r="AP38" s="160">
        <f>'Détail CF'!AI77</f>
        <v>1573.9360000000333</v>
      </c>
      <c r="AQ38" s="160">
        <f>'Détail CF'!AJ77</f>
        <v>20909.249399999961</v>
      </c>
      <c r="AR38" s="160">
        <f>'Détail CF'!AK77</f>
        <v>47373.799200000001</v>
      </c>
      <c r="AS38" s="160">
        <f>'Détail CF'!AL77</f>
        <v>61906.15600000001</v>
      </c>
      <c r="AT38" s="160">
        <f>'Détail CF'!AM77</f>
        <v>88687.34679999997</v>
      </c>
      <c r="AU38" s="160">
        <f>'Détail CF'!AN77</f>
        <v>122299.19260000015</v>
      </c>
      <c r="AV38" s="160">
        <f>'Détail CF'!AO77</f>
        <v>112911.54939999999</v>
      </c>
      <c r="AW38" s="160">
        <f>'Détail CF'!AP77</f>
        <v>170991.34260000021</v>
      </c>
      <c r="AX38" s="160">
        <f>'Détail CF'!AQ77</f>
        <v>133913.66819999955</v>
      </c>
      <c r="AY38" s="160">
        <f>'Détail CF'!AR77</f>
        <v>149691.71879999977</v>
      </c>
      <c r="AZ38" s="160">
        <f>'Détail CF'!AS77</f>
        <v>156935.59180000017</v>
      </c>
      <c r="BA38" s="160">
        <f>'Détail CF'!AT77</f>
        <v>178947.85220000008</v>
      </c>
      <c r="BB38" s="160">
        <f>'Détail CF'!AU77</f>
        <v>169266.11259999999</v>
      </c>
      <c r="BC38" s="160">
        <f>'Détail CF'!AV77</f>
        <v>188599.87419</v>
      </c>
      <c r="BD38" s="160">
        <f>'Détail CF'!AW77</f>
        <v>195668.89198999992</v>
      </c>
      <c r="BE38" s="160">
        <f>'Détail CF'!AX77</f>
        <v>211030.55518999987</v>
      </c>
      <c r="BF38" s="160">
        <f>'Détail CF'!AY77</f>
        <v>222804.21838999796</v>
      </c>
      <c r="BG38" s="160">
        <f>'Détail CF'!AZ77</f>
        <v>229878.79459999781</v>
      </c>
      <c r="BH38" s="160">
        <f>'Détail CF'!BA77</f>
        <v>244006.78380000009</v>
      </c>
      <c r="BI38" s="160">
        <f>'Détail CF'!BB77</f>
        <v>279873.50222000014</v>
      </c>
      <c r="BJ38" s="160">
        <f>'Détail CF'!BC77</f>
        <v>266531.64382000011</v>
      </c>
      <c r="BK38" s="160">
        <f>'Détail CF'!BD77</f>
        <v>281949.99443000043</v>
      </c>
      <c r="BL38" s="160">
        <f>'Détail CF'!BE77</f>
        <v>301988.6156299992</v>
      </c>
      <c r="BM38" s="160">
        <f>'Détail CF'!BF77</f>
        <v>322111.91063999711</v>
      </c>
      <c r="BN38" s="160">
        <f>'Détail CF'!BG77</f>
        <v>336257.24184000003</v>
      </c>
      <c r="BO38" s="160">
        <f>'Détail CF'!BH77</f>
        <v>350395.32527999976</v>
      </c>
      <c r="BP38" s="160">
        <f>'Détail CF'!BI77</f>
        <v>362759.93208000134</v>
      </c>
      <c r="BQ38" s="160">
        <f>'Détail CF'!BJ77</f>
        <v>373358.16648000129</v>
      </c>
      <c r="BR38" s="160">
        <f>'Détail CF'!BK77</f>
        <v>383956.40088000055</v>
      </c>
      <c r="BS38" s="160">
        <f>'Détail CF'!BL77</f>
        <v>394657.18629999924</v>
      </c>
      <c r="BT38" s="160">
        <f>'Détail CF'!BM77</f>
        <v>403503.40029999893</v>
      </c>
      <c r="BU38" s="160">
        <f>'Détail CF'!BN77</f>
        <v>410568.88989999937</v>
      </c>
      <c r="BV38" s="160">
        <f>'Détail CF'!BO77</f>
        <v>417634.37950000027</v>
      </c>
      <c r="BW38" s="160">
        <f>'Détail CF'!BP77</f>
        <v>424699.86909999931</v>
      </c>
      <c r="BX38" s="160">
        <f>'Détail CF'!BQ77</f>
        <v>431765.35869999975</v>
      </c>
      <c r="BY38" s="160">
        <f>'Détail CF'!BR77</f>
        <v>438830.84829999926</v>
      </c>
      <c r="BZ38" s="160">
        <f>'Détail CF'!BS77</f>
        <v>445896.33789999923</v>
      </c>
      <c r="CA38" s="160">
        <f>'Détail CF'!BT77</f>
        <v>451911.87105999887</v>
      </c>
      <c r="CB38" s="160">
        <f>'Détail CF'!BU77</f>
        <v>457210.98825999908</v>
      </c>
      <c r="CC38" s="160">
        <f>'Détail CF'!BV77</f>
        <v>461803.55649999902</v>
      </c>
      <c r="CD38" s="160">
        <f>'Détail CF'!BW77</f>
        <v>465336.30130000273</v>
      </c>
      <c r="CE38" s="160">
        <f>'Détail CF'!BX77</f>
        <v>468869.04610000271</v>
      </c>
      <c r="CF38" s="160">
        <f>'Détail CF'!BY77</f>
        <v>472401.79090002645</v>
      </c>
      <c r="CG38" s="160">
        <f>'Détail CF'!BZ77</f>
        <v>475934.53570003342</v>
      </c>
      <c r="CH38" s="160">
        <f>'Détail CF'!CA77</f>
        <v>479467.28050000779</v>
      </c>
      <c r="CI38" s="160">
        <f>'Détail CF'!CB77</f>
        <v>483000.02529999986</v>
      </c>
      <c r="CJ38" s="160">
        <f>'Détail CF'!CC77</f>
        <v>485826.22113999352</v>
      </c>
      <c r="CK38" s="160">
        <f>'Détail CF'!CD77</f>
        <v>487945.86801999714</v>
      </c>
      <c r="CL38" s="160">
        <f>'Détail CF'!CE77</f>
        <v>490418.78938000277</v>
      </c>
    </row>
    <row r="39" spans="1:90">
      <c r="B39" s="12" t="s">
        <v>255</v>
      </c>
      <c r="F39" s="160">
        <f xml:space="preserve"> +AD39</f>
        <v>0</v>
      </c>
      <c r="G39" s="160">
        <f>+AD39</f>
        <v>0</v>
      </c>
      <c r="H39" s="160">
        <f>+AP39</f>
        <v>0</v>
      </c>
      <c r="I39" s="160">
        <f xml:space="preserve"> +BB39</f>
        <v>0</v>
      </c>
      <c r="J39" s="160">
        <f>+BN39</f>
        <v>42729.345359999978</v>
      </c>
      <c r="K39" s="160">
        <f>+BZ39</f>
        <v>70263.449500000046</v>
      </c>
      <c r="M39" s="160">
        <f>'Détail CF'!F79+'Détail CF'!F101+'Détail CF'!F94</f>
        <v>0</v>
      </c>
      <c r="N39" s="160">
        <f>'Détail CF'!G79+'Détail CF'!G101+'Détail CF'!G94</f>
        <v>0</v>
      </c>
      <c r="O39" s="160">
        <f>'Détail CF'!H79+'Détail CF'!H101+'Détail CF'!H94</f>
        <v>0</v>
      </c>
      <c r="P39" s="160">
        <f>'Détail CF'!I79+'Détail CF'!I101+'Détail CF'!I94</f>
        <v>0</v>
      </c>
      <c r="Q39" s="160">
        <f>'Détail CF'!J79+'Détail CF'!J101+'Détail CF'!J94</f>
        <v>0</v>
      </c>
      <c r="R39" s="160">
        <f>'Détail CF'!K79+'Détail CF'!K101+'Détail CF'!K94</f>
        <v>0</v>
      </c>
      <c r="S39" s="160">
        <f>'Détail CF'!L79+'Détail CF'!L101+'Détail CF'!L94</f>
        <v>0</v>
      </c>
      <c r="T39" s="160">
        <f>'Détail CF'!M79+'Détail CF'!M101+'Détail CF'!M94</f>
        <v>0</v>
      </c>
      <c r="U39" s="160">
        <f>'Détail CF'!N79+'Détail CF'!N101+'Détail CF'!N94</f>
        <v>0</v>
      </c>
      <c r="V39" s="160">
        <f>'Détail CF'!O79+'Détail CF'!O101+'Détail CF'!O94</f>
        <v>0</v>
      </c>
      <c r="W39" s="160">
        <f>'Détail CF'!P79+'Détail CF'!P101+'Détail CF'!P94</f>
        <v>0</v>
      </c>
      <c r="X39" s="160">
        <f>'Détail CF'!Q79+'Détail CF'!Q101+'Détail CF'!Q94</f>
        <v>0</v>
      </c>
      <c r="Y39" s="160">
        <f>'Détail CF'!R79+'Détail CF'!R101+'Détail CF'!R94</f>
        <v>0</v>
      </c>
      <c r="Z39" s="160">
        <f>'Détail CF'!S79+'Détail CF'!S101+'Détail CF'!S94</f>
        <v>0</v>
      </c>
      <c r="AA39" s="160">
        <f>'Détail CF'!T79+'Détail CF'!T101+'Détail CF'!T94</f>
        <v>0</v>
      </c>
      <c r="AB39" s="160">
        <f>'Détail CF'!U79+'Détail CF'!U101+'Détail CF'!U94</f>
        <v>0</v>
      </c>
      <c r="AC39" s="160">
        <f>'Détail CF'!V79+'Détail CF'!V101+'Détail CF'!V94</f>
        <v>0</v>
      </c>
      <c r="AD39" s="160">
        <f>'Détail CF'!W79+'Détail CF'!W101+'Détail CF'!W94</f>
        <v>0</v>
      </c>
      <c r="AE39" s="160">
        <f>'Détail CF'!X79+'Détail CF'!X101+'Détail CF'!X94</f>
        <v>0</v>
      </c>
      <c r="AF39" s="160">
        <f>'Détail CF'!Y79+'Détail CF'!Y101+'Détail CF'!Y94</f>
        <v>0</v>
      </c>
      <c r="AG39" s="160">
        <f>'Détail CF'!Z79+'Détail CF'!Z101+'Détail CF'!Z94</f>
        <v>0</v>
      </c>
      <c r="AH39" s="160">
        <f>'Détail CF'!AA79+'Détail CF'!AA101+'Détail CF'!AA94</f>
        <v>0</v>
      </c>
      <c r="AI39" s="160">
        <f>'Détail CF'!AB79+'Détail CF'!AB101+'Détail CF'!AB94</f>
        <v>0</v>
      </c>
      <c r="AJ39" s="160">
        <f>'Détail CF'!AC79+'Détail CF'!AC101+'Détail CF'!AC94</f>
        <v>0</v>
      </c>
      <c r="AK39" s="160">
        <f>'Détail CF'!AD79+'Détail CF'!AD101+'Détail CF'!AD94</f>
        <v>0</v>
      </c>
      <c r="AL39" s="160">
        <f>'Détail CF'!AE79+'Détail CF'!AE101+'Détail CF'!AE94</f>
        <v>0</v>
      </c>
      <c r="AM39" s="160">
        <f>'Détail CF'!AF79+'Détail CF'!AF101+'Détail CF'!AF94</f>
        <v>0</v>
      </c>
      <c r="AN39" s="160">
        <f>'Détail CF'!AG79+'Détail CF'!AG101+'Détail CF'!AG94</f>
        <v>0</v>
      </c>
      <c r="AO39" s="160">
        <f>'Détail CF'!AH79+'Détail CF'!AH101+'Détail CF'!AH94</f>
        <v>0</v>
      </c>
      <c r="AP39" s="160">
        <f>'Détail CF'!AI79+'Détail CF'!AI101+'Détail CF'!AI94</f>
        <v>0</v>
      </c>
      <c r="AQ39" s="160">
        <f>'Détail CF'!AJ79+'Détail CF'!AJ101+'Détail CF'!AJ94</f>
        <v>0</v>
      </c>
      <c r="AR39" s="160">
        <f>'Détail CF'!AK79+'Détail CF'!AK101+'Détail CF'!AK94</f>
        <v>0</v>
      </c>
      <c r="AS39" s="160">
        <f>'Détail CF'!AL79+'Détail CF'!AL101+'Détail CF'!AL94</f>
        <v>0</v>
      </c>
      <c r="AT39" s="160">
        <f>'Détail CF'!AM79+'Détail CF'!AM101+'Détail CF'!AM94</f>
        <v>0</v>
      </c>
      <c r="AU39" s="160">
        <f>'Détail CF'!AN79+'Détail CF'!AN101+'Détail CF'!AN94</f>
        <v>0</v>
      </c>
      <c r="AV39" s="160">
        <f>'Détail CF'!AO79+'Détail CF'!AO101+'Détail CF'!AO94</f>
        <v>0</v>
      </c>
      <c r="AW39" s="160">
        <f>'Détail CF'!AP79+'Détail CF'!AP101+'Détail CF'!AP94</f>
        <v>0</v>
      </c>
      <c r="AX39" s="160">
        <f>'Détail CF'!AQ79+'Détail CF'!AQ101+'Détail CF'!AQ94</f>
        <v>0</v>
      </c>
      <c r="AY39" s="160">
        <f>'Détail CF'!AR79+'Détail CF'!AR101+'Détail CF'!AR94</f>
        <v>0</v>
      </c>
      <c r="AZ39" s="160">
        <f>'Détail CF'!AS79+'Détail CF'!AS101+'Détail CF'!AS94</f>
        <v>0</v>
      </c>
      <c r="BA39" s="160">
        <f>'Détail CF'!AT79+'Détail CF'!AT101+'Détail CF'!AT94</f>
        <v>0</v>
      </c>
      <c r="BB39" s="160">
        <f>'Détail CF'!AU79+'Détail CF'!AU101+'Détail CF'!AU94</f>
        <v>0</v>
      </c>
      <c r="BC39" s="160">
        <f>'Détail CF'!AV79+'Détail CF'!AV101+'Détail CF'!AV94</f>
        <v>52.863604999999694</v>
      </c>
      <c r="BD39" s="160">
        <f>'Détail CF'!AW79+'Détail CF'!AW101+'Détail CF'!AW94</f>
        <v>735.91920999999991</v>
      </c>
      <c r="BE39" s="160">
        <f>'Détail CF'!AX79+'Détail CF'!AX101+'Détail CF'!AX94</f>
        <v>1859.1668149999996</v>
      </c>
      <c r="BF39" s="160">
        <f>'Détail CF'!AY79+'Détail CF'!AY101+'Détail CF'!AY94</f>
        <v>3536.6064199999992</v>
      </c>
      <c r="BG39" s="160">
        <f>'Détail CF'!AZ79+'Détail CF'!AZ101+'Détail CF'!AZ94</f>
        <v>6057.5663199999981</v>
      </c>
      <c r="BH39" s="160">
        <f>'Détail CF'!BA79+'Détail CF'!BA101+'Détail CF'!BA94</f>
        <v>0</v>
      </c>
      <c r="BI39" s="160">
        <f>'Détail CF'!BB79+'Détail CF'!BB101+'Détail CF'!BB94</f>
        <v>3866.3044899999986</v>
      </c>
      <c r="BJ39" s="160">
        <f>'Détail CF'!BC79+'Détail CF'!BC101+'Détail CF'!BC94</f>
        <v>16975.744379999989</v>
      </c>
      <c r="BK39" s="160">
        <f>'Détail CF'!BD79+'Détail CF'!BD101+'Détail CF'!BD94</f>
        <v>43494.01233500005</v>
      </c>
      <c r="BL39" s="160">
        <f>'Détail CF'!BE79+'Détail CF'!BE101+'Détail CF'!BE94</f>
        <v>53770.773020000008</v>
      </c>
      <c r="BM39" s="160">
        <f>'Détail CF'!BF79+'Détail CF'!BF101+'Détail CF'!BF94</f>
        <v>67411.821090000041</v>
      </c>
      <c r="BN39" s="160">
        <f>'Détail CF'!BG79+'Détail CF'!BG101+'Détail CF'!BG94</f>
        <v>42729.345359999978</v>
      </c>
      <c r="BO39" s="160">
        <f>'Détail CF'!BH79+'Détail CF'!BH101+'Détail CF'!BH94</f>
        <v>54846.445279999985</v>
      </c>
      <c r="BP39" s="160">
        <f>'Détail CF'!BI79+'Détail CF'!BI101+'Détail CF'!BI94</f>
        <v>67428.999039999995</v>
      </c>
      <c r="BQ39" s="160">
        <f>'Détail CF'!BJ79+'Détail CF'!BJ101+'Détail CF'!BJ94</f>
        <v>79689.059200000047</v>
      </c>
      <c r="BR39" s="160">
        <f>'Détail CF'!BK79+'Détail CF'!BK101+'Détail CF'!BK94</f>
        <v>92447.983359999984</v>
      </c>
      <c r="BS39" s="160">
        <f>'Détail CF'!BL79+'Détail CF'!BL101+'Détail CF'!BL94</f>
        <v>105684.50459</v>
      </c>
      <c r="BT39" s="160">
        <f>'Détail CF'!BM79+'Détail CF'!BM101+'Détail CF'!BM94</f>
        <v>59971.097499999989</v>
      </c>
      <c r="BU39" s="160">
        <f>'Détail CF'!BN79+'Détail CF'!BN101+'Détail CF'!BN94</f>
        <v>73024.677749999973</v>
      </c>
      <c r="BV39" s="160">
        <f>'Détail CF'!BO79+'Détail CF'!BO101+'Détail CF'!BO94</f>
        <v>86410.834000000032</v>
      </c>
      <c r="BW39" s="160">
        <f>'Détail CF'!BP79+'Détail CF'!BP101+'Détail CF'!BP94</f>
        <v>100129.56625000003</v>
      </c>
      <c r="BX39" s="160">
        <f>'Détail CF'!BQ79+'Détail CF'!BQ101+'Détail CF'!BQ94</f>
        <v>114180.87450000003</v>
      </c>
      <c r="BY39" s="160">
        <f>'Détail CF'!BR79+'Détail CF'!BR101+'Détail CF'!BR94</f>
        <v>128564.75875000004</v>
      </c>
      <c r="BZ39" s="160">
        <f>'Détail CF'!BS79+'Détail CF'!BS101+'Détail CF'!BS94</f>
        <v>70263.449500000046</v>
      </c>
      <c r="CA39" s="160">
        <f>'Détail CF'!BT79+'Détail CF'!BT101+'Détail CF'!BT94</f>
        <v>89270.991191750058</v>
      </c>
      <c r="CB39" s="160">
        <f>'Détail CF'!BU79+'Détail CF'!BU101+'Détail CF'!BU94</f>
        <v>130770.74757991618</v>
      </c>
      <c r="CC39" s="160">
        <f>'Détail CF'!BV79+'Détail CF'!BV101+'Détail CF'!BV94</f>
        <v>173219.98805068224</v>
      </c>
      <c r="CD39" s="160">
        <f>'Détail CF'!BW79+'Détail CF'!BW101+'Détail CF'!BW94</f>
        <v>215882.08580404834</v>
      </c>
      <c r="CE39" s="160">
        <f>'Détail CF'!BX79+'Détail CF'!BX101+'Détail CF'!BX94</f>
        <v>259271.65844001441</v>
      </c>
      <c r="CF39" s="160">
        <f>'Détail CF'!BY79+'Détail CF'!BY101+'Détail CF'!BY94</f>
        <v>220998.73425858052</v>
      </c>
      <c r="CG39" s="160">
        <f>'Détail CF'!BZ79+'Détail CF'!BZ101+'Détail CF'!BZ94</f>
        <v>265279.65190294757</v>
      </c>
      <c r="CH39" s="160">
        <f>'Détail CF'!CA79+'Détail CF'!CA101+'Détail CF'!CA94</f>
        <v>310302.09841339471</v>
      </c>
      <c r="CI39" s="160">
        <f>'Détail CF'!CB79+'Détail CF'!CB101+'Détail CF'!CB94</f>
        <v>356087.15476514178</v>
      </c>
      <c r="CJ39" s="160">
        <f>'Détail CF'!CC79+'Détail CF'!CC101+'Détail CF'!CC94</f>
        <v>402315.72303818882</v>
      </c>
      <c r="CK39" s="160">
        <f>'Détail CF'!CD79+'Détail CF'!CD101+'Détail CF'!CD94</f>
        <v>448644.72483253584</v>
      </c>
      <c r="CL39" s="160">
        <f>'Détail CF'!CE79+'Détail CF'!CE101+'Détail CF'!CE94</f>
        <v>407466.50860818295</v>
      </c>
    </row>
    <row r="40" spans="1:90">
      <c r="B40" s="12" t="s">
        <v>256</v>
      </c>
      <c r="F40" s="160">
        <f xml:space="preserve"> +AD40</f>
        <v>0</v>
      </c>
      <c r="G40" s="160">
        <f>+AD40</f>
        <v>0</v>
      </c>
      <c r="H40" s="160">
        <f>+AP40</f>
        <v>0</v>
      </c>
      <c r="I40" s="160">
        <f xml:space="preserve"> +BB40</f>
        <v>0</v>
      </c>
      <c r="J40" s="160">
        <f>+BN40</f>
        <v>0</v>
      </c>
      <c r="K40" s="160">
        <f>+BZ40</f>
        <v>0</v>
      </c>
      <c r="M40" s="160">
        <f>'Détail CF'!F20</f>
        <v>0</v>
      </c>
      <c r="N40" s="160">
        <f>'Détail CF'!G20</f>
        <v>0</v>
      </c>
      <c r="O40" s="160">
        <f>'Détail CF'!H20</f>
        <v>0</v>
      </c>
      <c r="P40" s="160">
        <f>'Détail CF'!I20</f>
        <v>0</v>
      </c>
      <c r="Q40" s="160">
        <f>'Détail CF'!J20</f>
        <v>0</v>
      </c>
      <c r="R40" s="160">
        <f>'Détail CF'!K20</f>
        <v>0</v>
      </c>
      <c r="S40" s="160">
        <f>'Détail CF'!L20</f>
        <v>0</v>
      </c>
      <c r="T40" s="160">
        <f>'Détail CF'!M20</f>
        <v>0</v>
      </c>
      <c r="U40" s="160">
        <f>'Détail CF'!N20</f>
        <v>0</v>
      </c>
      <c r="V40" s="160">
        <f>'Détail CF'!O20</f>
        <v>0</v>
      </c>
      <c r="W40" s="160">
        <f>'Détail CF'!P20</f>
        <v>0</v>
      </c>
      <c r="X40" s="160">
        <f>'Détail CF'!Q20</f>
        <v>0</v>
      </c>
      <c r="Y40" s="160">
        <f>'Détail CF'!R20</f>
        <v>0</v>
      </c>
      <c r="Z40" s="160">
        <f>'Détail CF'!S20</f>
        <v>0</v>
      </c>
      <c r="AA40" s="160">
        <f>'Détail CF'!T20</f>
        <v>0</v>
      </c>
      <c r="AB40" s="160">
        <f>'Détail CF'!U20</f>
        <v>0</v>
      </c>
      <c r="AC40" s="160">
        <f>'Détail CF'!V20</f>
        <v>0</v>
      </c>
      <c r="AD40" s="160">
        <f>'Détail CF'!W20</f>
        <v>0</v>
      </c>
      <c r="AE40" s="160">
        <f>'Détail CF'!X20</f>
        <v>0</v>
      </c>
      <c r="AF40" s="160">
        <f>'Détail CF'!Y20</f>
        <v>0</v>
      </c>
      <c r="AG40" s="160">
        <f>'Détail CF'!Z20</f>
        <v>0</v>
      </c>
      <c r="AH40" s="160">
        <f>'Détail CF'!AA20</f>
        <v>0</v>
      </c>
      <c r="AI40" s="160">
        <f>'Détail CF'!AB20</f>
        <v>0</v>
      </c>
      <c r="AJ40" s="160">
        <f>'Détail CF'!AC20</f>
        <v>0</v>
      </c>
      <c r="AK40" s="160">
        <f>'Détail CF'!AD20</f>
        <v>0</v>
      </c>
      <c r="AL40" s="160">
        <f>'Détail CF'!AE20</f>
        <v>0</v>
      </c>
      <c r="AM40" s="160">
        <f>'Détail CF'!AF20</f>
        <v>0</v>
      </c>
      <c r="AN40" s="160">
        <f>'Détail CF'!AG20</f>
        <v>0</v>
      </c>
      <c r="AO40" s="160">
        <f>'Détail CF'!AH20</f>
        <v>0</v>
      </c>
      <c r="AP40" s="160">
        <f>'Détail CF'!AI20</f>
        <v>0</v>
      </c>
      <c r="AQ40" s="160">
        <f>'Détail CF'!AJ20</f>
        <v>0</v>
      </c>
      <c r="AR40" s="160">
        <f>'Détail CF'!AK20</f>
        <v>0</v>
      </c>
      <c r="AS40" s="160">
        <f>'Détail CF'!AL20</f>
        <v>0</v>
      </c>
      <c r="AT40" s="160">
        <f>'Détail CF'!AM20</f>
        <v>0</v>
      </c>
      <c r="AU40" s="160">
        <f>'Détail CF'!AN20</f>
        <v>0</v>
      </c>
      <c r="AV40" s="160">
        <f>'Détail CF'!AO20</f>
        <v>0</v>
      </c>
      <c r="AW40" s="160">
        <f>'Détail CF'!AP20</f>
        <v>0</v>
      </c>
      <c r="AX40" s="160">
        <f>'Détail CF'!AQ20</f>
        <v>0</v>
      </c>
      <c r="AY40" s="160">
        <f>'Détail CF'!AR20</f>
        <v>0</v>
      </c>
      <c r="AZ40" s="160">
        <f>'Détail CF'!AS20</f>
        <v>0</v>
      </c>
      <c r="BA40" s="160">
        <f>'Détail CF'!AT20</f>
        <v>0</v>
      </c>
      <c r="BB40" s="160">
        <f>'Détail CF'!AU20</f>
        <v>0</v>
      </c>
      <c r="BC40" s="160">
        <f>'Détail CF'!AV20</f>
        <v>0</v>
      </c>
      <c r="BD40" s="160">
        <f>'Détail CF'!AW20</f>
        <v>0</v>
      </c>
      <c r="BE40" s="160">
        <f>'Détail CF'!AX20</f>
        <v>0</v>
      </c>
      <c r="BF40" s="160">
        <f>'Détail CF'!AY20</f>
        <v>0</v>
      </c>
      <c r="BG40" s="160">
        <f>'Détail CF'!AZ20</f>
        <v>0</v>
      </c>
      <c r="BH40" s="160">
        <f>'Détail CF'!BA20</f>
        <v>0</v>
      </c>
      <c r="BI40" s="160">
        <f>'Détail CF'!BB20</f>
        <v>0</v>
      </c>
      <c r="BJ40" s="160">
        <f>'Détail CF'!BC20</f>
        <v>0</v>
      </c>
      <c r="BK40" s="160">
        <f>'Détail CF'!BD20</f>
        <v>0</v>
      </c>
      <c r="BL40" s="160">
        <f>'Détail CF'!BE20</f>
        <v>0</v>
      </c>
      <c r="BM40" s="160">
        <f>'Détail CF'!BF20</f>
        <v>0</v>
      </c>
      <c r="BN40" s="160">
        <f>'Détail CF'!BG20</f>
        <v>0</v>
      </c>
      <c r="BO40" s="160">
        <f>'Détail CF'!BH20</f>
        <v>0</v>
      </c>
      <c r="BP40" s="160">
        <f>'Détail CF'!BI20</f>
        <v>0</v>
      </c>
      <c r="BQ40" s="160">
        <f>'Détail CF'!BJ20</f>
        <v>0</v>
      </c>
      <c r="BR40" s="160">
        <f>'Détail CF'!BK20</f>
        <v>0</v>
      </c>
      <c r="BS40" s="160">
        <f>'Détail CF'!BL20</f>
        <v>0</v>
      </c>
      <c r="BT40" s="160">
        <f>'Détail CF'!BM20</f>
        <v>0</v>
      </c>
      <c r="BU40" s="160">
        <f>'Détail CF'!BN20</f>
        <v>0</v>
      </c>
      <c r="BV40" s="160">
        <f>'Détail CF'!BO20</f>
        <v>0</v>
      </c>
      <c r="BW40" s="160">
        <f>'Détail CF'!BP20</f>
        <v>0</v>
      </c>
      <c r="BX40" s="160">
        <f>'Détail CF'!BQ20</f>
        <v>0</v>
      </c>
      <c r="BY40" s="160">
        <f>'Détail CF'!BR20</f>
        <v>0</v>
      </c>
      <c r="BZ40" s="160">
        <f>'Détail CF'!BS20</f>
        <v>0</v>
      </c>
      <c r="CA40" s="160">
        <f>'Détail CF'!BT20</f>
        <v>0</v>
      </c>
      <c r="CB40" s="160">
        <f>'Détail CF'!BU20</f>
        <v>0</v>
      </c>
      <c r="CC40" s="160">
        <f>'Détail CF'!BV20</f>
        <v>0</v>
      </c>
      <c r="CD40" s="160">
        <f>'Détail CF'!BW20</f>
        <v>0</v>
      </c>
      <c r="CE40" s="160">
        <f>'Détail CF'!BX20</f>
        <v>0</v>
      </c>
      <c r="CF40" s="160">
        <f>'Détail CF'!BY20</f>
        <v>0</v>
      </c>
      <c r="CG40" s="160">
        <f>'Détail CF'!BZ20</f>
        <v>0</v>
      </c>
      <c r="CH40" s="160">
        <f>'Détail CF'!CA20</f>
        <v>0</v>
      </c>
      <c r="CI40" s="160">
        <f>'Détail CF'!CB20</f>
        <v>0</v>
      </c>
      <c r="CJ40" s="160">
        <f>'Détail CF'!CC20</f>
        <v>0</v>
      </c>
      <c r="CK40" s="160">
        <f>'Détail CF'!CD20</f>
        <v>0</v>
      </c>
      <c r="CL40" s="160">
        <f>'Détail CF'!CE20</f>
        <v>0</v>
      </c>
    </row>
    <row r="41" spans="1:90">
      <c r="B41" s="12" t="s">
        <v>258</v>
      </c>
      <c r="F41" s="160">
        <f xml:space="preserve"> +AD41</f>
        <v>0</v>
      </c>
      <c r="G41" s="160">
        <f>+AD41</f>
        <v>0</v>
      </c>
      <c r="H41" s="160">
        <f>+AP41</f>
        <v>0</v>
      </c>
      <c r="I41" s="160">
        <f xml:space="preserve"> +BB41</f>
        <v>0</v>
      </c>
      <c r="J41" s="160">
        <f>+BN41</f>
        <v>0</v>
      </c>
      <c r="K41" s="160">
        <f>+BZ41</f>
        <v>0</v>
      </c>
      <c r="M41" s="167">
        <v>0</v>
      </c>
      <c r="N41" s="167">
        <v>0</v>
      </c>
      <c r="O41" s="167">
        <v>0</v>
      </c>
      <c r="P41" s="167">
        <v>0</v>
      </c>
      <c r="Q41" s="167">
        <v>0</v>
      </c>
      <c r="R41" s="167">
        <v>0</v>
      </c>
      <c r="S41" s="167">
        <v>0</v>
      </c>
      <c r="T41" s="167">
        <v>0</v>
      </c>
      <c r="U41" s="167">
        <v>0</v>
      </c>
      <c r="V41" s="167">
        <v>0</v>
      </c>
      <c r="W41" s="167">
        <v>0</v>
      </c>
      <c r="X41" s="167">
        <v>0</v>
      </c>
      <c r="Y41" s="167">
        <v>0</v>
      </c>
      <c r="Z41" s="167">
        <v>0</v>
      </c>
      <c r="AA41" s="259">
        <v>0</v>
      </c>
      <c r="AB41" s="259">
        <v>0</v>
      </c>
      <c r="AC41" s="259">
        <v>0</v>
      </c>
      <c r="AD41" s="259">
        <v>0</v>
      </c>
      <c r="AE41" s="259">
        <v>0</v>
      </c>
      <c r="AF41" s="259">
        <v>0</v>
      </c>
      <c r="AG41" s="259">
        <v>0</v>
      </c>
      <c r="AH41" s="259">
        <v>0</v>
      </c>
      <c r="AI41" s="259">
        <v>0</v>
      </c>
      <c r="AJ41" s="259">
        <v>0</v>
      </c>
      <c r="AK41" s="259">
        <v>0</v>
      </c>
      <c r="AL41" s="259">
        <v>0</v>
      </c>
      <c r="AM41" s="259">
        <v>0</v>
      </c>
      <c r="AN41" s="259">
        <v>0</v>
      </c>
      <c r="AO41" s="259">
        <v>0</v>
      </c>
      <c r="AP41" s="259">
        <v>0</v>
      </c>
      <c r="AQ41" s="259">
        <v>0</v>
      </c>
      <c r="AR41" s="259">
        <v>0</v>
      </c>
      <c r="AS41" s="259">
        <v>0</v>
      </c>
      <c r="AT41" s="259">
        <v>0</v>
      </c>
      <c r="AU41" s="259">
        <v>0</v>
      </c>
      <c r="AV41" s="259">
        <v>0</v>
      </c>
      <c r="AW41" s="259">
        <v>0</v>
      </c>
      <c r="AX41" s="259">
        <v>0</v>
      </c>
      <c r="AY41" s="259">
        <v>0</v>
      </c>
      <c r="AZ41" s="259">
        <v>0</v>
      </c>
      <c r="BA41" s="259">
        <v>0</v>
      </c>
      <c r="BB41" s="259">
        <v>0</v>
      </c>
      <c r="BC41" s="259">
        <v>0</v>
      </c>
      <c r="BD41" s="259">
        <v>0</v>
      </c>
      <c r="BE41" s="259">
        <v>0</v>
      </c>
      <c r="BF41" s="259">
        <v>0</v>
      </c>
      <c r="BG41" s="259">
        <v>0</v>
      </c>
      <c r="BH41" s="259">
        <v>0</v>
      </c>
      <c r="BI41" s="259">
        <v>0</v>
      </c>
      <c r="BJ41" s="259">
        <v>0</v>
      </c>
      <c r="BK41" s="259">
        <v>0</v>
      </c>
      <c r="BL41" s="259">
        <v>0</v>
      </c>
      <c r="BM41" s="259">
        <v>0</v>
      </c>
      <c r="BN41" s="259">
        <v>0</v>
      </c>
      <c r="BO41" s="259">
        <v>0</v>
      </c>
      <c r="BP41" s="259">
        <v>0</v>
      </c>
      <c r="BQ41" s="259">
        <v>0</v>
      </c>
      <c r="BR41" s="259">
        <v>0</v>
      </c>
      <c r="BS41" s="259">
        <v>0</v>
      </c>
      <c r="BT41" s="259">
        <v>0</v>
      </c>
      <c r="BU41" s="259">
        <v>0</v>
      </c>
      <c r="BV41" s="259">
        <v>0</v>
      </c>
      <c r="BW41" s="259">
        <v>0</v>
      </c>
      <c r="BX41" s="259">
        <v>0</v>
      </c>
      <c r="BY41" s="259">
        <v>0</v>
      </c>
      <c r="BZ41" s="259">
        <v>0</v>
      </c>
      <c r="CA41" s="259">
        <v>0</v>
      </c>
      <c r="CB41" s="259">
        <v>0</v>
      </c>
      <c r="CC41" s="259">
        <v>0</v>
      </c>
      <c r="CD41" s="259">
        <v>0</v>
      </c>
      <c r="CE41" s="259">
        <v>0</v>
      </c>
      <c r="CF41" s="259">
        <v>0</v>
      </c>
      <c r="CG41" s="259">
        <v>0</v>
      </c>
      <c r="CH41" s="259">
        <v>0</v>
      </c>
      <c r="CI41" s="259">
        <v>0</v>
      </c>
      <c r="CJ41" s="259">
        <v>0</v>
      </c>
      <c r="CK41" s="259">
        <v>0</v>
      </c>
      <c r="CL41" s="259">
        <v>0</v>
      </c>
    </row>
    <row r="42" spans="1:90">
      <c r="F42" s="102"/>
      <c r="G42" s="102"/>
      <c r="H42" s="102"/>
      <c r="I42" s="102"/>
      <c r="J42" s="102"/>
      <c r="K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</row>
    <row r="43" spans="1:90">
      <c r="A43" s="111" t="s">
        <v>259</v>
      </c>
      <c r="B43" s="120"/>
      <c r="C43" s="120"/>
      <c r="D43" s="120"/>
      <c r="E43" s="120"/>
      <c r="F43" s="165">
        <f t="shared" ref="F43:K43" si="40">SUM(F31:F42)</f>
        <v>693583.1333333333</v>
      </c>
      <c r="G43" s="165">
        <f t="shared" si="40"/>
        <v>693583.1333333333</v>
      </c>
      <c r="H43" s="165">
        <f t="shared" si="40"/>
        <v>1215337.1167596341</v>
      </c>
      <c r="I43" s="165">
        <f t="shared" si="40"/>
        <v>335979.78441787529</v>
      </c>
      <c r="J43" s="165">
        <f t="shared" si="40"/>
        <v>289499.76791944634</v>
      </c>
      <c r="K43" s="165">
        <f t="shared" si="40"/>
        <v>1619260.7591048644</v>
      </c>
      <c r="M43" s="165">
        <f>SUM(M31:M42)</f>
        <v>0</v>
      </c>
      <c r="N43" s="165">
        <f>SUM(N31:N42)</f>
        <v>0</v>
      </c>
      <c r="O43" s="165">
        <f>SUM(O31:O42)</f>
        <v>0</v>
      </c>
      <c r="P43" s="165">
        <f t="shared" ref="P43:BH43" si="41">SUM(P31:P42)</f>
        <v>0</v>
      </c>
      <c r="Q43" s="165">
        <f t="shared" si="41"/>
        <v>0</v>
      </c>
      <c r="R43" s="165">
        <f t="shared" si="41"/>
        <v>0</v>
      </c>
      <c r="S43" s="165">
        <f t="shared" si="41"/>
        <v>0</v>
      </c>
      <c r="T43" s="165">
        <f t="shared" si="41"/>
        <v>0</v>
      </c>
      <c r="U43" s="165">
        <f t="shared" si="41"/>
        <v>0</v>
      </c>
      <c r="V43" s="165">
        <f t="shared" si="41"/>
        <v>0</v>
      </c>
      <c r="W43" s="165">
        <f t="shared" si="41"/>
        <v>0</v>
      </c>
      <c r="X43" s="165">
        <f t="shared" si="41"/>
        <v>0</v>
      </c>
      <c r="Y43" s="165">
        <f t="shared" si="41"/>
        <v>0</v>
      </c>
      <c r="Z43" s="165">
        <f t="shared" si="41"/>
        <v>0</v>
      </c>
      <c r="AA43" s="165">
        <f t="shared" si="41"/>
        <v>68.599999999999909</v>
      </c>
      <c r="AB43" s="165">
        <f t="shared" si="41"/>
        <v>137.19999999999982</v>
      </c>
      <c r="AC43" s="165">
        <f t="shared" si="41"/>
        <v>205.79999999999995</v>
      </c>
      <c r="AD43" s="165">
        <f t="shared" si="41"/>
        <v>693583.1333333333</v>
      </c>
      <c r="AE43" s="165">
        <f t="shared" si="41"/>
        <v>626115.03257614595</v>
      </c>
      <c r="AF43" s="165">
        <f t="shared" si="41"/>
        <v>610083.68880610715</v>
      </c>
      <c r="AG43" s="165">
        <f t="shared" si="41"/>
        <v>594054.27802321664</v>
      </c>
      <c r="AH43" s="165">
        <f t="shared" si="41"/>
        <v>977969.96802747517</v>
      </c>
      <c r="AI43" s="165">
        <f t="shared" si="41"/>
        <v>961752.48121888202</v>
      </c>
      <c r="AJ43" s="165">
        <f t="shared" si="41"/>
        <v>945436.23139743751</v>
      </c>
      <c r="AK43" s="165">
        <f t="shared" si="41"/>
        <v>928495.18016314169</v>
      </c>
      <c r="AL43" s="165">
        <f t="shared" si="41"/>
        <v>912019.95111599436</v>
      </c>
      <c r="AM43" s="165">
        <f t="shared" si="41"/>
        <v>1299900.4155226622</v>
      </c>
      <c r="AN43" s="165">
        <f t="shared" si="41"/>
        <v>1271827.7574975821</v>
      </c>
      <c r="AO43" s="165">
        <f t="shared" si="41"/>
        <v>1245262.2442432395</v>
      </c>
      <c r="AP43" s="165">
        <f t="shared" si="41"/>
        <v>1215337.1167596341</v>
      </c>
      <c r="AQ43" s="165">
        <f t="shared" si="41"/>
        <v>1175661.3118467659</v>
      </c>
      <c r="AR43" s="165">
        <f t="shared" si="41"/>
        <v>1135966.4971046352</v>
      </c>
      <c r="AS43" s="165">
        <f t="shared" si="41"/>
        <v>1072504.193133242</v>
      </c>
      <c r="AT43" s="165">
        <f t="shared" si="41"/>
        <v>1008828.2269325859</v>
      </c>
      <c r="AU43" s="165">
        <f t="shared" si="41"/>
        <v>927836.83616933424</v>
      </c>
      <c r="AV43" s="165">
        <f t="shared" si="41"/>
        <v>811711.96017681947</v>
      </c>
      <c r="AW43" s="165">
        <f t="shared" si="41"/>
        <v>744499.96682129242</v>
      </c>
      <c r="AX43" s="165">
        <f t="shared" si="41"/>
        <v>624749.85798606183</v>
      </c>
      <c r="AY43" s="165">
        <f t="shared" si="41"/>
        <v>515684.86074733571</v>
      </c>
      <c r="AZ43" s="165">
        <f t="shared" si="41"/>
        <v>408115.80959261354</v>
      </c>
      <c r="BA43" s="165">
        <f t="shared" si="41"/>
        <v>327785.15301333362</v>
      </c>
      <c r="BB43" s="165">
        <f t="shared" si="41"/>
        <v>335979.78441787529</v>
      </c>
      <c r="BC43" s="165">
        <f t="shared" si="41"/>
        <v>315143.63943066698</v>
      </c>
      <c r="BD43" s="165">
        <f t="shared" si="41"/>
        <v>322402.07016666653</v>
      </c>
      <c r="BE43" s="165">
        <f t="shared" si="41"/>
        <v>326451.32974079158</v>
      </c>
      <c r="BF43" s="165">
        <f t="shared" si="41"/>
        <v>289821.79023441655</v>
      </c>
      <c r="BG43" s="165">
        <f t="shared" si="41"/>
        <v>292656.73172343732</v>
      </c>
      <c r="BH43" s="165">
        <f t="shared" si="41"/>
        <v>289577.49780297902</v>
      </c>
      <c r="BI43" s="165">
        <f t="shared" ref="BI43:BT43" si="42">SUM(BI31:BI42)</f>
        <v>266888.75588258647</v>
      </c>
      <c r="BJ43" s="165">
        <f t="shared" si="42"/>
        <v>265756.8539957332</v>
      </c>
      <c r="BK43" s="165">
        <f t="shared" si="42"/>
        <v>283382.05894902151</v>
      </c>
      <c r="BL43" s="165">
        <f t="shared" si="42"/>
        <v>255371.90891805314</v>
      </c>
      <c r="BM43" s="165">
        <f t="shared" si="42"/>
        <v>273278.72042409983</v>
      </c>
      <c r="BN43" s="165">
        <f t="shared" si="42"/>
        <v>289499.76791944634</v>
      </c>
      <c r="BO43" s="165">
        <f t="shared" si="42"/>
        <v>254639.10245405321</v>
      </c>
      <c r="BP43" s="165">
        <f t="shared" si="42"/>
        <v>269942.5277898332</v>
      </c>
      <c r="BQ43" s="165">
        <f t="shared" si="42"/>
        <v>368771.9716625344</v>
      </c>
      <c r="BR43" s="165">
        <f t="shared" si="42"/>
        <v>495943.94155308942</v>
      </c>
      <c r="BS43" s="165">
        <f t="shared" si="42"/>
        <v>631420.00260455557</v>
      </c>
      <c r="BT43" s="165">
        <f t="shared" si="42"/>
        <v>713599.06006860104</v>
      </c>
      <c r="BU43" s="165">
        <f t="shared" ref="BU43:BZ43" si="43">SUM(BU31:BU42)</f>
        <v>856487.50295519945</v>
      </c>
      <c r="BV43" s="165">
        <f t="shared" si="43"/>
        <v>1007450.2510523769</v>
      </c>
      <c r="BW43" s="165">
        <f t="shared" si="43"/>
        <v>1166487.3043601308</v>
      </c>
      <c r="BX43" s="165">
        <f t="shared" si="43"/>
        <v>1333598.662878464</v>
      </c>
      <c r="BY43" s="165">
        <f t="shared" si="43"/>
        <v>1508784.3266073749</v>
      </c>
      <c r="BZ43" s="165">
        <f t="shared" si="43"/>
        <v>1619260.7591048644</v>
      </c>
      <c r="CA43" s="165">
        <f t="shared" ref="CA43:CL43" si="44">SUM(CA31:CA42)</f>
        <v>1764208.9017883325</v>
      </c>
      <c r="CB43" s="165">
        <f t="shared" si="44"/>
        <v>1963161.1370594401</v>
      </c>
      <c r="CC43" s="165">
        <f t="shared" si="44"/>
        <v>2165536.3664545473</v>
      </c>
      <c r="CD43" s="165">
        <f t="shared" si="44"/>
        <v>2370244.6886936584</v>
      </c>
      <c r="CE43" s="165">
        <f t="shared" si="44"/>
        <v>2578860.5448167655</v>
      </c>
      <c r="CF43" s="165">
        <f t="shared" si="44"/>
        <v>2708993.9631238966</v>
      </c>
      <c r="CG43" s="165">
        <f t="shared" si="44"/>
        <v>2921667.5219696844</v>
      </c>
      <c r="CH43" s="165">
        <f t="shared" si="44"/>
        <v>3138342.307922639</v>
      </c>
      <c r="CI43" s="165">
        <f t="shared" si="44"/>
        <v>3359158.8608176117</v>
      </c>
      <c r="CJ43" s="165">
        <f t="shared" si="44"/>
        <v>3581660.2316945856</v>
      </c>
      <c r="CK43" s="165">
        <f t="shared" si="44"/>
        <v>3805503.3421535697</v>
      </c>
      <c r="CL43" s="165">
        <f t="shared" si="44"/>
        <v>3944856.0151345562</v>
      </c>
    </row>
    <row r="44" spans="1:90">
      <c r="F44" s="102"/>
      <c r="G44" s="102"/>
      <c r="H44" s="102"/>
      <c r="I44" s="102"/>
      <c r="J44" s="102"/>
      <c r="K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</row>
    <row r="45" spans="1:90">
      <c r="F45" s="102"/>
      <c r="G45" s="102"/>
      <c r="H45" s="102"/>
      <c r="I45" s="102"/>
      <c r="J45" s="102"/>
      <c r="K45" s="102"/>
      <c r="M45" s="102"/>
      <c r="N45" s="102"/>
      <c r="O45" s="102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</row>
    <row r="46" spans="1:90">
      <c r="F46" s="15"/>
      <c r="G46" s="15"/>
      <c r="H46" s="15"/>
      <c r="I46" s="15"/>
      <c r="J46" s="15"/>
      <c r="K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</row>
    <row r="47" spans="1:90">
      <c r="F47" s="15"/>
      <c r="G47" s="15"/>
      <c r="H47" s="15"/>
      <c r="I47" s="15"/>
      <c r="J47" s="15"/>
      <c r="K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</row>
  </sheetData>
  <phoneticPr fontId="0" type="noConversion"/>
  <pageMargins left="0.78740157480314965" right="0.16" top="0.98425196850393704" bottom="0.98425196850393704" header="0.51181102362204722" footer="0.51181102362204722"/>
  <pageSetup paperSize="9" scale="86" orientation="portrait" horizontalDpi="4294967293" verticalDpi="300" r:id="rId1"/>
  <headerFooter alignWithMargins="0">
    <oddHeader>&amp;F</oddHeader>
  </headerFooter>
  <colBreaks count="2" manualBreakCount="2">
    <brk id="11" max="1048575" man="1"/>
    <brk id="4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Q73"/>
  <sheetViews>
    <sheetView tabSelected="1" workbookViewId="0">
      <selection activeCell="Q5" sqref="Q5"/>
    </sheetView>
  </sheetViews>
  <sheetFormatPr baseColWidth="10" defaultColWidth="7.5703125" defaultRowHeight="12.75"/>
  <cols>
    <col min="1" max="1" width="15.7109375" customWidth="1"/>
    <col min="2" max="2" width="4.5703125" customWidth="1"/>
    <col min="3" max="3" width="6.42578125" customWidth="1"/>
    <col min="4" max="9" width="6.140625" customWidth="1"/>
    <col min="10" max="10" width="7.5703125" customWidth="1"/>
    <col min="11" max="11" width="11.5703125" customWidth="1"/>
  </cols>
  <sheetData>
    <row r="1" spans="1:17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7">
      <c r="A2" s="12" t="s">
        <v>429</v>
      </c>
      <c r="H2" s="370" t="s">
        <v>505</v>
      </c>
      <c r="I2" s="371"/>
    </row>
    <row r="3" spans="1:17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7">
      <c r="A4" s="309" t="s">
        <v>430</v>
      </c>
      <c r="B4" s="309"/>
      <c r="C4" s="309">
        <v>2009</v>
      </c>
      <c r="D4" s="309">
        <v>2010</v>
      </c>
      <c r="E4" s="309">
        <f>+D4+1</f>
        <v>2011</v>
      </c>
      <c r="F4" s="309">
        <f>+E4+1</f>
        <v>2012</v>
      </c>
      <c r="G4" s="309">
        <f>+F4+1</f>
        <v>2013</v>
      </c>
      <c r="H4" s="309">
        <f>+G4+1</f>
        <v>2014</v>
      </c>
      <c r="I4" s="309">
        <f>+H4+1</f>
        <v>2015</v>
      </c>
    </row>
    <row r="5" spans="1:17">
      <c r="A5" s="310" t="s">
        <v>434</v>
      </c>
      <c r="B5" s="310"/>
      <c r="C5" s="326"/>
      <c r="D5" s="313"/>
      <c r="E5" s="313">
        <f>'P&amp;L Year'!J9/1000</f>
        <v>382.72500000000002</v>
      </c>
      <c r="F5" s="313">
        <f>+'P&amp;L Year'!L9/1000</f>
        <v>2461.11</v>
      </c>
      <c r="G5" s="313">
        <f>+'P&amp;L Year'!N9/1000</f>
        <v>5262.02</v>
      </c>
      <c r="H5" s="313">
        <f>+'P&amp;L Year'!P9/1000</f>
        <v>6515.7439999999997</v>
      </c>
      <c r="I5" s="313">
        <f t="shared" ref="I5:I11" si="0">H5</f>
        <v>6515.7439999999997</v>
      </c>
      <c r="K5" s="372" t="s">
        <v>550</v>
      </c>
      <c r="L5" s="372"/>
      <c r="M5" s="372"/>
      <c r="N5" s="372"/>
      <c r="O5" s="372"/>
      <c r="P5" s="372"/>
    </row>
    <row r="6" spans="1:17">
      <c r="A6" s="310" t="s">
        <v>436</v>
      </c>
      <c r="B6" s="314"/>
      <c r="C6" s="338"/>
      <c r="D6" s="313"/>
      <c r="E6" s="313">
        <f>'P&amp;L Year'!J10/1000</f>
        <v>26.790750000000003</v>
      </c>
      <c r="F6" s="313">
        <f>+'P&amp;L Year'!L10/1000</f>
        <v>172.27770000000001</v>
      </c>
      <c r="G6" s="313">
        <f>+'P&amp;L Year'!N10/1000</f>
        <v>368.34140000000002</v>
      </c>
      <c r="H6" s="313">
        <f>+'P&amp;L Year'!P10/1000</f>
        <v>456.10208000000006</v>
      </c>
      <c r="I6" s="313">
        <f t="shared" si="0"/>
        <v>456.10208000000006</v>
      </c>
      <c r="K6" s="310"/>
      <c r="L6" s="311" t="s">
        <v>431</v>
      </c>
      <c r="M6" s="311" t="s">
        <v>432</v>
      </c>
      <c r="N6" s="311" t="s">
        <v>433</v>
      </c>
      <c r="O6" s="312" t="s">
        <v>336</v>
      </c>
      <c r="P6" s="311" t="s">
        <v>292</v>
      </c>
    </row>
    <row r="7" spans="1:17">
      <c r="A7" s="309" t="s">
        <v>437</v>
      </c>
      <c r="B7" s="309"/>
      <c r="C7" s="339"/>
      <c r="D7" s="317">
        <v>0</v>
      </c>
      <c r="E7" s="317">
        <f>+E6+E5</f>
        <v>409.51575000000003</v>
      </c>
      <c r="F7" s="317">
        <f>+F6+F5</f>
        <v>2633.3877000000002</v>
      </c>
      <c r="G7" s="317">
        <f>+G6+G5</f>
        <v>5630.3614000000007</v>
      </c>
      <c r="H7" s="317">
        <f>+H6+H5</f>
        <v>6971.8460799999993</v>
      </c>
      <c r="I7" s="317">
        <f t="shared" si="0"/>
        <v>6971.8460799999993</v>
      </c>
      <c r="K7" s="309" t="s">
        <v>435</v>
      </c>
      <c r="L7" s="313">
        <f>H20</f>
        <v>2318.5541496133255</v>
      </c>
      <c r="M7" s="310">
        <v>6</v>
      </c>
      <c r="N7" s="313">
        <f>L7*M7+I49-I29-I28</f>
        <v>18831.946329350885</v>
      </c>
      <c r="O7" s="314">
        <v>0.55000000000000004</v>
      </c>
      <c r="P7" s="313">
        <f>O7*N7</f>
        <v>10357.570481142988</v>
      </c>
    </row>
    <row r="8" spans="1:17">
      <c r="A8" s="310" t="s">
        <v>439</v>
      </c>
      <c r="B8" s="310"/>
      <c r="C8" s="326"/>
      <c r="D8" s="313"/>
      <c r="E8" s="313">
        <f>+'P&amp;L Year'!J27/1000+'P&amp;L Year'!J29/1000</f>
        <v>195.33575000000002</v>
      </c>
      <c r="F8" s="313">
        <f>+'P&amp;L Year'!L27/1000+'P&amp;L Year'!L29/1000</f>
        <v>720.49970000000008</v>
      </c>
      <c r="G8" s="313">
        <f>+'P&amp;L Year'!N27/1000+'P&amp;L Year'!N29/1000</f>
        <v>1420.7454000000005</v>
      </c>
      <c r="H8" s="313">
        <f>+'P&amp;L Year'!P27/1000+'P&amp;L Year'!P29/1000</f>
        <v>1759.2508800000003</v>
      </c>
      <c r="I8" s="313">
        <f t="shared" si="0"/>
        <v>1759.2508800000003</v>
      </c>
      <c r="K8" s="315"/>
      <c r="L8" s="134"/>
      <c r="M8" s="108"/>
      <c r="N8" s="134"/>
      <c r="O8" s="316"/>
      <c r="P8" s="134"/>
    </row>
    <row r="9" spans="1:17">
      <c r="A9" s="309" t="s">
        <v>441</v>
      </c>
      <c r="B9" s="309"/>
      <c r="C9" s="339"/>
      <c r="D9" s="317">
        <v>0</v>
      </c>
      <c r="E9" s="317">
        <f>E7-E8</f>
        <v>214.18</v>
      </c>
      <c r="F9" s="317">
        <f>F7-F8</f>
        <v>1912.8880000000001</v>
      </c>
      <c r="G9" s="317">
        <f>G7-G8</f>
        <v>4209.616</v>
      </c>
      <c r="H9" s="317">
        <f>H7-H8</f>
        <v>5212.5951999999988</v>
      </c>
      <c r="I9" s="317">
        <f t="shared" si="0"/>
        <v>5212.5951999999988</v>
      </c>
      <c r="K9" s="309" t="s">
        <v>438</v>
      </c>
      <c r="L9" s="309">
        <v>2008</v>
      </c>
      <c r="M9" s="309">
        <f>L9+1</f>
        <v>2009</v>
      </c>
      <c r="N9" s="309">
        <f>M9+1</f>
        <v>2010</v>
      </c>
      <c r="O9" s="309">
        <f>N9+1</f>
        <v>2011</v>
      </c>
      <c r="P9" s="309">
        <f>O9+1</f>
        <v>2012</v>
      </c>
      <c r="Q9" s="309">
        <f>P9+1</f>
        <v>2013</v>
      </c>
    </row>
    <row r="10" spans="1:17">
      <c r="A10" s="309" t="s">
        <v>443</v>
      </c>
      <c r="B10" s="309"/>
      <c r="C10" s="339"/>
      <c r="D10" s="318"/>
      <c r="E10" s="318">
        <f>E9/E7</f>
        <v>0.52300796733703159</v>
      </c>
      <c r="F10" s="318">
        <f>F9/F7</f>
        <v>0.72639816765301968</v>
      </c>
      <c r="G10" s="318">
        <f>G9/G7</f>
        <v>0.74766355140186902</v>
      </c>
      <c r="H10" s="318">
        <f>H9/H7</f>
        <v>0.74766355140186902</v>
      </c>
      <c r="I10" s="318">
        <f t="shared" si="0"/>
        <v>0.74766355140186902</v>
      </c>
      <c r="K10" s="310" t="s">
        <v>440</v>
      </c>
      <c r="L10" s="313">
        <v>-400</v>
      </c>
      <c r="M10" s="310"/>
      <c r="N10" s="310"/>
      <c r="O10" s="310"/>
      <c r="P10" s="310"/>
      <c r="Q10" s="310"/>
    </row>
    <row r="11" spans="1:17">
      <c r="A11" s="310" t="s">
        <v>444</v>
      </c>
      <c r="B11" s="310"/>
      <c r="C11" s="326"/>
      <c r="D11" s="313"/>
      <c r="E11" s="313">
        <f>'P&amp;L Year'!J46/1000</f>
        <v>450</v>
      </c>
      <c r="F11" s="313">
        <f>+'P&amp;L Year'!L46/1000</f>
        <v>600</v>
      </c>
      <c r="G11" s="313">
        <f>+'P&amp;L Year'!N46/1000</f>
        <v>600</v>
      </c>
      <c r="H11" s="313">
        <f>+'P&amp;L Year'!P46/1000</f>
        <v>600</v>
      </c>
      <c r="I11" s="313">
        <f t="shared" si="0"/>
        <v>600</v>
      </c>
      <c r="K11" s="310" t="s">
        <v>442</v>
      </c>
      <c r="L11" s="310"/>
      <c r="M11" s="310"/>
      <c r="N11" s="310"/>
      <c r="O11" s="310"/>
      <c r="P11" s="310"/>
      <c r="Q11" s="313">
        <f>P7</f>
        <v>10357.570481142988</v>
      </c>
    </row>
    <row r="12" spans="1:17" ht="13.5" thickBot="1">
      <c r="A12" s="310" t="s">
        <v>446</v>
      </c>
      <c r="B12" s="310"/>
      <c r="C12" s="326"/>
      <c r="D12" s="313">
        <f>+'P&amp;L Year'!I28/1000</f>
        <v>7.95</v>
      </c>
      <c r="E12" s="313">
        <f>+'P&amp;L Year'!J28/1000</f>
        <v>35.75</v>
      </c>
      <c r="F12" s="313">
        <f>+'P&amp;L Year'!L28/1000</f>
        <v>65.405000000000001</v>
      </c>
      <c r="G12" s="313">
        <f>+'P&amp;L Year'!N28/1000</f>
        <v>78.44</v>
      </c>
      <c r="H12" s="313">
        <f>+'P&amp;L Year'!P28/1000</f>
        <v>82.5</v>
      </c>
      <c r="I12" s="313">
        <f t="shared" ref="I12:I19" si="1">H12</f>
        <v>82.5</v>
      </c>
      <c r="K12" s="319" t="s">
        <v>1</v>
      </c>
      <c r="L12" s="320">
        <f t="shared" ref="L12:Q12" si="2">L11+L10</f>
        <v>-400</v>
      </c>
      <c r="M12" s="313">
        <f t="shared" si="2"/>
        <v>0</v>
      </c>
      <c r="N12" s="313">
        <f t="shared" si="2"/>
        <v>0</v>
      </c>
      <c r="O12" s="313">
        <f t="shared" si="2"/>
        <v>0</v>
      </c>
      <c r="P12" s="313">
        <f t="shared" si="2"/>
        <v>0</v>
      </c>
      <c r="Q12" s="313">
        <f t="shared" si="2"/>
        <v>10357.570481142988</v>
      </c>
    </row>
    <row r="13" spans="1:17" ht="13.5" thickBot="1">
      <c r="A13" s="310" t="s">
        <v>504</v>
      </c>
      <c r="B13" s="310"/>
      <c r="C13" s="326"/>
      <c r="D13" s="313">
        <f>+'P&amp;L Year'!I34/1000+'P&amp;L Year'!I30/1000</f>
        <v>23.44595</v>
      </c>
      <c r="E13" s="313">
        <f>'P&amp;L Year'!J34/1000+'P&amp;L Year'!J30/1000-E11</f>
        <v>72.274749999999926</v>
      </c>
      <c r="F13" s="313">
        <f>'P&amp;L Year'!L34/1000+'P&amp;L Year'!L30/1000-F11</f>
        <v>111.072765</v>
      </c>
      <c r="G13" s="313">
        <f>'P&amp;L Year'!N34/1000+'P&amp;L Year'!N30/1000-G11</f>
        <v>124.17971999999997</v>
      </c>
      <c r="H13" s="313">
        <f>'P&amp;L Year'!P34/1000+'P&amp;L Year'!P30/1000-H11</f>
        <v>125.74649999999997</v>
      </c>
      <c r="I13" s="313">
        <f t="shared" si="1"/>
        <v>125.74649999999997</v>
      </c>
      <c r="K13" s="321" t="s">
        <v>445</v>
      </c>
      <c r="L13" s="322">
        <f>IRR(L12:Q12)</f>
        <v>0.91707710764004335</v>
      </c>
      <c r="M13" s="323"/>
      <c r="N13" s="310"/>
      <c r="O13" s="310"/>
      <c r="P13" s="310"/>
      <c r="Q13" s="310"/>
    </row>
    <row r="14" spans="1:17">
      <c r="A14" s="310" t="s">
        <v>448</v>
      </c>
      <c r="B14" s="310"/>
      <c r="C14" s="326"/>
      <c r="D14" s="324">
        <f>+'P&amp;L Year'!I57/1000</f>
        <v>0</v>
      </c>
      <c r="E14" s="324">
        <f>+'P&amp;L Year'!J57/1000</f>
        <v>96.996324625000014</v>
      </c>
      <c r="F14" s="324">
        <f>+'P&amp;L Year'!L57/1000</f>
        <v>372.03834853000006</v>
      </c>
      <c r="G14" s="324">
        <f>+'P&amp;L Year'!N57/1000</f>
        <v>476.17812427799998</v>
      </c>
      <c r="H14" s="324">
        <f>+'P&amp;L Year'!P57/1000</f>
        <v>505.44668125914006</v>
      </c>
      <c r="I14" s="324">
        <f t="shared" si="1"/>
        <v>505.44668125914006</v>
      </c>
    </row>
    <row r="15" spans="1:17">
      <c r="A15" s="310" t="s">
        <v>449</v>
      </c>
      <c r="B15" s="310"/>
      <c r="C15" s="326"/>
      <c r="D15" s="324">
        <f>+'P&amp;L Year'!I58/1000</f>
        <v>27.295000000000002</v>
      </c>
      <c r="E15" s="324">
        <f>+'P&amp;L Year'!J58/1000</f>
        <v>187.34464</v>
      </c>
      <c r="F15" s="324">
        <f>+'P&amp;L Year'!L58/1000</f>
        <v>270.16030679999994</v>
      </c>
      <c r="G15" s="324">
        <f>+'P&amp;L Year'!N58/1000</f>
        <v>311.44030772400004</v>
      </c>
      <c r="H15" s="324">
        <f>+'P&amp;L Year'!P58/1000</f>
        <v>320.78351695572007</v>
      </c>
      <c r="I15" s="324">
        <f t="shared" si="1"/>
        <v>320.78351695572007</v>
      </c>
      <c r="K15" s="309" t="s">
        <v>447</v>
      </c>
      <c r="L15" s="309">
        <v>2008</v>
      </c>
      <c r="M15" s="309">
        <f>L15+1</f>
        <v>2009</v>
      </c>
      <c r="N15" s="309">
        <f>M15+1</f>
        <v>2010</v>
      </c>
      <c r="O15" s="309">
        <f>N15+1</f>
        <v>2011</v>
      </c>
      <c r="P15" s="309">
        <f>O15+1</f>
        <v>2012</v>
      </c>
      <c r="Q15" s="309">
        <f>P15+1</f>
        <v>2013</v>
      </c>
    </row>
    <row r="16" spans="1:17">
      <c r="A16" s="310" t="s">
        <v>450</v>
      </c>
      <c r="B16" s="310"/>
      <c r="C16" s="326"/>
      <c r="D16" s="324">
        <f>+'P&amp;L Year'!I56/1000</f>
        <v>54.315640000000016</v>
      </c>
      <c r="E16" s="324">
        <f>+'P&amp;L Year'!J56/1000</f>
        <v>213.80498886666666</v>
      </c>
      <c r="F16" s="324">
        <f>+'P&amp;L Year'!L56/1000</f>
        <v>278.25797197600002</v>
      </c>
      <c r="G16" s="324">
        <f>+'P&amp;L Year'!N56/1000</f>
        <v>382.28579237861339</v>
      </c>
      <c r="H16" s="324">
        <f>+'P&amp;L Year'!P56/1000</f>
        <v>442.93828439663844</v>
      </c>
      <c r="I16" s="324">
        <f t="shared" si="1"/>
        <v>442.93828439663844</v>
      </c>
      <c r="K16" s="310" t="s">
        <v>440</v>
      </c>
      <c r="L16" s="325"/>
      <c r="M16" s="326"/>
      <c r="N16" s="313">
        <f>-D27</f>
        <v>-1200</v>
      </c>
      <c r="O16" s="310"/>
      <c r="P16" s="310"/>
      <c r="Q16" s="310"/>
    </row>
    <row r="17" spans="1:17">
      <c r="A17" s="310" t="s">
        <v>547</v>
      </c>
      <c r="B17" s="314"/>
      <c r="C17" s="326"/>
      <c r="D17" s="324">
        <f>+'P&amp;L Year'!I61/1000</f>
        <v>6.9369044000000013</v>
      </c>
      <c r="E17" s="324">
        <f>+'P&amp;L Year'!J61/1000</f>
        <v>224.16567907125</v>
      </c>
      <c r="F17" s="324">
        <f>+'P&amp;L Year'!L61/1000</f>
        <v>414.20548228769997</v>
      </c>
      <c r="G17" s="324">
        <f>+'P&amp;L Year'!N61/1000</f>
        <v>526.4569009712759</v>
      </c>
      <c r="H17" s="324">
        <f>+'P&amp;L Year'!P61/1000</f>
        <v>571.12581717517435</v>
      </c>
      <c r="I17" s="324">
        <f t="shared" si="1"/>
        <v>571.12581717517435</v>
      </c>
      <c r="K17" s="310" t="s">
        <v>442</v>
      </c>
      <c r="L17" s="326"/>
      <c r="M17" s="326"/>
      <c r="N17" s="310"/>
      <c r="O17" s="310"/>
      <c r="P17" s="310"/>
      <c r="Q17" s="313">
        <f>N7-P7</f>
        <v>8474.3758482078974</v>
      </c>
    </row>
    <row r="18" spans="1:17" ht="13.5" thickBot="1">
      <c r="A18" s="310" t="s">
        <v>453</v>
      </c>
      <c r="B18" s="310"/>
      <c r="C18" s="326"/>
      <c r="D18" s="313">
        <f>+'P&amp;L Year'!I62/1000</f>
        <v>55.5</v>
      </c>
      <c r="E18" s="313">
        <f>'P&amp;L Year'!J62/1000</f>
        <v>60</v>
      </c>
      <c r="F18" s="313">
        <f>'P&amp;L Year'!L62/1000</f>
        <v>70.5</v>
      </c>
      <c r="G18" s="313">
        <f>'P&amp;L Year'!N62/1000</f>
        <v>75</v>
      </c>
      <c r="H18" s="313">
        <f>'P&amp;L Year'!P62/1000</f>
        <v>75</v>
      </c>
      <c r="I18" s="313">
        <f t="shared" si="1"/>
        <v>75</v>
      </c>
      <c r="K18" s="319" t="s">
        <v>1</v>
      </c>
      <c r="L18" s="325"/>
      <c r="M18" s="325"/>
      <c r="N18" s="320">
        <f>N17+N16</f>
        <v>-1200</v>
      </c>
      <c r="O18" s="313">
        <f>O17+O16</f>
        <v>0</v>
      </c>
      <c r="P18" s="313">
        <f>P17+P16</f>
        <v>0</v>
      </c>
      <c r="Q18" s="313">
        <f>Q17+Q16</f>
        <v>8474.3758482078974</v>
      </c>
    </row>
    <row r="19" spans="1:17" ht="13.5" thickBot="1">
      <c r="A19" s="310" t="s">
        <v>454</v>
      </c>
      <c r="B19" s="310"/>
      <c r="C19" s="326"/>
      <c r="D19" s="313">
        <f>+'P&amp;L Year'!I47/1000</f>
        <v>0</v>
      </c>
      <c r="E19" s="313">
        <f>+'P&amp;L Year'!J47/1000</f>
        <v>0.13585</v>
      </c>
      <c r="F19" s="313">
        <f>+'P&amp;L Year'!L47/1000</f>
        <v>45.668978929999994</v>
      </c>
      <c r="G19" s="313">
        <f>+'P&amp;L Year'!N47/1000</f>
        <v>132.44657863999996</v>
      </c>
      <c r="H19" s="313">
        <f>+'P&amp;L Year'!P47/1000</f>
        <v>170.50025059999999</v>
      </c>
      <c r="I19" s="313">
        <f t="shared" si="1"/>
        <v>170.50025059999999</v>
      </c>
      <c r="K19" s="321" t="s">
        <v>451</v>
      </c>
      <c r="L19" s="327" t="s">
        <v>452</v>
      </c>
      <c r="M19" s="328"/>
      <c r="N19" s="329">
        <f>IRR(N18:Q18)</f>
        <v>0.91856046914196177</v>
      </c>
      <c r="O19" s="323"/>
      <c r="P19" s="310"/>
      <c r="Q19" s="310"/>
    </row>
    <row r="20" spans="1:17">
      <c r="A20" s="309" t="s">
        <v>455</v>
      </c>
      <c r="B20" s="309"/>
      <c r="C20" s="339"/>
      <c r="D20" s="317">
        <f t="shared" ref="D20:I20" si="3">+D9-SUM(D11:D19)</f>
        <v>-175.44349440000002</v>
      </c>
      <c r="E20" s="317">
        <f t="shared" si="3"/>
        <v>-1126.2922325629165</v>
      </c>
      <c r="F20" s="317">
        <f t="shared" si="3"/>
        <v>-314.42085352369963</v>
      </c>
      <c r="G20" s="317">
        <f t="shared" si="3"/>
        <v>1503.1885760081109</v>
      </c>
      <c r="H20" s="317">
        <f t="shared" si="3"/>
        <v>2318.5541496133255</v>
      </c>
      <c r="I20" s="317">
        <f t="shared" si="3"/>
        <v>2318.5541496133255</v>
      </c>
      <c r="K20" s="315"/>
      <c r="L20" s="134"/>
      <c r="M20" s="108"/>
      <c r="N20" s="134"/>
      <c r="O20" s="316"/>
      <c r="P20" s="134"/>
    </row>
    <row r="21" spans="1:17">
      <c r="A21" s="310" t="s">
        <v>456</v>
      </c>
      <c r="B21" s="314">
        <v>0.05</v>
      </c>
      <c r="C21" s="338"/>
      <c r="D21" s="313">
        <v>-3</v>
      </c>
      <c r="E21" s="313">
        <f>+-$B$21*(D39+D40)</f>
        <v>0</v>
      </c>
      <c r="F21" s="313">
        <f>+-$B$21*(E39+E40)</f>
        <v>0</v>
      </c>
      <c r="G21" s="313">
        <f>+-$B$21*(F39+F40)</f>
        <v>0</v>
      </c>
      <c r="H21" s="313">
        <f>+-$B$21*(G39+G40)</f>
        <v>0</v>
      </c>
      <c r="I21" s="313">
        <f>+-$B$21*(H39+H40)</f>
        <v>0</v>
      </c>
    </row>
    <row r="22" spans="1:17">
      <c r="A22" s="310" t="s">
        <v>302</v>
      </c>
      <c r="B22" s="314"/>
      <c r="C22" s="338"/>
      <c r="D22" s="313"/>
      <c r="E22" s="313"/>
      <c r="F22" s="313"/>
      <c r="G22" s="313"/>
      <c r="H22" s="313">
        <f>-33%*H20</f>
        <v>-765.12286937239742</v>
      </c>
      <c r="I22" s="313">
        <f>-33%*I20</f>
        <v>-765.12286937239742</v>
      </c>
    </row>
    <row r="23" spans="1:17">
      <c r="A23" s="309" t="s">
        <v>457</v>
      </c>
      <c r="B23" s="309"/>
      <c r="C23" s="339"/>
      <c r="D23" s="317">
        <f t="shared" ref="D23:I23" si="4">SUM(D20:D22)</f>
        <v>-178.44349440000002</v>
      </c>
      <c r="E23" s="317">
        <f t="shared" si="4"/>
        <v>-1126.2922325629165</v>
      </c>
      <c r="F23" s="317">
        <f t="shared" si="4"/>
        <v>-314.42085352369963</v>
      </c>
      <c r="G23" s="317">
        <f t="shared" si="4"/>
        <v>1503.1885760081109</v>
      </c>
      <c r="H23" s="317">
        <f t="shared" si="4"/>
        <v>1553.4312802409281</v>
      </c>
      <c r="I23" s="317">
        <f t="shared" si="4"/>
        <v>1553.4312802409281</v>
      </c>
    </row>
    <row r="24" spans="1:17">
      <c r="A2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5" spans="1:17">
      <c r="A25" s="309" t="s">
        <v>285</v>
      </c>
      <c r="B25" s="309"/>
      <c r="C25" s="309">
        <f t="shared" ref="C25:I25" si="5">C4</f>
        <v>2009</v>
      </c>
      <c r="D25" s="309">
        <f t="shared" si="5"/>
        <v>2010</v>
      </c>
      <c r="E25" s="309">
        <f t="shared" si="5"/>
        <v>2011</v>
      </c>
      <c r="F25" s="309">
        <f t="shared" si="5"/>
        <v>2012</v>
      </c>
      <c r="G25" s="309">
        <f t="shared" si="5"/>
        <v>2013</v>
      </c>
      <c r="H25" s="309">
        <f t="shared" si="5"/>
        <v>2014</v>
      </c>
      <c r="I25" s="309">
        <f t="shared" si="5"/>
        <v>2015</v>
      </c>
      <c r="K25" s="372" t="s">
        <v>548</v>
      </c>
      <c r="L25" s="372"/>
      <c r="M25" s="372"/>
    </row>
    <row r="26" spans="1:17">
      <c r="A26" s="310" t="s">
        <v>458</v>
      </c>
      <c r="B26" s="310"/>
      <c r="C26" s="326"/>
      <c r="D26" s="313">
        <f t="shared" ref="D26:I26" si="6">D23+D18</f>
        <v>-122.94349440000002</v>
      </c>
      <c r="E26" s="313">
        <f t="shared" si="6"/>
        <v>-1066.2922325629165</v>
      </c>
      <c r="F26" s="313">
        <f t="shared" si="6"/>
        <v>-243.92085352369963</v>
      </c>
      <c r="G26" s="313">
        <f t="shared" si="6"/>
        <v>1578.1885760081109</v>
      </c>
      <c r="H26" s="313">
        <f t="shared" si="6"/>
        <v>1628.4312802409281</v>
      </c>
      <c r="I26" s="313">
        <f t="shared" si="6"/>
        <v>1628.4312802409281</v>
      </c>
      <c r="K26" s="311"/>
      <c r="L26" s="311" t="s">
        <v>507</v>
      </c>
      <c r="M26" s="311" t="s">
        <v>336</v>
      </c>
    </row>
    <row r="27" spans="1:17">
      <c r="A27" s="310" t="s">
        <v>459</v>
      </c>
      <c r="B27" s="310"/>
      <c r="C27" s="326"/>
      <c r="D27" s="313">
        <v>1200</v>
      </c>
      <c r="E27" s="330"/>
      <c r="F27" s="330"/>
      <c r="G27" s="330"/>
      <c r="H27" s="330"/>
      <c r="I27" s="330"/>
      <c r="K27" s="310" t="s">
        <v>506</v>
      </c>
      <c r="L27" s="310">
        <v>400</v>
      </c>
      <c r="M27" s="340">
        <f>L27/$L$29</f>
        <v>0.25</v>
      </c>
    </row>
    <row r="28" spans="1:17">
      <c r="A28" s="310" t="s">
        <v>460</v>
      </c>
      <c r="B28" s="310"/>
      <c r="C28" s="326"/>
      <c r="D28" s="313"/>
      <c r="E28" s="330"/>
      <c r="F28" s="330"/>
      <c r="G28" s="330"/>
      <c r="H28" s="330"/>
      <c r="I28" s="330"/>
      <c r="K28" s="310" t="s">
        <v>447</v>
      </c>
      <c r="L28" s="310">
        <v>1200</v>
      </c>
      <c r="M28" s="340">
        <f>L28/$L$29</f>
        <v>0.75</v>
      </c>
    </row>
    <row r="29" spans="1:17">
      <c r="A29" s="310" t="s">
        <v>461</v>
      </c>
      <c r="B29" s="310"/>
      <c r="C29" s="326"/>
      <c r="D29" s="313"/>
      <c r="E29" s="330"/>
      <c r="F29" s="330"/>
      <c r="G29" s="330"/>
      <c r="H29" s="330"/>
      <c r="I29" s="330"/>
      <c r="K29" s="309" t="s">
        <v>1</v>
      </c>
      <c r="L29" s="309">
        <f>L28+L27</f>
        <v>1600</v>
      </c>
      <c r="M29" s="318">
        <f>L29/$L$29</f>
        <v>1</v>
      </c>
    </row>
    <row r="30" spans="1:17">
      <c r="A30" s="310" t="s">
        <v>462</v>
      </c>
      <c r="B30" s="310"/>
      <c r="C30" s="326"/>
      <c r="D30" s="313">
        <f t="shared" ref="D30:I30" si="7">D42-C42</f>
        <v>0</v>
      </c>
      <c r="E30" s="313">
        <f t="shared" si="7"/>
        <v>0</v>
      </c>
      <c r="F30" s="313">
        <f t="shared" si="7"/>
        <v>42.729345359999975</v>
      </c>
      <c r="G30" s="313">
        <f t="shared" si="7"/>
        <v>27.534104140000075</v>
      </c>
      <c r="H30" s="313">
        <f t="shared" si="7"/>
        <v>-70.26344950000005</v>
      </c>
      <c r="I30" s="313">
        <f t="shared" si="7"/>
        <v>0</v>
      </c>
    </row>
    <row r="31" spans="1:17">
      <c r="A31" s="310" t="s">
        <v>463</v>
      </c>
      <c r="B31" s="310"/>
      <c r="C31" s="326"/>
      <c r="D31" s="313">
        <f t="shared" ref="D31:I31" si="8">C48-D48</f>
        <v>-0.27732619999996189</v>
      </c>
      <c r="E31" s="313">
        <f t="shared" si="8"/>
        <v>-38.675187000000022</v>
      </c>
      <c r="F31" s="313">
        <f t="shared" si="8"/>
        <v>88.226913199999984</v>
      </c>
      <c r="G31" s="313">
        <f t="shared" si="8"/>
        <v>0</v>
      </c>
      <c r="H31" s="313">
        <f t="shared" si="8"/>
        <v>0</v>
      </c>
      <c r="I31" s="313">
        <f t="shared" si="8"/>
        <v>0</v>
      </c>
      <c r="K31" s="372" t="s">
        <v>549</v>
      </c>
      <c r="L31" s="372"/>
      <c r="M31" s="372"/>
    </row>
    <row r="32" spans="1:17">
      <c r="A32" s="310" t="s">
        <v>464</v>
      </c>
      <c r="B32" s="310"/>
      <c r="C32" s="326"/>
      <c r="D32" s="313">
        <f t="shared" ref="D32:I32" si="9">D59</f>
        <v>-300.47586399999994</v>
      </c>
      <c r="E32" s="313">
        <f t="shared" si="9"/>
        <v>97.625442767123275</v>
      </c>
      <c r="F32" s="313">
        <f t="shared" si="9"/>
        <v>100.06082523287668</v>
      </c>
      <c r="G32" s="313">
        <f t="shared" si="9"/>
        <v>100.96366635616448</v>
      </c>
      <c r="H32" s="313">
        <f t="shared" si="9"/>
        <v>37.969671978082204</v>
      </c>
      <c r="I32" s="313">
        <f t="shared" si="9"/>
        <v>0</v>
      </c>
      <c r="K32" s="311"/>
      <c r="L32" s="311" t="s">
        <v>507</v>
      </c>
      <c r="M32" s="311" t="s">
        <v>336</v>
      </c>
    </row>
    <row r="33" spans="1:13">
      <c r="A33" s="310" t="s">
        <v>465</v>
      </c>
      <c r="B33" s="310"/>
      <c r="C33" s="326"/>
      <c r="D33" s="313">
        <f t="shared" ref="D33:I33" si="10">(C44-D18)-D44</f>
        <v>-12.166666666666657</v>
      </c>
      <c r="E33" s="313">
        <f t="shared" si="10"/>
        <v>-24</v>
      </c>
      <c r="F33" s="313">
        <f t="shared" si="10"/>
        <v>-18</v>
      </c>
      <c r="G33" s="313">
        <f t="shared" si="10"/>
        <v>0</v>
      </c>
      <c r="H33" s="313">
        <f t="shared" si="10"/>
        <v>-36</v>
      </c>
      <c r="I33" s="313">
        <f t="shared" si="10"/>
        <v>-75</v>
      </c>
      <c r="K33" s="310" t="s">
        <v>506</v>
      </c>
      <c r="L33" s="310">
        <v>1458</v>
      </c>
      <c r="M33" s="340">
        <f>L33/$L$35</f>
        <v>0.54853273137697522</v>
      </c>
    </row>
    <row r="34" spans="1:13">
      <c r="A34" s="310" t="s">
        <v>466</v>
      </c>
      <c r="B34" s="310"/>
      <c r="C34" s="326"/>
      <c r="D34" s="313">
        <f>+C49</f>
        <v>398.47539999999998</v>
      </c>
      <c r="E34" s="313">
        <f>D35</f>
        <v>1162.6120487333333</v>
      </c>
      <c r="F34" s="313">
        <f>E35</f>
        <v>131.27007193754002</v>
      </c>
      <c r="G34" s="313">
        <f>F35</f>
        <v>100.36630220671702</v>
      </c>
      <c r="H34" s="313">
        <f>G35</f>
        <v>1807.0526487109928</v>
      </c>
      <c r="I34" s="313">
        <f>H35</f>
        <v>3367.1901514300034</v>
      </c>
      <c r="K34" s="310" t="s">
        <v>447</v>
      </c>
      <c r="L34" s="310">
        <v>1200</v>
      </c>
      <c r="M34" s="340">
        <f>L34/$L$35</f>
        <v>0.45146726862302483</v>
      </c>
    </row>
    <row r="35" spans="1:13">
      <c r="A35" s="310" t="s">
        <v>467</v>
      </c>
      <c r="B35" s="310"/>
      <c r="C35" s="326"/>
      <c r="D35" s="313">
        <f t="shared" ref="D35:I35" si="11">SUM(D26:D34)</f>
        <v>1162.6120487333333</v>
      </c>
      <c r="E35" s="313">
        <f t="shared" si="11"/>
        <v>131.27007193754002</v>
      </c>
      <c r="F35" s="313">
        <f t="shared" si="11"/>
        <v>100.36630220671702</v>
      </c>
      <c r="G35" s="313">
        <f t="shared" si="11"/>
        <v>1807.0526487109928</v>
      </c>
      <c r="H35" s="313">
        <f t="shared" si="11"/>
        <v>3367.1901514300034</v>
      </c>
      <c r="I35" s="313">
        <f t="shared" si="11"/>
        <v>4920.621431670932</v>
      </c>
      <c r="K35" s="309" t="s">
        <v>1</v>
      </c>
      <c r="L35" s="309">
        <f>L34+L33</f>
        <v>2658</v>
      </c>
      <c r="M35" s="340">
        <f>L35/$L$35</f>
        <v>1</v>
      </c>
    </row>
    <row r="36" spans="1:13">
      <c r="A3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7" spans="1:13">
      <c r="A37" s="309" t="s">
        <v>468</v>
      </c>
      <c r="B37" s="309"/>
      <c r="C37" s="309">
        <f t="shared" ref="C37:I37" si="12">C25</f>
        <v>2009</v>
      </c>
      <c r="D37" s="309">
        <f t="shared" si="12"/>
        <v>2010</v>
      </c>
      <c r="E37" s="309">
        <f t="shared" si="12"/>
        <v>2011</v>
      </c>
      <c r="F37" s="309">
        <f t="shared" si="12"/>
        <v>2012</v>
      </c>
      <c r="G37" s="309">
        <f t="shared" si="12"/>
        <v>2013</v>
      </c>
      <c r="H37" s="309">
        <f t="shared" si="12"/>
        <v>2014</v>
      </c>
      <c r="I37" s="309">
        <f t="shared" si="12"/>
        <v>2015</v>
      </c>
    </row>
    <row r="38" spans="1:13">
      <c r="A38" s="309" t="s">
        <v>469</v>
      </c>
      <c r="B38" s="309"/>
      <c r="C38" s="317">
        <f>+Bilan!G31/1000</f>
        <v>391.5333333333333</v>
      </c>
      <c r="D38" s="317">
        <f t="shared" ref="D38:I38" si="13">C38+D23+D27</f>
        <v>1413.0898389333333</v>
      </c>
      <c r="E38" s="317">
        <f t="shared" si="13"/>
        <v>286.79760637041682</v>
      </c>
      <c r="F38" s="317">
        <f t="shared" si="13"/>
        <v>-27.623247153282819</v>
      </c>
      <c r="G38" s="317">
        <f t="shared" si="13"/>
        <v>1475.5653288548281</v>
      </c>
      <c r="H38" s="317">
        <f t="shared" si="13"/>
        <v>3028.996609095756</v>
      </c>
      <c r="I38" s="317">
        <f t="shared" si="13"/>
        <v>4582.4278893366845</v>
      </c>
      <c r="J38" s="2"/>
    </row>
    <row r="39" spans="1:13">
      <c r="A39" s="310" t="s">
        <v>470</v>
      </c>
      <c r="B39" s="310"/>
      <c r="C39" s="313"/>
      <c r="D39" s="313"/>
      <c r="E39" s="313"/>
      <c r="F39" s="313"/>
      <c r="G39" s="313"/>
      <c r="H39" s="313"/>
      <c r="I39" s="313"/>
      <c r="J39" s="2"/>
    </row>
    <row r="40" spans="1:13">
      <c r="A40" s="310" t="s">
        <v>471</v>
      </c>
      <c r="B40" s="310"/>
      <c r="C40" s="313"/>
      <c r="D40" s="313"/>
      <c r="E40" s="313"/>
      <c r="F40" s="313"/>
      <c r="G40" s="313"/>
      <c r="H40" s="313"/>
      <c r="I40" s="313"/>
      <c r="J40" s="2"/>
    </row>
    <row r="41" spans="1:13">
      <c r="A41" s="310" t="s">
        <v>472</v>
      </c>
      <c r="B41" s="310"/>
      <c r="C41" s="313">
        <f>+Bilan!G38/1000</f>
        <v>302.0498</v>
      </c>
      <c r="D41" s="313">
        <f>+Bilan!H38/1000</f>
        <v>1.5739360000000333</v>
      </c>
      <c r="E41" s="313">
        <f>SUM(E11:E13,E8)*(1+E65)/365*E64</f>
        <v>136.22409041095892</v>
      </c>
      <c r="F41" s="313">
        <f>SUM(F11:F13,F8)*(1+F65)/365*F64</f>
        <v>270.68633613698631</v>
      </c>
      <c r="G41" s="313">
        <f>SUM(G11:G13,G8)*(1+G65)/365*G64</f>
        <v>402.03314498630147</v>
      </c>
      <c r="H41" s="313">
        <f>SUM(H11:H13,H8)*(1+H65)/365*H64</f>
        <v>464.2598002191782</v>
      </c>
      <c r="I41" s="313">
        <f>SUM(I11:I13,I8)*(1+I65)/365*I64</f>
        <v>464.2598002191782</v>
      </c>
      <c r="J41" s="2"/>
    </row>
    <row r="42" spans="1:13">
      <c r="A42" s="310" t="s">
        <v>473</v>
      </c>
      <c r="B42" s="310"/>
      <c r="C42" s="313"/>
      <c r="D42" s="313">
        <f>+Bilan!H39/1000+Bilan!H40/1000</f>
        <v>0</v>
      </c>
      <c r="E42" s="313">
        <f>+Bilan!I39/1000+Bilan!I40/1000</f>
        <v>0</v>
      </c>
      <c r="F42" s="313">
        <f>+Bilan!J39/1000+Bilan!J40/1000</f>
        <v>42.729345359999975</v>
      </c>
      <c r="G42" s="313">
        <f>+Bilan!K39/1000+Bilan!K40/1000</f>
        <v>70.26344950000005</v>
      </c>
      <c r="H42" s="313">
        <f>+Bilan!L39/1000+Bilan!L40/1000</f>
        <v>0</v>
      </c>
      <c r="I42" s="313">
        <f>+Bilan!M39/1000+Bilan!M40/1000</f>
        <v>0</v>
      </c>
      <c r="J42" s="2"/>
    </row>
    <row r="43" spans="1:13">
      <c r="A43" s="310"/>
      <c r="B43" s="310"/>
      <c r="C43" s="313"/>
      <c r="D43" s="313"/>
      <c r="E43" s="313"/>
      <c r="F43" s="313"/>
      <c r="G43" s="313"/>
      <c r="H43" s="313"/>
      <c r="I43" s="313"/>
      <c r="J43" s="2"/>
    </row>
    <row r="44" spans="1:13">
      <c r="A44" s="309" t="s">
        <v>474</v>
      </c>
      <c r="B44" s="309"/>
      <c r="C44" s="317">
        <f>+Bilan!G10/1000</f>
        <v>245.83333333333334</v>
      </c>
      <c r="D44" s="317">
        <f>+Bilan!H10/1000</f>
        <v>202.5</v>
      </c>
      <c r="E44" s="317">
        <f>+Bilan!I10/1000</f>
        <v>166.5</v>
      </c>
      <c r="F44" s="317">
        <f>+Bilan!J10/1000</f>
        <v>114</v>
      </c>
      <c r="G44" s="317">
        <f>+Bilan!K10/1000</f>
        <v>39</v>
      </c>
      <c r="H44" s="317">
        <f>+Bilan!L10/1000</f>
        <v>0</v>
      </c>
      <c r="I44" s="317">
        <f>+Bilan!M10/1000</f>
        <v>0</v>
      </c>
      <c r="J44" s="2"/>
    </row>
    <row r="45" spans="1:13">
      <c r="A45" s="310" t="s">
        <v>475</v>
      </c>
      <c r="B45" s="310"/>
      <c r="C45" s="313"/>
      <c r="D45" s="313"/>
      <c r="E45" s="313"/>
      <c r="F45" s="313"/>
      <c r="G45" s="313"/>
      <c r="H45" s="313"/>
      <c r="I45" s="313"/>
      <c r="J45" s="2"/>
    </row>
    <row r="46" spans="1:13">
      <c r="A46" s="310" t="s">
        <v>212</v>
      </c>
      <c r="B46" s="310"/>
      <c r="C46" s="313"/>
      <c r="D46" s="313"/>
      <c r="E46" s="313"/>
      <c r="F46" s="313"/>
      <c r="G46" s="313"/>
      <c r="H46" s="313"/>
      <c r="I46" s="313"/>
      <c r="J46" s="2"/>
    </row>
    <row r="47" spans="1:13">
      <c r="A47" s="310" t="s">
        <v>209</v>
      </c>
      <c r="B47" s="310"/>
      <c r="C47" s="313">
        <f>+Bilan!G15/1000</f>
        <v>0</v>
      </c>
      <c r="D47" s="313">
        <f>+Bilan!H15/1000</f>
        <v>0</v>
      </c>
      <c r="E47" s="313">
        <f>E7*(1+E65)/365*E63</f>
        <v>37.024711643835616</v>
      </c>
      <c r="F47" s="313">
        <f>F7*(1+F65)/365*F63</f>
        <v>71.426132136986311</v>
      </c>
      <c r="G47" s="313">
        <f>G7*(1+G65)/365*G63</f>
        <v>101.809274630137</v>
      </c>
      <c r="H47" s="313">
        <f>H7*(1+H65)/365*H63</f>
        <v>126.0662578849315</v>
      </c>
      <c r="I47" s="313">
        <f>I7*(1+I65)/365*I63</f>
        <v>126.0662578849315</v>
      </c>
      <c r="J47" s="2"/>
    </row>
    <row r="48" spans="1:13">
      <c r="A48" s="310" t="s">
        <v>476</v>
      </c>
      <c r="B48" s="310"/>
      <c r="C48" s="313">
        <f>+Bilan!G16/1000</f>
        <v>49.2744</v>
      </c>
      <c r="D48" s="313">
        <f>+Bilan!H16/1000</f>
        <v>49.551726199999962</v>
      </c>
      <c r="E48" s="313">
        <f>+Bilan!I16/1000</f>
        <v>88.226913199999984</v>
      </c>
      <c r="F48" s="313">
        <f>+Bilan!J16/1000</f>
        <v>0</v>
      </c>
      <c r="G48" s="313">
        <f>+Bilan!K16/1000</f>
        <v>0</v>
      </c>
      <c r="H48" s="313">
        <f>+Bilan!L16/1000</f>
        <v>0</v>
      </c>
      <c r="I48" s="313">
        <f>+Bilan!M16/1000</f>
        <v>0</v>
      </c>
      <c r="J48" s="2"/>
    </row>
    <row r="49" spans="1:10">
      <c r="A49" s="310" t="s">
        <v>477</v>
      </c>
      <c r="B49" s="310"/>
      <c r="C49" s="313">
        <f>+Bilan!G21/1000</f>
        <v>398.47539999999998</v>
      </c>
      <c r="D49" s="313">
        <f t="shared" ref="D49:I49" si="14">D35</f>
        <v>1162.6120487333333</v>
      </c>
      <c r="E49" s="313">
        <f t="shared" si="14"/>
        <v>131.27007193754002</v>
      </c>
      <c r="F49" s="313">
        <f t="shared" si="14"/>
        <v>100.36630220671702</v>
      </c>
      <c r="G49" s="313">
        <f t="shared" si="14"/>
        <v>1807.0526487109928</v>
      </c>
      <c r="H49" s="313">
        <f t="shared" si="14"/>
        <v>3367.1901514300034</v>
      </c>
      <c r="I49" s="313">
        <f t="shared" si="14"/>
        <v>4920.621431670932</v>
      </c>
      <c r="J49" s="2"/>
    </row>
    <row r="50" spans="1:10">
      <c r="A50" s="309" t="s">
        <v>1</v>
      </c>
      <c r="B50" s="309"/>
      <c r="C50" s="317">
        <f t="shared" ref="C50:I50" si="15">SUM(C44:C49)</f>
        <v>693.58313333333331</v>
      </c>
      <c r="D50" s="317">
        <f t="shared" si="15"/>
        <v>1414.6637749333331</v>
      </c>
      <c r="E50" s="317">
        <f t="shared" si="15"/>
        <v>423.02169678137562</v>
      </c>
      <c r="F50" s="317">
        <f t="shared" si="15"/>
        <v>285.79243434370335</v>
      </c>
      <c r="G50" s="317">
        <f t="shared" si="15"/>
        <v>1947.8619233411298</v>
      </c>
      <c r="H50" s="317">
        <f t="shared" si="15"/>
        <v>3493.2564093149349</v>
      </c>
      <c r="I50" s="317">
        <f t="shared" si="15"/>
        <v>5046.6876895558635</v>
      </c>
      <c r="J50" s="2"/>
    </row>
    <row r="51" spans="1:10">
      <c r="A51" s="310" t="s">
        <v>478</v>
      </c>
      <c r="B51" s="310"/>
      <c r="C51" s="313">
        <f t="shared" ref="C51:I51" si="16">C50-SUM(C38:C42)</f>
        <v>0</v>
      </c>
      <c r="D51" s="313">
        <f t="shared" si="16"/>
        <v>0</v>
      </c>
      <c r="E51" s="313">
        <f t="shared" si="16"/>
        <v>0</v>
      </c>
      <c r="F51" s="313">
        <f t="shared" si="16"/>
        <v>0</v>
      </c>
      <c r="G51" s="313">
        <f t="shared" si="16"/>
        <v>0</v>
      </c>
      <c r="H51" s="313">
        <f t="shared" si="16"/>
        <v>0</v>
      </c>
      <c r="I51" s="313">
        <f t="shared" si="16"/>
        <v>0</v>
      </c>
      <c r="J51" s="2"/>
    </row>
    <row r="52" spans="1:10">
      <c r="A5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D52" s="2"/>
      <c r="E52" s="2"/>
      <c r="F52" s="2"/>
      <c r="G52" s="2"/>
      <c r="H52" s="2"/>
      <c r="I52" s="2"/>
      <c r="J52" s="2"/>
    </row>
    <row r="53" spans="1:10">
      <c r="A53" s="309" t="s">
        <v>479</v>
      </c>
      <c r="B53" s="309"/>
      <c r="C53" s="309"/>
      <c r="D53" s="317">
        <f t="shared" ref="D53:I53" si="17">+D37</f>
        <v>2010</v>
      </c>
      <c r="E53" s="317">
        <f t="shared" si="17"/>
        <v>2011</v>
      </c>
      <c r="F53" s="317">
        <f t="shared" si="17"/>
        <v>2012</v>
      </c>
      <c r="G53" s="317">
        <f t="shared" si="17"/>
        <v>2013</v>
      </c>
      <c r="H53" s="317">
        <f t="shared" si="17"/>
        <v>2014</v>
      </c>
      <c r="I53" s="317">
        <f t="shared" si="17"/>
        <v>2015</v>
      </c>
      <c r="J53" s="2"/>
    </row>
    <row r="54" spans="1:10">
      <c r="A54" s="310" t="s">
        <v>212</v>
      </c>
      <c r="B54" s="310"/>
      <c r="C54" s="313">
        <f t="shared" ref="C54:I55" si="18">C46</f>
        <v>0</v>
      </c>
      <c r="D54" s="313">
        <f t="shared" si="18"/>
        <v>0</v>
      </c>
      <c r="E54" s="313">
        <f t="shared" si="18"/>
        <v>0</v>
      </c>
      <c r="F54" s="313">
        <f t="shared" si="18"/>
        <v>0</v>
      </c>
      <c r="G54" s="313">
        <f t="shared" si="18"/>
        <v>0</v>
      </c>
      <c r="H54" s="313">
        <f t="shared" si="18"/>
        <v>0</v>
      </c>
      <c r="I54" s="313">
        <f t="shared" si="18"/>
        <v>0</v>
      </c>
      <c r="J54" s="2"/>
    </row>
    <row r="55" spans="1:10">
      <c r="A55" s="310" t="s">
        <v>209</v>
      </c>
      <c r="B55" s="310"/>
      <c r="C55" s="313">
        <f t="shared" si="18"/>
        <v>0</v>
      </c>
      <c r="D55" s="313">
        <f t="shared" si="18"/>
        <v>0</v>
      </c>
      <c r="E55" s="313">
        <f t="shared" si="18"/>
        <v>37.024711643835616</v>
      </c>
      <c r="F55" s="313">
        <f t="shared" si="18"/>
        <v>71.426132136986311</v>
      </c>
      <c r="G55" s="313">
        <f t="shared" si="18"/>
        <v>101.809274630137</v>
      </c>
      <c r="H55" s="313">
        <f t="shared" si="18"/>
        <v>126.0662578849315</v>
      </c>
      <c r="I55" s="313">
        <f t="shared" si="18"/>
        <v>126.0662578849315</v>
      </c>
      <c r="J55" s="2"/>
    </row>
    <row r="56" spans="1:10">
      <c r="A56" s="310" t="s">
        <v>472</v>
      </c>
      <c r="B56" s="310"/>
      <c r="C56" s="313">
        <f t="shared" ref="C56:I56" si="19">C41</f>
        <v>302.0498</v>
      </c>
      <c r="D56" s="313">
        <f t="shared" si="19"/>
        <v>1.5739360000000333</v>
      </c>
      <c r="E56" s="313">
        <f t="shared" si="19"/>
        <v>136.22409041095892</v>
      </c>
      <c r="F56" s="313">
        <f t="shared" si="19"/>
        <v>270.68633613698631</v>
      </c>
      <c r="G56" s="313">
        <f t="shared" si="19"/>
        <v>402.03314498630147</v>
      </c>
      <c r="H56" s="313">
        <f t="shared" si="19"/>
        <v>464.2598002191782</v>
      </c>
      <c r="I56" s="313">
        <f t="shared" si="19"/>
        <v>464.2598002191782</v>
      </c>
      <c r="J56" s="2"/>
    </row>
    <row r="57" spans="1:10">
      <c r="A57" s="310" t="s">
        <v>479</v>
      </c>
      <c r="B57" s="310"/>
      <c r="C57" s="313">
        <f t="shared" ref="C57:I57" si="20">C54+C55-C56</f>
        <v>-302.0498</v>
      </c>
      <c r="D57" s="313">
        <f t="shared" si="20"/>
        <v>-1.5739360000000333</v>
      </c>
      <c r="E57" s="313">
        <f t="shared" si="20"/>
        <v>-99.199378767123306</v>
      </c>
      <c r="F57" s="313">
        <f t="shared" si="20"/>
        <v>-199.26020399999999</v>
      </c>
      <c r="G57" s="313">
        <f t="shared" si="20"/>
        <v>-300.22387035616447</v>
      </c>
      <c r="H57" s="313">
        <f t="shared" si="20"/>
        <v>-338.19354233424667</v>
      </c>
      <c r="I57" s="313">
        <f t="shared" si="20"/>
        <v>-338.19354233424667</v>
      </c>
      <c r="J57" s="2"/>
    </row>
    <row r="58" spans="1:10">
      <c r="A58" s="310" t="s">
        <v>480</v>
      </c>
      <c r="B58" s="310"/>
      <c r="C58" s="310"/>
      <c r="D58" s="337" t="s">
        <v>481</v>
      </c>
      <c r="E58" s="337" t="s">
        <v>481</v>
      </c>
      <c r="F58" s="331">
        <f>F57/F5</f>
        <v>-8.0963550593025083E-2</v>
      </c>
      <c r="G58" s="331">
        <f>G57/G5</f>
        <v>-5.7054870630701603E-2</v>
      </c>
      <c r="H58" s="331">
        <f>H57/H5</f>
        <v>-5.1904056134533014E-2</v>
      </c>
      <c r="I58" s="331">
        <f>I57/I5</f>
        <v>-5.1904056134533014E-2</v>
      </c>
      <c r="J58" s="2"/>
    </row>
    <row r="59" spans="1:10">
      <c r="A59" s="310" t="s">
        <v>482</v>
      </c>
      <c r="B59" s="310"/>
      <c r="C59" s="310"/>
      <c r="D59" s="313">
        <f t="shared" ref="D59:I59" si="21">C57-D57</f>
        <v>-300.47586399999994</v>
      </c>
      <c r="E59" s="313">
        <f t="shared" si="21"/>
        <v>97.625442767123275</v>
      </c>
      <c r="F59" s="313">
        <f t="shared" si="21"/>
        <v>100.06082523287668</v>
      </c>
      <c r="G59" s="313">
        <f t="shared" si="21"/>
        <v>100.96366635616448</v>
      </c>
      <c r="H59" s="313">
        <f t="shared" si="21"/>
        <v>37.969671978082204</v>
      </c>
      <c r="I59" s="313">
        <f t="shared" si="21"/>
        <v>0</v>
      </c>
      <c r="J59" s="2"/>
    </row>
    <row r="60" spans="1:10">
      <c r="A6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D60" s="2"/>
      <c r="E60" s="2"/>
      <c r="F60" s="2"/>
      <c r="G60" s="2"/>
      <c r="H60" s="2"/>
      <c r="I60" s="2"/>
      <c r="J60" s="2"/>
    </row>
    <row r="61" spans="1:10">
      <c r="A61" s="309" t="s">
        <v>483</v>
      </c>
      <c r="B61" s="310"/>
      <c r="C61" s="310"/>
      <c r="D61" s="317">
        <f t="shared" ref="D61:I61" si="22">D53</f>
        <v>2010</v>
      </c>
      <c r="E61" s="317">
        <f t="shared" si="22"/>
        <v>2011</v>
      </c>
      <c r="F61" s="317">
        <f t="shared" si="22"/>
        <v>2012</v>
      </c>
      <c r="G61" s="317">
        <f t="shared" si="22"/>
        <v>2013</v>
      </c>
      <c r="H61" s="317">
        <f t="shared" si="22"/>
        <v>2014</v>
      </c>
      <c r="I61" s="317">
        <f t="shared" si="22"/>
        <v>2015</v>
      </c>
      <c r="J61" s="2"/>
    </row>
    <row r="62" spans="1:10">
      <c r="A62" s="310" t="str">
        <f>A54</f>
        <v>Stocks</v>
      </c>
      <c r="B62" s="310"/>
      <c r="C62" s="310"/>
      <c r="D62" s="313"/>
      <c r="E62" s="313"/>
      <c r="F62" s="313">
        <v>0</v>
      </c>
      <c r="G62" s="313">
        <v>0</v>
      </c>
      <c r="H62" s="313">
        <v>0</v>
      </c>
      <c r="I62" s="313">
        <v>0</v>
      </c>
      <c r="J62" s="2"/>
    </row>
    <row r="63" spans="1:10">
      <c r="A63" s="310" t="str">
        <f>A55</f>
        <v>Clients</v>
      </c>
      <c r="B63" s="310"/>
      <c r="C63" s="310"/>
      <c r="D63" s="313"/>
      <c r="E63" s="337">
        <v>30</v>
      </c>
      <c r="F63" s="313">
        <v>9</v>
      </c>
      <c r="G63" s="313">
        <v>6</v>
      </c>
      <c r="H63" s="313">
        <v>6</v>
      </c>
      <c r="I63" s="313">
        <v>6</v>
      </c>
      <c r="J63" s="2"/>
    </row>
    <row r="64" spans="1:10">
      <c r="A64" s="310" t="str">
        <f>A56</f>
        <v>Fournisseurs</v>
      </c>
      <c r="B64" s="310"/>
      <c r="C64" s="310"/>
      <c r="D64" s="313"/>
      <c r="E64" s="337">
        <v>60</v>
      </c>
      <c r="F64" s="337">
        <v>60</v>
      </c>
      <c r="G64" s="337">
        <v>60</v>
      </c>
      <c r="H64" s="337">
        <v>60</v>
      </c>
      <c r="I64" s="337">
        <v>60</v>
      </c>
      <c r="J64" s="2"/>
    </row>
    <row r="65" spans="1:17">
      <c r="A65" s="310" t="s">
        <v>217</v>
      </c>
      <c r="B65" s="310"/>
      <c r="C65" s="310"/>
      <c r="D65" s="313"/>
      <c r="E65" s="369">
        <v>0.1</v>
      </c>
      <c r="F65" s="369">
        <v>0.1</v>
      </c>
      <c r="G65" s="369">
        <v>0.1</v>
      </c>
      <c r="H65" s="369">
        <v>0.1</v>
      </c>
      <c r="I65" s="369">
        <v>0.1</v>
      </c>
      <c r="J65" s="2"/>
    </row>
    <row r="66" spans="1:17">
      <c r="A6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D66" s="2"/>
      <c r="E66" s="2"/>
      <c r="F66" s="2"/>
      <c r="G66" s="2"/>
      <c r="H66" s="2"/>
      <c r="I66" s="2"/>
      <c r="J66" s="2"/>
    </row>
    <row r="67" spans="1:17">
      <c r="D67" s="2"/>
      <c r="E67" s="2"/>
      <c r="F67" s="2"/>
      <c r="G67" s="2"/>
      <c r="H67" s="2"/>
      <c r="I67" s="2"/>
      <c r="J67" s="2"/>
    </row>
    <row r="73" spans="1:17">
      <c r="Q73" s="2"/>
    </row>
  </sheetData>
  <mergeCells count="4">
    <mergeCell ref="H2:I2"/>
    <mergeCell ref="K25:M25"/>
    <mergeCell ref="K31:M31"/>
    <mergeCell ref="K5:P5"/>
  </mergeCells>
  <phoneticPr fontId="5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X53"/>
  <sheetViews>
    <sheetView topLeftCell="A20" workbookViewId="0">
      <selection activeCell="B44" sqref="B44"/>
    </sheetView>
  </sheetViews>
  <sheetFormatPr baseColWidth="10" defaultColWidth="8.5703125" defaultRowHeight="12.75"/>
  <cols>
    <col min="1" max="1" width="23.140625" customWidth="1"/>
    <col min="2" max="3" width="8.5703125" customWidth="1"/>
    <col min="4" max="4" width="7.140625" customWidth="1"/>
  </cols>
  <sheetData>
    <row r="1" spans="1:11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1">
      <c r="A2" s="12" t="s">
        <v>508</v>
      </c>
    </row>
    <row r="3" spans="1:11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1">
      <c r="A4" s="309" t="s">
        <v>509</v>
      </c>
      <c r="B4" s="309">
        <v>2010</v>
      </c>
      <c r="C4" s="309">
        <f>B4+1</f>
        <v>2011</v>
      </c>
      <c r="D4" s="309">
        <f>C4+1</f>
        <v>2012</v>
      </c>
      <c r="E4" s="309">
        <f>D4+1</f>
        <v>2013</v>
      </c>
      <c r="F4" s="309">
        <f>E4+1</f>
        <v>2014</v>
      </c>
      <c r="G4" s="309">
        <f>F4+1</f>
        <v>2015</v>
      </c>
      <c r="H4" s="309"/>
      <c r="I4" s="309"/>
      <c r="J4" s="341"/>
      <c r="K4" s="341"/>
    </row>
    <row r="5" spans="1:11">
      <c r="A5" s="309" t="s">
        <v>510</v>
      </c>
      <c r="B5" s="317">
        <f>BP1Bis!D7</f>
        <v>0</v>
      </c>
      <c r="C5" s="317">
        <f>BP1Bis!E7</f>
        <v>409.51575000000003</v>
      </c>
      <c r="D5" s="317">
        <f>BP1Bis!F7</f>
        <v>2633.3877000000002</v>
      </c>
      <c r="E5" s="317">
        <f>BP1Bis!G7</f>
        <v>5630.3614000000007</v>
      </c>
      <c r="F5" s="317">
        <f>BP1Bis!H7</f>
        <v>6971.8460799999993</v>
      </c>
      <c r="G5" s="317">
        <f>BP1Bis!I7</f>
        <v>6971.8460799999993</v>
      </c>
      <c r="H5" s="317"/>
      <c r="I5" s="317"/>
      <c r="J5" s="342"/>
      <c r="K5" s="342"/>
    </row>
    <row r="6" spans="1:11">
      <c r="A6" s="310" t="s">
        <v>441</v>
      </c>
      <c r="B6" s="313">
        <f>BP1Bis!D9</f>
        <v>0</v>
      </c>
      <c r="C6" s="313">
        <f>BP1Bis!E9</f>
        <v>214.18</v>
      </c>
      <c r="D6" s="313">
        <f>BP1Bis!F9</f>
        <v>1912.8880000000001</v>
      </c>
      <c r="E6" s="313">
        <f>BP1Bis!G9</f>
        <v>4209.616</v>
      </c>
      <c r="F6" s="313">
        <f>BP1Bis!H9</f>
        <v>5212.5951999999988</v>
      </c>
      <c r="G6" s="313">
        <f>BP1Bis!I9</f>
        <v>5212.5951999999988</v>
      </c>
      <c r="H6" s="313"/>
      <c r="I6" s="313"/>
      <c r="J6" s="342"/>
      <c r="K6" s="342"/>
    </row>
    <row r="7" spans="1:11">
      <c r="A7" s="310" t="s">
        <v>443</v>
      </c>
      <c r="B7" s="314">
        <f>BP1Bis!D10</f>
        <v>0</v>
      </c>
      <c r="C7" s="314">
        <f>BP1Bis!E10</f>
        <v>0.52300796733703159</v>
      </c>
      <c r="D7" s="314">
        <f>BP1Bis!F10</f>
        <v>0.72639816765301968</v>
      </c>
      <c r="E7" s="314">
        <f>BP1Bis!G10</f>
        <v>0.74766355140186902</v>
      </c>
      <c r="F7" s="314">
        <f>BP1Bis!H10</f>
        <v>0.74766355140186902</v>
      </c>
      <c r="G7" s="314">
        <f>BP1Bis!I10</f>
        <v>0.74766355140186902</v>
      </c>
      <c r="H7" s="313"/>
      <c r="I7" s="313"/>
      <c r="J7" s="343"/>
      <c r="K7" s="343"/>
    </row>
    <row r="8" spans="1:11">
      <c r="A8" s="310" t="s">
        <v>511</v>
      </c>
      <c r="B8" s="313">
        <f t="shared" ref="B8:G8" si="0">B6-B10-B9</f>
        <v>119.94349440000002</v>
      </c>
      <c r="C8" s="313">
        <f t="shared" si="0"/>
        <v>1280.4722325629166</v>
      </c>
      <c r="D8" s="313">
        <f t="shared" si="0"/>
        <v>2156.8088535236998</v>
      </c>
      <c r="E8" s="313">
        <f t="shared" si="0"/>
        <v>2631.4274239918891</v>
      </c>
      <c r="F8" s="313">
        <f t="shared" si="0"/>
        <v>2819.0410503866733</v>
      </c>
      <c r="G8" s="313">
        <f t="shared" si="0"/>
        <v>2819.0410503866733</v>
      </c>
      <c r="H8" s="313"/>
      <c r="I8" s="313"/>
      <c r="J8" s="342"/>
      <c r="K8" s="342"/>
    </row>
    <row r="9" spans="1:11">
      <c r="A9" s="310" t="s">
        <v>512</v>
      </c>
      <c r="B9" s="313">
        <f>BP1Bis!D18</f>
        <v>55.5</v>
      </c>
      <c r="C9" s="313">
        <f>BP1Bis!E18</f>
        <v>60</v>
      </c>
      <c r="D9" s="313">
        <f>BP1Bis!F18</f>
        <v>70.5</v>
      </c>
      <c r="E9" s="313">
        <f>BP1Bis!G18</f>
        <v>75</v>
      </c>
      <c r="F9" s="313">
        <f>BP1Bis!H18</f>
        <v>75</v>
      </c>
      <c r="G9" s="313">
        <f>BP1Bis!I18</f>
        <v>75</v>
      </c>
      <c r="H9" s="313"/>
      <c r="I9" s="313"/>
      <c r="J9" s="342"/>
      <c r="K9" s="342"/>
    </row>
    <row r="10" spans="1:11">
      <c r="A10" s="309" t="s">
        <v>431</v>
      </c>
      <c r="B10" s="317">
        <f>BP1Bis!D20</f>
        <v>-175.44349440000002</v>
      </c>
      <c r="C10" s="317">
        <f>BP1Bis!E20</f>
        <v>-1126.2922325629165</v>
      </c>
      <c r="D10" s="317">
        <f>BP1Bis!F20</f>
        <v>-314.42085352369963</v>
      </c>
      <c r="E10" s="317">
        <f>BP1Bis!G20</f>
        <v>1503.1885760081109</v>
      </c>
      <c r="F10" s="317">
        <f>BP1Bis!H20</f>
        <v>2318.5541496133255</v>
      </c>
      <c r="G10" s="317">
        <f>BP1Bis!I20</f>
        <v>2318.5541496133255</v>
      </c>
      <c r="H10" s="317"/>
      <c r="I10" s="317"/>
      <c r="J10" s="342"/>
      <c r="K10" s="342"/>
    </row>
    <row r="11" spans="1:11">
      <c r="A11" s="309" t="s">
        <v>513</v>
      </c>
      <c r="B11" s="368" t="s">
        <v>481</v>
      </c>
      <c r="C11" s="368" t="s">
        <v>481</v>
      </c>
      <c r="D11" s="368" t="s">
        <v>481</v>
      </c>
      <c r="E11" s="318">
        <f>E10/E5</f>
        <v>0.26697905679875378</v>
      </c>
      <c r="F11" s="318">
        <f>F10/F5</f>
        <v>0.33255957217192694</v>
      </c>
      <c r="G11" s="318">
        <f>G10/G5</f>
        <v>0.33255957217192694</v>
      </c>
      <c r="H11" s="318"/>
      <c r="I11" s="318"/>
      <c r="J11" s="343"/>
      <c r="K11" s="343"/>
    </row>
    <row r="12" spans="1:11">
      <c r="A12" s="313" t="s">
        <v>302</v>
      </c>
      <c r="B12" s="313">
        <v>0</v>
      </c>
      <c r="C12" s="313">
        <v>0</v>
      </c>
      <c r="D12" s="330">
        <v>0</v>
      </c>
      <c r="E12" s="313">
        <v>0</v>
      </c>
      <c r="F12" s="313">
        <f>-F10*$H$12</f>
        <v>-765.12286937239742</v>
      </c>
      <c r="G12" s="313">
        <f>-G10*$H$12</f>
        <v>-765.12286937239742</v>
      </c>
      <c r="H12" s="313">
        <v>0.33</v>
      </c>
      <c r="I12" s="313"/>
      <c r="J12" s="342"/>
      <c r="K12" s="342"/>
    </row>
    <row r="13" spans="1:11">
      <c r="A13" s="310" t="s">
        <v>514</v>
      </c>
      <c r="B13" s="313">
        <f t="shared" ref="B13:G13" si="1">B10+B12</f>
        <v>-175.44349440000002</v>
      </c>
      <c r="C13" s="313">
        <f t="shared" si="1"/>
        <v>-1126.2922325629165</v>
      </c>
      <c r="D13" s="313">
        <f t="shared" si="1"/>
        <v>-314.42085352369963</v>
      </c>
      <c r="E13" s="313">
        <f t="shared" si="1"/>
        <v>1503.1885760081109</v>
      </c>
      <c r="F13" s="313">
        <f t="shared" si="1"/>
        <v>1553.4312802409281</v>
      </c>
      <c r="G13" s="313">
        <f t="shared" si="1"/>
        <v>1553.4312802409281</v>
      </c>
      <c r="H13" s="313"/>
      <c r="I13" s="313"/>
      <c r="J13" s="342"/>
      <c r="K13" s="342"/>
    </row>
    <row r="14" spans="1:11">
      <c r="A14" s="309" t="s">
        <v>515</v>
      </c>
      <c r="B14" s="317">
        <f t="shared" ref="B14:G14" si="2">B13</f>
        <v>-175.44349440000002</v>
      </c>
      <c r="C14" s="317">
        <f t="shared" si="2"/>
        <v>-1126.2922325629165</v>
      </c>
      <c r="D14" s="317">
        <f t="shared" si="2"/>
        <v>-314.42085352369963</v>
      </c>
      <c r="E14" s="317">
        <f t="shared" si="2"/>
        <v>1503.1885760081109</v>
      </c>
      <c r="F14" s="317">
        <f t="shared" si="2"/>
        <v>1553.4312802409281</v>
      </c>
      <c r="G14" s="317">
        <f t="shared" si="2"/>
        <v>1553.4312802409281</v>
      </c>
      <c r="H14" s="317"/>
      <c r="I14" s="317"/>
      <c r="J14" s="344"/>
      <c r="K14" s="344"/>
    </row>
    <row r="15" spans="1:11">
      <c r="A15" s="310" t="s">
        <v>191</v>
      </c>
      <c r="B15" s="330">
        <f>BP1Bis!D33</f>
        <v>-12.166666666666657</v>
      </c>
      <c r="C15" s="330">
        <f>BP1Bis!E33</f>
        <v>-24</v>
      </c>
      <c r="D15" s="330">
        <f>BP1Bis!F33</f>
        <v>-18</v>
      </c>
      <c r="E15" s="330">
        <f>BP1Bis!G33</f>
        <v>0</v>
      </c>
      <c r="F15" s="330">
        <f>BP1Bis!H33</f>
        <v>-36</v>
      </c>
      <c r="G15" s="330">
        <f>BP1Bis!I33</f>
        <v>-75</v>
      </c>
      <c r="H15" s="313"/>
      <c r="I15" s="313"/>
      <c r="J15" s="342"/>
      <c r="K15" s="342"/>
    </row>
    <row r="16" spans="1:11">
      <c r="A16" s="310" t="s">
        <v>482</v>
      </c>
      <c r="B16" s="330">
        <f>BP1Bis!D32</f>
        <v>-300.47586399999994</v>
      </c>
      <c r="C16" s="330">
        <f>BP1Bis!E32</f>
        <v>97.625442767123275</v>
      </c>
      <c r="D16" s="330">
        <f>BP1Bis!F32</f>
        <v>100.06082523287668</v>
      </c>
      <c r="E16" s="330">
        <f>BP1Bis!G32</f>
        <v>100.96366635616448</v>
      </c>
      <c r="F16" s="330">
        <f>BP1Bis!H32</f>
        <v>37.969671978082204</v>
      </c>
      <c r="G16" s="330">
        <f>BP1Bis!I32</f>
        <v>0</v>
      </c>
      <c r="H16" s="345"/>
      <c r="I16" s="345"/>
      <c r="J16" s="342"/>
      <c r="K16" s="342"/>
    </row>
    <row r="17" spans="1:102">
      <c r="A17" s="309" t="s">
        <v>516</v>
      </c>
      <c r="B17" s="367">
        <f t="shared" ref="B17:G17" si="3">B16+B15+B14</f>
        <v>-488.08602506666665</v>
      </c>
      <c r="C17" s="367">
        <f t="shared" si="3"/>
        <v>-1052.6667897957932</v>
      </c>
      <c r="D17" s="367">
        <f t="shared" si="3"/>
        <v>-232.36002829082295</v>
      </c>
      <c r="E17" s="367">
        <f t="shared" si="3"/>
        <v>1604.1522423642755</v>
      </c>
      <c r="F17" s="367">
        <f t="shared" si="3"/>
        <v>1555.4009522190104</v>
      </c>
      <c r="G17" s="367">
        <f t="shared" si="3"/>
        <v>1478.4312802409281</v>
      </c>
      <c r="H17" s="317"/>
      <c r="I17" s="317"/>
      <c r="J17" s="342"/>
      <c r="K17" s="342"/>
    </row>
    <row r="18" spans="1:102">
      <c r="A18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19" spans="1:102">
      <c r="A19" s="12" t="s">
        <v>517</v>
      </c>
    </row>
    <row r="20" spans="1:102" ht="13.5" thickBot="1">
      <c r="A20" t="str">
        <f>A18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1" spans="1:102" ht="13.5" thickBot="1">
      <c r="A21" t="s">
        <v>518</v>
      </c>
      <c r="B21" s="346">
        <v>0.1</v>
      </c>
      <c r="C21" s="347" t="s">
        <v>519</v>
      </c>
      <c r="D21" s="348"/>
      <c r="E21" s="348"/>
      <c r="F21" s="348"/>
      <c r="G21" s="348"/>
      <c r="H21" s="348"/>
      <c r="I21" s="348"/>
      <c r="J21" s="348"/>
      <c r="K21" s="348"/>
      <c r="L21" s="349"/>
    </row>
    <row r="22" spans="1:102">
      <c r="A22" t="s">
        <v>520</v>
      </c>
      <c r="B22" s="89">
        <v>0.03</v>
      </c>
      <c r="C22" s="315"/>
      <c r="D22" s="108"/>
      <c r="E22" s="108"/>
      <c r="F22" s="108"/>
      <c r="G22" s="108"/>
      <c r="H22" s="108"/>
      <c r="I22" s="108"/>
      <c r="J22" s="108"/>
      <c r="K22" s="108"/>
      <c r="L22" s="108"/>
    </row>
    <row r="23" spans="1:102">
      <c r="A23" t="s">
        <v>521</v>
      </c>
      <c r="B23" s="350">
        <v>0.34</v>
      </c>
      <c r="C23" s="1"/>
    </row>
    <row r="24" spans="1:102">
      <c r="A24" t="s">
        <v>522</v>
      </c>
      <c r="B24" s="351">
        <v>0</v>
      </c>
      <c r="C24" s="1"/>
    </row>
    <row r="25" spans="1:102">
      <c r="A25" t="s">
        <v>523</v>
      </c>
      <c r="B25" s="351">
        <v>0</v>
      </c>
      <c r="C25" s="1"/>
    </row>
    <row r="26" spans="1:102" ht="13.5" thickBot="1">
      <c r="A26" t="str">
        <f>A18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7" spans="1:102" ht="13.5" thickBot="1">
      <c r="A27" s="321" t="s">
        <v>524</v>
      </c>
      <c r="B27" s="12">
        <v>2010</v>
      </c>
      <c r="C27" s="12">
        <f t="shared" ref="C27:L27" si="4">B27+1</f>
        <v>2011</v>
      </c>
      <c r="D27" s="12">
        <f t="shared" si="4"/>
        <v>2012</v>
      </c>
      <c r="E27" s="12">
        <f t="shared" si="4"/>
        <v>2013</v>
      </c>
      <c r="F27" s="12">
        <f t="shared" si="4"/>
        <v>2014</v>
      </c>
      <c r="G27" s="169">
        <f t="shared" si="4"/>
        <v>2015</v>
      </c>
      <c r="H27" s="12">
        <f t="shared" si="4"/>
        <v>2016</v>
      </c>
      <c r="I27" s="12">
        <f t="shared" si="4"/>
        <v>2017</v>
      </c>
      <c r="J27" s="12">
        <f t="shared" si="4"/>
        <v>2018</v>
      </c>
      <c r="K27" s="12">
        <f t="shared" si="4"/>
        <v>2019</v>
      </c>
      <c r="L27" s="12">
        <f t="shared" si="4"/>
        <v>2020</v>
      </c>
    </row>
    <row r="28" spans="1:102">
      <c r="A28" t="s">
        <v>525</v>
      </c>
      <c r="B28" s="352">
        <f>B17</f>
        <v>-488.08602506666665</v>
      </c>
      <c r="C28" s="352">
        <f>C17</f>
        <v>-1052.6667897957932</v>
      </c>
      <c r="D28" s="352">
        <f>D17</f>
        <v>-232.36002829082295</v>
      </c>
      <c r="E28" s="352">
        <f>E17</f>
        <v>1604.1522423642755</v>
      </c>
      <c r="F28" s="352">
        <f>F17</f>
        <v>1555.4009522190104</v>
      </c>
      <c r="G28" s="353">
        <f>F28*(1+B21)</f>
        <v>1710.9410474409115</v>
      </c>
      <c r="H28" s="2">
        <f t="shared" ref="H28:AM28" si="5">G28*(1+$B$22)</f>
        <v>1762.2692788641389</v>
      </c>
      <c r="I28" s="2">
        <f t="shared" si="5"/>
        <v>1815.1373572300631</v>
      </c>
      <c r="J28" s="2">
        <f t="shared" si="5"/>
        <v>1869.5914779469651</v>
      </c>
      <c r="K28" s="2">
        <f t="shared" si="5"/>
        <v>1925.6792222853742</v>
      </c>
      <c r="L28" s="2">
        <f t="shared" si="5"/>
        <v>1983.4495989539355</v>
      </c>
      <c r="M28" s="2">
        <f t="shared" si="5"/>
        <v>2042.9530869225537</v>
      </c>
      <c r="N28" s="2">
        <f t="shared" si="5"/>
        <v>2104.2416795302302</v>
      </c>
      <c r="O28" s="2">
        <f t="shared" si="5"/>
        <v>2167.3689299161369</v>
      </c>
      <c r="P28" s="2">
        <f t="shared" si="5"/>
        <v>2232.389997813621</v>
      </c>
      <c r="Q28" s="2">
        <f t="shared" si="5"/>
        <v>2299.3616977480297</v>
      </c>
      <c r="R28" s="2">
        <f t="shared" si="5"/>
        <v>2368.3425486804708</v>
      </c>
      <c r="S28" s="2">
        <f t="shared" si="5"/>
        <v>2439.3928251408852</v>
      </c>
      <c r="T28" s="2">
        <f t="shared" si="5"/>
        <v>2512.5746098951117</v>
      </c>
      <c r="U28" s="2">
        <f t="shared" si="5"/>
        <v>2587.9518481919649</v>
      </c>
      <c r="V28" s="2">
        <f t="shared" si="5"/>
        <v>2665.5904036377237</v>
      </c>
      <c r="W28" s="2">
        <f t="shared" si="5"/>
        <v>2745.5581157468555</v>
      </c>
      <c r="X28" s="2">
        <f t="shared" si="5"/>
        <v>2827.9248592192612</v>
      </c>
      <c r="Y28" s="2">
        <f t="shared" si="5"/>
        <v>2912.762604995839</v>
      </c>
      <c r="Z28" s="2">
        <f t="shared" si="5"/>
        <v>3000.145483145714</v>
      </c>
      <c r="AA28" s="2">
        <f t="shared" si="5"/>
        <v>3090.1498476400857</v>
      </c>
      <c r="AB28" s="2">
        <f t="shared" si="5"/>
        <v>3182.8543430692885</v>
      </c>
      <c r="AC28" s="2">
        <f t="shared" si="5"/>
        <v>3278.3399733613674</v>
      </c>
      <c r="AD28" s="2">
        <f t="shared" si="5"/>
        <v>3376.6901725622083</v>
      </c>
      <c r="AE28" s="2">
        <f t="shared" si="5"/>
        <v>3477.9908777390747</v>
      </c>
      <c r="AF28" s="2">
        <f t="shared" si="5"/>
        <v>3582.3306040712469</v>
      </c>
      <c r="AG28" s="2">
        <f t="shared" si="5"/>
        <v>3689.8005221933845</v>
      </c>
      <c r="AH28" s="2">
        <f t="shared" si="5"/>
        <v>3800.494537859186</v>
      </c>
      <c r="AI28" s="2">
        <f t="shared" si="5"/>
        <v>3914.5093739949616</v>
      </c>
      <c r="AJ28" s="2">
        <f t="shared" si="5"/>
        <v>4031.9446552148106</v>
      </c>
      <c r="AK28" s="2">
        <f t="shared" si="5"/>
        <v>4152.902994871255</v>
      </c>
      <c r="AL28" s="2">
        <f t="shared" si="5"/>
        <v>4277.4900847173931</v>
      </c>
      <c r="AM28" s="2">
        <f t="shared" si="5"/>
        <v>4405.8147872589152</v>
      </c>
      <c r="AN28" s="2">
        <f t="shared" ref="AN28:BS28" si="6">AM28*(1+$B$22)</f>
        <v>4537.989230876683</v>
      </c>
      <c r="AO28" s="2">
        <f t="shared" si="6"/>
        <v>4674.128907802984</v>
      </c>
      <c r="AP28" s="2">
        <f t="shared" si="6"/>
        <v>4814.352775037074</v>
      </c>
      <c r="AQ28" s="2">
        <f t="shared" si="6"/>
        <v>4958.7833582881867</v>
      </c>
      <c r="AR28" s="2">
        <f t="shared" si="6"/>
        <v>5107.5468590368328</v>
      </c>
      <c r="AS28" s="2">
        <f t="shared" si="6"/>
        <v>5260.7732648079382</v>
      </c>
      <c r="AT28" s="2">
        <f t="shared" si="6"/>
        <v>5418.5964627521762</v>
      </c>
      <c r="AU28" s="2">
        <f t="shared" si="6"/>
        <v>5581.1543566347418</v>
      </c>
      <c r="AV28" s="2">
        <f t="shared" si="6"/>
        <v>5748.5889873337846</v>
      </c>
      <c r="AW28" s="2">
        <f t="shared" si="6"/>
        <v>5921.0466569537984</v>
      </c>
      <c r="AX28" s="2">
        <f t="shared" si="6"/>
        <v>6098.6780566624129</v>
      </c>
      <c r="AY28" s="2">
        <f t="shared" si="6"/>
        <v>6281.6383983622854</v>
      </c>
      <c r="AZ28" s="2">
        <f t="shared" si="6"/>
        <v>6470.0875503131538</v>
      </c>
      <c r="BA28" s="2">
        <f t="shared" si="6"/>
        <v>6664.1901768225489</v>
      </c>
      <c r="BB28" s="2">
        <f t="shared" si="6"/>
        <v>6864.1158821272256</v>
      </c>
      <c r="BC28" s="2">
        <f t="shared" si="6"/>
        <v>7070.0393585910424</v>
      </c>
      <c r="BD28" s="2">
        <f t="shared" si="6"/>
        <v>7282.1405393487739</v>
      </c>
      <c r="BE28" s="2">
        <f t="shared" si="6"/>
        <v>7500.6047555292371</v>
      </c>
      <c r="BF28" s="2">
        <f t="shared" si="6"/>
        <v>7725.6228981951144</v>
      </c>
      <c r="BG28" s="2">
        <f t="shared" si="6"/>
        <v>7957.3915851409683</v>
      </c>
      <c r="BH28" s="2">
        <f t="shared" si="6"/>
        <v>8196.1133326951967</v>
      </c>
      <c r="BI28" s="2">
        <f t="shared" si="6"/>
        <v>8441.9967326760525</v>
      </c>
      <c r="BJ28" s="2">
        <f t="shared" si="6"/>
        <v>8695.2566346563344</v>
      </c>
      <c r="BK28" s="2">
        <f t="shared" si="6"/>
        <v>8956.1143336960249</v>
      </c>
      <c r="BL28" s="2">
        <f t="shared" si="6"/>
        <v>9224.7977637069052</v>
      </c>
      <c r="BM28" s="2">
        <f t="shared" si="6"/>
        <v>9501.5416966181128</v>
      </c>
      <c r="BN28" s="2">
        <f t="shared" si="6"/>
        <v>9786.5879475166566</v>
      </c>
      <c r="BO28" s="2">
        <f t="shared" si="6"/>
        <v>10080.185585942156</v>
      </c>
      <c r="BP28" s="2">
        <f t="shared" si="6"/>
        <v>10382.591153520421</v>
      </c>
      <c r="BQ28" s="2">
        <f t="shared" si="6"/>
        <v>10694.068888126034</v>
      </c>
      <c r="BR28" s="2">
        <f t="shared" si="6"/>
        <v>11014.890954769815</v>
      </c>
      <c r="BS28" s="2">
        <f t="shared" si="6"/>
        <v>11345.33768341291</v>
      </c>
      <c r="BT28" s="2">
        <f t="shared" ref="BT28:CX28" si="7">BS28*(1+$B$22)</f>
        <v>11685.697813915298</v>
      </c>
      <c r="BU28" s="2">
        <f t="shared" si="7"/>
        <v>12036.268748332757</v>
      </c>
      <c r="BV28" s="2">
        <f t="shared" si="7"/>
        <v>12397.35681078274</v>
      </c>
      <c r="BW28" s="2">
        <f t="shared" si="7"/>
        <v>12769.277515106221</v>
      </c>
      <c r="BX28" s="2">
        <f t="shared" si="7"/>
        <v>13152.355840559409</v>
      </c>
      <c r="BY28" s="2">
        <f t="shared" si="7"/>
        <v>13546.926515776191</v>
      </c>
      <c r="BZ28" s="2">
        <f t="shared" si="7"/>
        <v>13953.334311249477</v>
      </c>
      <c r="CA28" s="2">
        <f t="shared" si="7"/>
        <v>14371.934340586962</v>
      </c>
      <c r="CB28" s="2">
        <f t="shared" si="7"/>
        <v>14803.092370804572</v>
      </c>
      <c r="CC28" s="2">
        <f t="shared" si="7"/>
        <v>15247.18514192871</v>
      </c>
      <c r="CD28" s="2">
        <f t="shared" si="7"/>
        <v>15704.600696186571</v>
      </c>
      <c r="CE28" s="2">
        <f t="shared" si="7"/>
        <v>16175.738717072169</v>
      </c>
      <c r="CF28" s="2">
        <f t="shared" si="7"/>
        <v>16661.010878584333</v>
      </c>
      <c r="CG28" s="2">
        <f t="shared" si="7"/>
        <v>17160.841204941862</v>
      </c>
      <c r="CH28" s="2">
        <f t="shared" si="7"/>
        <v>17675.666441090118</v>
      </c>
      <c r="CI28" s="2">
        <f t="shared" si="7"/>
        <v>18205.936434322823</v>
      </c>
      <c r="CJ28" s="2">
        <f t="shared" si="7"/>
        <v>18752.114527352507</v>
      </c>
      <c r="CK28" s="2">
        <f t="shared" si="7"/>
        <v>19314.677963173082</v>
      </c>
      <c r="CL28" s="2">
        <f t="shared" si="7"/>
        <v>19894.118302068277</v>
      </c>
      <c r="CM28" s="2">
        <f t="shared" si="7"/>
        <v>20490.941851130327</v>
      </c>
      <c r="CN28" s="2">
        <f t="shared" si="7"/>
        <v>21105.670106664238</v>
      </c>
      <c r="CO28" s="2">
        <f t="shared" si="7"/>
        <v>21738.840209864167</v>
      </c>
      <c r="CP28" s="2">
        <f t="shared" si="7"/>
        <v>22391.005416160093</v>
      </c>
      <c r="CQ28" s="2">
        <f t="shared" si="7"/>
        <v>23062.735578644897</v>
      </c>
      <c r="CR28" s="2">
        <f t="shared" si="7"/>
        <v>23754.617646004244</v>
      </c>
      <c r="CS28" s="2">
        <f t="shared" si="7"/>
        <v>24467.256175384373</v>
      </c>
      <c r="CT28" s="2">
        <f t="shared" si="7"/>
        <v>25201.273860645906</v>
      </c>
      <c r="CU28" s="2">
        <f t="shared" si="7"/>
        <v>25957.312076465285</v>
      </c>
      <c r="CV28" s="2">
        <f t="shared" si="7"/>
        <v>26736.031438759244</v>
      </c>
      <c r="CW28" s="2">
        <f t="shared" si="7"/>
        <v>27538.112381922023</v>
      </c>
      <c r="CX28" s="2">
        <f t="shared" si="7"/>
        <v>28364.255753379683</v>
      </c>
    </row>
    <row r="29" spans="1:102">
      <c r="A29" t="s">
        <v>526</v>
      </c>
      <c r="B29" s="3">
        <v>1</v>
      </c>
      <c r="C29" s="3">
        <f>1/(1+B23)</f>
        <v>0.74626865671641784</v>
      </c>
      <c r="D29" s="3">
        <f t="shared" ref="D29:AI29" si="8">C29/(1+$B$23)</f>
        <v>0.55691690799732674</v>
      </c>
      <c r="E29" s="3">
        <f t="shared" si="8"/>
        <v>0.4156096328338259</v>
      </c>
      <c r="F29" s="3">
        <f t="shared" si="8"/>
        <v>0.31015644241330287</v>
      </c>
      <c r="G29" s="354">
        <f t="shared" si="8"/>
        <v>0.23146003165171855</v>
      </c>
      <c r="H29" s="3">
        <f t="shared" si="8"/>
        <v>0.17273136690426757</v>
      </c>
      <c r="I29" s="3">
        <f t="shared" si="8"/>
        <v>0.12890400515243849</v>
      </c>
      <c r="J29" s="3">
        <f t="shared" si="8"/>
        <v>9.6197018770476483E-2</v>
      </c>
      <c r="K29" s="3">
        <f t="shared" si="8"/>
        <v>7.1788819977967516E-2</v>
      </c>
      <c r="L29" s="3">
        <f t="shared" si="8"/>
        <v>5.357374625221456E-2</v>
      </c>
      <c r="M29" s="3">
        <f t="shared" si="8"/>
        <v>3.9980407650906387E-2</v>
      </c>
      <c r="N29" s="3">
        <f t="shared" si="8"/>
        <v>2.9836125112616706E-2</v>
      </c>
      <c r="O29" s="3">
        <f t="shared" si="8"/>
        <v>2.2265765009415451E-2</v>
      </c>
      <c r="P29" s="3">
        <f t="shared" si="8"/>
        <v>1.6616242544339889E-2</v>
      </c>
      <c r="Q29" s="3">
        <f t="shared" si="8"/>
        <v>1.2400181003238721E-2</v>
      </c>
      <c r="R29" s="3">
        <f t="shared" si="8"/>
        <v>9.2538664203274043E-3</v>
      </c>
      <c r="S29" s="3">
        <f t="shared" si="8"/>
        <v>6.9058704629308982E-3</v>
      </c>
      <c r="T29" s="3">
        <f t="shared" si="8"/>
        <v>5.153634673829028E-3</v>
      </c>
      <c r="U29" s="3">
        <f t="shared" si="8"/>
        <v>3.845996025245543E-3</v>
      </c>
      <c r="V29" s="3">
        <f t="shared" si="8"/>
        <v>2.8701462874966737E-3</v>
      </c>
      <c r="W29" s="3">
        <f t="shared" si="8"/>
        <v>2.1419002145497564E-3</v>
      </c>
      <c r="X29" s="3">
        <f t="shared" si="8"/>
        <v>1.5984329959326539E-3</v>
      </c>
      <c r="Y29" s="3">
        <f t="shared" si="8"/>
        <v>1.1928604447258612E-3</v>
      </c>
      <c r="Z29" s="3">
        <f t="shared" si="8"/>
        <v>8.901943617357173E-4</v>
      </c>
      <c r="AA29" s="3">
        <f t="shared" si="8"/>
        <v>6.6432415054904273E-4</v>
      </c>
      <c r="AB29" s="3">
        <f t="shared" si="8"/>
        <v>4.957642914545095E-4</v>
      </c>
      <c r="AC29" s="3">
        <f t="shared" si="8"/>
        <v>3.6997335183172348E-4</v>
      </c>
      <c r="AD29" s="3">
        <f t="shared" si="8"/>
        <v>2.7609951629233096E-4</v>
      </c>
      <c r="AE29" s="3">
        <f t="shared" si="8"/>
        <v>2.0604441514353056E-4</v>
      </c>
      <c r="AF29" s="3">
        <f t="shared" si="8"/>
        <v>1.5376448891308249E-4</v>
      </c>
      <c r="AG29" s="3">
        <f t="shared" si="8"/>
        <v>1.147496185918526E-4</v>
      </c>
      <c r="AH29" s="3">
        <f t="shared" si="8"/>
        <v>8.563404372526313E-5</v>
      </c>
      <c r="AI29" s="3">
        <f t="shared" si="8"/>
        <v>6.3906002780047102E-5</v>
      </c>
      <c r="AJ29" s="3">
        <f t="shared" ref="AJ29:BO29" si="9">AI29/(1+$B$23)</f>
        <v>4.7691046850781414E-5</v>
      </c>
      <c r="AK29" s="3">
        <f t="shared" si="9"/>
        <v>3.5590333470732395E-5</v>
      </c>
      <c r="AL29" s="3">
        <f t="shared" si="9"/>
        <v>2.655995035129283E-5</v>
      </c>
      <c r="AM29" s="3">
        <f t="shared" si="9"/>
        <v>1.9820858471114051E-5</v>
      </c>
      <c r="AN29" s="3">
        <f t="shared" si="9"/>
        <v>1.4791685426204514E-5</v>
      </c>
      <c r="AO29" s="3">
        <f t="shared" si="9"/>
        <v>1.1038571213585458E-5</v>
      </c>
      <c r="AP29" s="3">
        <f t="shared" si="9"/>
        <v>8.2377397116309384E-6</v>
      </c>
      <c r="AQ29" s="3">
        <f t="shared" si="9"/>
        <v>6.1475669489783122E-6</v>
      </c>
      <c r="AR29" s="3">
        <f t="shared" si="9"/>
        <v>4.5877365290882922E-6</v>
      </c>
      <c r="AS29" s="3">
        <f t="shared" si="9"/>
        <v>3.4236839769315612E-6</v>
      </c>
      <c r="AT29" s="3">
        <f t="shared" si="9"/>
        <v>2.5549880424862394E-6</v>
      </c>
      <c r="AU29" s="3">
        <f t="shared" si="9"/>
        <v>1.9067074943927158E-6</v>
      </c>
      <c r="AV29" s="3">
        <f t="shared" si="9"/>
        <v>1.4229160405915789E-6</v>
      </c>
      <c r="AW29" s="3">
        <f t="shared" si="9"/>
        <v>1.0618776422325215E-6</v>
      </c>
      <c r="AX29" s="3">
        <f t="shared" si="9"/>
        <v>7.9244600166606079E-7</v>
      </c>
      <c r="AY29" s="3">
        <f t="shared" si="9"/>
        <v>5.9137761318362739E-7</v>
      </c>
      <c r="AZ29" s="3">
        <f t="shared" si="9"/>
        <v>4.4132657700270698E-7</v>
      </c>
      <c r="BA29" s="3">
        <f t="shared" si="9"/>
        <v>3.293481917930649E-7</v>
      </c>
      <c r="BB29" s="3">
        <f t="shared" si="9"/>
        <v>2.457822326813917E-7</v>
      </c>
      <c r="BC29" s="3">
        <f t="shared" si="9"/>
        <v>1.8341957662790423E-7</v>
      </c>
      <c r="BD29" s="3">
        <f t="shared" si="9"/>
        <v>1.3688028106560017E-7</v>
      </c>
      <c r="BE29" s="3">
        <f t="shared" si="9"/>
        <v>1.0214946348179116E-7</v>
      </c>
      <c r="BF29" s="3">
        <f t="shared" si="9"/>
        <v>7.6230942896859069E-8</v>
      </c>
      <c r="BG29" s="3">
        <f t="shared" si="9"/>
        <v>5.6888763355864972E-8</v>
      </c>
      <c r="BH29" s="3">
        <f t="shared" si="9"/>
        <v>4.2454301011839526E-8</v>
      </c>
      <c r="BI29" s="3">
        <f t="shared" si="9"/>
        <v>3.1682314187939941E-8</v>
      </c>
      <c r="BJ29" s="3">
        <f t="shared" si="9"/>
        <v>2.3643518050701448E-8</v>
      </c>
      <c r="BK29" s="3">
        <f t="shared" si="9"/>
        <v>1.7644416455747347E-8</v>
      </c>
      <c r="BL29" s="3">
        <f t="shared" si="9"/>
        <v>1.3167474966975632E-8</v>
      </c>
      <c r="BM29" s="3">
        <f t="shared" si="9"/>
        <v>9.8264738559519643E-9</v>
      </c>
      <c r="BN29" s="3">
        <f t="shared" si="9"/>
        <v>7.3331894447402714E-9</v>
      </c>
      <c r="BO29" s="3">
        <f t="shared" si="9"/>
        <v>5.4725294363733369E-9</v>
      </c>
      <c r="BP29" s="3">
        <f t="shared" ref="BP29:CX29" si="10">BO29/(1+$B$23)</f>
        <v>4.0839771913233855E-9</v>
      </c>
      <c r="BQ29" s="3">
        <f t="shared" si="10"/>
        <v>3.0477441726293919E-9</v>
      </c>
      <c r="BR29" s="3">
        <f t="shared" si="10"/>
        <v>2.2744359497234266E-9</v>
      </c>
      <c r="BS29" s="3">
        <f t="shared" si="10"/>
        <v>1.6973402609876317E-9</v>
      </c>
      <c r="BT29" s="3">
        <f t="shared" si="10"/>
        <v>1.266671836557934E-9</v>
      </c>
      <c r="BU29" s="3">
        <f t="shared" si="10"/>
        <v>9.4527748996860752E-10</v>
      </c>
      <c r="BV29" s="3">
        <f t="shared" si="10"/>
        <v>7.0543096266313988E-10</v>
      </c>
      <c r="BW29" s="3">
        <f t="shared" si="10"/>
        <v>5.2644101691279092E-10</v>
      </c>
      <c r="BX29" s="3">
        <f t="shared" si="10"/>
        <v>3.9286643053193351E-10</v>
      </c>
      <c r="BY29" s="3">
        <f t="shared" si="10"/>
        <v>2.9318390338203993E-10</v>
      </c>
      <c r="BZ29" s="3">
        <f t="shared" si="10"/>
        <v>2.1879395774779098E-10</v>
      </c>
      <c r="CA29" s="3">
        <f t="shared" si="10"/>
        <v>1.6327907294611265E-10</v>
      </c>
      <c r="CB29" s="3">
        <f t="shared" si="10"/>
        <v>1.2185005443739749E-10</v>
      </c>
      <c r="CC29" s="3">
        <f t="shared" si="10"/>
        <v>9.0932876445819017E-11</v>
      </c>
      <c r="CD29" s="3">
        <f t="shared" si="10"/>
        <v>6.7860355556581352E-11</v>
      </c>
      <c r="CE29" s="3">
        <f t="shared" si="10"/>
        <v>5.0642056385508471E-11</v>
      </c>
      <c r="CF29" s="3">
        <f t="shared" si="10"/>
        <v>3.7792579392170499E-11</v>
      </c>
      <c r="CG29" s="3">
        <f t="shared" si="10"/>
        <v>2.8203417456843653E-11</v>
      </c>
      <c r="CH29" s="3">
        <f t="shared" si="10"/>
        <v>2.1047326460331082E-11</v>
      </c>
      <c r="CI29" s="3">
        <f t="shared" si="10"/>
        <v>1.5706960045023195E-11</v>
      </c>
      <c r="CJ29" s="3">
        <f t="shared" si="10"/>
        <v>1.1721611973897906E-11</v>
      </c>
      <c r="CK29" s="3">
        <f t="shared" si="10"/>
        <v>8.7474716223118704E-12</v>
      </c>
      <c r="CL29" s="3">
        <f t="shared" si="10"/>
        <v>6.5279638972476638E-12</v>
      </c>
      <c r="CM29" s="3">
        <f t="shared" si="10"/>
        <v>4.8716148486922865E-12</v>
      </c>
      <c r="CN29" s="3">
        <f t="shared" si="10"/>
        <v>3.6355334691733478E-12</v>
      </c>
      <c r="CO29" s="3">
        <f t="shared" si="10"/>
        <v>2.7130846784875727E-12</v>
      </c>
      <c r="CP29" s="3">
        <f t="shared" si="10"/>
        <v>2.0246900585728154E-12</v>
      </c>
      <c r="CQ29" s="3">
        <f t="shared" si="10"/>
        <v>1.5109627302782203E-12</v>
      </c>
      <c r="CR29" s="3">
        <f t="shared" si="10"/>
        <v>1.1275841270732986E-12</v>
      </c>
      <c r="CS29" s="3">
        <f t="shared" si="10"/>
        <v>8.4148069184574517E-13</v>
      </c>
      <c r="CT29" s="3">
        <f t="shared" si="10"/>
        <v>6.2797066555652625E-13</v>
      </c>
      <c r="CU29" s="3">
        <f t="shared" si="10"/>
        <v>4.6863482504218374E-13</v>
      </c>
      <c r="CV29" s="3">
        <f t="shared" si="10"/>
        <v>3.4972748137476394E-13</v>
      </c>
      <c r="CW29" s="3">
        <f t="shared" si="10"/>
        <v>2.6099065774236116E-13</v>
      </c>
      <c r="CX29" s="3">
        <f t="shared" si="10"/>
        <v>1.9476914756892623E-13</v>
      </c>
    </row>
    <row r="30" spans="1:102" ht="13.5" thickBot="1">
      <c r="A30" t="s">
        <v>527</v>
      </c>
      <c r="B30" s="2">
        <f t="shared" ref="B30:AG30" si="11">B28*B29</f>
        <v>-488.08602506666665</v>
      </c>
      <c r="C30" s="2">
        <f t="shared" si="11"/>
        <v>-785.57223119089042</v>
      </c>
      <c r="D30" s="2">
        <f t="shared" si="11"/>
        <v>-129.40522849789647</v>
      </c>
      <c r="E30" s="2">
        <f t="shared" si="11"/>
        <v>666.70112445857501</v>
      </c>
      <c r="F30" s="2">
        <f t="shared" si="11"/>
        <v>482.41762586651191</v>
      </c>
      <c r="G30" s="353">
        <f t="shared" si="11"/>
        <v>396.01446899489787</v>
      </c>
      <c r="H30" s="2">
        <f t="shared" si="11"/>
        <v>304.39918139160062</v>
      </c>
      <c r="I30" s="2">
        <f t="shared" si="11"/>
        <v>233.97847524876764</v>
      </c>
      <c r="J30" s="2">
        <f t="shared" si="11"/>
        <v>179.84912649718709</v>
      </c>
      <c r="K30" s="2">
        <f t="shared" si="11"/>
        <v>138.24223902395721</v>
      </c>
      <c r="L30" s="2">
        <f t="shared" si="11"/>
        <v>106.26082551841488</v>
      </c>
      <c r="M30" s="2">
        <f t="shared" si="11"/>
        <v>81.678097226841288</v>
      </c>
      <c r="N30" s="2">
        <f t="shared" si="11"/>
        <v>62.782418017646656</v>
      </c>
      <c r="O30" s="2">
        <f t="shared" si="11"/>
        <v>48.258127282220933</v>
      </c>
      <c r="P30" s="2">
        <f t="shared" si="11"/>
        <v>37.09393365722952</v>
      </c>
      <c r="Q30" s="2">
        <f t="shared" si="11"/>
        <v>28.512501243989853</v>
      </c>
      <c r="R30" s="2">
        <f t="shared" si="11"/>
        <v>21.916325583066829</v>
      </c>
      <c r="S30" s="2">
        <f t="shared" si="11"/>
        <v>16.846130858625997</v>
      </c>
      <c r="T30" s="2">
        <f t="shared" si="11"/>
        <v>12.948891630137892</v>
      </c>
      <c r="U30" s="2">
        <f t="shared" si="11"/>
        <v>9.9532525216731536</v>
      </c>
      <c r="V30" s="2">
        <f t="shared" si="11"/>
        <v>7.6506344009875731</v>
      </c>
      <c r="W30" s="2">
        <f t="shared" si="11"/>
        <v>5.8807115171770148</v>
      </c>
      <c r="X30" s="2">
        <f t="shared" si="11"/>
        <v>4.5202484049942724</v>
      </c>
      <c r="Y30" s="2">
        <f t="shared" si="11"/>
        <v>3.4745192963761946</v>
      </c>
      <c r="Z30" s="2">
        <f t="shared" si="11"/>
        <v>2.6707125934831941</v>
      </c>
      <c r="AA30" s="2">
        <f t="shared" si="11"/>
        <v>2.0528611726027539</v>
      </c>
      <c r="AB30" s="2">
        <f t="shared" si="11"/>
        <v>1.5779455281946542</v>
      </c>
      <c r="AC30" s="2">
        <f t="shared" si="11"/>
        <v>1.2128984283884281</v>
      </c>
      <c r="AD30" s="2">
        <f t="shared" si="11"/>
        <v>0.93230252331349328</v>
      </c>
      <c r="AE30" s="2">
        <f t="shared" si="11"/>
        <v>0.71662059627828212</v>
      </c>
      <c r="AF30" s="2">
        <f t="shared" si="11"/>
        <v>0.55083523445270932</v>
      </c>
      <c r="AG30" s="2">
        <f t="shared" si="11"/>
        <v>0.42340320260170938</v>
      </c>
      <c r="AH30" s="2">
        <f t="shared" ref="AH30:BM30" si="12">AH28*AH29</f>
        <v>0.32545171543265722</v>
      </c>
      <c r="AI30" s="2">
        <f t="shared" si="12"/>
        <v>0.25016064693704243</v>
      </c>
      <c r="AJ30" s="2">
        <f t="shared" si="12"/>
        <v>0.19228766145160725</v>
      </c>
      <c r="AK30" s="2">
        <f t="shared" si="12"/>
        <v>0.14780320245907122</v>
      </c>
      <c r="AL30" s="2">
        <f t="shared" si="12"/>
        <v>0.11360992427824132</v>
      </c>
      <c r="AM30" s="2">
        <f t="shared" si="12"/>
        <v>8.7327031348200412E-2</v>
      </c>
      <c r="AN30" s="2">
        <f t="shared" si="12"/>
        <v>6.712450917063166E-2</v>
      </c>
      <c r="AO30" s="2">
        <f t="shared" si="12"/>
        <v>5.1595704810261656E-2</v>
      </c>
      <c r="AP30" s="2">
        <f t="shared" si="12"/>
        <v>3.9659385040723513E-2</v>
      </c>
      <c r="AQ30" s="2">
        <f t="shared" si="12"/>
        <v>3.0484452680556138E-2</v>
      </c>
      <c r="AR30" s="2">
        <f t="shared" si="12"/>
        <v>2.3432079299233449E-2</v>
      </c>
      <c r="AS30" s="2">
        <f t="shared" si="12"/>
        <v>1.8011225132992876E-2</v>
      </c>
      <c r="AT30" s="2">
        <f t="shared" si="12"/>
        <v>1.3844449169390044E-2</v>
      </c>
      <c r="AU30" s="2">
        <f t="shared" si="12"/>
        <v>1.0641628839158018E-2</v>
      </c>
      <c r="AV30" s="2">
        <f t="shared" si="12"/>
        <v>8.1797594808453427E-3</v>
      </c>
      <c r="AW30" s="2">
        <f t="shared" si="12"/>
        <v>6.2874270636348534E-3</v>
      </c>
      <c r="AX30" s="2">
        <f t="shared" si="12"/>
        <v>4.8328730414506707E-3</v>
      </c>
      <c r="AY30" s="2">
        <f t="shared" si="12"/>
        <v>3.7148203229061122E-3</v>
      </c>
      <c r="AZ30" s="2">
        <f t="shared" si="12"/>
        <v>2.8554215914875338E-3</v>
      </c>
      <c r="BA30" s="2">
        <f t="shared" si="12"/>
        <v>2.1948389845016119E-3</v>
      </c>
      <c r="BB30" s="2">
        <f t="shared" si="12"/>
        <v>1.6870777268930301E-3</v>
      </c>
      <c r="BC30" s="2">
        <f t="shared" si="12"/>
        <v>1.2967836258953886E-3</v>
      </c>
      <c r="BD30" s="2">
        <f t="shared" si="12"/>
        <v>9.9678144378526133E-4</v>
      </c>
      <c r="BE30" s="2">
        <f t="shared" si="12"/>
        <v>7.6618275156628286E-4</v>
      </c>
      <c r="BF30" s="2">
        <f t="shared" si="12"/>
        <v>5.8893151799497862E-4</v>
      </c>
      <c r="BG30" s="2">
        <f t="shared" si="12"/>
        <v>4.5268616681703582E-4</v>
      </c>
      <c r="BH30" s="2">
        <f t="shared" si="12"/>
        <v>3.4796026255339311E-4</v>
      </c>
      <c r="BI30" s="2">
        <f t="shared" si="12"/>
        <v>2.6746199285820514E-4</v>
      </c>
      <c r="BJ30" s="2">
        <f t="shared" si="12"/>
        <v>2.0558645719697858E-4</v>
      </c>
      <c r="BK30" s="2">
        <f t="shared" si="12"/>
        <v>1.5802541112902083E-4</v>
      </c>
      <c r="BL30" s="2">
        <f t="shared" si="12"/>
        <v>1.2146729362902346E-4</v>
      </c>
      <c r="BM30" s="2">
        <f t="shared" si="12"/>
        <v>9.3366651073055359E-5</v>
      </c>
      <c r="BN30" s="2">
        <f t="shared" ref="BN30:CS30" si="13">BN28*BN29</f>
        <v>7.1766903436751506E-5</v>
      </c>
      <c r="BO30" s="2">
        <f t="shared" si="13"/>
        <v>5.5164112343174662E-5</v>
      </c>
      <c r="BP30" s="2">
        <f t="shared" si="13"/>
        <v>4.2402265457813363E-5</v>
      </c>
      <c r="BQ30" s="2">
        <f t="shared" si="13"/>
        <v>3.25927861354834E-5</v>
      </c>
      <c r="BR30" s="2">
        <f t="shared" si="13"/>
        <v>2.5052663969811864E-5</v>
      </c>
      <c r="BS30" s="2">
        <f t="shared" si="13"/>
        <v>1.9256898424556881E-5</v>
      </c>
      <c r="BT30" s="2">
        <f t="shared" si="13"/>
        <v>1.4801944311413125E-5</v>
      </c>
      <c r="BU30" s="2">
        <f t="shared" si="13"/>
        <v>1.1377613911011582E-5</v>
      </c>
      <c r="BV30" s="2">
        <f t="shared" si="13"/>
        <v>8.7454793495089015E-6</v>
      </c>
      <c r="BW30" s="2">
        <f t="shared" si="13"/>
        <v>6.7222714402941548E-6</v>
      </c>
      <c r="BX30" s="2">
        <f t="shared" si="13"/>
        <v>5.1671190921664033E-6</v>
      </c>
      <c r="BY30" s="2">
        <f t="shared" si="13"/>
        <v>3.9717407947249213E-6</v>
      </c>
      <c r="BZ30" s="2">
        <f t="shared" si="13"/>
        <v>3.0529052377363201E-6</v>
      </c>
      <c r="CA30" s="2">
        <f t="shared" si="13"/>
        <v>2.34663611557344E-6</v>
      </c>
      <c r="CB30" s="2">
        <f t="shared" si="13"/>
        <v>1.8037576112243605E-6</v>
      </c>
      <c r="CC30" s="2">
        <f t="shared" si="13"/>
        <v>1.3864704026575309E-6</v>
      </c>
      <c r="CD30" s="2">
        <f t="shared" si="13"/>
        <v>1.0657197871173557E-6</v>
      </c>
      <c r="CE30" s="2">
        <f t="shared" si="13"/>
        <v>8.1917267218722118E-7</v>
      </c>
      <c r="CF30" s="2">
        <f t="shared" si="13"/>
        <v>6.2966257638271475E-7</v>
      </c>
      <c r="CG30" s="2">
        <f t="shared" si="13"/>
        <v>4.8399436841357924E-7</v>
      </c>
      <c r="CH30" s="2">
        <f t="shared" si="13"/>
        <v>3.7202552198954215E-7</v>
      </c>
      <c r="CI30" s="2">
        <f t="shared" si="13"/>
        <v>2.8595991615614064E-7</v>
      </c>
      <c r="CJ30" s="2">
        <f t="shared" si="13"/>
        <v>2.1980501017972002E-7</v>
      </c>
      <c r="CK30" s="2">
        <f t="shared" si="13"/>
        <v>1.6895459737694897E-7</v>
      </c>
      <c r="CL30" s="2">
        <f t="shared" si="13"/>
        <v>1.2986808604347569E-7</v>
      </c>
      <c r="CM30" s="2">
        <f t="shared" si="13"/>
        <v>9.9823976585656712E-8</v>
      </c>
      <c r="CN30" s="2">
        <f t="shared" si="13"/>
        <v>7.6730370062109265E-8</v>
      </c>
      <c r="CO30" s="2">
        <f t="shared" si="13"/>
        <v>5.8979314301472038E-8</v>
      </c>
      <c r="CP30" s="2">
        <f t="shared" si="13"/>
        <v>4.5334846067549408E-8</v>
      </c>
      <c r="CQ30" s="2">
        <f t="shared" si="13"/>
        <v>3.4846933917593944E-8</v>
      </c>
      <c r="CR30" s="2">
        <f t="shared" si="13"/>
        <v>2.6785329802329672E-8</v>
      </c>
      <c r="CS30" s="2">
        <f t="shared" si="13"/>
        <v>2.0588723654029523E-8</v>
      </c>
      <c r="CT30" s="2">
        <f>CT28*CT29</f>
        <v>1.5825660719142096E-8</v>
      </c>
      <c r="CU30" s="2">
        <f>CU28*CU29</f>
        <v>1.2164500403519671E-8</v>
      </c>
      <c r="CV30" s="2">
        <f>CV28*CV29</f>
        <v>9.3503249370337763E-9</v>
      </c>
      <c r="CW30" s="2">
        <f>CW28*CW29</f>
        <v>7.187190063540889E-9</v>
      </c>
      <c r="CX30" s="2">
        <f>CX28*CX29</f>
        <v>5.5244819145127723E-9</v>
      </c>
    </row>
    <row r="31" spans="1:102" ht="13.5" thickBot="1">
      <c r="A31" t="s">
        <v>528</v>
      </c>
      <c r="B31" s="2">
        <f>B30</f>
        <v>-488.08602506666665</v>
      </c>
      <c r="C31" s="2">
        <f t="shared" ref="C31:AH31" si="14">B31+C30</f>
        <v>-1273.658256257557</v>
      </c>
      <c r="D31" s="2">
        <f t="shared" si="14"/>
        <v>-1403.0634847554534</v>
      </c>
      <c r="E31" s="2">
        <f t="shared" si="14"/>
        <v>-736.36236029687836</v>
      </c>
      <c r="F31" s="2">
        <f t="shared" si="14"/>
        <v>-253.94473443036645</v>
      </c>
      <c r="G31" s="355">
        <f t="shared" si="14"/>
        <v>142.06973456453142</v>
      </c>
      <c r="H31" s="2">
        <f t="shared" si="14"/>
        <v>446.46891595613204</v>
      </c>
      <c r="I31" s="2">
        <f t="shared" si="14"/>
        <v>680.44739120489965</v>
      </c>
      <c r="J31" s="2">
        <f t="shared" si="14"/>
        <v>860.2965177020867</v>
      </c>
      <c r="K31" s="2">
        <f t="shared" si="14"/>
        <v>998.53875672604386</v>
      </c>
      <c r="L31" s="355">
        <f t="shared" si="14"/>
        <v>1104.7995822444586</v>
      </c>
      <c r="M31" s="2">
        <f t="shared" si="14"/>
        <v>1186.4776794713</v>
      </c>
      <c r="N31" s="2">
        <f t="shared" si="14"/>
        <v>1249.2600974889467</v>
      </c>
      <c r="O31" s="2">
        <f t="shared" si="14"/>
        <v>1297.5182247711678</v>
      </c>
      <c r="P31" s="2">
        <f t="shared" si="14"/>
        <v>1334.6121584283974</v>
      </c>
      <c r="Q31" s="2">
        <f t="shared" si="14"/>
        <v>1363.1246596723872</v>
      </c>
      <c r="R31" s="2">
        <f t="shared" si="14"/>
        <v>1385.040985255454</v>
      </c>
      <c r="S31" s="2">
        <f t="shared" si="14"/>
        <v>1401.8871161140801</v>
      </c>
      <c r="T31" s="2">
        <f t="shared" si="14"/>
        <v>1414.836007744218</v>
      </c>
      <c r="U31" s="2">
        <f t="shared" si="14"/>
        <v>1424.7892602658912</v>
      </c>
      <c r="V31" s="2">
        <f t="shared" si="14"/>
        <v>1432.4398946668789</v>
      </c>
      <c r="W31" s="2">
        <f t="shared" si="14"/>
        <v>1438.3206061840558</v>
      </c>
      <c r="X31" s="2">
        <f t="shared" si="14"/>
        <v>1442.84085458905</v>
      </c>
      <c r="Y31" s="2">
        <f t="shared" si="14"/>
        <v>1446.3153738854262</v>
      </c>
      <c r="Z31" s="2">
        <f t="shared" si="14"/>
        <v>1448.9860864789093</v>
      </c>
      <c r="AA31" s="2">
        <f t="shared" si="14"/>
        <v>1451.038947651512</v>
      </c>
      <c r="AB31" s="2">
        <f t="shared" si="14"/>
        <v>1452.6168931797067</v>
      </c>
      <c r="AC31" s="2">
        <f t="shared" si="14"/>
        <v>1453.8297916080951</v>
      </c>
      <c r="AD31" s="2">
        <f t="shared" si="14"/>
        <v>1454.7620941314085</v>
      </c>
      <c r="AE31" s="2">
        <f t="shared" si="14"/>
        <v>1455.4787147276868</v>
      </c>
      <c r="AF31" s="2">
        <f t="shared" si="14"/>
        <v>1456.0295499621395</v>
      </c>
      <c r="AG31" s="2">
        <f t="shared" si="14"/>
        <v>1456.4529531647413</v>
      </c>
      <c r="AH31" s="2">
        <f t="shared" si="14"/>
        <v>1456.7784048801739</v>
      </c>
      <c r="AI31" s="2">
        <f t="shared" ref="AI31:BN31" si="15">AH31+AI30</f>
        <v>1457.0285655271109</v>
      </c>
      <c r="AJ31" s="2">
        <f t="shared" si="15"/>
        <v>1457.2208531885626</v>
      </c>
      <c r="AK31" s="2">
        <f t="shared" si="15"/>
        <v>1457.3686563910217</v>
      </c>
      <c r="AL31" s="2">
        <f t="shared" si="15"/>
        <v>1457.4822663153</v>
      </c>
      <c r="AM31" s="2">
        <f t="shared" si="15"/>
        <v>1457.5695933466482</v>
      </c>
      <c r="AN31" s="2">
        <f t="shared" si="15"/>
        <v>1457.6367178558187</v>
      </c>
      <c r="AO31" s="2">
        <f t="shared" si="15"/>
        <v>1457.688313560629</v>
      </c>
      <c r="AP31" s="2">
        <f t="shared" si="15"/>
        <v>1457.7279729456698</v>
      </c>
      <c r="AQ31" s="2">
        <f t="shared" si="15"/>
        <v>1457.7584573983504</v>
      </c>
      <c r="AR31" s="2">
        <f t="shared" si="15"/>
        <v>1457.7818894776497</v>
      </c>
      <c r="AS31" s="2">
        <f t="shared" si="15"/>
        <v>1457.7999007027827</v>
      </c>
      <c r="AT31" s="2">
        <f t="shared" si="15"/>
        <v>1457.8137451519522</v>
      </c>
      <c r="AU31" s="2">
        <f t="shared" si="15"/>
        <v>1457.8243867807914</v>
      </c>
      <c r="AV31" s="2">
        <f t="shared" si="15"/>
        <v>1457.8325665402722</v>
      </c>
      <c r="AW31" s="2">
        <f t="shared" si="15"/>
        <v>1457.8388539673358</v>
      </c>
      <c r="AX31" s="2">
        <f t="shared" si="15"/>
        <v>1457.8436868403774</v>
      </c>
      <c r="AY31" s="2">
        <f t="shared" si="15"/>
        <v>1457.8474016607004</v>
      </c>
      <c r="AZ31" s="2">
        <f t="shared" si="15"/>
        <v>1457.8502570822918</v>
      </c>
      <c r="BA31" s="2">
        <f t="shared" si="15"/>
        <v>1457.8524519212763</v>
      </c>
      <c r="BB31" s="2">
        <f t="shared" si="15"/>
        <v>1457.8541389990032</v>
      </c>
      <c r="BC31" s="2">
        <f t="shared" si="15"/>
        <v>1457.8554357826292</v>
      </c>
      <c r="BD31" s="2">
        <f t="shared" si="15"/>
        <v>1457.856432564073</v>
      </c>
      <c r="BE31" s="2">
        <f t="shared" si="15"/>
        <v>1457.8571987468245</v>
      </c>
      <c r="BF31" s="2">
        <f t="shared" si="15"/>
        <v>1457.8577876783424</v>
      </c>
      <c r="BG31" s="2">
        <f t="shared" si="15"/>
        <v>1457.8582403645094</v>
      </c>
      <c r="BH31" s="2">
        <f t="shared" si="15"/>
        <v>1457.858588324772</v>
      </c>
      <c r="BI31" s="2">
        <f t="shared" si="15"/>
        <v>1457.8588557867649</v>
      </c>
      <c r="BJ31" s="2">
        <f t="shared" si="15"/>
        <v>1457.8590613732222</v>
      </c>
      <c r="BK31" s="2">
        <f t="shared" si="15"/>
        <v>1457.8592193986333</v>
      </c>
      <c r="BL31" s="2">
        <f t="shared" si="15"/>
        <v>1457.8593408659269</v>
      </c>
      <c r="BM31" s="2">
        <f t="shared" si="15"/>
        <v>1457.859434232578</v>
      </c>
      <c r="BN31" s="2">
        <f t="shared" si="15"/>
        <v>1457.8595059994814</v>
      </c>
      <c r="BO31" s="2">
        <f t="shared" ref="BO31:CT31" si="16">BN31+BO30</f>
        <v>1457.8595611635938</v>
      </c>
      <c r="BP31" s="2">
        <f t="shared" si="16"/>
        <v>1457.8596035658593</v>
      </c>
      <c r="BQ31" s="2">
        <f t="shared" si="16"/>
        <v>1457.8596361586453</v>
      </c>
      <c r="BR31" s="2">
        <f t="shared" si="16"/>
        <v>1457.8596612113092</v>
      </c>
      <c r="BS31" s="2">
        <f t="shared" si="16"/>
        <v>1457.8596804682077</v>
      </c>
      <c r="BT31" s="2">
        <f t="shared" si="16"/>
        <v>1457.8596952701521</v>
      </c>
      <c r="BU31" s="2">
        <f t="shared" si="16"/>
        <v>1457.859706647766</v>
      </c>
      <c r="BV31" s="2">
        <f t="shared" si="16"/>
        <v>1457.8597153932453</v>
      </c>
      <c r="BW31" s="2">
        <f t="shared" si="16"/>
        <v>1457.8597221155167</v>
      </c>
      <c r="BX31" s="2">
        <f t="shared" si="16"/>
        <v>1457.8597272826357</v>
      </c>
      <c r="BY31" s="2">
        <f t="shared" si="16"/>
        <v>1457.8597312543766</v>
      </c>
      <c r="BZ31" s="2">
        <f t="shared" si="16"/>
        <v>1457.8597343072818</v>
      </c>
      <c r="CA31" s="2">
        <f t="shared" si="16"/>
        <v>1457.8597366539179</v>
      </c>
      <c r="CB31" s="2">
        <f t="shared" si="16"/>
        <v>1457.8597384576756</v>
      </c>
      <c r="CC31" s="2">
        <f t="shared" si="16"/>
        <v>1457.8597398441459</v>
      </c>
      <c r="CD31" s="2">
        <f t="shared" si="16"/>
        <v>1457.8597409098656</v>
      </c>
      <c r="CE31" s="2">
        <f t="shared" si="16"/>
        <v>1457.8597417290384</v>
      </c>
      <c r="CF31" s="2">
        <f t="shared" si="16"/>
        <v>1457.8597423587009</v>
      </c>
      <c r="CG31" s="2">
        <f t="shared" si="16"/>
        <v>1457.8597428426954</v>
      </c>
      <c r="CH31" s="2">
        <f t="shared" si="16"/>
        <v>1457.859743214721</v>
      </c>
      <c r="CI31" s="2">
        <f t="shared" si="16"/>
        <v>1457.8597435006809</v>
      </c>
      <c r="CJ31" s="2">
        <f t="shared" si="16"/>
        <v>1457.859743720486</v>
      </c>
      <c r="CK31" s="2">
        <f t="shared" si="16"/>
        <v>1457.8597438894406</v>
      </c>
      <c r="CL31" s="2">
        <f t="shared" si="16"/>
        <v>1457.8597440193087</v>
      </c>
      <c r="CM31" s="2">
        <f t="shared" si="16"/>
        <v>1457.8597441191325</v>
      </c>
      <c r="CN31" s="2">
        <f t="shared" si="16"/>
        <v>1457.859744195863</v>
      </c>
      <c r="CO31" s="2">
        <f t="shared" si="16"/>
        <v>1457.8597442548423</v>
      </c>
      <c r="CP31" s="2">
        <f t="shared" si="16"/>
        <v>1457.8597443001772</v>
      </c>
      <c r="CQ31" s="2">
        <f t="shared" si="16"/>
        <v>1457.8597443350241</v>
      </c>
      <c r="CR31" s="2">
        <f t="shared" si="16"/>
        <v>1457.8597443618094</v>
      </c>
      <c r="CS31" s="2">
        <f t="shared" si="16"/>
        <v>1457.859744382398</v>
      </c>
      <c r="CT31" s="2">
        <f t="shared" si="16"/>
        <v>1457.8597443982237</v>
      </c>
      <c r="CU31" s="2">
        <f>CT31+CU30</f>
        <v>1457.8597444103882</v>
      </c>
      <c r="CV31" s="2">
        <f>CU31+CV30</f>
        <v>1457.8597444197385</v>
      </c>
      <c r="CW31" s="2">
        <f>CV31+CW30</f>
        <v>1457.8597444269258</v>
      </c>
      <c r="CX31" s="2">
        <f>CW31+CX30</f>
        <v>1457.8597444324503</v>
      </c>
    </row>
    <row r="32" spans="1:102">
      <c r="A32" t="str">
        <f>A18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3" spans="1:12">
      <c r="A33" t="s">
        <v>529</v>
      </c>
      <c r="B33" s="2">
        <f>G31</f>
        <v>142.06973456453142</v>
      </c>
    </row>
    <row r="34" spans="1:12" ht="13.5" thickBot="1">
      <c r="A34" t="s">
        <v>530</v>
      </c>
      <c r="B34" s="2">
        <f>L31</f>
        <v>1104.7995822444586</v>
      </c>
    </row>
    <row r="35" spans="1:12" ht="13.5" thickBot="1">
      <c r="A35" t="s">
        <v>531</v>
      </c>
      <c r="B35" s="2">
        <f>V31</f>
        <v>1432.4398946668789</v>
      </c>
      <c r="D35" s="376" t="s">
        <v>532</v>
      </c>
      <c r="E35" s="377"/>
      <c r="F35" s="377"/>
      <c r="G35" s="378"/>
    </row>
    <row r="36" spans="1:12" ht="13.5" thickBot="1">
      <c r="A36" t="s">
        <v>533</v>
      </c>
      <c r="B36" s="2">
        <f>AF31</f>
        <v>1456.0295499621395</v>
      </c>
      <c r="D36" s="379" t="s">
        <v>534</v>
      </c>
      <c r="E36" s="380"/>
      <c r="F36" s="380"/>
      <c r="G36" s="381"/>
      <c r="H36" s="356" t="s">
        <v>535</v>
      </c>
      <c r="I36" s="357">
        <f>G31+G30*(1+B22)/(B23-B22)</f>
        <v>1457.8597444508048</v>
      </c>
    </row>
    <row r="37" spans="1:12" ht="13.5" thickBot="1">
      <c r="A37" t="s">
        <v>536</v>
      </c>
      <c r="B37" s="2">
        <f>AP31</f>
        <v>1457.7279729456698</v>
      </c>
    </row>
    <row r="38" spans="1:12" ht="13.5" thickBot="1">
      <c r="A38" t="s">
        <v>537</v>
      </c>
      <c r="B38" s="355">
        <f>CX31</f>
        <v>1457.8597444324503</v>
      </c>
    </row>
    <row r="39" spans="1:12" ht="13.5" thickBot="1">
      <c r="A39" t="str">
        <f>A18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0" spans="1:12" ht="13.5" thickBot="1">
      <c r="A40" s="321" t="s">
        <v>541</v>
      </c>
      <c r="D40" s="373" t="s">
        <v>538</v>
      </c>
      <c r="E40" s="374"/>
      <c r="F40" s="374"/>
      <c r="G40" s="375"/>
    </row>
    <row r="41" spans="1:12" ht="13.5" thickBot="1">
      <c r="D41" s="373" t="s">
        <v>539</v>
      </c>
      <c r="E41" s="375"/>
      <c r="F41" s="373" t="s">
        <v>540</v>
      </c>
      <c r="G41" s="375"/>
    </row>
    <row r="42" spans="1:12" ht="13.5" thickBot="1">
      <c r="B42" s="356"/>
      <c r="D42" s="358" t="s">
        <v>542</v>
      </c>
      <c r="E42" s="359">
        <f>E45-E43-E44</f>
        <v>1457.8597444324503</v>
      </c>
      <c r="F42" s="358" t="s">
        <v>543</v>
      </c>
      <c r="G42" s="359">
        <f>G45-G43</f>
        <v>1457.8597444324503</v>
      </c>
      <c r="H42" s="356" t="s">
        <v>544</v>
      </c>
      <c r="J42" s="373" t="s">
        <v>545</v>
      </c>
      <c r="K42" s="374"/>
      <c r="L42" s="375"/>
    </row>
    <row r="43" spans="1:12">
      <c r="D43" s="360" t="s">
        <v>479</v>
      </c>
      <c r="E43" s="361">
        <f>B24</f>
        <v>0</v>
      </c>
      <c r="F43" s="360" t="s">
        <v>546</v>
      </c>
      <c r="G43" s="361">
        <f>B25</f>
        <v>0</v>
      </c>
    </row>
    <row r="44" spans="1:12" ht="13.5" thickBot="1">
      <c r="D44" s="362" t="s">
        <v>477</v>
      </c>
      <c r="E44" s="363"/>
      <c r="F44" s="362"/>
      <c r="G44" s="363"/>
    </row>
    <row r="45" spans="1:12" ht="13.5" thickBot="1">
      <c r="D45" s="364" t="s">
        <v>1</v>
      </c>
      <c r="E45" s="365">
        <f>B38</f>
        <v>1457.8597444324503</v>
      </c>
      <c r="F45" s="364" t="s">
        <v>1</v>
      </c>
      <c r="G45" s="365">
        <f>E45</f>
        <v>1457.8597444324503</v>
      </c>
    </row>
    <row r="46" spans="1:12">
      <c r="A46" t="str">
        <f>A18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7" spans="1:12">
      <c r="C47" s="10"/>
    </row>
    <row r="48" spans="1:12">
      <c r="C48" s="10"/>
    </row>
    <row r="49" spans="2:3">
      <c r="C49" s="366"/>
    </row>
    <row r="50" spans="2:3">
      <c r="C50" s="10"/>
    </row>
    <row r="53" spans="2:3">
      <c r="B53" s="10"/>
    </row>
  </sheetData>
  <mergeCells count="6">
    <mergeCell ref="J42:L42"/>
    <mergeCell ref="D41:E41"/>
    <mergeCell ref="D35:G35"/>
    <mergeCell ref="D36:G36"/>
    <mergeCell ref="D40:G40"/>
    <mergeCell ref="F41:G41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I2" sqref="I2"/>
    </sheetView>
  </sheetViews>
  <sheetFormatPr baseColWidth="10" defaultColWidth="6.5703125" defaultRowHeight="12.75"/>
  <cols>
    <col min="1" max="1" width="17.5703125" customWidth="1"/>
    <col min="2" max="4" width="9" customWidth="1"/>
    <col min="5" max="5" width="7" customWidth="1"/>
  </cols>
  <sheetData>
    <row r="1" spans="1:7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7">
      <c r="A2" s="12" t="s">
        <v>484</v>
      </c>
    </row>
    <row r="3" spans="1:7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7">
      <c r="A4" s="310"/>
      <c r="B4" s="309">
        <f>'[1]BP1Bis (2) simu'!E4</f>
        <v>2011</v>
      </c>
      <c r="C4" s="309">
        <f>'[1]BP1Bis (2) simu'!F4</f>
        <v>2012</v>
      </c>
      <c r="D4" s="309">
        <v>2013</v>
      </c>
      <c r="E4" s="315">
        <f>D4+1</f>
        <v>2014</v>
      </c>
      <c r="F4" s="315">
        <f>E4+1</f>
        <v>2015</v>
      </c>
      <c r="G4" s="315">
        <f>F4+1</f>
        <v>2016</v>
      </c>
    </row>
    <row r="5" spans="1:7">
      <c r="A5" s="310" t="s">
        <v>222</v>
      </c>
      <c r="B5" s="313"/>
      <c r="C5" s="313">
        <f>'[1]BP1Bis (3) simu'!F5</f>
        <v>2829.52</v>
      </c>
      <c r="D5" s="313">
        <f>'[1]BP1Bis (3) simu'!G5</f>
        <v>3958.3100000000004</v>
      </c>
      <c r="E5" s="313">
        <f>'[1]BP1Bis (3) simu'!H5</f>
        <v>5087.1000000000004</v>
      </c>
      <c r="F5" s="313">
        <f>'[1]BP1Bis (3) simu'!I5</f>
        <v>5907.6</v>
      </c>
      <c r="G5" s="313">
        <v>5942</v>
      </c>
    </row>
    <row r="6" spans="1:7">
      <c r="A6" s="310" t="s">
        <v>485</v>
      </c>
      <c r="B6" s="313">
        <f>'[1]BP1Bis (3) simu'!D14</f>
        <v>175.45599999999999</v>
      </c>
      <c r="C6" s="313">
        <f>'[1]BP1Bis (3) simu'!E14</f>
        <v>391.85324858749999</v>
      </c>
      <c r="D6" s="313">
        <f>'[1]BP1Bis (3) simu'!F14</f>
        <v>608.25049717499996</v>
      </c>
      <c r="E6" s="313">
        <f>'[1]BP1Bis (3) simu'!G14</f>
        <v>645.90332642749991</v>
      </c>
      <c r="F6" s="313">
        <f>'[1]BP1Bis (3) simu'!H14</f>
        <v>683.55615567999996</v>
      </c>
      <c r="G6" s="313">
        <f>'[1]BP1Bis (3) simu'!I14</f>
        <v>720.72359716860001</v>
      </c>
    </row>
    <row r="7" spans="1:7">
      <c r="A7" s="310" t="s">
        <v>486</v>
      </c>
      <c r="B7" s="313">
        <f>'[1]BP1Bis (3) simu'!D11</f>
        <v>300</v>
      </c>
      <c r="C7" s="313">
        <f>'[1]BP1Bis (3) simu'!E11</f>
        <v>450</v>
      </c>
      <c r="D7" s="313">
        <f>'[1]BP1Bis (3) simu'!F11</f>
        <v>600</v>
      </c>
      <c r="E7" s="313">
        <f>'[1]BP1Bis (3) simu'!G11</f>
        <v>600</v>
      </c>
      <c r="F7" s="313">
        <f>'[1]BP1Bis (3) simu'!H11</f>
        <v>600</v>
      </c>
      <c r="G7" s="313">
        <f>'[1]BP1Bis (3) simu'!I11</f>
        <v>600</v>
      </c>
    </row>
    <row r="8" spans="1:7">
      <c r="A8" s="310" t="s">
        <v>487</v>
      </c>
      <c r="B8" s="313">
        <f t="shared" ref="B8:G8" si="0">B7+B6</f>
        <v>475.45600000000002</v>
      </c>
      <c r="C8" s="313">
        <f t="shared" si="0"/>
        <v>841.85324858750005</v>
      </c>
      <c r="D8" s="313">
        <f t="shared" si="0"/>
        <v>1208.250497175</v>
      </c>
      <c r="E8" s="313">
        <f t="shared" si="0"/>
        <v>1245.9033264274999</v>
      </c>
      <c r="F8" s="313">
        <f t="shared" si="0"/>
        <v>1283.5561556799998</v>
      </c>
      <c r="G8" s="313">
        <f t="shared" si="0"/>
        <v>1320.7235971686</v>
      </c>
    </row>
    <row r="9" spans="1:7">
      <c r="A9" s="310" t="s">
        <v>488</v>
      </c>
      <c r="B9" s="331"/>
      <c r="C9" s="331">
        <f>C8/C5</f>
        <v>0.29752510976685093</v>
      </c>
      <c r="D9" s="331">
        <f>D8/D5</f>
        <v>0.30524403019849378</v>
      </c>
      <c r="E9" s="331">
        <f>E8/E5</f>
        <v>0.24491425889553967</v>
      </c>
      <c r="F9" s="331">
        <f>F8/F5</f>
        <v>0.21727201497731732</v>
      </c>
      <c r="G9" s="331">
        <f>G8/G5</f>
        <v>0.22226920181228543</v>
      </c>
    </row>
    <row r="10" spans="1:7">
      <c r="A10" s="310" t="s">
        <v>489</v>
      </c>
      <c r="B10" s="313">
        <f t="shared" ref="B10:G10" si="1">B5/B14</f>
        <v>0</v>
      </c>
      <c r="C10" s="313">
        <f t="shared" si="1"/>
        <v>471.58666666666664</v>
      </c>
      <c r="D10" s="313">
        <f t="shared" si="1"/>
        <v>329.85916666666668</v>
      </c>
      <c r="E10" s="313">
        <f t="shared" si="1"/>
        <v>339.14000000000004</v>
      </c>
      <c r="F10" s="313">
        <f t="shared" si="1"/>
        <v>393.84000000000003</v>
      </c>
      <c r="G10" s="313">
        <f t="shared" si="1"/>
        <v>396.13333333333333</v>
      </c>
    </row>
    <row r="11" spans="1:7">
      <c r="A11" s="310" t="s">
        <v>490</v>
      </c>
      <c r="B11" s="332">
        <f t="shared" ref="B11:G11" si="2">+B5/B21</f>
        <v>0</v>
      </c>
      <c r="C11" s="332">
        <f t="shared" si="2"/>
        <v>0.14510358974358975</v>
      </c>
      <c r="D11" s="332">
        <f t="shared" si="2"/>
        <v>0.10850630482456142</v>
      </c>
      <c r="E11" s="332">
        <f t="shared" si="2"/>
        <v>0.11267109634551496</v>
      </c>
      <c r="F11" s="332">
        <f t="shared" si="2"/>
        <v>0.13084385382059802</v>
      </c>
      <c r="G11" s="332">
        <f t="shared" si="2"/>
        <v>0.13160575858250276</v>
      </c>
    </row>
    <row r="13" spans="1:7">
      <c r="A13" s="309" t="s">
        <v>491</v>
      </c>
      <c r="B13" s="333">
        <f>B4</f>
        <v>2011</v>
      </c>
      <c r="C13" s="333">
        <f>C4</f>
        <v>2012</v>
      </c>
      <c r="D13" s="333">
        <f>D4</f>
        <v>2013</v>
      </c>
      <c r="E13" s="333">
        <f>D13+1</f>
        <v>2014</v>
      </c>
      <c r="F13" s="333">
        <f>E13+1</f>
        <v>2015</v>
      </c>
      <c r="G13" s="333">
        <f>F13+1</f>
        <v>2016</v>
      </c>
    </row>
    <row r="14" spans="1:7">
      <c r="A14" s="310" t="s">
        <v>492</v>
      </c>
      <c r="B14" s="334">
        <v>1</v>
      </c>
      <c r="C14" s="334">
        <v>6</v>
      </c>
      <c r="D14" s="334">
        <v>12</v>
      </c>
      <c r="E14" s="334">
        <v>15</v>
      </c>
      <c r="F14" s="334">
        <v>15</v>
      </c>
      <c r="G14" s="334">
        <v>15</v>
      </c>
    </row>
    <row r="15" spans="1:7">
      <c r="A15" s="310" t="s">
        <v>493</v>
      </c>
      <c r="B15" s="310">
        <v>100</v>
      </c>
      <c r="C15" s="310">
        <v>50</v>
      </c>
      <c r="D15" s="310">
        <v>40</v>
      </c>
      <c r="E15" s="310">
        <f>D15</f>
        <v>40</v>
      </c>
      <c r="F15" s="310">
        <f>E15</f>
        <v>40</v>
      </c>
      <c r="G15" s="310">
        <f>F15</f>
        <v>40</v>
      </c>
    </row>
    <row r="16" spans="1:7">
      <c r="A16" s="310" t="s">
        <v>494</v>
      </c>
      <c r="B16" s="310">
        <f t="shared" ref="B16:G16" si="3">B15*B14</f>
        <v>100</v>
      </c>
      <c r="C16" s="310">
        <f t="shared" si="3"/>
        <v>300</v>
      </c>
      <c r="D16" s="310">
        <f t="shared" si="3"/>
        <v>480</v>
      </c>
      <c r="E16" s="310">
        <f t="shared" si="3"/>
        <v>600</v>
      </c>
      <c r="F16" s="310">
        <f t="shared" si="3"/>
        <v>600</v>
      </c>
      <c r="G16" s="310">
        <f t="shared" si="3"/>
        <v>600</v>
      </c>
    </row>
    <row r="17" spans="1:7">
      <c r="A17" s="310" t="s">
        <v>495</v>
      </c>
      <c r="B17" s="310">
        <v>350</v>
      </c>
      <c r="C17" s="310">
        <v>300</v>
      </c>
      <c r="D17" s="310">
        <v>120</v>
      </c>
      <c r="E17" s="310"/>
      <c r="F17" s="310"/>
      <c r="G17" s="310"/>
    </row>
    <row r="18" spans="1:7">
      <c r="A18" s="309" t="s">
        <v>496</v>
      </c>
      <c r="B18" s="309">
        <f t="shared" ref="B18:G18" si="4">B17+B16</f>
        <v>450</v>
      </c>
      <c r="C18" s="309">
        <f t="shared" si="4"/>
        <v>600</v>
      </c>
      <c r="D18" s="309">
        <f t="shared" si="4"/>
        <v>600</v>
      </c>
      <c r="E18" s="309">
        <f t="shared" si="4"/>
        <v>600</v>
      </c>
      <c r="F18" s="309">
        <f t="shared" si="4"/>
        <v>600</v>
      </c>
      <c r="G18" s="309">
        <f t="shared" si="4"/>
        <v>600</v>
      </c>
    </row>
    <row r="19" spans="1:7">
      <c r="A19" s="326"/>
      <c r="B19" s="326"/>
      <c r="C19" s="326"/>
      <c r="D19" s="326"/>
      <c r="E19" s="326"/>
      <c r="F19" s="326"/>
      <c r="G19" s="326"/>
    </row>
    <row r="20" spans="1:7">
      <c r="A20" s="310" t="s">
        <v>497</v>
      </c>
      <c r="B20" s="310">
        <v>3750</v>
      </c>
      <c r="C20" s="310">
        <v>3250</v>
      </c>
      <c r="D20" s="310">
        <v>3040</v>
      </c>
      <c r="E20" s="310">
        <v>3010</v>
      </c>
      <c r="F20" s="310">
        <f>+E20</f>
        <v>3010</v>
      </c>
      <c r="G20" s="310">
        <f>+F20</f>
        <v>3010</v>
      </c>
    </row>
    <row r="21" spans="1:7">
      <c r="A21" s="310" t="s">
        <v>498</v>
      </c>
      <c r="B21" s="310">
        <f t="shared" ref="B21:G21" si="5">B14*B20</f>
        <v>3750</v>
      </c>
      <c r="C21" s="310">
        <f t="shared" si="5"/>
        <v>19500</v>
      </c>
      <c r="D21" s="310">
        <f t="shared" si="5"/>
        <v>36480</v>
      </c>
      <c r="E21" s="310">
        <f t="shared" si="5"/>
        <v>45150</v>
      </c>
      <c r="F21" s="310">
        <f t="shared" si="5"/>
        <v>45150</v>
      </c>
      <c r="G21" s="310">
        <f t="shared" si="5"/>
        <v>45150</v>
      </c>
    </row>
    <row r="22" spans="1:7">
      <c r="A22" s="310" t="s">
        <v>499</v>
      </c>
      <c r="B22" s="314">
        <v>0.15</v>
      </c>
      <c r="C22" s="314">
        <v>0.15</v>
      </c>
      <c r="D22" s="314">
        <v>0.15</v>
      </c>
      <c r="E22" s="314">
        <v>0.15</v>
      </c>
      <c r="F22" s="314">
        <v>0.15</v>
      </c>
      <c r="G22" s="314">
        <v>0.15</v>
      </c>
    </row>
    <row r="23" spans="1:7">
      <c r="A23" s="310" t="s">
        <v>500</v>
      </c>
      <c r="B23" s="310">
        <f t="shared" ref="B23:G23" si="6">B22*B21</f>
        <v>562.5</v>
      </c>
      <c r="C23" s="310">
        <f t="shared" si="6"/>
        <v>2925</v>
      </c>
      <c r="D23" s="310">
        <f t="shared" si="6"/>
        <v>5472</v>
      </c>
      <c r="E23" s="310">
        <f t="shared" si="6"/>
        <v>6772.5</v>
      </c>
      <c r="F23" s="310">
        <f t="shared" si="6"/>
        <v>6772.5</v>
      </c>
      <c r="G23" s="310">
        <f t="shared" si="6"/>
        <v>6772.5</v>
      </c>
    </row>
    <row r="24" spans="1:7">
      <c r="A24" s="310" t="s">
        <v>501</v>
      </c>
      <c r="B24" s="310">
        <v>729</v>
      </c>
      <c r="C24" s="310">
        <v>900</v>
      </c>
      <c r="D24" s="310">
        <v>1029</v>
      </c>
      <c r="E24" s="310">
        <v>1029</v>
      </c>
      <c r="F24" s="310">
        <v>1029</v>
      </c>
      <c r="G24" s="310">
        <v>1029</v>
      </c>
    </row>
    <row r="25" spans="1:7">
      <c r="A25" s="309" t="s">
        <v>502</v>
      </c>
      <c r="B25" s="317">
        <f t="shared" ref="B25:G25" si="7">B24*B23/1000</f>
        <v>410.0625</v>
      </c>
      <c r="C25" s="317">
        <f t="shared" si="7"/>
        <v>2632.5</v>
      </c>
      <c r="D25" s="317">
        <f t="shared" si="7"/>
        <v>5630.6880000000001</v>
      </c>
      <c r="E25" s="317">
        <f t="shared" si="7"/>
        <v>6968.9025000000001</v>
      </c>
      <c r="F25" s="317">
        <f t="shared" si="7"/>
        <v>6968.9025000000001</v>
      </c>
      <c r="G25" s="317">
        <f t="shared" si="7"/>
        <v>6968.9025000000001</v>
      </c>
    </row>
    <row r="26" spans="1:7">
      <c r="A26" s="335"/>
      <c r="B26" s="335"/>
      <c r="C26" s="335"/>
      <c r="D26" s="335"/>
      <c r="E26" s="335"/>
      <c r="F26" s="335"/>
      <c r="G26" s="335"/>
    </row>
    <row r="27" spans="1:7">
      <c r="A27" s="336" t="s">
        <v>503</v>
      </c>
      <c r="B27" s="331">
        <f t="shared" ref="B27:G27" si="8">B6/B25</f>
        <v>0.42787623837829597</v>
      </c>
      <c r="C27" s="331">
        <f t="shared" si="8"/>
        <v>0.14885213621557455</v>
      </c>
      <c r="D27" s="331">
        <f t="shared" si="8"/>
        <v>0.10802418766143675</v>
      </c>
      <c r="E27" s="331">
        <f t="shared" si="8"/>
        <v>9.2683650894455752E-2</v>
      </c>
      <c r="F27" s="331">
        <f t="shared" si="8"/>
        <v>9.8086629233225739E-2</v>
      </c>
      <c r="G27" s="331">
        <f t="shared" si="8"/>
        <v>0.10341995704038046</v>
      </c>
    </row>
    <row r="29" spans="1:7">
      <c r="A29" s="108"/>
      <c r="B29" s="134"/>
      <c r="C29" s="134"/>
      <c r="D29" s="134"/>
      <c r="E29" s="134"/>
      <c r="F29" s="134"/>
    </row>
  </sheetData>
  <phoneticPr fontId="5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J137"/>
  <sheetViews>
    <sheetView view="pageBreakPreview" topLeftCell="B7" zoomScale="65" zoomScaleNormal="80" zoomScaleSheetLayoutView="50" workbookViewId="0">
      <pane xSplit="12" ySplit="1" topLeftCell="AT38" activePane="bottomRight" state="frozenSplit"/>
      <selection activeCell="B7" sqref="B7"/>
      <selection pane="topRight" activeCell="N7" sqref="N7"/>
      <selection pane="bottomLeft" activeCell="B8" sqref="B8"/>
      <selection pane="bottomRight" activeCell="AT57" sqref="AT57"/>
    </sheetView>
  </sheetViews>
  <sheetFormatPr baseColWidth="10" defaultRowHeight="12.75"/>
  <cols>
    <col min="2" max="2" width="9.140625" customWidth="1"/>
    <col min="3" max="3" width="13.5703125" customWidth="1"/>
    <col min="4" max="4" width="26.7109375" customWidth="1"/>
    <col min="5" max="5" width="9.42578125" customWidth="1"/>
    <col min="6" max="6" width="4.5703125" customWidth="1"/>
    <col min="7" max="7" width="5.140625" style="1" customWidth="1"/>
    <col min="8" max="12" width="5" hidden="1" customWidth="1"/>
    <col min="13" max="13" width="5" customWidth="1"/>
  </cols>
  <sheetData>
    <row r="1" spans="1:88">
      <c r="F1" s="1"/>
      <c r="H1" s="2"/>
    </row>
    <row r="2" spans="1:88" ht="26.25">
      <c r="B2" s="13" t="s">
        <v>413</v>
      </c>
      <c r="C2" s="13"/>
      <c r="D2" s="13"/>
      <c r="E2" s="13"/>
      <c r="F2" s="14"/>
      <c r="H2" s="2"/>
    </row>
    <row r="3" spans="1:88" ht="26.25">
      <c r="B3" s="13"/>
      <c r="C3" s="13"/>
      <c r="D3" s="13"/>
      <c r="E3" s="13"/>
      <c r="F3" s="14"/>
      <c r="H3" s="2"/>
    </row>
    <row r="4" spans="1:88">
      <c r="B4" s="15"/>
      <c r="C4" s="15"/>
      <c r="D4" s="15"/>
      <c r="E4" s="15"/>
      <c r="F4" s="16"/>
      <c r="H4" s="2"/>
    </row>
    <row r="5" spans="1:88">
      <c r="A5" s="17"/>
      <c r="B5" s="17"/>
      <c r="C5" s="17"/>
      <c r="D5" s="17"/>
      <c r="E5" s="17"/>
      <c r="F5" s="18"/>
      <c r="G5" s="21"/>
      <c r="H5" s="20"/>
    </row>
    <row r="6" spans="1:88">
      <c r="A6" s="17"/>
      <c r="B6" s="19"/>
      <c r="C6" s="19"/>
      <c r="D6" s="19"/>
      <c r="E6" s="19"/>
      <c r="F6" s="21"/>
      <c r="G6" s="18"/>
      <c r="H6" s="20"/>
    </row>
    <row r="7" spans="1:88">
      <c r="A7" s="23"/>
      <c r="B7" s="22"/>
      <c r="C7" s="22"/>
      <c r="D7" s="22"/>
      <c r="E7" s="22"/>
      <c r="F7" s="24"/>
      <c r="G7" s="25"/>
      <c r="H7" s="5"/>
      <c r="I7" s="5"/>
      <c r="J7" s="5"/>
      <c r="K7" s="5"/>
      <c r="L7" s="5"/>
      <c r="M7" s="5"/>
      <c r="N7" s="5">
        <v>39814</v>
      </c>
      <c r="O7" s="5">
        <v>39845</v>
      </c>
      <c r="P7" s="5">
        <v>39873</v>
      </c>
      <c r="Q7" s="5">
        <v>39904</v>
      </c>
      <c r="R7" s="5">
        <v>39934</v>
      </c>
      <c r="S7" s="5">
        <v>39965</v>
      </c>
      <c r="T7" s="5">
        <v>39995</v>
      </c>
      <c r="U7" s="5">
        <v>40026</v>
      </c>
      <c r="V7" s="5">
        <v>40057</v>
      </c>
      <c r="W7" s="5">
        <v>40087</v>
      </c>
      <c r="X7" s="5">
        <v>40118</v>
      </c>
      <c r="Y7" s="5">
        <v>40148</v>
      </c>
      <c r="Z7" s="5">
        <v>40179</v>
      </c>
      <c r="AA7" s="5">
        <v>40210</v>
      </c>
      <c r="AB7" s="5">
        <v>40238</v>
      </c>
      <c r="AC7" s="5">
        <v>40269</v>
      </c>
      <c r="AD7" s="5">
        <v>40299</v>
      </c>
      <c r="AE7" s="5">
        <v>40330</v>
      </c>
      <c r="AF7" s="5">
        <v>40360</v>
      </c>
      <c r="AG7" s="5">
        <v>40391</v>
      </c>
      <c r="AH7" s="5">
        <v>40422</v>
      </c>
      <c r="AI7" s="5">
        <v>40452</v>
      </c>
      <c r="AJ7" s="5">
        <v>40483</v>
      </c>
      <c r="AK7" s="5">
        <v>40513</v>
      </c>
      <c r="AL7" s="5">
        <v>40544</v>
      </c>
      <c r="AM7" s="5">
        <v>40575</v>
      </c>
      <c r="AN7" s="5">
        <v>40603</v>
      </c>
      <c r="AO7" s="5">
        <v>40634</v>
      </c>
      <c r="AP7" s="5">
        <v>40664</v>
      </c>
      <c r="AQ7" s="5">
        <v>40695</v>
      </c>
      <c r="AR7" s="5">
        <v>40725</v>
      </c>
      <c r="AS7" s="5">
        <v>40756</v>
      </c>
      <c r="AT7" s="5">
        <v>40787</v>
      </c>
      <c r="AU7" s="5">
        <v>40817</v>
      </c>
      <c r="AV7" s="5">
        <v>40848</v>
      </c>
      <c r="AW7" s="5">
        <v>40878</v>
      </c>
      <c r="AX7" s="5">
        <v>40909</v>
      </c>
      <c r="AY7" s="5">
        <v>40940</v>
      </c>
      <c r="AZ7" s="5">
        <v>40969</v>
      </c>
      <c r="BA7" s="5">
        <v>41000</v>
      </c>
      <c r="BB7" s="5">
        <v>41030</v>
      </c>
      <c r="BC7" s="5">
        <v>41061</v>
      </c>
      <c r="BD7" s="5">
        <v>41091</v>
      </c>
      <c r="BE7" s="5">
        <v>41122</v>
      </c>
      <c r="BF7" s="5">
        <v>41153</v>
      </c>
      <c r="BG7" s="5">
        <v>41183</v>
      </c>
      <c r="BH7" s="5">
        <v>41214</v>
      </c>
      <c r="BI7" s="5">
        <v>41244</v>
      </c>
      <c r="BJ7" s="5">
        <v>41275</v>
      </c>
      <c r="BK7" s="5">
        <v>41306</v>
      </c>
      <c r="BL7" s="5">
        <v>41334</v>
      </c>
      <c r="BM7" s="5">
        <v>41365</v>
      </c>
      <c r="BN7" s="5">
        <v>41395</v>
      </c>
      <c r="BO7" s="5">
        <v>41426</v>
      </c>
      <c r="BP7" s="5">
        <v>41456</v>
      </c>
      <c r="BQ7" s="5">
        <v>41487</v>
      </c>
      <c r="BR7" s="5">
        <v>41518</v>
      </c>
      <c r="BS7" s="5">
        <v>41548</v>
      </c>
      <c r="BT7" s="5">
        <v>41579</v>
      </c>
      <c r="BU7" s="5">
        <v>41609</v>
      </c>
      <c r="BV7" s="5">
        <v>41640</v>
      </c>
      <c r="BW7" s="5">
        <v>41671</v>
      </c>
      <c r="BX7" s="5">
        <v>41699</v>
      </c>
      <c r="BY7" s="5">
        <v>41730</v>
      </c>
      <c r="BZ7" s="5">
        <v>41760</v>
      </c>
      <c r="CA7" s="5">
        <v>41791</v>
      </c>
      <c r="CB7" s="5">
        <v>41821</v>
      </c>
      <c r="CC7" s="5">
        <v>41852</v>
      </c>
      <c r="CD7" s="5">
        <v>41883</v>
      </c>
      <c r="CE7" s="5">
        <v>41913</v>
      </c>
      <c r="CF7" s="5">
        <v>41944</v>
      </c>
      <c r="CG7" s="5">
        <v>41974</v>
      </c>
      <c r="CH7" s="5"/>
      <c r="CI7" s="5"/>
      <c r="CJ7" s="5"/>
    </row>
    <row r="8" spans="1:88">
      <c r="A8" s="17"/>
      <c r="B8" s="26" t="s">
        <v>5</v>
      </c>
      <c r="C8" s="26"/>
      <c r="D8" s="27"/>
      <c r="E8" s="27"/>
      <c r="F8" s="28"/>
      <c r="G8" s="76" t="s">
        <v>6</v>
      </c>
      <c r="H8" s="20"/>
    </row>
    <row r="9" spans="1:88">
      <c r="A9" s="17"/>
      <c r="B9" s="26" t="s">
        <v>7</v>
      </c>
      <c r="C9" s="26"/>
      <c r="D9" s="26"/>
      <c r="E9" s="26"/>
      <c r="F9" s="28"/>
      <c r="G9" s="76" t="s">
        <v>8</v>
      </c>
      <c r="H9" s="20"/>
      <c r="N9" s="20">
        <f>'Sales &amp; Costs'!L49-N10</f>
        <v>0</v>
      </c>
      <c r="O9" s="20">
        <f>'Sales &amp; Costs'!M49-O10</f>
        <v>0</v>
      </c>
      <c r="P9" s="20">
        <f>'Sales &amp; Costs'!N49-P10</f>
        <v>0</v>
      </c>
      <c r="Q9" s="20">
        <f>'Sales &amp; Costs'!O49-Q10</f>
        <v>0</v>
      </c>
      <c r="R9" s="20">
        <f>'Sales &amp; Costs'!P49-R10</f>
        <v>0</v>
      </c>
      <c r="S9" s="20">
        <f>'Sales &amp; Costs'!Q49-S10</f>
        <v>0</v>
      </c>
      <c r="T9" s="20">
        <f>'Sales &amp; Costs'!R49-T10</f>
        <v>0</v>
      </c>
      <c r="U9" s="20">
        <f>'Sales &amp; Costs'!S49-U10</f>
        <v>0</v>
      </c>
      <c r="V9" s="20">
        <f>'Sales &amp; Costs'!T49-V10</f>
        <v>0</v>
      </c>
      <c r="W9" s="20">
        <f>'Sales &amp; Costs'!U49-W10</f>
        <v>0</v>
      </c>
      <c r="X9" s="20">
        <f>'Sales &amp; Costs'!V49-X10</f>
        <v>0</v>
      </c>
      <c r="Y9" s="20">
        <f>'Sales &amp; Costs'!W49-Y10</f>
        <v>0</v>
      </c>
      <c r="Z9" s="20">
        <f>'Sales &amp; Costs'!X49-Z10</f>
        <v>0</v>
      </c>
      <c r="AA9" s="20">
        <f>'Sales &amp; Costs'!Y49-AA10</f>
        <v>0</v>
      </c>
      <c r="AB9" s="20">
        <f>'Sales &amp; Costs'!Z49-AB10</f>
        <v>0</v>
      </c>
      <c r="AC9" s="20">
        <f>'Sales &amp; Costs'!AA49-AC10</f>
        <v>0</v>
      </c>
      <c r="AD9" s="20">
        <f>'Sales &amp; Costs'!AB49-AD10</f>
        <v>0</v>
      </c>
      <c r="AE9" s="20">
        <f>'Sales &amp; Costs'!AC49-AE10</f>
        <v>0</v>
      </c>
      <c r="AF9" s="20">
        <f>'Sales &amp; Costs'!AD49-AF10</f>
        <v>0</v>
      </c>
      <c r="AG9" s="20">
        <f>'Sales &amp; Costs'!AE49-AG10</f>
        <v>0</v>
      </c>
      <c r="AH9" s="20">
        <f>'Sales &amp; Costs'!AF49-AH10</f>
        <v>0</v>
      </c>
      <c r="AI9" s="20">
        <f>'Sales &amp; Costs'!AG49-AI10</f>
        <v>0</v>
      </c>
      <c r="AJ9" s="20">
        <f>'Sales &amp; Costs'!AH49-AJ10</f>
        <v>0</v>
      </c>
      <c r="AK9" s="20">
        <f>'Sales &amp; Costs'!AI49-AK10</f>
        <v>0</v>
      </c>
      <c r="AL9" s="20">
        <f>'Sales &amp; Costs'!AJ49-AL10</f>
        <v>3645</v>
      </c>
      <c r="AM9" s="20">
        <f>'Sales &amp; Costs'!AK49-AM10</f>
        <v>7290</v>
      </c>
      <c r="AN9" s="20">
        <f>'Sales &amp; Costs'!AL49-AN10</f>
        <v>10935</v>
      </c>
      <c r="AO9" s="20">
        <f>'Sales &amp; Costs'!AM49-AO10</f>
        <v>14580</v>
      </c>
      <c r="AP9" s="20">
        <f>'Sales &amp; Costs'!AN49-AP10</f>
        <v>18225</v>
      </c>
      <c r="AQ9" s="20">
        <f>'Sales &amp; Costs'!AO49-AQ10</f>
        <v>21870</v>
      </c>
      <c r="AR9" s="20">
        <f>'Sales &amp; Costs'!AP49-AR10</f>
        <v>29160</v>
      </c>
      <c r="AS9" s="20">
        <f>'Sales &amp; Costs'!AQ49-AS10</f>
        <v>36450</v>
      </c>
      <c r="AT9" s="20">
        <f>'Sales &amp; Costs'!AR49-AT10</f>
        <v>43740</v>
      </c>
      <c r="AU9" s="20">
        <f>'Sales &amp; Costs'!AS49-AU10</f>
        <v>54675</v>
      </c>
      <c r="AV9" s="20">
        <f>'Sales &amp; Costs'!AT49-AV10</f>
        <v>65610</v>
      </c>
      <c r="AW9" s="20">
        <f>'Sales &amp; Costs'!AU49-AW10</f>
        <v>76545</v>
      </c>
      <c r="AX9" s="20">
        <f>'Sales &amp; Costs'!AV49-AX10</f>
        <v>87480</v>
      </c>
      <c r="AY9" s="20">
        <f>'Sales &amp; Costs'!AW49-AY10</f>
        <v>105710</v>
      </c>
      <c r="AZ9" s="20">
        <f>'Sales &amp; Costs'!AX49-AZ10</f>
        <v>123939.99999999999</v>
      </c>
      <c r="BA9" s="20">
        <f>'Sales &amp; Costs'!AY49-BA10</f>
        <v>142170</v>
      </c>
      <c r="BB9" s="20">
        <f>'Sales &amp; Costs'!AZ49-BB10</f>
        <v>164050</v>
      </c>
      <c r="BC9" s="20">
        <f>'Sales &amp; Costs'!BA49-BC10</f>
        <v>189580</v>
      </c>
      <c r="BD9" s="20">
        <f>'Sales &amp; Costs'!BB49-BD10</f>
        <v>207820</v>
      </c>
      <c r="BE9" s="20">
        <f>'Sales &amp; Costs'!BC49-BE10</f>
        <v>233360</v>
      </c>
      <c r="BF9" s="20">
        <f>'Sales &amp; Costs'!BD49-BF10</f>
        <v>255250</v>
      </c>
      <c r="BG9" s="20">
        <f>'Sales &amp; Costs'!BE49-BG10</f>
        <v>295370</v>
      </c>
      <c r="BH9" s="20">
        <f>'Sales &amp; Costs'!BF49-BH10</f>
        <v>317250</v>
      </c>
      <c r="BI9" s="20">
        <f>'Sales &amp; Costs'!BG49-BI10</f>
        <v>339130</v>
      </c>
      <c r="BJ9" s="20">
        <f>'Sales &amp; Costs'!BH49-BJ10</f>
        <v>361010</v>
      </c>
      <c r="BK9" s="20">
        <f>'Sales &amp; Costs'!BI49-BK10</f>
        <v>377420</v>
      </c>
      <c r="BL9" s="20">
        <f>'Sales &amp; Costs'!BJ49-BL10</f>
        <v>393830</v>
      </c>
      <c r="BM9" s="20">
        <f>'Sales &amp; Costs'!BK49-BM10</f>
        <v>410240</v>
      </c>
      <c r="BN9" s="20">
        <f>'Sales &amp; Costs'!BL49-BN10</f>
        <v>426650</v>
      </c>
      <c r="BO9" s="20">
        <f>'Sales &amp; Costs'!BM49-BO10</f>
        <v>437590</v>
      </c>
      <c r="BP9" s="20">
        <f>'Sales &amp; Costs'!BN49-BP10</f>
        <v>448530</v>
      </c>
      <c r="BQ9" s="20">
        <f>'Sales &amp; Costs'!BO49-BQ10</f>
        <v>459470</v>
      </c>
      <c r="BR9" s="20">
        <f>'Sales &amp; Costs'!BP49-BR10</f>
        <v>470410</v>
      </c>
      <c r="BS9" s="20">
        <f>'Sales &amp; Costs'!BQ49-BS10</f>
        <v>481350</v>
      </c>
      <c r="BT9" s="20">
        <f>'Sales &amp; Costs'!BR49-BT10</f>
        <v>492290.00000000006</v>
      </c>
      <c r="BU9" s="20">
        <f>'Sales &amp; Costs'!BS49-BU10</f>
        <v>503230</v>
      </c>
      <c r="BV9" s="20">
        <f>'Sales &amp; Costs'!BT49-BV10</f>
        <v>510888</v>
      </c>
      <c r="BW9" s="20">
        <f>'Sales &amp; Costs'!BU49-BW10</f>
        <v>519640.00000000006</v>
      </c>
      <c r="BX9" s="20">
        <f>'Sales &amp; Costs'!BV49-BX10</f>
        <v>525110</v>
      </c>
      <c r="BY9" s="20">
        <f>'Sales &amp; Costs'!BW49-BY10</f>
        <v>530580</v>
      </c>
      <c r="BZ9" s="20">
        <f>'Sales &amp; Costs'!BX49-BZ10</f>
        <v>536050</v>
      </c>
      <c r="CA9" s="20">
        <f>'Sales &amp; Costs'!BY49-CA10</f>
        <v>541520</v>
      </c>
      <c r="CB9" s="20">
        <f>'Sales &amp; Costs'!BZ49-CB10</f>
        <v>546990</v>
      </c>
      <c r="CC9" s="20">
        <f>'Sales &amp; Costs'!CA49-CC10</f>
        <v>552460</v>
      </c>
      <c r="CD9" s="20">
        <f>'Sales &amp; Costs'!CB49-CD10</f>
        <v>557930</v>
      </c>
      <c r="CE9" s="20">
        <f>'Sales &amp; Costs'!CC49-CE10</f>
        <v>561212</v>
      </c>
      <c r="CF9" s="20">
        <f>'Sales &amp; Costs'!CD49-CF10</f>
        <v>564494</v>
      </c>
      <c r="CG9" s="20">
        <f>'Sales &amp; Costs'!CE49-CG10</f>
        <v>568870</v>
      </c>
      <c r="CH9" s="20"/>
      <c r="CI9" s="20"/>
      <c r="CJ9" s="20"/>
    </row>
    <row r="10" spans="1:88">
      <c r="A10" s="17"/>
      <c r="B10" s="26" t="s">
        <v>9</v>
      </c>
      <c r="C10" s="26"/>
      <c r="D10" s="27"/>
      <c r="E10" s="27"/>
      <c r="F10" s="28"/>
      <c r="G10" s="77" t="s">
        <v>10</v>
      </c>
      <c r="H10" s="20"/>
      <c r="I10" s="20"/>
      <c r="J10" s="20"/>
      <c r="K10" s="20"/>
      <c r="L10" s="20"/>
      <c r="M10" s="20"/>
      <c r="N10" s="20">
        <f>'Sales &amp; Costs'!L45</f>
        <v>0</v>
      </c>
      <c r="O10" s="20">
        <f>'Sales &amp; Costs'!M45</f>
        <v>0</v>
      </c>
      <c r="P10" s="20">
        <f>'Sales &amp; Costs'!N45</f>
        <v>0</v>
      </c>
      <c r="Q10" s="20">
        <f>'Sales &amp; Costs'!O45</f>
        <v>0</v>
      </c>
      <c r="R10" s="20">
        <f>'Sales &amp; Costs'!P45</f>
        <v>0</v>
      </c>
      <c r="S10" s="20">
        <f>'Sales &amp; Costs'!Q45</f>
        <v>0</v>
      </c>
      <c r="T10" s="20">
        <f>'Sales &amp; Costs'!R45</f>
        <v>0</v>
      </c>
      <c r="U10" s="20">
        <f>'Sales &amp; Costs'!S45</f>
        <v>0</v>
      </c>
      <c r="V10" s="20">
        <f>'Sales &amp; Costs'!T45</f>
        <v>0</v>
      </c>
      <c r="W10" s="20">
        <f>'Sales &amp; Costs'!U45</f>
        <v>0</v>
      </c>
      <c r="X10" s="20">
        <f>'Sales &amp; Costs'!V45</f>
        <v>0</v>
      </c>
      <c r="Y10" s="20">
        <f>'Sales &amp; Costs'!W45</f>
        <v>0</v>
      </c>
      <c r="Z10" s="20">
        <f>'Sales &amp; Costs'!X45</f>
        <v>0</v>
      </c>
      <c r="AA10" s="20">
        <f>'Sales &amp; Costs'!Y45</f>
        <v>0</v>
      </c>
      <c r="AB10" s="20">
        <f>'Sales &amp; Costs'!Z45</f>
        <v>0</v>
      </c>
      <c r="AC10" s="20">
        <f>'Sales &amp; Costs'!AA45</f>
        <v>0</v>
      </c>
      <c r="AD10" s="20">
        <f>'Sales &amp; Costs'!AB45</f>
        <v>0</v>
      </c>
      <c r="AE10" s="20">
        <f>'Sales &amp; Costs'!AC45</f>
        <v>0</v>
      </c>
      <c r="AF10" s="20">
        <f>'Sales &amp; Costs'!AD45</f>
        <v>0</v>
      </c>
      <c r="AG10" s="20">
        <f>'Sales &amp; Costs'!AE45</f>
        <v>0</v>
      </c>
      <c r="AH10" s="20">
        <f>'Sales &amp; Costs'!AF45</f>
        <v>0</v>
      </c>
      <c r="AI10" s="20">
        <f>'Sales &amp; Costs'!AG45</f>
        <v>0</v>
      </c>
      <c r="AJ10" s="20">
        <f>'Sales &amp; Costs'!AH45</f>
        <v>0</v>
      </c>
      <c r="AK10" s="20">
        <f>'Sales &amp; Costs'!AI45</f>
        <v>0</v>
      </c>
      <c r="AL10" s="20">
        <f>'Sales &amp; Costs'!AJ45</f>
        <v>255.15000000000003</v>
      </c>
      <c r="AM10" s="20">
        <f>'Sales &amp; Costs'!AK45</f>
        <v>510.30000000000007</v>
      </c>
      <c r="AN10" s="20">
        <f>'Sales &amp; Costs'!AL45</f>
        <v>765.45</v>
      </c>
      <c r="AO10" s="20">
        <f>'Sales &amp; Costs'!AM45</f>
        <v>1020.6000000000001</v>
      </c>
      <c r="AP10" s="20">
        <f>'Sales &amp; Costs'!AN45</f>
        <v>1275.7500000000002</v>
      </c>
      <c r="AQ10" s="20">
        <f>'Sales &amp; Costs'!AO45</f>
        <v>1530.9</v>
      </c>
      <c r="AR10" s="20">
        <f>'Sales &amp; Costs'!AP45</f>
        <v>2041.2000000000003</v>
      </c>
      <c r="AS10" s="20">
        <f>'Sales &amp; Costs'!AQ45</f>
        <v>2551.5000000000005</v>
      </c>
      <c r="AT10" s="20">
        <f>'Sales &amp; Costs'!AR45</f>
        <v>3061.8</v>
      </c>
      <c r="AU10" s="20">
        <f>'Sales &amp; Costs'!AS45</f>
        <v>3827.2500000000005</v>
      </c>
      <c r="AV10" s="20">
        <f>'Sales &amp; Costs'!AT45</f>
        <v>4592.7000000000007</v>
      </c>
      <c r="AW10" s="20">
        <f>'Sales &amp; Costs'!AU45</f>
        <v>5358.1500000000005</v>
      </c>
      <c r="AX10" s="20">
        <f>'Sales &amp; Costs'!AV45</f>
        <v>6123.6</v>
      </c>
      <c r="AY10" s="20">
        <f>'Sales &amp; Costs'!AW45</f>
        <v>7399.7000000000007</v>
      </c>
      <c r="AZ10" s="20">
        <f>'Sales &amp; Costs'!AX45</f>
        <v>8675.8000000000011</v>
      </c>
      <c r="BA10" s="20">
        <f>'Sales &amp; Costs'!AY45</f>
        <v>9951.9000000000015</v>
      </c>
      <c r="BB10" s="20">
        <f>'Sales &amp; Costs'!AZ45</f>
        <v>11483.500000000002</v>
      </c>
      <c r="BC10" s="20">
        <f>'Sales &amp; Costs'!BA45</f>
        <v>13270.6</v>
      </c>
      <c r="BD10" s="20">
        <f>'Sales &amp; Costs'!BB45</f>
        <v>14547.400000000001</v>
      </c>
      <c r="BE10" s="20">
        <f>'Sales &amp; Costs'!BC45</f>
        <v>16335.2</v>
      </c>
      <c r="BF10" s="20">
        <f>'Sales &amp; Costs'!BD45</f>
        <v>17867.5</v>
      </c>
      <c r="BG10" s="20">
        <f>'Sales &amp; Costs'!BE45</f>
        <v>20675.900000000001</v>
      </c>
      <c r="BH10" s="20">
        <f>'Sales &amp; Costs'!BF45</f>
        <v>22207.500000000004</v>
      </c>
      <c r="BI10" s="20">
        <f>'Sales &amp; Costs'!BG45</f>
        <v>23739.100000000002</v>
      </c>
      <c r="BJ10" s="20">
        <f>'Sales &amp; Costs'!BH45</f>
        <v>25270.7</v>
      </c>
      <c r="BK10" s="20">
        <f>'Sales &amp; Costs'!BI45</f>
        <v>26419.4</v>
      </c>
      <c r="BL10" s="20">
        <f>'Sales &amp; Costs'!BJ45</f>
        <v>27568.100000000002</v>
      </c>
      <c r="BM10" s="20">
        <f>'Sales &amp; Costs'!BK45</f>
        <v>28716.800000000003</v>
      </c>
      <c r="BN10" s="20">
        <f>'Sales &amp; Costs'!BL45</f>
        <v>29865.500000000004</v>
      </c>
      <c r="BO10" s="20">
        <f>'Sales &amp; Costs'!BM45</f>
        <v>30631.300000000003</v>
      </c>
      <c r="BP10" s="20">
        <f>'Sales &amp; Costs'!BN45</f>
        <v>31397.100000000002</v>
      </c>
      <c r="BQ10" s="20">
        <f>'Sales &amp; Costs'!BO45</f>
        <v>32162.9</v>
      </c>
      <c r="BR10" s="20">
        <f>'Sales &amp; Costs'!BP45</f>
        <v>32928.700000000004</v>
      </c>
      <c r="BS10" s="20">
        <f>'Sales &amp; Costs'!BQ45</f>
        <v>33694.5</v>
      </c>
      <c r="BT10" s="20">
        <f>'Sales &amp; Costs'!BR45</f>
        <v>34460.300000000003</v>
      </c>
      <c r="BU10" s="20">
        <f>'Sales &amp; Costs'!BS45</f>
        <v>35226.100000000006</v>
      </c>
      <c r="BV10" s="20">
        <f>'Sales &amp; Costs'!BT45</f>
        <v>35762.160000000003</v>
      </c>
      <c r="BW10" s="20">
        <f>'Sales &amp; Costs'!BU45</f>
        <v>36374.800000000003</v>
      </c>
      <c r="BX10" s="20">
        <f>'Sales &amp; Costs'!BV45</f>
        <v>36757.700000000004</v>
      </c>
      <c r="BY10" s="20">
        <f>'Sales &amp; Costs'!BW45</f>
        <v>37140.600000000006</v>
      </c>
      <c r="BZ10" s="20">
        <f>'Sales &amp; Costs'!BX45</f>
        <v>37523.5</v>
      </c>
      <c r="CA10" s="20">
        <f>'Sales &amp; Costs'!BY45</f>
        <v>37906.400000000001</v>
      </c>
      <c r="CB10" s="20">
        <f>'Sales &amp; Costs'!BZ45</f>
        <v>38289.300000000003</v>
      </c>
      <c r="CC10" s="20">
        <f>'Sales &amp; Costs'!CA45</f>
        <v>38672.200000000004</v>
      </c>
      <c r="CD10" s="20">
        <f>'Sales &amp; Costs'!CB45</f>
        <v>39055.100000000006</v>
      </c>
      <c r="CE10" s="20">
        <f>'Sales &amp; Costs'!CC45</f>
        <v>39284.840000000004</v>
      </c>
      <c r="CF10" s="20">
        <f>'Sales &amp; Costs'!CD45</f>
        <v>39514.58</v>
      </c>
      <c r="CG10" s="20">
        <f>'Sales &amp; Costs'!CE45</f>
        <v>39820.9</v>
      </c>
      <c r="CH10" s="20"/>
      <c r="CI10" s="20"/>
      <c r="CJ10" s="20"/>
    </row>
    <row r="11" spans="1:88">
      <c r="A11" s="17"/>
      <c r="B11" s="26"/>
      <c r="C11" s="26"/>
      <c r="D11" s="26"/>
      <c r="E11" s="26"/>
      <c r="F11" s="28"/>
      <c r="G11" s="76" t="s">
        <v>11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</row>
    <row r="12" spans="1:88">
      <c r="A12" s="30"/>
      <c r="B12" s="30" t="s">
        <v>12</v>
      </c>
      <c r="C12" s="30"/>
      <c r="D12" s="30"/>
      <c r="E12" s="30"/>
      <c r="F12" s="31"/>
      <c r="G12" s="78" t="s">
        <v>13</v>
      </c>
      <c r="H12" s="32"/>
      <c r="I12" s="32"/>
      <c r="J12" s="32"/>
      <c r="K12" s="32"/>
      <c r="L12" s="32"/>
      <c r="M12" s="32"/>
      <c r="N12" s="32">
        <f t="shared" ref="N12:AQ12" si="0">SUM(N8:N10)</f>
        <v>0</v>
      </c>
      <c r="O12" s="32">
        <f t="shared" si="0"/>
        <v>0</v>
      </c>
      <c r="P12" s="32">
        <f t="shared" si="0"/>
        <v>0</v>
      </c>
      <c r="Q12" s="32">
        <f t="shared" si="0"/>
        <v>0</v>
      </c>
      <c r="R12" s="32">
        <f t="shared" si="0"/>
        <v>0</v>
      </c>
      <c r="S12" s="32">
        <f t="shared" si="0"/>
        <v>0</v>
      </c>
      <c r="T12" s="32">
        <f t="shared" si="0"/>
        <v>0</v>
      </c>
      <c r="U12" s="32">
        <f t="shared" si="0"/>
        <v>0</v>
      </c>
      <c r="V12" s="32">
        <f t="shared" si="0"/>
        <v>0</v>
      </c>
      <c r="W12" s="32">
        <f t="shared" si="0"/>
        <v>0</v>
      </c>
      <c r="X12" s="32">
        <f t="shared" si="0"/>
        <v>0</v>
      </c>
      <c r="Y12" s="32">
        <f t="shared" si="0"/>
        <v>0</v>
      </c>
      <c r="Z12" s="32">
        <f t="shared" si="0"/>
        <v>0</v>
      </c>
      <c r="AA12" s="32">
        <f t="shared" si="0"/>
        <v>0</v>
      </c>
      <c r="AB12" s="32">
        <f t="shared" si="0"/>
        <v>0</v>
      </c>
      <c r="AC12" s="32">
        <f t="shared" si="0"/>
        <v>0</v>
      </c>
      <c r="AD12" s="32">
        <f t="shared" si="0"/>
        <v>0</v>
      </c>
      <c r="AE12" s="32">
        <f t="shared" si="0"/>
        <v>0</v>
      </c>
      <c r="AF12" s="32">
        <f t="shared" si="0"/>
        <v>0</v>
      </c>
      <c r="AG12" s="32">
        <f t="shared" si="0"/>
        <v>0</v>
      </c>
      <c r="AH12" s="32">
        <f t="shared" si="0"/>
        <v>0</v>
      </c>
      <c r="AI12" s="32">
        <f t="shared" si="0"/>
        <v>0</v>
      </c>
      <c r="AJ12" s="32">
        <f t="shared" si="0"/>
        <v>0</v>
      </c>
      <c r="AK12" s="32">
        <f t="shared" si="0"/>
        <v>0</v>
      </c>
      <c r="AL12" s="32">
        <f t="shared" si="0"/>
        <v>3900.15</v>
      </c>
      <c r="AM12" s="32">
        <f t="shared" si="0"/>
        <v>7800.3</v>
      </c>
      <c r="AN12" s="32">
        <f t="shared" si="0"/>
        <v>11700.45</v>
      </c>
      <c r="AO12" s="32">
        <f t="shared" si="0"/>
        <v>15600.6</v>
      </c>
      <c r="AP12" s="32">
        <f t="shared" si="0"/>
        <v>19500.75</v>
      </c>
      <c r="AQ12" s="32">
        <f t="shared" si="0"/>
        <v>23400.9</v>
      </c>
      <c r="AR12" s="32">
        <f t="shared" ref="AR12:BC12" si="1">SUM(AR8:AR10)</f>
        <v>31201.200000000001</v>
      </c>
      <c r="AS12" s="32">
        <f t="shared" si="1"/>
        <v>39001.5</v>
      </c>
      <c r="AT12" s="32">
        <f t="shared" si="1"/>
        <v>46801.8</v>
      </c>
      <c r="AU12" s="32">
        <f t="shared" si="1"/>
        <v>58502.25</v>
      </c>
      <c r="AV12" s="32">
        <f t="shared" si="1"/>
        <v>70202.7</v>
      </c>
      <c r="AW12" s="32">
        <f t="shared" si="1"/>
        <v>81903.149999999994</v>
      </c>
      <c r="AX12" s="32">
        <f t="shared" si="1"/>
        <v>93603.6</v>
      </c>
      <c r="AY12" s="32">
        <f t="shared" si="1"/>
        <v>113109.7</v>
      </c>
      <c r="AZ12" s="32">
        <f t="shared" si="1"/>
        <v>132615.79999999999</v>
      </c>
      <c r="BA12" s="32">
        <f t="shared" si="1"/>
        <v>152121.9</v>
      </c>
      <c r="BB12" s="32">
        <f t="shared" si="1"/>
        <v>175533.5</v>
      </c>
      <c r="BC12" s="32">
        <f t="shared" si="1"/>
        <v>202850.6</v>
      </c>
      <c r="BD12" s="32">
        <f t="shared" ref="BD12:BO12" si="2">SUM(BD8:BD10)</f>
        <v>222367.4</v>
      </c>
      <c r="BE12" s="32">
        <f t="shared" si="2"/>
        <v>249695.2</v>
      </c>
      <c r="BF12" s="32">
        <f t="shared" si="2"/>
        <v>273117.5</v>
      </c>
      <c r="BG12" s="32">
        <f t="shared" si="2"/>
        <v>316045.90000000002</v>
      </c>
      <c r="BH12" s="32">
        <f t="shared" si="2"/>
        <v>339457.5</v>
      </c>
      <c r="BI12" s="32">
        <f t="shared" si="2"/>
        <v>362869.1</v>
      </c>
      <c r="BJ12" s="32">
        <f t="shared" si="2"/>
        <v>386280.7</v>
      </c>
      <c r="BK12" s="32">
        <f t="shared" si="2"/>
        <v>403839.4</v>
      </c>
      <c r="BL12" s="32">
        <f t="shared" si="2"/>
        <v>421398.1</v>
      </c>
      <c r="BM12" s="32">
        <f t="shared" si="2"/>
        <v>438956.79999999999</v>
      </c>
      <c r="BN12" s="32">
        <f t="shared" si="2"/>
        <v>456515.5</v>
      </c>
      <c r="BO12" s="32">
        <f t="shared" si="2"/>
        <v>468221.3</v>
      </c>
      <c r="BP12" s="32">
        <f t="shared" ref="BP12:BU12" si="3">SUM(BP8:BP10)</f>
        <v>479927.1</v>
      </c>
      <c r="BQ12" s="32">
        <f t="shared" si="3"/>
        <v>491632.9</v>
      </c>
      <c r="BR12" s="32">
        <f t="shared" si="3"/>
        <v>503338.7</v>
      </c>
      <c r="BS12" s="32">
        <f t="shared" si="3"/>
        <v>515044.5</v>
      </c>
      <c r="BT12" s="32">
        <f t="shared" si="3"/>
        <v>526750.30000000005</v>
      </c>
      <c r="BU12" s="32">
        <f t="shared" si="3"/>
        <v>538456.1</v>
      </c>
      <c r="BV12" s="32">
        <f t="shared" ref="BV12:CG12" si="4">SUM(BV8:BV10)</f>
        <v>546650.16</v>
      </c>
      <c r="BW12" s="32">
        <f t="shared" si="4"/>
        <v>556014.80000000005</v>
      </c>
      <c r="BX12" s="32">
        <f t="shared" si="4"/>
        <v>561867.69999999995</v>
      </c>
      <c r="BY12" s="32">
        <f t="shared" si="4"/>
        <v>567720.6</v>
      </c>
      <c r="BZ12" s="32">
        <f t="shared" si="4"/>
        <v>573573.5</v>
      </c>
      <c r="CA12" s="32">
        <f t="shared" si="4"/>
        <v>579426.4</v>
      </c>
      <c r="CB12" s="32">
        <f t="shared" si="4"/>
        <v>585279.30000000005</v>
      </c>
      <c r="CC12" s="32">
        <f t="shared" si="4"/>
        <v>591132.19999999995</v>
      </c>
      <c r="CD12" s="32">
        <f t="shared" si="4"/>
        <v>596985.1</v>
      </c>
      <c r="CE12" s="32">
        <f t="shared" si="4"/>
        <v>600496.84</v>
      </c>
      <c r="CF12" s="32">
        <f t="shared" si="4"/>
        <v>604008.57999999996</v>
      </c>
      <c r="CG12" s="32">
        <f t="shared" si="4"/>
        <v>608690.9</v>
      </c>
      <c r="CH12" s="32"/>
      <c r="CI12" s="32"/>
      <c r="CJ12" s="32"/>
    </row>
    <row r="13" spans="1:88">
      <c r="A13" s="17"/>
      <c r="B13" s="33" t="s">
        <v>14</v>
      </c>
      <c r="C13" s="17"/>
      <c r="D13" s="17"/>
      <c r="E13" s="17"/>
      <c r="F13" s="18"/>
      <c r="G13" s="18" t="s">
        <v>15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</row>
    <row r="14" spans="1:88">
      <c r="A14" s="17"/>
      <c r="B14" s="33" t="s">
        <v>16</v>
      </c>
      <c r="C14" s="17"/>
      <c r="D14" s="17"/>
      <c r="E14" s="17"/>
      <c r="F14" s="18"/>
      <c r="G14" s="18" t="s">
        <v>185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</row>
    <row r="15" spans="1:88">
      <c r="A15" s="17"/>
      <c r="B15" s="33" t="s">
        <v>17</v>
      </c>
      <c r="C15" s="17"/>
      <c r="D15" s="17"/>
      <c r="E15" s="17"/>
      <c r="F15" s="18"/>
      <c r="G15" s="18" t="s">
        <v>186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</row>
    <row r="16" spans="1:88">
      <c r="A16" s="17"/>
      <c r="B16" s="33" t="s">
        <v>18</v>
      </c>
      <c r="C16" s="17"/>
      <c r="D16" s="17"/>
      <c r="E16" s="17"/>
      <c r="F16" s="18"/>
      <c r="G16" s="18" t="s">
        <v>19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</row>
    <row r="17" spans="1:88">
      <c r="A17" s="17"/>
      <c r="B17" s="33" t="s">
        <v>20</v>
      </c>
      <c r="C17" s="17"/>
      <c r="D17" s="17"/>
      <c r="E17" s="17"/>
      <c r="F17" s="18"/>
      <c r="G17" s="18" t="s">
        <v>21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</row>
    <row r="18" spans="1:88">
      <c r="A18" s="17"/>
      <c r="B18" s="34"/>
      <c r="C18" s="34"/>
      <c r="D18" s="34"/>
      <c r="E18" s="34"/>
      <c r="F18" s="35"/>
      <c r="G18" s="18" t="s">
        <v>22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</row>
    <row r="19" spans="1:88">
      <c r="A19" s="36"/>
      <c r="B19" s="36"/>
      <c r="C19" s="37" t="s">
        <v>23</v>
      </c>
      <c r="D19" s="37"/>
      <c r="E19" s="37"/>
      <c r="F19" s="38" t="s">
        <v>24</v>
      </c>
      <c r="G19" s="79" t="s">
        <v>25</v>
      </c>
      <c r="H19" s="39"/>
      <c r="I19" s="39"/>
      <c r="J19" s="39"/>
      <c r="K19" s="39"/>
      <c r="L19" s="39"/>
      <c r="M19" s="39"/>
      <c r="N19" s="39">
        <f t="shared" ref="N19:AQ19" si="5">SUM(N12:N17)</f>
        <v>0</v>
      </c>
      <c r="O19" s="39">
        <f t="shared" si="5"/>
        <v>0</v>
      </c>
      <c r="P19" s="39">
        <f t="shared" si="5"/>
        <v>0</v>
      </c>
      <c r="Q19" s="39">
        <f t="shared" si="5"/>
        <v>0</v>
      </c>
      <c r="R19" s="39">
        <f t="shared" si="5"/>
        <v>0</v>
      </c>
      <c r="S19" s="39">
        <f t="shared" si="5"/>
        <v>0</v>
      </c>
      <c r="T19" s="39">
        <f t="shared" si="5"/>
        <v>0</v>
      </c>
      <c r="U19" s="39">
        <f t="shared" si="5"/>
        <v>0</v>
      </c>
      <c r="V19" s="39">
        <f t="shared" si="5"/>
        <v>0</v>
      </c>
      <c r="W19" s="39">
        <f t="shared" si="5"/>
        <v>0</v>
      </c>
      <c r="X19" s="39">
        <f t="shared" si="5"/>
        <v>0</v>
      </c>
      <c r="Y19" s="39">
        <f t="shared" si="5"/>
        <v>0</v>
      </c>
      <c r="Z19" s="39">
        <f t="shared" si="5"/>
        <v>0</v>
      </c>
      <c r="AA19" s="39">
        <f t="shared" si="5"/>
        <v>0</v>
      </c>
      <c r="AB19" s="39">
        <f t="shared" si="5"/>
        <v>0</v>
      </c>
      <c r="AC19" s="39">
        <f t="shared" si="5"/>
        <v>0</v>
      </c>
      <c r="AD19" s="39">
        <f t="shared" si="5"/>
        <v>0</v>
      </c>
      <c r="AE19" s="39">
        <f t="shared" si="5"/>
        <v>0</v>
      </c>
      <c r="AF19" s="39">
        <f t="shared" si="5"/>
        <v>0</v>
      </c>
      <c r="AG19" s="39">
        <f t="shared" si="5"/>
        <v>0</v>
      </c>
      <c r="AH19" s="39">
        <f t="shared" si="5"/>
        <v>0</v>
      </c>
      <c r="AI19" s="39">
        <f t="shared" si="5"/>
        <v>0</v>
      </c>
      <c r="AJ19" s="39">
        <f t="shared" si="5"/>
        <v>0</v>
      </c>
      <c r="AK19" s="39">
        <f t="shared" si="5"/>
        <v>0</v>
      </c>
      <c r="AL19" s="39">
        <f t="shared" si="5"/>
        <v>3900.15</v>
      </c>
      <c r="AM19" s="39">
        <f t="shared" si="5"/>
        <v>7800.3</v>
      </c>
      <c r="AN19" s="39">
        <f t="shared" si="5"/>
        <v>11700.45</v>
      </c>
      <c r="AO19" s="39">
        <f t="shared" si="5"/>
        <v>15600.6</v>
      </c>
      <c r="AP19" s="39">
        <f t="shared" si="5"/>
        <v>19500.75</v>
      </c>
      <c r="AQ19" s="39">
        <f t="shared" si="5"/>
        <v>23400.9</v>
      </c>
      <c r="AR19" s="39">
        <f t="shared" ref="AR19:BC19" si="6">SUM(AR12:AR17)</f>
        <v>31201.200000000001</v>
      </c>
      <c r="AS19" s="39">
        <f t="shared" si="6"/>
        <v>39001.5</v>
      </c>
      <c r="AT19" s="39">
        <f t="shared" si="6"/>
        <v>46801.8</v>
      </c>
      <c r="AU19" s="39">
        <f t="shared" si="6"/>
        <v>58502.25</v>
      </c>
      <c r="AV19" s="39">
        <f t="shared" si="6"/>
        <v>70202.7</v>
      </c>
      <c r="AW19" s="39">
        <f t="shared" si="6"/>
        <v>81903.149999999994</v>
      </c>
      <c r="AX19" s="39">
        <f t="shared" si="6"/>
        <v>93603.6</v>
      </c>
      <c r="AY19" s="39">
        <f t="shared" si="6"/>
        <v>113109.7</v>
      </c>
      <c r="AZ19" s="39">
        <f t="shared" si="6"/>
        <v>132615.79999999999</v>
      </c>
      <c r="BA19" s="39">
        <f t="shared" si="6"/>
        <v>152121.9</v>
      </c>
      <c r="BB19" s="39">
        <f t="shared" si="6"/>
        <v>175533.5</v>
      </c>
      <c r="BC19" s="39">
        <f t="shared" si="6"/>
        <v>202850.6</v>
      </c>
      <c r="BD19" s="39">
        <f t="shared" ref="BD19:BO19" si="7">SUM(BD12:BD17)</f>
        <v>222367.4</v>
      </c>
      <c r="BE19" s="39">
        <f t="shared" si="7"/>
        <v>249695.2</v>
      </c>
      <c r="BF19" s="39">
        <f t="shared" si="7"/>
        <v>273117.5</v>
      </c>
      <c r="BG19" s="39">
        <f t="shared" si="7"/>
        <v>316045.90000000002</v>
      </c>
      <c r="BH19" s="39">
        <f t="shared" si="7"/>
        <v>339457.5</v>
      </c>
      <c r="BI19" s="39">
        <f t="shared" si="7"/>
        <v>362869.1</v>
      </c>
      <c r="BJ19" s="39">
        <f t="shared" si="7"/>
        <v>386280.7</v>
      </c>
      <c r="BK19" s="39">
        <f t="shared" si="7"/>
        <v>403839.4</v>
      </c>
      <c r="BL19" s="39">
        <f t="shared" si="7"/>
        <v>421398.1</v>
      </c>
      <c r="BM19" s="39">
        <f t="shared" si="7"/>
        <v>438956.79999999999</v>
      </c>
      <c r="BN19" s="39">
        <f t="shared" si="7"/>
        <v>456515.5</v>
      </c>
      <c r="BO19" s="39">
        <f t="shared" si="7"/>
        <v>468221.3</v>
      </c>
      <c r="BP19" s="39">
        <f t="shared" ref="BP19:BU19" si="8">SUM(BP12:BP17)</f>
        <v>479927.1</v>
      </c>
      <c r="BQ19" s="39">
        <f t="shared" si="8"/>
        <v>491632.9</v>
      </c>
      <c r="BR19" s="39">
        <f t="shared" si="8"/>
        <v>503338.7</v>
      </c>
      <c r="BS19" s="39">
        <f t="shared" si="8"/>
        <v>515044.5</v>
      </c>
      <c r="BT19" s="39">
        <f t="shared" si="8"/>
        <v>526750.30000000005</v>
      </c>
      <c r="BU19" s="39">
        <f t="shared" si="8"/>
        <v>538456.1</v>
      </c>
      <c r="BV19" s="39">
        <f t="shared" ref="BV19:CG19" si="9">SUM(BV12:BV17)</f>
        <v>546650.16</v>
      </c>
      <c r="BW19" s="39">
        <f t="shared" si="9"/>
        <v>556014.80000000005</v>
      </c>
      <c r="BX19" s="39">
        <f t="shared" si="9"/>
        <v>561867.69999999995</v>
      </c>
      <c r="BY19" s="39">
        <f t="shared" si="9"/>
        <v>567720.6</v>
      </c>
      <c r="BZ19" s="39">
        <f t="shared" si="9"/>
        <v>573573.5</v>
      </c>
      <c r="CA19" s="39">
        <f t="shared" si="9"/>
        <v>579426.4</v>
      </c>
      <c r="CB19" s="39">
        <f t="shared" si="9"/>
        <v>585279.30000000005</v>
      </c>
      <c r="CC19" s="39">
        <f t="shared" si="9"/>
        <v>591132.19999999995</v>
      </c>
      <c r="CD19" s="39">
        <f t="shared" si="9"/>
        <v>596985.1</v>
      </c>
      <c r="CE19" s="39">
        <f t="shared" si="9"/>
        <v>600496.84</v>
      </c>
      <c r="CF19" s="39">
        <f t="shared" si="9"/>
        <v>604008.57999999996</v>
      </c>
      <c r="CG19" s="39">
        <f t="shared" si="9"/>
        <v>608690.9</v>
      </c>
      <c r="CH19" s="39"/>
      <c r="CI19" s="39"/>
      <c r="CJ19" s="39"/>
    </row>
    <row r="20" spans="1:88" s="8" customFormat="1">
      <c r="E20" s="8" t="s">
        <v>190</v>
      </c>
      <c r="H20" s="90"/>
      <c r="I20" s="90"/>
      <c r="J20" s="90"/>
      <c r="K20" s="90"/>
      <c r="L20" s="90"/>
      <c r="M20" s="90"/>
      <c r="N20" s="90">
        <f t="shared" ref="N20:BD20" si="10">N19+M20</f>
        <v>0</v>
      </c>
      <c r="O20" s="90">
        <f t="shared" si="10"/>
        <v>0</v>
      </c>
      <c r="P20" s="90">
        <f t="shared" si="10"/>
        <v>0</v>
      </c>
      <c r="Q20" s="90">
        <f t="shared" si="10"/>
        <v>0</v>
      </c>
      <c r="R20" s="90">
        <f t="shared" si="10"/>
        <v>0</v>
      </c>
      <c r="S20" s="90">
        <f t="shared" si="10"/>
        <v>0</v>
      </c>
      <c r="T20" s="90">
        <f t="shared" si="10"/>
        <v>0</v>
      </c>
      <c r="U20" s="90">
        <f t="shared" si="10"/>
        <v>0</v>
      </c>
      <c r="V20" s="90">
        <f t="shared" si="10"/>
        <v>0</v>
      </c>
      <c r="W20" s="90">
        <f t="shared" si="10"/>
        <v>0</v>
      </c>
      <c r="X20" s="90">
        <f t="shared" si="10"/>
        <v>0</v>
      </c>
      <c r="Y20" s="90">
        <f t="shared" si="10"/>
        <v>0</v>
      </c>
      <c r="Z20" s="90">
        <f>Z19</f>
        <v>0</v>
      </c>
      <c r="AA20" s="90">
        <f t="shared" si="10"/>
        <v>0</v>
      </c>
      <c r="AB20" s="90">
        <f t="shared" si="10"/>
        <v>0</v>
      </c>
      <c r="AC20" s="90">
        <f t="shared" si="10"/>
        <v>0</v>
      </c>
      <c r="AD20" s="90">
        <f t="shared" si="10"/>
        <v>0</v>
      </c>
      <c r="AE20" s="90">
        <f t="shared" si="10"/>
        <v>0</v>
      </c>
      <c r="AF20" s="90">
        <f t="shared" si="10"/>
        <v>0</v>
      </c>
      <c r="AG20" s="90">
        <f t="shared" si="10"/>
        <v>0</v>
      </c>
      <c r="AH20" s="90">
        <f t="shared" si="10"/>
        <v>0</v>
      </c>
      <c r="AI20" s="90">
        <f t="shared" si="10"/>
        <v>0</v>
      </c>
      <c r="AJ20" s="90">
        <f t="shared" si="10"/>
        <v>0</v>
      </c>
      <c r="AK20" s="90">
        <f t="shared" si="10"/>
        <v>0</v>
      </c>
      <c r="AL20" s="90">
        <f>AL19</f>
        <v>3900.15</v>
      </c>
      <c r="AM20" s="90">
        <f t="shared" si="10"/>
        <v>11700.45</v>
      </c>
      <c r="AN20" s="90">
        <f t="shared" si="10"/>
        <v>23400.9</v>
      </c>
      <c r="AO20" s="90">
        <f t="shared" si="10"/>
        <v>39001.5</v>
      </c>
      <c r="AP20" s="90">
        <f t="shared" si="10"/>
        <v>58502.25</v>
      </c>
      <c r="AQ20" s="90">
        <f t="shared" si="10"/>
        <v>81903.149999999994</v>
      </c>
      <c r="AR20" s="90">
        <f t="shared" si="10"/>
        <v>113104.34999999999</v>
      </c>
      <c r="AS20" s="90">
        <f t="shared" si="10"/>
        <v>152105.84999999998</v>
      </c>
      <c r="AT20" s="90">
        <f t="shared" si="10"/>
        <v>198907.64999999997</v>
      </c>
      <c r="AU20" s="90">
        <f t="shared" si="10"/>
        <v>257409.89999999997</v>
      </c>
      <c r="AV20" s="90">
        <f t="shared" si="10"/>
        <v>327612.59999999998</v>
      </c>
      <c r="AW20" s="90">
        <f t="shared" si="10"/>
        <v>409515.75</v>
      </c>
      <c r="AX20" s="90">
        <f>AX19</f>
        <v>93603.6</v>
      </c>
      <c r="AY20" s="90">
        <f t="shared" si="10"/>
        <v>206713.3</v>
      </c>
      <c r="AZ20" s="90">
        <f t="shared" si="10"/>
        <v>339329.1</v>
      </c>
      <c r="BA20" s="90">
        <f t="shared" si="10"/>
        <v>491451</v>
      </c>
      <c r="BB20" s="90">
        <f t="shared" si="10"/>
        <v>666984.5</v>
      </c>
      <c r="BC20" s="90">
        <f t="shared" si="10"/>
        <v>869835.1</v>
      </c>
      <c r="BD20" s="90">
        <f t="shared" si="10"/>
        <v>1092202.5</v>
      </c>
      <c r="BE20" s="90">
        <f t="shared" ref="BE20:BO20" si="11">BE19+BD20</f>
        <v>1341897.7</v>
      </c>
      <c r="BF20" s="90">
        <f t="shared" si="11"/>
        <v>1615015.2</v>
      </c>
      <c r="BG20" s="90">
        <f t="shared" si="11"/>
        <v>1931061.1</v>
      </c>
      <c r="BH20" s="90">
        <f t="shared" si="11"/>
        <v>2270518.6</v>
      </c>
      <c r="BI20" s="90">
        <f t="shared" si="11"/>
        <v>2633387.7000000002</v>
      </c>
      <c r="BJ20" s="90">
        <f>BJ19</f>
        <v>386280.7</v>
      </c>
      <c r="BK20" s="90">
        <f t="shared" si="11"/>
        <v>790120.10000000009</v>
      </c>
      <c r="BL20" s="90">
        <f t="shared" si="11"/>
        <v>1211518.2000000002</v>
      </c>
      <c r="BM20" s="90">
        <f t="shared" si="11"/>
        <v>1650475.0000000002</v>
      </c>
      <c r="BN20" s="90">
        <f t="shared" si="11"/>
        <v>2106990.5</v>
      </c>
      <c r="BO20" s="90">
        <f t="shared" si="11"/>
        <v>2575211.7999999998</v>
      </c>
      <c r="BP20" s="90">
        <f t="shared" ref="BP20:BU20" si="12">BP19+BO20</f>
        <v>3055138.9</v>
      </c>
      <c r="BQ20" s="90">
        <f t="shared" si="12"/>
        <v>3546771.8</v>
      </c>
      <c r="BR20" s="90">
        <f t="shared" si="12"/>
        <v>4050110.5</v>
      </c>
      <c r="BS20" s="90">
        <f t="shared" si="12"/>
        <v>4565155</v>
      </c>
      <c r="BT20" s="90">
        <f t="shared" si="12"/>
        <v>5091905.3</v>
      </c>
      <c r="BU20" s="90">
        <f t="shared" si="12"/>
        <v>5630361.3999999994</v>
      </c>
      <c r="BV20" s="90">
        <f t="shared" ref="BV20:CG20" si="13">BV19+BU20</f>
        <v>6177011.5599999996</v>
      </c>
      <c r="BW20" s="90">
        <f t="shared" si="13"/>
        <v>6733026.3599999994</v>
      </c>
      <c r="BX20" s="90">
        <f t="shared" si="13"/>
        <v>7294894.0599999996</v>
      </c>
      <c r="BY20" s="90">
        <f t="shared" si="13"/>
        <v>7862614.6599999992</v>
      </c>
      <c r="BZ20" s="90">
        <f t="shared" si="13"/>
        <v>8436188.1600000001</v>
      </c>
      <c r="CA20" s="90">
        <f t="shared" si="13"/>
        <v>9015614.5600000005</v>
      </c>
      <c r="CB20" s="90">
        <f t="shared" si="13"/>
        <v>9600893.8600000013</v>
      </c>
      <c r="CC20" s="90">
        <f t="shared" si="13"/>
        <v>10192026.060000001</v>
      </c>
      <c r="CD20" s="90">
        <f t="shared" si="13"/>
        <v>10789011.16</v>
      </c>
      <c r="CE20" s="90">
        <f t="shared" si="13"/>
        <v>11389508</v>
      </c>
      <c r="CF20" s="90">
        <f t="shared" si="13"/>
        <v>11993516.58</v>
      </c>
      <c r="CG20" s="90">
        <f t="shared" si="13"/>
        <v>12602207.48</v>
      </c>
      <c r="CH20" s="90"/>
      <c r="CI20" s="90"/>
      <c r="CJ20" s="90"/>
    </row>
    <row r="21" spans="1:88">
      <c r="A21" s="17"/>
      <c r="B21" s="17"/>
      <c r="C21" s="17"/>
      <c r="D21" s="17"/>
      <c r="E21" s="17"/>
      <c r="F21" s="18"/>
      <c r="G21" s="18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</row>
    <row r="22" spans="1:88">
      <c r="A22" s="17"/>
      <c r="B22" s="33" t="s">
        <v>26</v>
      </c>
      <c r="C22" s="17"/>
      <c r="D22" s="17"/>
      <c r="E22" s="17"/>
      <c r="F22" s="18"/>
      <c r="G22" s="18" t="s">
        <v>27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</row>
    <row r="23" spans="1:88">
      <c r="A23" s="17"/>
      <c r="B23" s="33" t="s">
        <v>28</v>
      </c>
      <c r="C23" s="17"/>
      <c r="D23" s="17"/>
      <c r="E23" s="17"/>
      <c r="F23" s="18"/>
      <c r="G23" s="18" t="s">
        <v>29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</row>
    <row r="24" spans="1:88">
      <c r="A24" s="17"/>
      <c r="B24" s="33" t="s">
        <v>30</v>
      </c>
      <c r="C24" s="17"/>
      <c r="D24" s="17"/>
      <c r="E24" s="17"/>
      <c r="F24" s="18"/>
      <c r="G24" s="18" t="s">
        <v>31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</row>
    <row r="25" spans="1:88">
      <c r="A25" s="17"/>
      <c r="B25" s="33" t="s">
        <v>32</v>
      </c>
      <c r="C25" s="17"/>
      <c r="D25" s="17"/>
      <c r="E25" s="17"/>
      <c r="F25" s="18"/>
      <c r="G25" s="18" t="s">
        <v>33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</row>
    <row r="26" spans="1:88">
      <c r="A26" s="17"/>
      <c r="B26" s="33" t="s">
        <v>34</v>
      </c>
      <c r="C26" s="17"/>
      <c r="D26" s="17"/>
      <c r="E26" s="17"/>
      <c r="F26" s="18"/>
      <c r="G26" s="18" t="s">
        <v>35</v>
      </c>
      <c r="H26" s="2"/>
      <c r="I26" s="2"/>
      <c r="J26" s="2"/>
      <c r="K26" s="2"/>
      <c r="L26" s="2"/>
      <c r="M26" s="2"/>
      <c r="N26" s="2">
        <f t="shared" ref="N26:AQ26" si="14">N27+N28+N29+N30+N33+N34</f>
        <v>0</v>
      </c>
      <c r="O26" s="2">
        <f t="shared" si="14"/>
        <v>0</v>
      </c>
      <c r="P26" s="2">
        <f t="shared" si="14"/>
        <v>0</v>
      </c>
      <c r="Q26" s="2">
        <f t="shared" si="14"/>
        <v>0</v>
      </c>
      <c r="R26" s="2">
        <f t="shared" si="14"/>
        <v>0</v>
      </c>
      <c r="S26" s="2">
        <f t="shared" si="14"/>
        <v>0</v>
      </c>
      <c r="T26" s="2">
        <f t="shared" si="14"/>
        <v>0</v>
      </c>
      <c r="U26" s="2">
        <f t="shared" si="14"/>
        <v>350</v>
      </c>
      <c r="V26" s="2">
        <f t="shared" si="14"/>
        <v>350</v>
      </c>
      <c r="W26" s="2">
        <f t="shared" si="14"/>
        <v>350</v>
      </c>
      <c r="X26" s="2">
        <f t="shared" si="14"/>
        <v>350</v>
      </c>
      <c r="Y26" s="2">
        <f t="shared" si="14"/>
        <v>2900</v>
      </c>
      <c r="Z26" s="2">
        <f t="shared" si="14"/>
        <v>1504</v>
      </c>
      <c r="AA26" s="2">
        <f t="shared" si="14"/>
        <v>1504</v>
      </c>
      <c r="AB26" s="2">
        <f t="shared" si="14"/>
        <v>1554</v>
      </c>
      <c r="AC26" s="2">
        <f t="shared" si="14"/>
        <v>1643.55</v>
      </c>
      <c r="AD26" s="2">
        <f t="shared" si="14"/>
        <v>1843.55</v>
      </c>
      <c r="AE26" s="2">
        <f t="shared" si="14"/>
        <v>1843.55</v>
      </c>
      <c r="AF26" s="2">
        <f t="shared" si="14"/>
        <v>2550.0500000000002</v>
      </c>
      <c r="AG26" s="2">
        <f t="shared" si="14"/>
        <v>1882.25</v>
      </c>
      <c r="AH26" s="2">
        <f t="shared" si="14"/>
        <v>2437.5</v>
      </c>
      <c r="AI26" s="2">
        <f t="shared" si="14"/>
        <v>3192.75</v>
      </c>
      <c r="AJ26" s="2">
        <f t="shared" si="14"/>
        <v>3292.75</v>
      </c>
      <c r="AK26" s="2">
        <f t="shared" si="14"/>
        <v>3848</v>
      </c>
      <c r="AL26" s="2">
        <f t="shared" si="14"/>
        <v>20942.650000000001</v>
      </c>
      <c r="AM26" s="2">
        <f t="shared" si="14"/>
        <v>27532.05</v>
      </c>
      <c r="AN26" s="2">
        <f t="shared" si="14"/>
        <v>34626.699999999997</v>
      </c>
      <c r="AO26" s="2">
        <f t="shared" si="14"/>
        <v>51010.85</v>
      </c>
      <c r="AP26" s="2">
        <f t="shared" si="14"/>
        <v>74100.25</v>
      </c>
      <c r="AQ26" s="2">
        <f t="shared" si="14"/>
        <v>61194.9</v>
      </c>
      <c r="AR26" s="2">
        <f t="shared" ref="AR26:BC26" si="15">AR27+AR28+AR29+AR30+AR33+AR34</f>
        <v>80218.45</v>
      </c>
      <c r="AS26" s="2">
        <f t="shared" si="15"/>
        <v>68736.75</v>
      </c>
      <c r="AT26" s="2">
        <f t="shared" si="15"/>
        <v>78870.8</v>
      </c>
      <c r="AU26" s="2">
        <f t="shared" si="15"/>
        <v>80423.25</v>
      </c>
      <c r="AV26" s="2">
        <f t="shared" si="15"/>
        <v>93375.7</v>
      </c>
      <c r="AW26" s="2">
        <f t="shared" si="15"/>
        <v>82328.149999999994</v>
      </c>
      <c r="AX26" s="2">
        <f t="shared" si="15"/>
        <v>97104.952500000014</v>
      </c>
      <c r="AY26" s="2">
        <f t="shared" si="15"/>
        <v>100027.05249999999</v>
      </c>
      <c r="AZ26" s="2">
        <f t="shared" si="15"/>
        <v>107949.1525</v>
      </c>
      <c r="BA26" s="2">
        <f t="shared" si="15"/>
        <v>112871.2525</v>
      </c>
      <c r="BB26" s="2">
        <f t="shared" si="15"/>
        <v>114342.45</v>
      </c>
      <c r="BC26" s="2">
        <f t="shared" si="15"/>
        <v>120235.55</v>
      </c>
      <c r="BD26" s="2">
        <f t="shared" ref="BD26:BO26" si="16">BD27+BD28+BD29+BD30+BD33+BD34</f>
        <v>126287.545</v>
      </c>
      <c r="BE26" s="2">
        <f t="shared" si="16"/>
        <v>128183.34500000002</v>
      </c>
      <c r="BF26" s="2">
        <f t="shared" si="16"/>
        <v>134657.24249999999</v>
      </c>
      <c r="BG26" s="2">
        <f t="shared" si="16"/>
        <v>145489.64250000002</v>
      </c>
      <c r="BH26" s="2">
        <f t="shared" si="16"/>
        <v>151960.84</v>
      </c>
      <c r="BI26" s="2">
        <f t="shared" si="16"/>
        <v>157868.44</v>
      </c>
      <c r="BJ26" s="2">
        <f t="shared" si="16"/>
        <v>163976.38</v>
      </c>
      <c r="BK26" s="2">
        <f t="shared" si="16"/>
        <v>168407.08000000002</v>
      </c>
      <c r="BL26" s="2">
        <f t="shared" si="16"/>
        <v>172837.78</v>
      </c>
      <c r="BM26" s="2">
        <f t="shared" si="16"/>
        <v>177268.48000000001</v>
      </c>
      <c r="BN26" s="2">
        <f t="shared" si="16"/>
        <v>182271.125</v>
      </c>
      <c r="BO26" s="2">
        <f t="shared" si="16"/>
        <v>185224.92499999999</v>
      </c>
      <c r="BP26" s="2">
        <f t="shared" ref="BP26:BU26" si="17">BP27+BP28+BP29+BP30+BP33+BP34</f>
        <v>188178.72500000001</v>
      </c>
      <c r="BQ26" s="2">
        <f t="shared" si="17"/>
        <v>191132.52500000002</v>
      </c>
      <c r="BR26" s="2">
        <f t="shared" si="17"/>
        <v>194086.32500000001</v>
      </c>
      <c r="BS26" s="2">
        <f t="shared" si="17"/>
        <v>197040.125</v>
      </c>
      <c r="BT26" s="2">
        <f t="shared" si="17"/>
        <v>199993.92500000002</v>
      </c>
      <c r="BU26" s="2">
        <f t="shared" si="17"/>
        <v>202947.72500000001</v>
      </c>
      <c r="BV26" s="2">
        <f t="shared" ref="BV26:CG26" si="18">BV27+BV28+BV29+BV30+BV33+BV34</f>
        <v>205293.63500000001</v>
      </c>
      <c r="BW26" s="2">
        <f t="shared" si="18"/>
        <v>207656.67500000002</v>
      </c>
      <c r="BX26" s="2">
        <f t="shared" si="18"/>
        <v>209133.57500000001</v>
      </c>
      <c r="BY26" s="2">
        <f t="shared" si="18"/>
        <v>210610.47500000001</v>
      </c>
      <c r="BZ26" s="2">
        <f t="shared" si="18"/>
        <v>212087.375</v>
      </c>
      <c r="CA26" s="2">
        <f t="shared" si="18"/>
        <v>213564.27500000002</v>
      </c>
      <c r="CB26" s="2">
        <f t="shared" si="18"/>
        <v>215041.17500000002</v>
      </c>
      <c r="CC26" s="2">
        <f t="shared" si="18"/>
        <v>216518.07500000001</v>
      </c>
      <c r="CD26" s="2">
        <f t="shared" si="18"/>
        <v>217994.97500000001</v>
      </c>
      <c r="CE26" s="2">
        <f t="shared" si="18"/>
        <v>218881.11500000002</v>
      </c>
      <c r="CF26" s="2">
        <f t="shared" si="18"/>
        <v>219767.255</v>
      </c>
      <c r="CG26" s="2">
        <f t="shared" si="18"/>
        <v>220948.77500000002</v>
      </c>
      <c r="CH26" s="2"/>
      <c r="CI26" s="2"/>
      <c r="CJ26" s="2"/>
    </row>
    <row r="27" spans="1:88" s="67" customFormat="1" ht="15" customHeight="1">
      <c r="A27" s="63"/>
      <c r="B27" s="63"/>
      <c r="C27" s="63" t="s">
        <v>159</v>
      </c>
      <c r="D27" s="63"/>
      <c r="E27" s="73">
        <v>0.27</v>
      </c>
      <c r="F27" s="64"/>
      <c r="G27" s="64"/>
      <c r="H27" s="65"/>
      <c r="I27" s="63"/>
      <c r="J27" s="20"/>
      <c r="K27" s="63"/>
      <c r="L27" s="229"/>
      <c r="M27" s="229"/>
      <c r="N27" s="229">
        <f>('Sales &amp; Costs'!L23+'Sales &amp; Costs'!L36)*$E27</f>
        <v>0</v>
      </c>
      <c r="O27" s="229">
        <f>('Sales &amp; Costs'!M23+'Sales &amp; Costs'!M36)*$E27</f>
        <v>0</v>
      </c>
      <c r="P27" s="229">
        <f>('Sales &amp; Costs'!N23+'Sales &amp; Costs'!N36)*$E27</f>
        <v>0</v>
      </c>
      <c r="Q27" s="229">
        <f>('Sales &amp; Costs'!O23+'Sales &amp; Costs'!O36)*$E27</f>
        <v>0</v>
      </c>
      <c r="R27" s="229">
        <f>('Sales &amp; Costs'!P23+'Sales &amp; Costs'!P36)*$E27</f>
        <v>0</v>
      </c>
      <c r="S27" s="229">
        <f>('Sales &amp; Costs'!Q23+'Sales &amp; Costs'!Q36)*$E27</f>
        <v>0</v>
      </c>
      <c r="T27" s="229">
        <f>('Sales &amp; Costs'!R23+'Sales &amp; Costs'!R36)*$E27</f>
        <v>0</v>
      </c>
      <c r="U27" s="229">
        <f>('Sales &amp; Costs'!S23+'Sales &amp; Costs'!S36)*$E27</f>
        <v>0</v>
      </c>
      <c r="V27" s="229">
        <f>('Sales &amp; Costs'!T23+'Sales &amp; Costs'!T36)*$E27</f>
        <v>0</v>
      </c>
      <c r="W27" s="229">
        <f>('Sales &amp; Costs'!U23+'Sales &amp; Costs'!U36)*$E27</f>
        <v>0</v>
      </c>
      <c r="X27" s="229">
        <f>('Sales &amp; Costs'!V23+'Sales &amp; Costs'!V36)*$E27</f>
        <v>0</v>
      </c>
      <c r="Y27" s="229">
        <f>('Sales &amp; Costs'!W23+'Sales &amp; Costs'!W36)*$E27</f>
        <v>0</v>
      </c>
      <c r="Z27" s="229">
        <f>('Sales &amp; Costs'!X23+'Sales &amp; Costs'!X36)*$E27</f>
        <v>0</v>
      </c>
      <c r="AA27" s="229">
        <f>('Sales &amp; Costs'!Y23+'Sales &amp; Costs'!Y36)*$E27</f>
        <v>0</v>
      </c>
      <c r="AB27" s="229">
        <f>('Sales &amp; Costs'!Z23+'Sales &amp; Costs'!Z36)*$E27</f>
        <v>0</v>
      </c>
      <c r="AC27" s="229">
        <f>AC$9*$E27</f>
        <v>0</v>
      </c>
      <c r="AD27" s="229">
        <f t="shared" ref="AD27:CG27" si="19">AD$9*$E27</f>
        <v>0</v>
      </c>
      <c r="AE27" s="229">
        <f t="shared" si="19"/>
        <v>0</v>
      </c>
      <c r="AF27" s="229">
        <f t="shared" si="19"/>
        <v>0</v>
      </c>
      <c r="AG27" s="229">
        <f t="shared" si="19"/>
        <v>0</v>
      </c>
      <c r="AH27" s="229">
        <f t="shared" si="19"/>
        <v>0</v>
      </c>
      <c r="AI27" s="229">
        <f t="shared" si="19"/>
        <v>0</v>
      </c>
      <c r="AJ27" s="229">
        <f t="shared" si="19"/>
        <v>0</v>
      </c>
      <c r="AK27" s="229">
        <f t="shared" si="19"/>
        <v>0</v>
      </c>
      <c r="AL27" s="229">
        <f t="shared" si="19"/>
        <v>984.15000000000009</v>
      </c>
      <c r="AM27" s="229">
        <f t="shared" si="19"/>
        <v>1968.3000000000002</v>
      </c>
      <c r="AN27" s="229">
        <f t="shared" si="19"/>
        <v>2952.4500000000003</v>
      </c>
      <c r="AO27" s="229">
        <f t="shared" si="19"/>
        <v>3936.6000000000004</v>
      </c>
      <c r="AP27" s="229">
        <f t="shared" si="19"/>
        <v>4920.75</v>
      </c>
      <c r="AQ27" s="229">
        <f t="shared" si="19"/>
        <v>5904.9000000000005</v>
      </c>
      <c r="AR27" s="229">
        <f t="shared" si="19"/>
        <v>7873.2000000000007</v>
      </c>
      <c r="AS27" s="229">
        <f t="shared" si="19"/>
        <v>9841.5</v>
      </c>
      <c r="AT27" s="229">
        <f t="shared" si="19"/>
        <v>11809.800000000001</v>
      </c>
      <c r="AU27" s="229">
        <f t="shared" si="19"/>
        <v>14762.250000000002</v>
      </c>
      <c r="AV27" s="229">
        <f t="shared" si="19"/>
        <v>17714.7</v>
      </c>
      <c r="AW27" s="229">
        <f t="shared" si="19"/>
        <v>20667.150000000001</v>
      </c>
      <c r="AX27" s="229">
        <f t="shared" si="19"/>
        <v>23619.600000000002</v>
      </c>
      <c r="AY27" s="229">
        <f t="shared" si="19"/>
        <v>28541.7</v>
      </c>
      <c r="AZ27" s="229">
        <f t="shared" si="19"/>
        <v>33463.799999999996</v>
      </c>
      <c r="BA27" s="229">
        <f t="shared" si="19"/>
        <v>38385.9</v>
      </c>
      <c r="BB27" s="229">
        <f t="shared" si="19"/>
        <v>44293.5</v>
      </c>
      <c r="BC27" s="229">
        <f t="shared" si="19"/>
        <v>51186.600000000006</v>
      </c>
      <c r="BD27" s="229">
        <f t="shared" si="19"/>
        <v>56111.4</v>
      </c>
      <c r="BE27" s="229">
        <f t="shared" si="19"/>
        <v>63007.200000000004</v>
      </c>
      <c r="BF27" s="229">
        <f t="shared" si="19"/>
        <v>68917.5</v>
      </c>
      <c r="BG27" s="229">
        <f t="shared" si="19"/>
        <v>79749.900000000009</v>
      </c>
      <c r="BH27" s="229">
        <f t="shared" si="19"/>
        <v>85657.5</v>
      </c>
      <c r="BI27" s="229">
        <f t="shared" si="19"/>
        <v>91565.1</v>
      </c>
      <c r="BJ27" s="229">
        <f t="shared" si="19"/>
        <v>97472.700000000012</v>
      </c>
      <c r="BK27" s="229">
        <f t="shared" si="19"/>
        <v>101903.40000000001</v>
      </c>
      <c r="BL27" s="229">
        <f t="shared" si="19"/>
        <v>106334.1</v>
      </c>
      <c r="BM27" s="229">
        <f t="shared" si="19"/>
        <v>110764.8</v>
      </c>
      <c r="BN27" s="229">
        <f t="shared" si="19"/>
        <v>115195.50000000001</v>
      </c>
      <c r="BO27" s="229">
        <f t="shared" si="19"/>
        <v>118149.3</v>
      </c>
      <c r="BP27" s="229">
        <f t="shared" si="19"/>
        <v>121103.1</v>
      </c>
      <c r="BQ27" s="229">
        <f t="shared" si="19"/>
        <v>124056.90000000001</v>
      </c>
      <c r="BR27" s="229">
        <f t="shared" si="19"/>
        <v>127010.70000000001</v>
      </c>
      <c r="BS27" s="229">
        <f t="shared" si="19"/>
        <v>129964.50000000001</v>
      </c>
      <c r="BT27" s="229">
        <f t="shared" si="19"/>
        <v>132918.30000000002</v>
      </c>
      <c r="BU27" s="229">
        <f t="shared" si="19"/>
        <v>135872.1</v>
      </c>
      <c r="BV27" s="229">
        <f t="shared" si="19"/>
        <v>137939.76</v>
      </c>
      <c r="BW27" s="229">
        <f t="shared" si="19"/>
        <v>140302.80000000002</v>
      </c>
      <c r="BX27" s="229">
        <f t="shared" si="19"/>
        <v>141779.70000000001</v>
      </c>
      <c r="BY27" s="229">
        <f t="shared" si="19"/>
        <v>143256.6</v>
      </c>
      <c r="BZ27" s="229">
        <f t="shared" si="19"/>
        <v>144733.5</v>
      </c>
      <c r="CA27" s="229">
        <f t="shared" si="19"/>
        <v>146210.40000000002</v>
      </c>
      <c r="CB27" s="229">
        <f t="shared" si="19"/>
        <v>147687.30000000002</v>
      </c>
      <c r="CC27" s="229">
        <f t="shared" si="19"/>
        <v>149164.20000000001</v>
      </c>
      <c r="CD27" s="229">
        <f t="shared" si="19"/>
        <v>150641.1</v>
      </c>
      <c r="CE27" s="229">
        <f t="shared" si="19"/>
        <v>151527.24000000002</v>
      </c>
      <c r="CF27" s="229">
        <f t="shared" si="19"/>
        <v>152413.38</v>
      </c>
      <c r="CG27" s="229">
        <f t="shared" si="19"/>
        <v>153594.90000000002</v>
      </c>
      <c r="CH27" s="229"/>
      <c r="CI27" s="229"/>
      <c r="CJ27" s="229"/>
    </row>
    <row r="28" spans="1:88" s="67" customFormat="1" ht="15" customHeight="1">
      <c r="A28" s="63"/>
      <c r="B28" s="63"/>
      <c r="C28" s="63" t="s">
        <v>160</v>
      </c>
      <c r="D28" s="63"/>
      <c r="E28" s="64"/>
      <c r="F28" s="64"/>
      <c r="G28" s="80"/>
      <c r="H28" s="65"/>
      <c r="I28" s="65"/>
      <c r="J28" s="65"/>
      <c r="K28" s="65"/>
      <c r="L28" s="65"/>
      <c r="M28" s="65"/>
      <c r="N28" s="65"/>
      <c r="O28" s="65">
        <f>'Sales &amp; Costs'!M61</f>
        <v>0</v>
      </c>
      <c r="P28" s="65">
        <f>'Sales &amp; Costs'!N61</f>
        <v>0</v>
      </c>
      <c r="Q28" s="65">
        <f>'Sales &amp; Costs'!O61</f>
        <v>0</v>
      </c>
      <c r="R28" s="65">
        <f>'Sales &amp; Costs'!P61</f>
        <v>0</v>
      </c>
      <c r="S28" s="65">
        <f>'Sales &amp; Costs'!Q61</f>
        <v>0</v>
      </c>
      <c r="T28" s="65">
        <f>'Sales &amp; Costs'!R61</f>
        <v>0</v>
      </c>
      <c r="U28" s="65">
        <f>'Sales &amp; Costs'!S61</f>
        <v>350</v>
      </c>
      <c r="V28" s="65">
        <f>'Sales &amp; Costs'!T61</f>
        <v>350</v>
      </c>
      <c r="W28" s="65">
        <f>'Sales &amp; Costs'!U61</f>
        <v>350</v>
      </c>
      <c r="X28" s="65">
        <f>'Sales &amp; Costs'!V61</f>
        <v>350</v>
      </c>
      <c r="Y28" s="65">
        <f>'Sales &amp; Costs'!W61</f>
        <v>350</v>
      </c>
      <c r="Z28" s="65">
        <f>'Sales &amp; Costs'!X61</f>
        <v>350</v>
      </c>
      <c r="AA28" s="65">
        <f>'Sales &amp; Costs'!Y61</f>
        <v>350</v>
      </c>
      <c r="AB28" s="65">
        <f>'Sales &amp; Costs'!Z61</f>
        <v>350</v>
      </c>
      <c r="AC28" s="65">
        <f>'Sales &amp; Costs'!AA61</f>
        <v>350</v>
      </c>
      <c r="AD28" s="65">
        <f>'Sales &amp; Costs'!AB61</f>
        <v>350</v>
      </c>
      <c r="AE28" s="65">
        <f>'Sales &amp; Costs'!AC61</f>
        <v>350</v>
      </c>
      <c r="AF28" s="65">
        <f>'Sales &amp; Costs'!AD61</f>
        <v>850</v>
      </c>
      <c r="AG28" s="65">
        <f>'Sales &amp; Costs'!AE61</f>
        <v>250</v>
      </c>
      <c r="AH28" s="65">
        <f>'Sales &amp; Costs'!AF61</f>
        <v>500</v>
      </c>
      <c r="AI28" s="65">
        <f>'Sales &amp; Costs'!AG61</f>
        <v>750</v>
      </c>
      <c r="AJ28" s="65">
        <f>'Sales &amp; Costs'!AH61</f>
        <v>750</v>
      </c>
      <c r="AK28" s="65">
        <f>'Sales &amp; Costs'!AI61</f>
        <v>1000</v>
      </c>
      <c r="AL28" s="65">
        <f>'Sales &amp; Costs'!AJ61</f>
        <v>1500</v>
      </c>
      <c r="AM28" s="65">
        <f>'Sales &amp; Costs'!AK61</f>
        <v>1750</v>
      </c>
      <c r="AN28" s="65">
        <f>'Sales &amp; Costs'!AL61</f>
        <v>2250</v>
      </c>
      <c r="AO28" s="65">
        <f>'Sales &amp; Costs'!AM61</f>
        <v>2250</v>
      </c>
      <c r="AP28" s="65">
        <f>'Sales &amp; Costs'!AN61</f>
        <v>2500</v>
      </c>
      <c r="AQ28" s="65">
        <f>'Sales &amp; Costs'!AO61</f>
        <v>3000</v>
      </c>
      <c r="AR28" s="65">
        <f>'Sales &amp; Costs'!AP61</f>
        <v>3250</v>
      </c>
      <c r="AS28" s="65">
        <f>'Sales &amp; Costs'!AQ61</f>
        <v>3250</v>
      </c>
      <c r="AT28" s="65">
        <f>'Sales &amp; Costs'!AR61</f>
        <v>4000</v>
      </c>
      <c r="AU28" s="65">
        <f>'Sales &amp; Costs'!AS61</f>
        <v>4000</v>
      </c>
      <c r="AV28" s="65">
        <f>'Sales &amp; Costs'!AT61</f>
        <v>4000</v>
      </c>
      <c r="AW28" s="65">
        <f>'Sales &amp; Costs'!AU61</f>
        <v>4000</v>
      </c>
      <c r="AX28" s="65">
        <f>'Sales &amp; Costs'!AV61</f>
        <v>4892.5</v>
      </c>
      <c r="AY28" s="65">
        <f>'Sales &amp; Costs'!AW61</f>
        <v>4892.5</v>
      </c>
      <c r="AZ28" s="65">
        <f>'Sales &amp; Costs'!AX61</f>
        <v>4892.5</v>
      </c>
      <c r="BA28" s="65">
        <f>'Sales &amp; Costs'!AY61</f>
        <v>4892.5</v>
      </c>
      <c r="BB28" s="65">
        <f>'Sales &amp; Costs'!AZ61</f>
        <v>5150</v>
      </c>
      <c r="BC28" s="65">
        <f>'Sales &amp; Costs'!BA61</f>
        <v>5150</v>
      </c>
      <c r="BD28" s="65">
        <f>'Sales &amp; Costs'!BB61</f>
        <v>5665</v>
      </c>
      <c r="BE28" s="65">
        <f>'Sales &amp; Costs'!BC61</f>
        <v>5665</v>
      </c>
      <c r="BF28" s="65">
        <f>'Sales &amp; Costs'!BD61</f>
        <v>5922.5</v>
      </c>
      <c r="BG28" s="65">
        <f>'Sales &amp; Costs'!BE61</f>
        <v>5922.5</v>
      </c>
      <c r="BH28" s="65">
        <f>'Sales &amp; Costs'!BF61</f>
        <v>6180</v>
      </c>
      <c r="BI28" s="65">
        <f>'Sales &amp; Costs'!BG61</f>
        <v>6180</v>
      </c>
      <c r="BJ28" s="65">
        <f>'Sales &amp; Costs'!BH61</f>
        <v>6360</v>
      </c>
      <c r="BK28" s="65">
        <f>'Sales &amp; Costs'!BI61</f>
        <v>6360</v>
      </c>
      <c r="BL28" s="65">
        <f>'Sales &amp; Costs'!BJ61</f>
        <v>6360</v>
      </c>
      <c r="BM28" s="65">
        <f>'Sales &amp; Costs'!BK61</f>
        <v>6360</v>
      </c>
      <c r="BN28" s="65">
        <f>'Sales &amp; Costs'!BL61</f>
        <v>6625</v>
      </c>
      <c r="BO28" s="65">
        <f>'Sales &amp; Costs'!BM61</f>
        <v>6625</v>
      </c>
      <c r="BP28" s="65">
        <f>'Sales &amp; Costs'!BN61</f>
        <v>6625</v>
      </c>
      <c r="BQ28" s="65">
        <f>'Sales &amp; Costs'!BO61</f>
        <v>6625</v>
      </c>
      <c r="BR28" s="65">
        <f>'Sales &amp; Costs'!BP61</f>
        <v>6625</v>
      </c>
      <c r="BS28" s="65">
        <f>'Sales &amp; Costs'!BQ61</f>
        <v>6625</v>
      </c>
      <c r="BT28" s="65">
        <f>'Sales &amp; Costs'!BR61</f>
        <v>6625</v>
      </c>
      <c r="BU28" s="65">
        <f>'Sales &amp; Costs'!BS61</f>
        <v>6625</v>
      </c>
      <c r="BV28" s="65">
        <f>'Sales &amp; Costs'!BT61</f>
        <v>6875</v>
      </c>
      <c r="BW28" s="65">
        <f>'Sales &amp; Costs'!BU61</f>
        <v>6875</v>
      </c>
      <c r="BX28" s="65">
        <f>'Sales &amp; Costs'!BV61</f>
        <v>6875</v>
      </c>
      <c r="BY28" s="65">
        <f>'Sales &amp; Costs'!BW61</f>
        <v>6875</v>
      </c>
      <c r="BZ28" s="65">
        <f>'Sales &amp; Costs'!BX61</f>
        <v>6875</v>
      </c>
      <c r="CA28" s="65">
        <f>'Sales &amp; Costs'!BY61</f>
        <v>6875</v>
      </c>
      <c r="CB28" s="65">
        <f>'Sales &amp; Costs'!BZ61</f>
        <v>6875</v>
      </c>
      <c r="CC28" s="65">
        <f>'Sales &amp; Costs'!CA61</f>
        <v>6875</v>
      </c>
      <c r="CD28" s="65">
        <f>'Sales &amp; Costs'!CB61</f>
        <v>6875</v>
      </c>
      <c r="CE28" s="65">
        <f>'Sales &amp; Costs'!CC61</f>
        <v>6875</v>
      </c>
      <c r="CF28" s="65">
        <f>'Sales &amp; Costs'!CD61</f>
        <v>6875</v>
      </c>
      <c r="CG28" s="65">
        <f>'Sales &amp; Costs'!CE61</f>
        <v>6875</v>
      </c>
      <c r="CH28" s="65"/>
      <c r="CI28" s="65"/>
      <c r="CJ28" s="65"/>
    </row>
    <row r="29" spans="1:88" s="67" customFormat="1" ht="15" customHeight="1">
      <c r="A29" s="63"/>
      <c r="B29" s="63"/>
      <c r="C29" s="63" t="s">
        <v>161</v>
      </c>
      <c r="D29" s="63"/>
      <c r="E29" s="63"/>
      <c r="F29" s="64"/>
      <c r="G29" s="64"/>
      <c r="H29" s="65"/>
      <c r="I29" s="65"/>
      <c r="J29" s="65"/>
      <c r="K29" s="65"/>
      <c r="L29" s="65"/>
      <c r="M29" s="65"/>
      <c r="N29" s="65">
        <f>Missions!H13</f>
        <v>0</v>
      </c>
      <c r="O29" s="65">
        <f>Missions!I13</f>
        <v>0</v>
      </c>
      <c r="P29" s="65">
        <f>Missions!J13</f>
        <v>0</v>
      </c>
      <c r="Q29" s="65">
        <f>Missions!K13</f>
        <v>0</v>
      </c>
      <c r="R29" s="65">
        <f>Missions!L13</f>
        <v>0</v>
      </c>
      <c r="S29" s="65">
        <f>Missions!M13</f>
        <v>0</v>
      </c>
      <c r="T29" s="65">
        <f>Missions!N13</f>
        <v>0</v>
      </c>
      <c r="U29" s="65">
        <f>Missions!O13</f>
        <v>0</v>
      </c>
      <c r="V29" s="65">
        <f>Missions!P13</f>
        <v>0</v>
      </c>
      <c r="W29" s="65">
        <f>Missions!Q13</f>
        <v>0</v>
      </c>
      <c r="X29" s="65">
        <f>Missions!R13</f>
        <v>0</v>
      </c>
      <c r="Y29" s="65">
        <f>Missions!S13</f>
        <v>0</v>
      </c>
      <c r="Z29" s="65">
        <f>Missions!T13</f>
        <v>0</v>
      </c>
      <c r="AA29" s="65">
        <f>Missions!U13</f>
        <v>0</v>
      </c>
      <c r="AB29" s="65">
        <f>Missions!V13</f>
        <v>0</v>
      </c>
      <c r="AC29" s="65">
        <f>Missions!W13</f>
        <v>0</v>
      </c>
      <c r="AD29" s="65">
        <f>Missions!X13</f>
        <v>0</v>
      </c>
      <c r="AE29" s="65">
        <f>Missions!Y13</f>
        <v>0</v>
      </c>
      <c r="AF29" s="65">
        <f>Missions!Z13</f>
        <v>0</v>
      </c>
      <c r="AG29" s="65">
        <f>Missions!AA13</f>
        <v>0</v>
      </c>
      <c r="AH29" s="65">
        <f>Missions!AB13</f>
        <v>0</v>
      </c>
      <c r="AI29" s="65">
        <f>Missions!AC13</f>
        <v>0</v>
      </c>
      <c r="AJ29" s="65">
        <f>Missions!AD13</f>
        <v>0</v>
      </c>
      <c r="AK29" s="65">
        <f>Missions!AE13</f>
        <v>0</v>
      </c>
      <c r="AL29" s="65">
        <f>Missions!AF13</f>
        <v>0</v>
      </c>
      <c r="AM29" s="65">
        <f>Missions!AG13</f>
        <v>0</v>
      </c>
      <c r="AN29" s="65">
        <f>Missions!AH13</f>
        <v>0</v>
      </c>
      <c r="AO29" s="65">
        <f>Missions!AI13</f>
        <v>10000</v>
      </c>
      <c r="AP29" s="65">
        <f>Missions!AJ13</f>
        <v>26000</v>
      </c>
      <c r="AQ29" s="65">
        <f>Missions!AK13</f>
        <v>6000</v>
      </c>
      <c r="AR29" s="65">
        <f>Missions!AL13</f>
        <v>20000</v>
      </c>
      <c r="AS29" s="65">
        <f>Missions!AM13</f>
        <v>4000</v>
      </c>
      <c r="AT29" s="65">
        <f>Missions!AN13</f>
        <v>8000</v>
      </c>
      <c r="AU29" s="65">
        <f>Missions!AO13</f>
        <v>4000</v>
      </c>
      <c r="AV29" s="65">
        <f>Missions!AP13</f>
        <v>14000</v>
      </c>
      <c r="AW29" s="65">
        <f>Missions!AQ13</f>
        <v>0</v>
      </c>
      <c r="AX29" s="65">
        <f>Missions!AR13</f>
        <v>10000</v>
      </c>
      <c r="AY29" s="65">
        <f>Missions!AS13</f>
        <v>8000</v>
      </c>
      <c r="AZ29" s="65">
        <f>Missions!AT13</f>
        <v>11000</v>
      </c>
      <c r="BA29" s="65">
        <f>Missions!AU13</f>
        <v>11000</v>
      </c>
      <c r="BB29" s="65">
        <f>Missions!AV13</f>
        <v>6000</v>
      </c>
      <c r="BC29" s="65">
        <f>Missions!AW13</f>
        <v>5000</v>
      </c>
      <c r="BD29" s="65">
        <f>Missions!AX13</f>
        <v>5000</v>
      </c>
      <c r="BE29" s="65">
        <f>Missions!AY13</f>
        <v>0</v>
      </c>
      <c r="BF29" s="65">
        <f>Missions!AZ13</f>
        <v>0</v>
      </c>
      <c r="BG29" s="65">
        <f>Missions!BA13</f>
        <v>0</v>
      </c>
      <c r="BH29" s="65">
        <f>Missions!BB13</f>
        <v>0</v>
      </c>
      <c r="BI29" s="65">
        <f>Missions!BC13</f>
        <v>0</v>
      </c>
      <c r="BJ29" s="65">
        <f>Missions!BD13</f>
        <v>0</v>
      </c>
      <c r="BK29" s="65">
        <f>Missions!BE13</f>
        <v>0</v>
      </c>
      <c r="BL29" s="65">
        <f>Missions!BF13</f>
        <v>0</v>
      </c>
      <c r="BM29" s="65">
        <f>Missions!BG13</f>
        <v>0</v>
      </c>
      <c r="BN29" s="65">
        <f>Missions!BH13</f>
        <v>0</v>
      </c>
      <c r="BO29" s="65">
        <f>Missions!BI13</f>
        <v>0</v>
      </c>
      <c r="BP29" s="65">
        <f>Missions!BJ13</f>
        <v>0</v>
      </c>
      <c r="BQ29" s="65">
        <f>Missions!BK13</f>
        <v>0</v>
      </c>
      <c r="BR29" s="65">
        <f>Missions!BL13</f>
        <v>0</v>
      </c>
      <c r="BS29" s="65">
        <f>Missions!BM13</f>
        <v>0</v>
      </c>
      <c r="BT29" s="65">
        <f>Missions!BN13</f>
        <v>0</v>
      </c>
      <c r="BU29" s="65">
        <f>Missions!BO13</f>
        <v>0</v>
      </c>
      <c r="BV29" s="65">
        <f>Missions!BP13</f>
        <v>0</v>
      </c>
      <c r="BW29" s="65">
        <f>Missions!BQ13</f>
        <v>0</v>
      </c>
      <c r="BX29" s="65">
        <f>Missions!BR13</f>
        <v>0</v>
      </c>
      <c r="BY29" s="65">
        <f>Missions!BS13</f>
        <v>0</v>
      </c>
      <c r="BZ29" s="65">
        <f>Missions!BT13</f>
        <v>0</v>
      </c>
      <c r="CA29" s="65">
        <f>Missions!BU13</f>
        <v>0</v>
      </c>
      <c r="CB29" s="65">
        <f>Missions!BV13</f>
        <v>0</v>
      </c>
      <c r="CC29" s="65">
        <f>Missions!BW13</f>
        <v>0</v>
      </c>
      <c r="CD29" s="65">
        <f>Missions!BX13</f>
        <v>0</v>
      </c>
      <c r="CE29" s="65">
        <f>Missions!BY13</f>
        <v>0</v>
      </c>
      <c r="CF29" s="65">
        <f>Missions!BZ13</f>
        <v>0</v>
      </c>
      <c r="CG29" s="65">
        <f>Missions!CA13</f>
        <v>0</v>
      </c>
      <c r="CH29" s="65"/>
      <c r="CI29" s="65"/>
      <c r="CJ29" s="65"/>
    </row>
    <row r="30" spans="1:88" s="67" customFormat="1" ht="15" customHeight="1">
      <c r="A30" s="63"/>
      <c r="B30" s="63"/>
      <c r="C30" s="63" t="s">
        <v>162</v>
      </c>
      <c r="D30" s="63"/>
      <c r="E30" s="63"/>
      <c r="F30" s="64"/>
      <c r="G30" s="64"/>
      <c r="H30" s="65"/>
      <c r="I30" s="65"/>
      <c r="J30" s="65"/>
      <c r="K30" s="65"/>
      <c r="L30" s="65"/>
      <c r="M30" s="65"/>
      <c r="N30" s="65">
        <f t="shared" ref="N30:AQ30" si="20">N31+N32</f>
        <v>0</v>
      </c>
      <c r="O30" s="65">
        <f t="shared" si="20"/>
        <v>0</v>
      </c>
      <c r="P30" s="65">
        <f t="shared" si="20"/>
        <v>0</v>
      </c>
      <c r="Q30" s="65">
        <f t="shared" si="20"/>
        <v>0</v>
      </c>
      <c r="R30" s="65">
        <f t="shared" si="20"/>
        <v>0</v>
      </c>
      <c r="S30" s="65">
        <f t="shared" si="20"/>
        <v>0</v>
      </c>
      <c r="T30" s="65">
        <f t="shared" si="20"/>
        <v>0</v>
      </c>
      <c r="U30" s="65">
        <f t="shared" si="20"/>
        <v>0</v>
      </c>
      <c r="V30" s="65">
        <f t="shared" si="20"/>
        <v>0</v>
      </c>
      <c r="W30" s="65">
        <f t="shared" si="20"/>
        <v>0</v>
      </c>
      <c r="X30" s="65">
        <f t="shared" si="20"/>
        <v>0</v>
      </c>
      <c r="Y30" s="65">
        <f t="shared" si="20"/>
        <v>2500</v>
      </c>
      <c r="Z30" s="65">
        <f t="shared" si="20"/>
        <v>350</v>
      </c>
      <c r="AA30" s="65">
        <f t="shared" si="20"/>
        <v>350</v>
      </c>
      <c r="AB30" s="65">
        <f t="shared" si="20"/>
        <v>400</v>
      </c>
      <c r="AC30" s="65">
        <f t="shared" si="20"/>
        <v>400</v>
      </c>
      <c r="AD30" s="65">
        <f t="shared" si="20"/>
        <v>500</v>
      </c>
      <c r="AE30" s="65">
        <f t="shared" si="20"/>
        <v>500</v>
      </c>
      <c r="AF30" s="65">
        <f t="shared" si="20"/>
        <v>600</v>
      </c>
      <c r="AG30" s="65">
        <f t="shared" si="20"/>
        <v>600</v>
      </c>
      <c r="AH30" s="65">
        <f t="shared" si="20"/>
        <v>600</v>
      </c>
      <c r="AI30" s="65">
        <f t="shared" si="20"/>
        <v>600</v>
      </c>
      <c r="AJ30" s="65">
        <f t="shared" si="20"/>
        <v>650</v>
      </c>
      <c r="AK30" s="65">
        <f t="shared" si="20"/>
        <v>650</v>
      </c>
      <c r="AL30" s="65">
        <f t="shared" si="20"/>
        <v>650</v>
      </c>
      <c r="AM30" s="65">
        <f t="shared" si="20"/>
        <v>700</v>
      </c>
      <c r="AN30" s="65">
        <f t="shared" si="20"/>
        <v>700</v>
      </c>
      <c r="AO30" s="65">
        <f t="shared" si="20"/>
        <v>900</v>
      </c>
      <c r="AP30" s="65">
        <f t="shared" si="20"/>
        <v>950</v>
      </c>
      <c r="AQ30" s="65">
        <f t="shared" si="20"/>
        <v>950</v>
      </c>
      <c r="AR30" s="65">
        <f t="shared" ref="AR30:BC30" si="21">AR31+AR32</f>
        <v>950</v>
      </c>
      <c r="AS30" s="65">
        <f t="shared" si="21"/>
        <v>1000</v>
      </c>
      <c r="AT30" s="65">
        <f t="shared" si="21"/>
        <v>1000</v>
      </c>
      <c r="AU30" s="65">
        <f t="shared" si="21"/>
        <v>1000</v>
      </c>
      <c r="AV30" s="65">
        <f t="shared" si="21"/>
        <v>1000</v>
      </c>
      <c r="AW30" s="65">
        <f t="shared" si="21"/>
        <v>1000</v>
      </c>
      <c r="AX30" s="65">
        <f t="shared" si="21"/>
        <v>1000</v>
      </c>
      <c r="AY30" s="65">
        <f t="shared" si="21"/>
        <v>1000</v>
      </c>
      <c r="AZ30" s="65">
        <f t="shared" si="21"/>
        <v>1000</v>
      </c>
      <c r="BA30" s="65">
        <f t="shared" si="21"/>
        <v>1000</v>
      </c>
      <c r="BB30" s="65">
        <f t="shared" si="21"/>
        <v>1000</v>
      </c>
      <c r="BC30" s="65">
        <f t="shared" si="21"/>
        <v>1000</v>
      </c>
      <c r="BD30" s="65">
        <f t="shared" ref="BD30:BO30" si="22">BD31+BD32</f>
        <v>1000</v>
      </c>
      <c r="BE30" s="65">
        <f t="shared" si="22"/>
        <v>1000</v>
      </c>
      <c r="BF30" s="65">
        <f t="shared" si="22"/>
        <v>1000</v>
      </c>
      <c r="BG30" s="65">
        <f t="shared" si="22"/>
        <v>1000</v>
      </c>
      <c r="BH30" s="65">
        <f t="shared" si="22"/>
        <v>1000</v>
      </c>
      <c r="BI30" s="65">
        <f t="shared" si="22"/>
        <v>1000</v>
      </c>
      <c r="BJ30" s="65">
        <f t="shared" si="22"/>
        <v>1000</v>
      </c>
      <c r="BK30" s="65">
        <f t="shared" si="22"/>
        <v>1000</v>
      </c>
      <c r="BL30" s="65">
        <f t="shared" si="22"/>
        <v>1000</v>
      </c>
      <c r="BM30" s="65">
        <f t="shared" si="22"/>
        <v>1000</v>
      </c>
      <c r="BN30" s="65">
        <f t="shared" si="22"/>
        <v>1000</v>
      </c>
      <c r="BO30" s="65">
        <f t="shared" si="22"/>
        <v>1000</v>
      </c>
      <c r="BP30" s="65">
        <f t="shared" ref="BP30:BU30" si="23">BP31+BP32</f>
        <v>1000</v>
      </c>
      <c r="BQ30" s="65">
        <f t="shared" si="23"/>
        <v>1000</v>
      </c>
      <c r="BR30" s="65">
        <f t="shared" si="23"/>
        <v>1000</v>
      </c>
      <c r="BS30" s="65">
        <f t="shared" si="23"/>
        <v>1000</v>
      </c>
      <c r="BT30" s="65">
        <f t="shared" si="23"/>
        <v>1000</v>
      </c>
      <c r="BU30" s="65">
        <f t="shared" si="23"/>
        <v>1000</v>
      </c>
      <c r="BV30" s="65">
        <f t="shared" ref="BV30:CG30" si="24">BV31+BV32</f>
        <v>1000</v>
      </c>
      <c r="BW30" s="65">
        <f t="shared" si="24"/>
        <v>1000</v>
      </c>
      <c r="BX30" s="65">
        <f t="shared" si="24"/>
        <v>1000</v>
      </c>
      <c r="BY30" s="65">
        <f t="shared" si="24"/>
        <v>1000</v>
      </c>
      <c r="BZ30" s="65">
        <f t="shared" si="24"/>
        <v>1000</v>
      </c>
      <c r="CA30" s="65">
        <f t="shared" si="24"/>
        <v>1000</v>
      </c>
      <c r="CB30" s="65">
        <f t="shared" si="24"/>
        <v>1000</v>
      </c>
      <c r="CC30" s="65">
        <f t="shared" si="24"/>
        <v>1000</v>
      </c>
      <c r="CD30" s="65">
        <f t="shared" si="24"/>
        <v>1000</v>
      </c>
      <c r="CE30" s="65">
        <f t="shared" si="24"/>
        <v>1000</v>
      </c>
      <c r="CF30" s="65">
        <f t="shared" si="24"/>
        <v>1000</v>
      </c>
      <c r="CG30" s="65">
        <f t="shared" si="24"/>
        <v>1000</v>
      </c>
      <c r="CH30" s="65"/>
      <c r="CI30" s="65"/>
      <c r="CJ30" s="65"/>
    </row>
    <row r="31" spans="1:88" s="72" customFormat="1" ht="15" customHeight="1">
      <c r="A31" s="68"/>
      <c r="B31" s="68"/>
      <c r="C31" s="68"/>
      <c r="D31" s="68" t="s">
        <v>163</v>
      </c>
      <c r="E31" s="68"/>
      <c r="F31" s="69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>
        <v>2500</v>
      </c>
      <c r="Z31" s="70">
        <v>250</v>
      </c>
      <c r="AA31" s="70">
        <v>250</v>
      </c>
      <c r="AB31" s="70">
        <v>300</v>
      </c>
      <c r="AC31" s="70">
        <v>300</v>
      </c>
      <c r="AD31" s="70">
        <v>300</v>
      </c>
      <c r="AE31" s="70">
        <v>300</v>
      </c>
      <c r="AF31" s="70">
        <v>300</v>
      </c>
      <c r="AG31" s="70">
        <v>300</v>
      </c>
      <c r="AH31" s="70">
        <v>300</v>
      </c>
      <c r="AI31" s="70">
        <v>300</v>
      </c>
      <c r="AJ31" s="70">
        <v>300</v>
      </c>
      <c r="AK31" s="70">
        <v>300</v>
      </c>
      <c r="AL31" s="70">
        <v>300</v>
      </c>
      <c r="AM31" s="70">
        <v>300</v>
      </c>
      <c r="AN31" s="70">
        <v>300</v>
      </c>
      <c r="AO31" s="70">
        <v>500</v>
      </c>
      <c r="AP31" s="70">
        <v>500</v>
      </c>
      <c r="AQ31" s="70">
        <v>500</v>
      </c>
      <c r="AR31" s="70">
        <v>500</v>
      </c>
      <c r="AS31" s="70">
        <v>500</v>
      </c>
      <c r="AT31" s="70">
        <v>500</v>
      </c>
      <c r="AU31" s="70">
        <v>500</v>
      </c>
      <c r="AV31" s="70">
        <v>500</v>
      </c>
      <c r="AW31" s="70">
        <v>500</v>
      </c>
      <c r="AX31" s="70">
        <v>500</v>
      </c>
      <c r="AY31" s="70">
        <v>500</v>
      </c>
      <c r="AZ31" s="70">
        <v>500</v>
      </c>
      <c r="BA31" s="70">
        <v>500</v>
      </c>
      <c r="BB31" s="70">
        <v>500</v>
      </c>
      <c r="BC31" s="70">
        <v>500</v>
      </c>
      <c r="BD31" s="70">
        <v>500</v>
      </c>
      <c r="BE31" s="70">
        <v>500</v>
      </c>
      <c r="BF31" s="70">
        <v>500</v>
      </c>
      <c r="BG31" s="70">
        <v>500</v>
      </c>
      <c r="BH31" s="70">
        <v>500</v>
      </c>
      <c r="BI31" s="70">
        <v>500</v>
      </c>
      <c r="BJ31" s="70">
        <v>500</v>
      </c>
      <c r="BK31" s="70">
        <v>500</v>
      </c>
      <c r="BL31" s="70">
        <v>500</v>
      </c>
      <c r="BM31" s="70">
        <v>500</v>
      </c>
      <c r="BN31" s="70">
        <v>500</v>
      </c>
      <c r="BO31" s="70">
        <v>500</v>
      </c>
      <c r="BP31" s="70">
        <v>500</v>
      </c>
      <c r="BQ31" s="70">
        <v>500</v>
      </c>
      <c r="BR31" s="70">
        <v>500</v>
      </c>
      <c r="BS31" s="70">
        <v>500</v>
      </c>
      <c r="BT31" s="70">
        <v>500</v>
      </c>
      <c r="BU31" s="70">
        <v>500</v>
      </c>
      <c r="BV31" s="70">
        <v>500</v>
      </c>
      <c r="BW31" s="70">
        <v>500</v>
      </c>
      <c r="BX31" s="70">
        <v>500</v>
      </c>
      <c r="BY31" s="70">
        <v>500</v>
      </c>
      <c r="BZ31" s="70">
        <v>500</v>
      </c>
      <c r="CA31" s="70">
        <v>500</v>
      </c>
      <c r="CB31" s="70">
        <v>500</v>
      </c>
      <c r="CC31" s="70">
        <v>500</v>
      </c>
      <c r="CD31" s="70">
        <v>500</v>
      </c>
      <c r="CE31" s="70">
        <v>500</v>
      </c>
      <c r="CF31" s="70">
        <v>500</v>
      </c>
      <c r="CG31" s="70">
        <v>500</v>
      </c>
      <c r="CH31" s="70"/>
      <c r="CI31" s="70"/>
      <c r="CJ31" s="70"/>
    </row>
    <row r="32" spans="1:88" s="72" customFormat="1" ht="15" customHeight="1">
      <c r="A32" s="68"/>
      <c r="B32" s="68"/>
      <c r="C32" s="68"/>
      <c r="D32" s="68" t="s">
        <v>164</v>
      </c>
      <c r="E32" s="68"/>
      <c r="F32" s="69"/>
      <c r="G32" s="69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>
        <v>100</v>
      </c>
      <c r="AA32" s="70">
        <v>100</v>
      </c>
      <c r="AB32" s="70">
        <v>100</v>
      </c>
      <c r="AC32" s="70">
        <v>100</v>
      </c>
      <c r="AD32" s="70">
        <v>200</v>
      </c>
      <c r="AE32" s="70">
        <v>200</v>
      </c>
      <c r="AF32" s="70">
        <v>300</v>
      </c>
      <c r="AG32" s="70">
        <v>300</v>
      </c>
      <c r="AH32" s="70">
        <v>300</v>
      </c>
      <c r="AI32" s="70">
        <v>300</v>
      </c>
      <c r="AJ32" s="70">
        <v>350</v>
      </c>
      <c r="AK32" s="70">
        <v>350</v>
      </c>
      <c r="AL32" s="70">
        <v>350</v>
      </c>
      <c r="AM32" s="70">
        <v>400</v>
      </c>
      <c r="AN32" s="70">
        <v>400</v>
      </c>
      <c r="AO32" s="70">
        <v>400</v>
      </c>
      <c r="AP32" s="70">
        <v>450</v>
      </c>
      <c r="AQ32" s="70">
        <v>450</v>
      </c>
      <c r="AR32" s="70">
        <v>450</v>
      </c>
      <c r="AS32" s="70">
        <v>500</v>
      </c>
      <c r="AT32" s="70">
        <v>500</v>
      </c>
      <c r="AU32" s="70">
        <v>500</v>
      </c>
      <c r="AV32" s="70">
        <v>500</v>
      </c>
      <c r="AW32" s="70">
        <v>500</v>
      </c>
      <c r="AX32" s="70">
        <v>500</v>
      </c>
      <c r="AY32" s="70">
        <v>500</v>
      </c>
      <c r="AZ32" s="70">
        <v>500</v>
      </c>
      <c r="BA32" s="70">
        <v>500</v>
      </c>
      <c r="BB32" s="70">
        <v>500</v>
      </c>
      <c r="BC32" s="70">
        <v>500</v>
      </c>
      <c r="BD32" s="70">
        <v>500</v>
      </c>
      <c r="BE32" s="70">
        <v>500</v>
      </c>
      <c r="BF32" s="70">
        <v>500</v>
      </c>
      <c r="BG32" s="70">
        <v>500</v>
      </c>
      <c r="BH32" s="70">
        <v>500</v>
      </c>
      <c r="BI32" s="70">
        <v>500</v>
      </c>
      <c r="BJ32" s="70">
        <v>500</v>
      </c>
      <c r="BK32" s="70">
        <v>500</v>
      </c>
      <c r="BL32" s="70">
        <v>500</v>
      </c>
      <c r="BM32" s="70">
        <v>500</v>
      </c>
      <c r="BN32" s="70">
        <v>500</v>
      </c>
      <c r="BO32" s="70">
        <v>500</v>
      </c>
      <c r="BP32" s="70">
        <v>500</v>
      </c>
      <c r="BQ32" s="70">
        <v>500</v>
      </c>
      <c r="BR32" s="70">
        <v>500</v>
      </c>
      <c r="BS32" s="70">
        <v>500</v>
      </c>
      <c r="BT32" s="70">
        <v>500</v>
      </c>
      <c r="BU32" s="70">
        <v>500</v>
      </c>
      <c r="BV32" s="70">
        <v>500</v>
      </c>
      <c r="BW32" s="70">
        <v>500</v>
      </c>
      <c r="BX32" s="70">
        <v>500</v>
      </c>
      <c r="BY32" s="70">
        <v>500</v>
      </c>
      <c r="BZ32" s="70">
        <v>500</v>
      </c>
      <c r="CA32" s="70">
        <v>500</v>
      </c>
      <c r="CB32" s="70">
        <v>500</v>
      </c>
      <c r="CC32" s="70">
        <v>500</v>
      </c>
      <c r="CD32" s="70">
        <v>500</v>
      </c>
      <c r="CE32" s="70">
        <v>500</v>
      </c>
      <c r="CF32" s="70">
        <v>500</v>
      </c>
      <c r="CG32" s="70">
        <v>500</v>
      </c>
      <c r="CH32" s="70"/>
      <c r="CI32" s="70"/>
      <c r="CJ32" s="70"/>
    </row>
    <row r="33" spans="1:88" s="67" customFormat="1" ht="15" customHeight="1">
      <c r="A33" s="63"/>
      <c r="B33" s="63"/>
      <c r="C33" s="63" t="s">
        <v>165</v>
      </c>
      <c r="D33" s="63"/>
      <c r="E33" s="63"/>
      <c r="F33" s="64"/>
      <c r="G33" s="64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v>0</v>
      </c>
      <c r="Y33" s="65">
        <v>0</v>
      </c>
      <c r="Z33" s="65">
        <v>0</v>
      </c>
      <c r="AA33" s="65">
        <v>0</v>
      </c>
      <c r="AB33" s="65">
        <v>0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0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0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0</v>
      </c>
      <c r="BP33" s="65">
        <v>0</v>
      </c>
      <c r="BQ33" s="65">
        <v>0</v>
      </c>
      <c r="BR33" s="65">
        <v>0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/>
      <c r="CI33" s="65"/>
      <c r="CJ33" s="65"/>
    </row>
    <row r="34" spans="1:88" s="67" customFormat="1" ht="15" customHeight="1">
      <c r="A34" s="63"/>
      <c r="B34" s="63"/>
      <c r="C34" s="63" t="s">
        <v>166</v>
      </c>
      <c r="D34" s="63"/>
      <c r="E34" s="63"/>
      <c r="F34" s="64"/>
      <c r="G34" s="64"/>
      <c r="H34" s="65"/>
      <c r="I34" s="65"/>
      <c r="J34" s="65"/>
      <c r="K34" s="65"/>
      <c r="L34" s="65"/>
      <c r="M34" s="65"/>
      <c r="N34" s="65">
        <f t="shared" ref="N34:AQ34" si="25">SUM(N35:N46)</f>
        <v>0</v>
      </c>
      <c r="O34" s="65">
        <f t="shared" si="25"/>
        <v>0</v>
      </c>
      <c r="P34" s="65">
        <f t="shared" si="25"/>
        <v>0</v>
      </c>
      <c r="Q34" s="65">
        <f t="shared" si="25"/>
        <v>0</v>
      </c>
      <c r="R34" s="65">
        <f t="shared" si="25"/>
        <v>0</v>
      </c>
      <c r="S34" s="65">
        <f t="shared" si="25"/>
        <v>0</v>
      </c>
      <c r="T34" s="65">
        <f t="shared" si="25"/>
        <v>0</v>
      </c>
      <c r="U34" s="65">
        <f t="shared" si="25"/>
        <v>0</v>
      </c>
      <c r="V34" s="65">
        <f t="shared" si="25"/>
        <v>0</v>
      </c>
      <c r="W34" s="65">
        <f t="shared" si="25"/>
        <v>0</v>
      </c>
      <c r="X34" s="65">
        <f t="shared" si="25"/>
        <v>0</v>
      </c>
      <c r="Y34" s="65">
        <f t="shared" si="25"/>
        <v>50</v>
      </c>
      <c r="Z34" s="65">
        <f t="shared" si="25"/>
        <v>804</v>
      </c>
      <c r="AA34" s="65">
        <f t="shared" si="25"/>
        <v>804</v>
      </c>
      <c r="AB34" s="65">
        <f t="shared" si="25"/>
        <v>804</v>
      </c>
      <c r="AC34" s="65">
        <f t="shared" si="25"/>
        <v>893.55</v>
      </c>
      <c r="AD34" s="65">
        <f t="shared" si="25"/>
        <v>993.55</v>
      </c>
      <c r="AE34" s="65">
        <f t="shared" si="25"/>
        <v>993.55</v>
      </c>
      <c r="AF34" s="65">
        <f t="shared" si="25"/>
        <v>1100.05</v>
      </c>
      <c r="AG34" s="65">
        <f t="shared" si="25"/>
        <v>1032.25</v>
      </c>
      <c r="AH34" s="65">
        <f t="shared" si="25"/>
        <v>1337.5</v>
      </c>
      <c r="AI34" s="65">
        <f t="shared" si="25"/>
        <v>1842.75</v>
      </c>
      <c r="AJ34" s="65">
        <f t="shared" si="25"/>
        <v>1892.75</v>
      </c>
      <c r="AK34" s="65">
        <f t="shared" si="25"/>
        <v>2198</v>
      </c>
      <c r="AL34" s="65">
        <f t="shared" si="25"/>
        <v>17808.5</v>
      </c>
      <c r="AM34" s="65">
        <f t="shared" si="25"/>
        <v>23113.75</v>
      </c>
      <c r="AN34" s="65">
        <f t="shared" si="25"/>
        <v>28724.25</v>
      </c>
      <c r="AO34" s="65">
        <f t="shared" si="25"/>
        <v>33924.25</v>
      </c>
      <c r="AP34" s="65">
        <f t="shared" si="25"/>
        <v>39729.5</v>
      </c>
      <c r="AQ34" s="65">
        <f t="shared" si="25"/>
        <v>45340</v>
      </c>
      <c r="AR34" s="65">
        <f t="shared" ref="AR34:BC34" si="26">SUM(AR35:AR46)</f>
        <v>48145.25</v>
      </c>
      <c r="AS34" s="65">
        <f t="shared" si="26"/>
        <v>50645.25</v>
      </c>
      <c r="AT34" s="65">
        <f t="shared" si="26"/>
        <v>54061</v>
      </c>
      <c r="AU34" s="65">
        <f t="shared" si="26"/>
        <v>56661</v>
      </c>
      <c r="AV34" s="65">
        <f t="shared" si="26"/>
        <v>56661</v>
      </c>
      <c r="AW34" s="65">
        <f t="shared" si="26"/>
        <v>56661</v>
      </c>
      <c r="AX34" s="65">
        <f t="shared" si="26"/>
        <v>57592.852500000001</v>
      </c>
      <c r="AY34" s="65">
        <f t="shared" si="26"/>
        <v>57592.852500000001</v>
      </c>
      <c r="AZ34" s="65">
        <f t="shared" si="26"/>
        <v>57592.852500000001</v>
      </c>
      <c r="BA34" s="65">
        <f t="shared" si="26"/>
        <v>57592.852500000001</v>
      </c>
      <c r="BB34" s="65">
        <f t="shared" si="26"/>
        <v>57898.95</v>
      </c>
      <c r="BC34" s="65">
        <f t="shared" si="26"/>
        <v>57898.95</v>
      </c>
      <c r="BD34" s="65">
        <f t="shared" ref="BD34:BO34" si="27">SUM(BD35:BD46)</f>
        <v>58511.145000000004</v>
      </c>
      <c r="BE34" s="65">
        <f t="shared" si="27"/>
        <v>58511.145000000004</v>
      </c>
      <c r="BF34" s="65">
        <f t="shared" si="27"/>
        <v>58817.2425</v>
      </c>
      <c r="BG34" s="65">
        <f t="shared" si="27"/>
        <v>58817.2425</v>
      </c>
      <c r="BH34" s="65">
        <f t="shared" si="27"/>
        <v>59123.34</v>
      </c>
      <c r="BI34" s="65">
        <f t="shared" si="27"/>
        <v>59123.34</v>
      </c>
      <c r="BJ34" s="65">
        <f t="shared" si="27"/>
        <v>59143.68</v>
      </c>
      <c r="BK34" s="65">
        <f t="shared" si="27"/>
        <v>59143.68</v>
      </c>
      <c r="BL34" s="65">
        <f t="shared" si="27"/>
        <v>59143.68</v>
      </c>
      <c r="BM34" s="65">
        <f t="shared" si="27"/>
        <v>59143.68</v>
      </c>
      <c r="BN34" s="65">
        <f t="shared" si="27"/>
        <v>59450.625</v>
      </c>
      <c r="BO34" s="65">
        <f t="shared" si="27"/>
        <v>59450.625</v>
      </c>
      <c r="BP34" s="65">
        <f t="shared" ref="BP34:BU34" si="28">SUM(BP35:BP46)</f>
        <v>59450.625</v>
      </c>
      <c r="BQ34" s="65">
        <f t="shared" si="28"/>
        <v>59450.625</v>
      </c>
      <c r="BR34" s="65">
        <f t="shared" si="28"/>
        <v>59450.625</v>
      </c>
      <c r="BS34" s="65">
        <f t="shared" si="28"/>
        <v>59450.625</v>
      </c>
      <c r="BT34" s="65">
        <f t="shared" si="28"/>
        <v>59450.625</v>
      </c>
      <c r="BU34" s="65">
        <f t="shared" si="28"/>
        <v>59450.625</v>
      </c>
      <c r="BV34" s="65">
        <f t="shared" ref="BV34:CG34" si="29">SUM(BV35:BV46)</f>
        <v>59478.875</v>
      </c>
      <c r="BW34" s="65">
        <f t="shared" si="29"/>
        <v>59478.875</v>
      </c>
      <c r="BX34" s="65">
        <f t="shared" si="29"/>
        <v>59478.875</v>
      </c>
      <c r="BY34" s="65">
        <f t="shared" si="29"/>
        <v>59478.875</v>
      </c>
      <c r="BZ34" s="65">
        <f t="shared" si="29"/>
        <v>59478.875</v>
      </c>
      <c r="CA34" s="65">
        <f t="shared" si="29"/>
        <v>59478.875</v>
      </c>
      <c r="CB34" s="65">
        <f t="shared" si="29"/>
        <v>59478.875</v>
      </c>
      <c r="CC34" s="65">
        <f t="shared" si="29"/>
        <v>59478.875</v>
      </c>
      <c r="CD34" s="65">
        <f t="shared" si="29"/>
        <v>59478.875</v>
      </c>
      <c r="CE34" s="65">
        <f t="shared" si="29"/>
        <v>59478.875</v>
      </c>
      <c r="CF34" s="65">
        <f t="shared" si="29"/>
        <v>59478.875</v>
      </c>
      <c r="CG34" s="65">
        <f t="shared" si="29"/>
        <v>59478.875</v>
      </c>
      <c r="CH34" s="65"/>
      <c r="CI34" s="65"/>
      <c r="CJ34" s="65"/>
    </row>
    <row r="35" spans="1:88" s="72" customFormat="1" ht="15" customHeight="1">
      <c r="A35" s="68"/>
      <c r="B35" s="68"/>
      <c r="C35" s="68"/>
      <c r="D35" s="68" t="s">
        <v>189</v>
      </c>
      <c r="E35" s="71">
        <v>0.08</v>
      </c>
      <c r="F35" s="69"/>
      <c r="G35" s="69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>
        <f>AC28*$E35</f>
        <v>28</v>
      </c>
      <c r="AD35" s="70">
        <f t="shared" ref="AD35:BU35" si="30">AD28*$E35</f>
        <v>28</v>
      </c>
      <c r="AE35" s="70">
        <f t="shared" si="30"/>
        <v>28</v>
      </c>
      <c r="AF35" s="70">
        <f t="shared" si="30"/>
        <v>68</v>
      </c>
      <c r="AG35" s="70">
        <f t="shared" si="30"/>
        <v>20</v>
      </c>
      <c r="AH35" s="70">
        <f t="shared" si="30"/>
        <v>40</v>
      </c>
      <c r="AI35" s="70">
        <f t="shared" si="30"/>
        <v>60</v>
      </c>
      <c r="AJ35" s="70">
        <f t="shared" si="30"/>
        <v>60</v>
      </c>
      <c r="AK35" s="70">
        <f t="shared" si="30"/>
        <v>80</v>
      </c>
      <c r="AL35" s="70">
        <f t="shared" si="30"/>
        <v>120</v>
      </c>
      <c r="AM35" s="70">
        <f t="shared" si="30"/>
        <v>140</v>
      </c>
      <c r="AN35" s="70">
        <f t="shared" si="30"/>
        <v>180</v>
      </c>
      <c r="AO35" s="70">
        <f t="shared" si="30"/>
        <v>180</v>
      </c>
      <c r="AP35" s="70">
        <f t="shared" si="30"/>
        <v>200</v>
      </c>
      <c r="AQ35" s="70">
        <f t="shared" si="30"/>
        <v>240</v>
      </c>
      <c r="AR35" s="70">
        <f t="shared" si="30"/>
        <v>260</v>
      </c>
      <c r="AS35" s="70">
        <f t="shared" si="30"/>
        <v>260</v>
      </c>
      <c r="AT35" s="70">
        <f t="shared" si="30"/>
        <v>320</v>
      </c>
      <c r="AU35" s="70">
        <f t="shared" si="30"/>
        <v>320</v>
      </c>
      <c r="AV35" s="70">
        <f t="shared" si="30"/>
        <v>320</v>
      </c>
      <c r="AW35" s="70">
        <f t="shared" si="30"/>
        <v>320</v>
      </c>
      <c r="AX35" s="70">
        <f t="shared" si="30"/>
        <v>391.40000000000003</v>
      </c>
      <c r="AY35" s="70">
        <f t="shared" si="30"/>
        <v>391.40000000000003</v>
      </c>
      <c r="AZ35" s="70">
        <f t="shared" si="30"/>
        <v>391.40000000000003</v>
      </c>
      <c r="BA35" s="70">
        <f t="shared" si="30"/>
        <v>391.40000000000003</v>
      </c>
      <c r="BB35" s="70">
        <f t="shared" si="30"/>
        <v>412</v>
      </c>
      <c r="BC35" s="70">
        <f t="shared" si="30"/>
        <v>412</v>
      </c>
      <c r="BD35" s="70">
        <f t="shared" si="30"/>
        <v>453.2</v>
      </c>
      <c r="BE35" s="70">
        <f t="shared" si="30"/>
        <v>453.2</v>
      </c>
      <c r="BF35" s="70">
        <f t="shared" si="30"/>
        <v>473.8</v>
      </c>
      <c r="BG35" s="70">
        <f t="shared" si="30"/>
        <v>473.8</v>
      </c>
      <c r="BH35" s="70">
        <f t="shared" si="30"/>
        <v>494.40000000000003</v>
      </c>
      <c r="BI35" s="70">
        <f t="shared" si="30"/>
        <v>494.40000000000003</v>
      </c>
      <c r="BJ35" s="70">
        <f t="shared" si="30"/>
        <v>508.8</v>
      </c>
      <c r="BK35" s="70">
        <f t="shared" si="30"/>
        <v>508.8</v>
      </c>
      <c r="BL35" s="70">
        <f t="shared" si="30"/>
        <v>508.8</v>
      </c>
      <c r="BM35" s="70">
        <f t="shared" si="30"/>
        <v>508.8</v>
      </c>
      <c r="BN35" s="70">
        <f t="shared" si="30"/>
        <v>530</v>
      </c>
      <c r="BO35" s="70">
        <f t="shared" si="30"/>
        <v>530</v>
      </c>
      <c r="BP35" s="70">
        <f t="shared" si="30"/>
        <v>530</v>
      </c>
      <c r="BQ35" s="70">
        <f t="shared" si="30"/>
        <v>530</v>
      </c>
      <c r="BR35" s="70">
        <f t="shared" si="30"/>
        <v>530</v>
      </c>
      <c r="BS35" s="70">
        <f t="shared" si="30"/>
        <v>530</v>
      </c>
      <c r="BT35" s="70">
        <f t="shared" si="30"/>
        <v>530</v>
      </c>
      <c r="BU35" s="70">
        <f t="shared" si="30"/>
        <v>530</v>
      </c>
      <c r="BV35" s="70">
        <f>BV28*$E35</f>
        <v>550</v>
      </c>
      <c r="BW35" s="70">
        <f t="shared" ref="BW35:CG35" si="31">BW28*$E35</f>
        <v>550</v>
      </c>
      <c r="BX35" s="70">
        <f t="shared" si="31"/>
        <v>550</v>
      </c>
      <c r="BY35" s="70">
        <f t="shared" si="31"/>
        <v>550</v>
      </c>
      <c r="BZ35" s="70">
        <f t="shared" si="31"/>
        <v>550</v>
      </c>
      <c r="CA35" s="70">
        <f t="shared" si="31"/>
        <v>550</v>
      </c>
      <c r="CB35" s="70">
        <f t="shared" si="31"/>
        <v>550</v>
      </c>
      <c r="CC35" s="70">
        <f t="shared" si="31"/>
        <v>550</v>
      </c>
      <c r="CD35" s="70">
        <f t="shared" si="31"/>
        <v>550</v>
      </c>
      <c r="CE35" s="70">
        <f t="shared" si="31"/>
        <v>550</v>
      </c>
      <c r="CF35" s="70">
        <f t="shared" si="31"/>
        <v>550</v>
      </c>
      <c r="CG35" s="70">
        <f t="shared" si="31"/>
        <v>550</v>
      </c>
      <c r="CH35" s="70"/>
      <c r="CI35" s="70"/>
      <c r="CJ35" s="70"/>
    </row>
    <row r="36" spans="1:88" s="72" customFormat="1" ht="15" customHeight="1">
      <c r="A36" s="68"/>
      <c r="B36" s="68"/>
      <c r="C36" s="68"/>
      <c r="D36" s="68" t="s">
        <v>167</v>
      </c>
      <c r="E36" s="71">
        <v>0.03</v>
      </c>
      <c r="F36" s="69"/>
      <c r="G36" s="69"/>
      <c r="H36" s="70"/>
      <c r="I36" s="68"/>
      <c r="J36" s="20"/>
      <c r="K36" s="68"/>
      <c r="L36" s="29"/>
      <c r="M36" s="71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>
        <f>$E36*AC$28</f>
        <v>10.5</v>
      </c>
      <c r="AD36" s="242">
        <f t="shared" ref="AD36:BV37" si="32">$E36*AD$28</f>
        <v>10.5</v>
      </c>
      <c r="AE36" s="242">
        <f t="shared" si="32"/>
        <v>10.5</v>
      </c>
      <c r="AF36" s="242">
        <f t="shared" si="32"/>
        <v>25.5</v>
      </c>
      <c r="AG36" s="242">
        <f t="shared" si="32"/>
        <v>7.5</v>
      </c>
      <c r="AH36" s="242">
        <f t="shared" si="32"/>
        <v>15</v>
      </c>
      <c r="AI36" s="242">
        <f t="shared" si="32"/>
        <v>22.5</v>
      </c>
      <c r="AJ36" s="242">
        <f t="shared" si="32"/>
        <v>22.5</v>
      </c>
      <c r="AK36" s="242">
        <f t="shared" si="32"/>
        <v>30</v>
      </c>
      <c r="AL36" s="242">
        <f t="shared" si="32"/>
        <v>45</v>
      </c>
      <c r="AM36" s="242">
        <f t="shared" si="32"/>
        <v>52.5</v>
      </c>
      <c r="AN36" s="242">
        <f t="shared" si="32"/>
        <v>67.5</v>
      </c>
      <c r="AO36" s="242">
        <f t="shared" si="32"/>
        <v>67.5</v>
      </c>
      <c r="AP36" s="242">
        <f t="shared" si="32"/>
        <v>75</v>
      </c>
      <c r="AQ36" s="242">
        <f t="shared" si="32"/>
        <v>90</v>
      </c>
      <c r="AR36" s="242">
        <f t="shared" si="32"/>
        <v>97.5</v>
      </c>
      <c r="AS36" s="242">
        <f t="shared" si="32"/>
        <v>97.5</v>
      </c>
      <c r="AT36" s="242">
        <f t="shared" si="32"/>
        <v>120</v>
      </c>
      <c r="AU36" s="242">
        <f t="shared" si="32"/>
        <v>120</v>
      </c>
      <c r="AV36" s="242">
        <f t="shared" si="32"/>
        <v>120</v>
      </c>
      <c r="AW36" s="242">
        <f t="shared" si="32"/>
        <v>120</v>
      </c>
      <c r="AX36" s="242">
        <f t="shared" si="32"/>
        <v>146.77500000000001</v>
      </c>
      <c r="AY36" s="242">
        <f t="shared" si="32"/>
        <v>146.77500000000001</v>
      </c>
      <c r="AZ36" s="242">
        <f t="shared" si="32"/>
        <v>146.77500000000001</v>
      </c>
      <c r="BA36" s="242">
        <f t="shared" si="32"/>
        <v>146.77500000000001</v>
      </c>
      <c r="BB36" s="242">
        <f t="shared" si="32"/>
        <v>154.5</v>
      </c>
      <c r="BC36" s="242">
        <f t="shared" si="32"/>
        <v>154.5</v>
      </c>
      <c r="BD36" s="242">
        <f t="shared" si="32"/>
        <v>169.95</v>
      </c>
      <c r="BE36" s="242">
        <f t="shared" si="32"/>
        <v>169.95</v>
      </c>
      <c r="BF36" s="242">
        <f t="shared" si="32"/>
        <v>177.67499999999998</v>
      </c>
      <c r="BG36" s="242">
        <f t="shared" si="32"/>
        <v>177.67499999999998</v>
      </c>
      <c r="BH36" s="242">
        <f t="shared" si="32"/>
        <v>185.4</v>
      </c>
      <c r="BI36" s="242">
        <f t="shared" si="32"/>
        <v>185.4</v>
      </c>
      <c r="BJ36" s="242">
        <f t="shared" si="32"/>
        <v>190.79999999999998</v>
      </c>
      <c r="BK36" s="242">
        <f t="shared" si="32"/>
        <v>190.79999999999998</v>
      </c>
      <c r="BL36" s="242">
        <f t="shared" si="32"/>
        <v>190.79999999999998</v>
      </c>
      <c r="BM36" s="242">
        <f t="shared" si="32"/>
        <v>190.79999999999998</v>
      </c>
      <c r="BN36" s="242">
        <f t="shared" si="32"/>
        <v>198.75</v>
      </c>
      <c r="BO36" s="242">
        <f t="shared" si="32"/>
        <v>198.75</v>
      </c>
      <c r="BP36" s="242">
        <f t="shared" si="32"/>
        <v>198.75</v>
      </c>
      <c r="BQ36" s="242">
        <f t="shared" si="32"/>
        <v>198.75</v>
      </c>
      <c r="BR36" s="242">
        <f t="shared" si="32"/>
        <v>198.75</v>
      </c>
      <c r="BS36" s="242">
        <f t="shared" si="32"/>
        <v>198.75</v>
      </c>
      <c r="BT36" s="242">
        <f t="shared" si="32"/>
        <v>198.75</v>
      </c>
      <c r="BU36" s="242">
        <f t="shared" si="32"/>
        <v>198.75</v>
      </c>
      <c r="BV36" s="242">
        <f t="shared" si="32"/>
        <v>206.25</v>
      </c>
      <c r="BW36" s="242">
        <f t="shared" ref="BW36:CG37" si="33">$E36*BW$28</f>
        <v>206.25</v>
      </c>
      <c r="BX36" s="242">
        <f t="shared" si="33"/>
        <v>206.25</v>
      </c>
      <c r="BY36" s="242">
        <f t="shared" si="33"/>
        <v>206.25</v>
      </c>
      <c r="BZ36" s="242">
        <f t="shared" si="33"/>
        <v>206.25</v>
      </c>
      <c r="CA36" s="242">
        <f t="shared" si="33"/>
        <v>206.25</v>
      </c>
      <c r="CB36" s="242">
        <f t="shared" si="33"/>
        <v>206.25</v>
      </c>
      <c r="CC36" s="242">
        <f t="shared" si="33"/>
        <v>206.25</v>
      </c>
      <c r="CD36" s="242">
        <f t="shared" si="33"/>
        <v>206.25</v>
      </c>
      <c r="CE36" s="242">
        <f t="shared" si="33"/>
        <v>206.25</v>
      </c>
      <c r="CF36" s="242">
        <f t="shared" si="33"/>
        <v>206.25</v>
      </c>
      <c r="CG36" s="242">
        <f t="shared" si="33"/>
        <v>206.25</v>
      </c>
      <c r="CH36" s="242"/>
      <c r="CI36" s="242"/>
      <c r="CJ36" s="242"/>
    </row>
    <row r="37" spans="1:88" s="72" customFormat="1" ht="15" customHeight="1">
      <c r="A37" s="68"/>
      <c r="B37" s="68"/>
      <c r="C37" s="68"/>
      <c r="D37" s="68" t="s">
        <v>168</v>
      </c>
      <c r="E37" s="302">
        <v>3.0000000000000001E-3</v>
      </c>
      <c r="F37" s="69"/>
      <c r="G37" s="69"/>
      <c r="H37" s="70"/>
      <c r="I37" s="68"/>
      <c r="J37" s="20"/>
      <c r="K37" s="68"/>
      <c r="L37" s="29"/>
      <c r="M37" s="71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>
        <f>$E37*AC$28</f>
        <v>1.05</v>
      </c>
      <c r="AD37" s="242">
        <f t="shared" si="32"/>
        <v>1.05</v>
      </c>
      <c r="AE37" s="242">
        <f t="shared" si="32"/>
        <v>1.05</v>
      </c>
      <c r="AF37" s="242">
        <f t="shared" si="32"/>
        <v>2.5500000000000003</v>
      </c>
      <c r="AG37" s="242">
        <f t="shared" si="32"/>
        <v>0.75</v>
      </c>
      <c r="AH37" s="242">
        <f t="shared" si="32"/>
        <v>1.5</v>
      </c>
      <c r="AI37" s="242">
        <f t="shared" si="32"/>
        <v>2.25</v>
      </c>
      <c r="AJ37" s="242">
        <f t="shared" si="32"/>
        <v>2.25</v>
      </c>
      <c r="AK37" s="242">
        <f t="shared" si="32"/>
        <v>3</v>
      </c>
      <c r="AL37" s="242">
        <f t="shared" si="32"/>
        <v>4.5</v>
      </c>
      <c r="AM37" s="242">
        <f t="shared" si="32"/>
        <v>5.25</v>
      </c>
      <c r="AN37" s="242">
        <f t="shared" si="32"/>
        <v>6.75</v>
      </c>
      <c r="AO37" s="242">
        <f t="shared" si="32"/>
        <v>6.75</v>
      </c>
      <c r="AP37" s="242">
        <f t="shared" si="32"/>
        <v>7.5</v>
      </c>
      <c r="AQ37" s="242">
        <f t="shared" si="32"/>
        <v>9</v>
      </c>
      <c r="AR37" s="242">
        <f t="shared" si="32"/>
        <v>9.75</v>
      </c>
      <c r="AS37" s="242">
        <f t="shared" si="32"/>
        <v>9.75</v>
      </c>
      <c r="AT37" s="242">
        <f t="shared" si="32"/>
        <v>12</v>
      </c>
      <c r="AU37" s="242">
        <f t="shared" si="32"/>
        <v>12</v>
      </c>
      <c r="AV37" s="242">
        <f t="shared" si="32"/>
        <v>12</v>
      </c>
      <c r="AW37" s="242">
        <f t="shared" si="32"/>
        <v>12</v>
      </c>
      <c r="AX37" s="242">
        <f t="shared" si="32"/>
        <v>14.6775</v>
      </c>
      <c r="AY37" s="242">
        <f t="shared" si="32"/>
        <v>14.6775</v>
      </c>
      <c r="AZ37" s="242">
        <f t="shared" si="32"/>
        <v>14.6775</v>
      </c>
      <c r="BA37" s="242">
        <f t="shared" si="32"/>
        <v>14.6775</v>
      </c>
      <c r="BB37" s="242">
        <f t="shared" si="32"/>
        <v>15.450000000000001</v>
      </c>
      <c r="BC37" s="242">
        <f t="shared" si="32"/>
        <v>15.450000000000001</v>
      </c>
      <c r="BD37" s="242">
        <f t="shared" si="32"/>
        <v>16.995000000000001</v>
      </c>
      <c r="BE37" s="242">
        <f t="shared" si="32"/>
        <v>16.995000000000001</v>
      </c>
      <c r="BF37" s="242">
        <f t="shared" si="32"/>
        <v>17.767500000000002</v>
      </c>
      <c r="BG37" s="242">
        <f t="shared" si="32"/>
        <v>17.767500000000002</v>
      </c>
      <c r="BH37" s="242">
        <f t="shared" si="32"/>
        <v>18.54</v>
      </c>
      <c r="BI37" s="242">
        <f t="shared" si="32"/>
        <v>18.54</v>
      </c>
      <c r="BJ37" s="242">
        <f t="shared" si="32"/>
        <v>19.080000000000002</v>
      </c>
      <c r="BK37" s="242">
        <f t="shared" si="32"/>
        <v>19.080000000000002</v>
      </c>
      <c r="BL37" s="242">
        <f t="shared" si="32"/>
        <v>19.080000000000002</v>
      </c>
      <c r="BM37" s="242">
        <f t="shared" si="32"/>
        <v>19.080000000000002</v>
      </c>
      <c r="BN37" s="242">
        <f t="shared" si="32"/>
        <v>19.875</v>
      </c>
      <c r="BO37" s="242">
        <f t="shared" si="32"/>
        <v>19.875</v>
      </c>
      <c r="BP37" s="242">
        <f t="shared" si="32"/>
        <v>19.875</v>
      </c>
      <c r="BQ37" s="242">
        <f t="shared" si="32"/>
        <v>19.875</v>
      </c>
      <c r="BR37" s="242">
        <f t="shared" si="32"/>
        <v>19.875</v>
      </c>
      <c r="BS37" s="242">
        <f t="shared" si="32"/>
        <v>19.875</v>
      </c>
      <c r="BT37" s="242">
        <f t="shared" si="32"/>
        <v>19.875</v>
      </c>
      <c r="BU37" s="242">
        <f t="shared" si="32"/>
        <v>19.875</v>
      </c>
      <c r="BV37" s="242">
        <f t="shared" si="32"/>
        <v>20.625</v>
      </c>
      <c r="BW37" s="242">
        <f t="shared" si="33"/>
        <v>20.625</v>
      </c>
      <c r="BX37" s="242">
        <f t="shared" si="33"/>
        <v>20.625</v>
      </c>
      <c r="BY37" s="242">
        <f t="shared" si="33"/>
        <v>20.625</v>
      </c>
      <c r="BZ37" s="242">
        <f t="shared" si="33"/>
        <v>20.625</v>
      </c>
      <c r="CA37" s="242">
        <f t="shared" si="33"/>
        <v>20.625</v>
      </c>
      <c r="CB37" s="242">
        <f t="shared" si="33"/>
        <v>20.625</v>
      </c>
      <c r="CC37" s="242">
        <f t="shared" si="33"/>
        <v>20.625</v>
      </c>
      <c r="CD37" s="242">
        <f t="shared" si="33"/>
        <v>20.625</v>
      </c>
      <c r="CE37" s="242">
        <f t="shared" si="33"/>
        <v>20.625</v>
      </c>
      <c r="CF37" s="242">
        <f t="shared" si="33"/>
        <v>20.625</v>
      </c>
      <c r="CG37" s="242">
        <f t="shared" si="33"/>
        <v>20.625</v>
      </c>
      <c r="CH37" s="242"/>
      <c r="CI37" s="242"/>
      <c r="CJ37" s="242"/>
    </row>
    <row r="38" spans="1:88" s="72" customFormat="1" ht="15" customHeight="1">
      <c r="A38" s="68"/>
      <c r="B38" s="68"/>
      <c r="C38" s="68"/>
      <c r="D38" s="68" t="s">
        <v>183</v>
      </c>
      <c r="E38" s="87">
        <v>45</v>
      </c>
      <c r="F38" s="69"/>
      <c r="G38" s="69"/>
      <c r="H38" s="70"/>
      <c r="I38" s="70"/>
      <c r="J38" s="70"/>
      <c r="K38" s="70"/>
      <c r="L38" s="70"/>
      <c r="M38" s="70"/>
      <c r="N38" s="242">
        <f t="shared" ref="N38:V39" si="34">$E38*N$54</f>
        <v>0</v>
      </c>
      <c r="O38" s="242">
        <f t="shared" si="34"/>
        <v>0</v>
      </c>
      <c r="P38" s="242">
        <f t="shared" si="34"/>
        <v>0</v>
      </c>
      <c r="Q38" s="242">
        <f t="shared" si="34"/>
        <v>0</v>
      </c>
      <c r="R38" s="242">
        <f t="shared" si="34"/>
        <v>0</v>
      </c>
      <c r="S38" s="242">
        <f t="shared" si="34"/>
        <v>0</v>
      </c>
      <c r="T38" s="242">
        <f t="shared" si="34"/>
        <v>0</v>
      </c>
      <c r="U38" s="242">
        <f t="shared" si="34"/>
        <v>0</v>
      </c>
      <c r="V38" s="242">
        <v>0</v>
      </c>
      <c r="W38" s="242">
        <f t="shared" ref="W38:BB38" si="35">$E38*W$54</f>
        <v>0</v>
      </c>
      <c r="X38" s="242">
        <f t="shared" si="35"/>
        <v>0</v>
      </c>
      <c r="Y38" s="242">
        <f t="shared" si="35"/>
        <v>0</v>
      </c>
      <c r="Z38" s="242">
        <f t="shared" si="35"/>
        <v>90</v>
      </c>
      <c r="AA38" s="242">
        <f t="shared" si="35"/>
        <v>90</v>
      </c>
      <c r="AB38" s="242">
        <f t="shared" si="35"/>
        <v>90</v>
      </c>
      <c r="AC38" s="242">
        <f t="shared" si="35"/>
        <v>90</v>
      </c>
      <c r="AD38" s="242">
        <f t="shared" si="35"/>
        <v>90</v>
      </c>
      <c r="AE38" s="242">
        <f t="shared" si="35"/>
        <v>90</v>
      </c>
      <c r="AF38" s="242">
        <f t="shared" si="35"/>
        <v>90</v>
      </c>
      <c r="AG38" s="242">
        <f t="shared" si="35"/>
        <v>90</v>
      </c>
      <c r="AH38" s="242">
        <f t="shared" si="35"/>
        <v>135</v>
      </c>
      <c r="AI38" s="242">
        <f t="shared" si="35"/>
        <v>180</v>
      </c>
      <c r="AJ38" s="242">
        <f t="shared" si="35"/>
        <v>180</v>
      </c>
      <c r="AK38" s="242">
        <f t="shared" si="35"/>
        <v>225</v>
      </c>
      <c r="AL38" s="242">
        <f t="shared" si="35"/>
        <v>315</v>
      </c>
      <c r="AM38" s="242">
        <f t="shared" si="35"/>
        <v>360</v>
      </c>
      <c r="AN38" s="242">
        <f t="shared" si="35"/>
        <v>450</v>
      </c>
      <c r="AO38" s="242">
        <f t="shared" si="35"/>
        <v>450</v>
      </c>
      <c r="AP38" s="242">
        <f t="shared" si="35"/>
        <v>495</v>
      </c>
      <c r="AQ38" s="242">
        <f t="shared" si="35"/>
        <v>585</v>
      </c>
      <c r="AR38" s="242">
        <f t="shared" si="35"/>
        <v>630</v>
      </c>
      <c r="AS38" s="242">
        <f t="shared" si="35"/>
        <v>630</v>
      </c>
      <c r="AT38" s="242">
        <f t="shared" si="35"/>
        <v>765</v>
      </c>
      <c r="AU38" s="242">
        <f t="shared" si="35"/>
        <v>765</v>
      </c>
      <c r="AV38" s="242">
        <f t="shared" si="35"/>
        <v>765</v>
      </c>
      <c r="AW38" s="242">
        <f t="shared" si="35"/>
        <v>765</v>
      </c>
      <c r="AX38" s="242">
        <f t="shared" si="35"/>
        <v>900</v>
      </c>
      <c r="AY38" s="242">
        <f t="shared" si="35"/>
        <v>900</v>
      </c>
      <c r="AZ38" s="242">
        <f t="shared" si="35"/>
        <v>900</v>
      </c>
      <c r="BA38" s="242">
        <f t="shared" si="35"/>
        <v>900</v>
      </c>
      <c r="BB38" s="242">
        <f t="shared" si="35"/>
        <v>945</v>
      </c>
      <c r="BC38" s="242">
        <f t="shared" ref="BC38:CG38" si="36">$E38*BC$54</f>
        <v>945</v>
      </c>
      <c r="BD38" s="242">
        <f t="shared" si="36"/>
        <v>1035</v>
      </c>
      <c r="BE38" s="242">
        <f t="shared" si="36"/>
        <v>1035</v>
      </c>
      <c r="BF38" s="242">
        <f t="shared" si="36"/>
        <v>1080</v>
      </c>
      <c r="BG38" s="242">
        <f t="shared" si="36"/>
        <v>1080</v>
      </c>
      <c r="BH38" s="242">
        <f t="shared" si="36"/>
        <v>1125</v>
      </c>
      <c r="BI38" s="242">
        <f t="shared" si="36"/>
        <v>1125</v>
      </c>
      <c r="BJ38" s="242">
        <f t="shared" si="36"/>
        <v>1125</v>
      </c>
      <c r="BK38" s="242">
        <f t="shared" si="36"/>
        <v>1125</v>
      </c>
      <c r="BL38" s="242">
        <f t="shared" si="36"/>
        <v>1125</v>
      </c>
      <c r="BM38" s="242">
        <f t="shared" si="36"/>
        <v>1125</v>
      </c>
      <c r="BN38" s="242">
        <f t="shared" si="36"/>
        <v>1170</v>
      </c>
      <c r="BO38" s="242">
        <f t="shared" si="36"/>
        <v>1170</v>
      </c>
      <c r="BP38" s="242">
        <f t="shared" si="36"/>
        <v>1170</v>
      </c>
      <c r="BQ38" s="242">
        <f t="shared" si="36"/>
        <v>1170</v>
      </c>
      <c r="BR38" s="242">
        <f t="shared" si="36"/>
        <v>1170</v>
      </c>
      <c r="BS38" s="242">
        <f t="shared" si="36"/>
        <v>1170</v>
      </c>
      <c r="BT38" s="242">
        <f t="shared" si="36"/>
        <v>1170</v>
      </c>
      <c r="BU38" s="242">
        <f t="shared" si="36"/>
        <v>1170</v>
      </c>
      <c r="BV38" s="242">
        <f t="shared" si="36"/>
        <v>1170</v>
      </c>
      <c r="BW38" s="242">
        <f t="shared" si="36"/>
        <v>1170</v>
      </c>
      <c r="BX38" s="242">
        <f t="shared" si="36"/>
        <v>1170</v>
      </c>
      <c r="BY38" s="242">
        <f t="shared" si="36"/>
        <v>1170</v>
      </c>
      <c r="BZ38" s="242">
        <f t="shared" si="36"/>
        <v>1170</v>
      </c>
      <c r="CA38" s="242">
        <f t="shared" si="36"/>
        <v>1170</v>
      </c>
      <c r="CB38" s="242">
        <f t="shared" si="36"/>
        <v>1170</v>
      </c>
      <c r="CC38" s="242">
        <f t="shared" si="36"/>
        <v>1170</v>
      </c>
      <c r="CD38" s="242">
        <f t="shared" si="36"/>
        <v>1170</v>
      </c>
      <c r="CE38" s="242">
        <f t="shared" si="36"/>
        <v>1170</v>
      </c>
      <c r="CF38" s="242">
        <f t="shared" si="36"/>
        <v>1170</v>
      </c>
      <c r="CG38" s="242">
        <f t="shared" si="36"/>
        <v>1170</v>
      </c>
      <c r="CH38" s="242"/>
      <c r="CI38" s="242"/>
      <c r="CJ38" s="242"/>
    </row>
    <row r="39" spans="1:88" s="72" customFormat="1" ht="15" customHeight="1">
      <c r="A39" s="68"/>
      <c r="B39" s="68"/>
      <c r="C39" s="68"/>
      <c r="D39" s="68" t="s">
        <v>184</v>
      </c>
      <c r="E39" s="87">
        <v>15</v>
      </c>
      <c r="F39" s="69"/>
      <c r="G39" s="69"/>
      <c r="H39" s="70"/>
      <c r="I39" s="70"/>
      <c r="J39" s="70"/>
      <c r="K39" s="70"/>
      <c r="L39" s="70"/>
      <c r="M39" s="70"/>
      <c r="N39" s="242"/>
      <c r="O39" s="242"/>
      <c r="P39" s="242">
        <f t="shared" si="34"/>
        <v>0</v>
      </c>
      <c r="Q39" s="242">
        <f t="shared" si="34"/>
        <v>0</v>
      </c>
      <c r="R39" s="242">
        <f t="shared" si="34"/>
        <v>0</v>
      </c>
      <c r="S39" s="242">
        <f t="shared" si="34"/>
        <v>0</v>
      </c>
      <c r="T39" s="242">
        <f t="shared" si="34"/>
        <v>0</v>
      </c>
      <c r="U39" s="242">
        <f t="shared" si="34"/>
        <v>0</v>
      </c>
      <c r="V39" s="242">
        <f t="shared" si="34"/>
        <v>0</v>
      </c>
      <c r="W39" s="242">
        <f t="shared" ref="W39:BB39" si="37">$E39*W$54</f>
        <v>0</v>
      </c>
      <c r="X39" s="242">
        <f t="shared" si="37"/>
        <v>0</v>
      </c>
      <c r="Y39" s="242">
        <f t="shared" si="37"/>
        <v>0</v>
      </c>
      <c r="Z39" s="242">
        <f t="shared" si="37"/>
        <v>30</v>
      </c>
      <c r="AA39" s="242">
        <f t="shared" si="37"/>
        <v>30</v>
      </c>
      <c r="AB39" s="242">
        <f t="shared" si="37"/>
        <v>30</v>
      </c>
      <c r="AC39" s="242">
        <f t="shared" si="37"/>
        <v>30</v>
      </c>
      <c r="AD39" s="242">
        <f t="shared" si="37"/>
        <v>30</v>
      </c>
      <c r="AE39" s="242">
        <f t="shared" si="37"/>
        <v>30</v>
      </c>
      <c r="AF39" s="242">
        <f t="shared" si="37"/>
        <v>30</v>
      </c>
      <c r="AG39" s="242">
        <f t="shared" si="37"/>
        <v>30</v>
      </c>
      <c r="AH39" s="242">
        <f t="shared" si="37"/>
        <v>45</v>
      </c>
      <c r="AI39" s="242">
        <f t="shared" si="37"/>
        <v>60</v>
      </c>
      <c r="AJ39" s="242">
        <f t="shared" si="37"/>
        <v>60</v>
      </c>
      <c r="AK39" s="242">
        <f t="shared" si="37"/>
        <v>75</v>
      </c>
      <c r="AL39" s="242">
        <f t="shared" si="37"/>
        <v>105</v>
      </c>
      <c r="AM39" s="242">
        <f t="shared" si="37"/>
        <v>120</v>
      </c>
      <c r="AN39" s="242">
        <f t="shared" si="37"/>
        <v>150</v>
      </c>
      <c r="AO39" s="242">
        <f t="shared" si="37"/>
        <v>150</v>
      </c>
      <c r="AP39" s="242">
        <f t="shared" si="37"/>
        <v>165</v>
      </c>
      <c r="AQ39" s="242">
        <f t="shared" si="37"/>
        <v>195</v>
      </c>
      <c r="AR39" s="242">
        <f t="shared" si="37"/>
        <v>210</v>
      </c>
      <c r="AS39" s="242">
        <f t="shared" si="37"/>
        <v>210</v>
      </c>
      <c r="AT39" s="242">
        <f t="shared" si="37"/>
        <v>255</v>
      </c>
      <c r="AU39" s="242">
        <f t="shared" si="37"/>
        <v>255</v>
      </c>
      <c r="AV39" s="242">
        <f t="shared" si="37"/>
        <v>255</v>
      </c>
      <c r="AW39" s="242">
        <f t="shared" si="37"/>
        <v>255</v>
      </c>
      <c r="AX39" s="242">
        <f t="shared" si="37"/>
        <v>300</v>
      </c>
      <c r="AY39" s="242">
        <f t="shared" si="37"/>
        <v>300</v>
      </c>
      <c r="AZ39" s="242">
        <f t="shared" si="37"/>
        <v>300</v>
      </c>
      <c r="BA39" s="242">
        <f t="shared" si="37"/>
        <v>300</v>
      </c>
      <c r="BB39" s="242">
        <f t="shared" si="37"/>
        <v>315</v>
      </c>
      <c r="BC39" s="242">
        <f t="shared" ref="BC39:CG39" si="38">$E39*BC$54</f>
        <v>315</v>
      </c>
      <c r="BD39" s="242">
        <f t="shared" si="38"/>
        <v>345</v>
      </c>
      <c r="BE39" s="242">
        <f t="shared" si="38"/>
        <v>345</v>
      </c>
      <c r="BF39" s="242">
        <f t="shared" si="38"/>
        <v>360</v>
      </c>
      <c r="BG39" s="242">
        <f t="shared" si="38"/>
        <v>360</v>
      </c>
      <c r="BH39" s="242">
        <f t="shared" si="38"/>
        <v>375</v>
      </c>
      <c r="BI39" s="242">
        <f t="shared" si="38"/>
        <v>375</v>
      </c>
      <c r="BJ39" s="242">
        <f t="shared" si="38"/>
        <v>375</v>
      </c>
      <c r="BK39" s="242">
        <f t="shared" si="38"/>
        <v>375</v>
      </c>
      <c r="BL39" s="242">
        <f t="shared" si="38"/>
        <v>375</v>
      </c>
      <c r="BM39" s="242">
        <f t="shared" si="38"/>
        <v>375</v>
      </c>
      <c r="BN39" s="242">
        <f t="shared" si="38"/>
        <v>390</v>
      </c>
      <c r="BO39" s="242">
        <f t="shared" si="38"/>
        <v>390</v>
      </c>
      <c r="BP39" s="242">
        <f t="shared" si="38"/>
        <v>390</v>
      </c>
      <c r="BQ39" s="242">
        <f t="shared" si="38"/>
        <v>390</v>
      </c>
      <c r="BR39" s="242">
        <f t="shared" si="38"/>
        <v>390</v>
      </c>
      <c r="BS39" s="242">
        <f t="shared" si="38"/>
        <v>390</v>
      </c>
      <c r="BT39" s="242">
        <f t="shared" si="38"/>
        <v>390</v>
      </c>
      <c r="BU39" s="242">
        <f t="shared" si="38"/>
        <v>390</v>
      </c>
      <c r="BV39" s="242">
        <f t="shared" si="38"/>
        <v>390</v>
      </c>
      <c r="BW39" s="242">
        <f t="shared" si="38"/>
        <v>390</v>
      </c>
      <c r="BX39" s="242">
        <f t="shared" si="38"/>
        <v>390</v>
      </c>
      <c r="BY39" s="242">
        <f t="shared" si="38"/>
        <v>390</v>
      </c>
      <c r="BZ39" s="242">
        <f t="shared" si="38"/>
        <v>390</v>
      </c>
      <c r="CA39" s="242">
        <f t="shared" si="38"/>
        <v>390</v>
      </c>
      <c r="CB39" s="242">
        <f t="shared" si="38"/>
        <v>390</v>
      </c>
      <c r="CC39" s="242">
        <f t="shared" si="38"/>
        <v>390</v>
      </c>
      <c r="CD39" s="242">
        <f t="shared" si="38"/>
        <v>390</v>
      </c>
      <c r="CE39" s="242">
        <f t="shared" si="38"/>
        <v>390</v>
      </c>
      <c r="CF39" s="242">
        <f t="shared" si="38"/>
        <v>390</v>
      </c>
      <c r="CG39" s="242">
        <f t="shared" si="38"/>
        <v>390</v>
      </c>
      <c r="CH39" s="242"/>
      <c r="CI39" s="242"/>
      <c r="CJ39" s="242"/>
    </row>
    <row r="40" spans="1:88" s="72" customFormat="1" ht="15" customHeight="1">
      <c r="A40" s="68"/>
      <c r="B40" s="68"/>
      <c r="C40" s="68"/>
      <c r="D40" s="68" t="s">
        <v>169</v>
      </c>
      <c r="E40" s="68">
        <v>5</v>
      </c>
      <c r="F40" s="69"/>
      <c r="G40" s="69"/>
      <c r="H40" s="70"/>
      <c r="I40" s="68"/>
      <c r="J40" s="20"/>
      <c r="K40" s="68"/>
      <c r="L40" s="68"/>
      <c r="M40" s="68"/>
      <c r="N40" s="68"/>
      <c r="O40" s="68"/>
      <c r="V40" s="68">
        <f t="shared" ref="Q40:BV42" si="39">$E40*V$54</f>
        <v>0</v>
      </c>
      <c r="W40" s="68">
        <f t="shared" si="39"/>
        <v>0</v>
      </c>
      <c r="X40" s="68">
        <f t="shared" si="39"/>
        <v>0</v>
      </c>
      <c r="Y40" s="68">
        <f t="shared" si="39"/>
        <v>0</v>
      </c>
      <c r="Z40" s="68">
        <f t="shared" si="39"/>
        <v>10</v>
      </c>
      <c r="AA40" s="68">
        <f t="shared" si="39"/>
        <v>10</v>
      </c>
      <c r="AB40" s="68">
        <f t="shared" si="39"/>
        <v>10</v>
      </c>
      <c r="AC40" s="68">
        <f t="shared" si="39"/>
        <v>10</v>
      </c>
      <c r="AD40" s="68">
        <f t="shared" si="39"/>
        <v>10</v>
      </c>
      <c r="AE40" s="68">
        <f t="shared" si="39"/>
        <v>10</v>
      </c>
      <c r="AF40" s="68">
        <f t="shared" si="39"/>
        <v>10</v>
      </c>
      <c r="AG40" s="68">
        <f t="shared" si="39"/>
        <v>10</v>
      </c>
      <c r="AH40" s="68">
        <f t="shared" si="39"/>
        <v>15</v>
      </c>
      <c r="AI40" s="68">
        <f t="shared" si="39"/>
        <v>20</v>
      </c>
      <c r="AJ40" s="68">
        <f t="shared" si="39"/>
        <v>20</v>
      </c>
      <c r="AK40" s="68">
        <f t="shared" si="39"/>
        <v>25</v>
      </c>
      <c r="AL40" s="68">
        <f t="shared" si="39"/>
        <v>35</v>
      </c>
      <c r="AM40" s="68">
        <f t="shared" si="39"/>
        <v>40</v>
      </c>
      <c r="AN40" s="68">
        <f t="shared" si="39"/>
        <v>50</v>
      </c>
      <c r="AO40" s="68">
        <f t="shared" si="39"/>
        <v>50</v>
      </c>
      <c r="AP40" s="68">
        <f t="shared" si="39"/>
        <v>55</v>
      </c>
      <c r="AQ40" s="68">
        <f t="shared" si="39"/>
        <v>65</v>
      </c>
      <c r="AR40" s="68">
        <f t="shared" si="39"/>
        <v>70</v>
      </c>
      <c r="AS40" s="68">
        <f t="shared" si="39"/>
        <v>70</v>
      </c>
      <c r="AT40" s="68">
        <f t="shared" si="39"/>
        <v>85</v>
      </c>
      <c r="AU40" s="68">
        <f t="shared" si="39"/>
        <v>85</v>
      </c>
      <c r="AV40" s="68">
        <f t="shared" si="39"/>
        <v>85</v>
      </c>
      <c r="AW40" s="68">
        <f t="shared" si="39"/>
        <v>85</v>
      </c>
      <c r="AX40" s="68">
        <f t="shared" si="39"/>
        <v>100</v>
      </c>
      <c r="AY40" s="68">
        <f t="shared" si="39"/>
        <v>100</v>
      </c>
      <c r="AZ40" s="68">
        <f t="shared" si="39"/>
        <v>100</v>
      </c>
      <c r="BA40" s="68">
        <f t="shared" si="39"/>
        <v>100</v>
      </c>
      <c r="BB40" s="68">
        <f t="shared" si="39"/>
        <v>105</v>
      </c>
      <c r="BC40" s="68">
        <f t="shared" si="39"/>
        <v>105</v>
      </c>
      <c r="BD40" s="68">
        <f t="shared" si="39"/>
        <v>115</v>
      </c>
      <c r="BE40" s="68">
        <f t="shared" si="39"/>
        <v>115</v>
      </c>
      <c r="BF40" s="68">
        <f t="shared" si="39"/>
        <v>120</v>
      </c>
      <c r="BG40" s="68">
        <f t="shared" si="39"/>
        <v>120</v>
      </c>
      <c r="BH40" s="68">
        <f t="shared" si="39"/>
        <v>125</v>
      </c>
      <c r="BI40" s="68">
        <f t="shared" si="39"/>
        <v>125</v>
      </c>
      <c r="BJ40" s="68">
        <f t="shared" si="39"/>
        <v>125</v>
      </c>
      <c r="BK40" s="68">
        <f t="shared" si="39"/>
        <v>125</v>
      </c>
      <c r="BL40" s="68">
        <f t="shared" si="39"/>
        <v>125</v>
      </c>
      <c r="BM40" s="68">
        <f t="shared" si="39"/>
        <v>125</v>
      </c>
      <c r="BN40" s="68">
        <f t="shared" si="39"/>
        <v>130</v>
      </c>
      <c r="BO40" s="68">
        <f t="shared" si="39"/>
        <v>130</v>
      </c>
      <c r="BP40" s="68">
        <f t="shared" si="39"/>
        <v>130</v>
      </c>
      <c r="BQ40" s="68">
        <f t="shared" si="39"/>
        <v>130</v>
      </c>
      <c r="BR40" s="68">
        <f t="shared" si="39"/>
        <v>130</v>
      </c>
      <c r="BS40" s="68">
        <f t="shared" si="39"/>
        <v>130</v>
      </c>
      <c r="BT40" s="68">
        <f t="shared" si="39"/>
        <v>130</v>
      </c>
      <c r="BU40" s="68">
        <f t="shared" si="39"/>
        <v>130</v>
      </c>
      <c r="BV40" s="68">
        <f t="shared" si="39"/>
        <v>130</v>
      </c>
      <c r="BW40" s="68">
        <f t="shared" ref="BW40:CG42" si="40">$E40*BW$54</f>
        <v>130</v>
      </c>
      <c r="BX40" s="68">
        <f t="shared" si="40"/>
        <v>130</v>
      </c>
      <c r="BY40" s="68">
        <f t="shared" si="40"/>
        <v>130</v>
      </c>
      <c r="BZ40" s="68">
        <f t="shared" si="40"/>
        <v>130</v>
      </c>
      <c r="CA40" s="68">
        <f t="shared" si="40"/>
        <v>130</v>
      </c>
      <c r="CB40" s="68">
        <f t="shared" si="40"/>
        <v>130</v>
      </c>
      <c r="CC40" s="68">
        <f t="shared" si="40"/>
        <v>130</v>
      </c>
      <c r="CD40" s="68">
        <f t="shared" si="40"/>
        <v>130</v>
      </c>
      <c r="CE40" s="68">
        <f t="shared" si="40"/>
        <v>130</v>
      </c>
      <c r="CF40" s="68">
        <f t="shared" si="40"/>
        <v>130</v>
      </c>
      <c r="CG40" s="68">
        <f t="shared" si="40"/>
        <v>130</v>
      </c>
      <c r="CH40" s="68"/>
      <c r="CI40" s="68"/>
      <c r="CJ40" s="68"/>
    </row>
    <row r="41" spans="1:88" s="72" customFormat="1" ht="15" customHeight="1">
      <c r="A41" s="68"/>
      <c r="B41" s="68"/>
      <c r="C41" s="68"/>
      <c r="D41" s="68" t="s">
        <v>170</v>
      </c>
      <c r="E41" s="68">
        <v>7</v>
      </c>
      <c r="F41" s="69"/>
      <c r="G41" s="69"/>
      <c r="H41" s="70"/>
      <c r="I41" s="68"/>
      <c r="J41" s="20"/>
      <c r="K41" s="68"/>
      <c r="L41" s="68"/>
      <c r="M41" s="68"/>
      <c r="N41" s="68"/>
      <c r="O41" s="68"/>
      <c r="P41" s="68">
        <f>$E41*P$54</f>
        <v>0</v>
      </c>
      <c r="Q41" s="68">
        <f t="shared" si="39"/>
        <v>0</v>
      </c>
      <c r="R41" s="68">
        <f t="shared" si="39"/>
        <v>0</v>
      </c>
      <c r="S41" s="68">
        <f t="shared" si="39"/>
        <v>0</v>
      </c>
      <c r="T41" s="68">
        <f t="shared" si="39"/>
        <v>0</v>
      </c>
      <c r="U41" s="68">
        <f t="shared" si="39"/>
        <v>0</v>
      </c>
      <c r="V41" s="68">
        <f t="shared" si="39"/>
        <v>0</v>
      </c>
      <c r="W41" s="68">
        <f t="shared" si="39"/>
        <v>0</v>
      </c>
      <c r="X41" s="68">
        <f t="shared" si="39"/>
        <v>0</v>
      </c>
      <c r="Y41" s="68">
        <f t="shared" si="39"/>
        <v>0</v>
      </c>
      <c r="Z41" s="68">
        <f t="shared" si="39"/>
        <v>14</v>
      </c>
      <c r="AA41" s="68">
        <f t="shared" si="39"/>
        <v>14</v>
      </c>
      <c r="AB41" s="68">
        <f t="shared" si="39"/>
        <v>14</v>
      </c>
      <c r="AC41" s="68">
        <f t="shared" si="39"/>
        <v>14</v>
      </c>
      <c r="AD41" s="68">
        <f t="shared" si="39"/>
        <v>14</v>
      </c>
      <c r="AE41" s="68">
        <f t="shared" si="39"/>
        <v>14</v>
      </c>
      <c r="AF41" s="68">
        <f t="shared" si="39"/>
        <v>14</v>
      </c>
      <c r="AG41" s="68">
        <f t="shared" si="39"/>
        <v>14</v>
      </c>
      <c r="AH41" s="68">
        <f t="shared" si="39"/>
        <v>21</v>
      </c>
      <c r="AI41" s="68">
        <f t="shared" si="39"/>
        <v>28</v>
      </c>
      <c r="AJ41" s="68">
        <f t="shared" si="39"/>
        <v>28</v>
      </c>
      <c r="AK41" s="68">
        <f t="shared" si="39"/>
        <v>35</v>
      </c>
      <c r="AL41" s="68">
        <f t="shared" si="39"/>
        <v>49</v>
      </c>
      <c r="AM41" s="68">
        <f t="shared" si="39"/>
        <v>56</v>
      </c>
      <c r="AN41" s="68">
        <f t="shared" si="39"/>
        <v>70</v>
      </c>
      <c r="AO41" s="68">
        <f t="shared" si="39"/>
        <v>70</v>
      </c>
      <c r="AP41" s="68">
        <f t="shared" si="39"/>
        <v>77</v>
      </c>
      <c r="AQ41" s="68">
        <f t="shared" si="39"/>
        <v>91</v>
      </c>
      <c r="AR41" s="68">
        <f t="shared" si="39"/>
        <v>98</v>
      </c>
      <c r="AS41" s="68">
        <f t="shared" si="39"/>
        <v>98</v>
      </c>
      <c r="AT41" s="68">
        <f t="shared" si="39"/>
        <v>119</v>
      </c>
      <c r="AU41" s="68">
        <f t="shared" si="39"/>
        <v>119</v>
      </c>
      <c r="AV41" s="68">
        <f t="shared" si="39"/>
        <v>119</v>
      </c>
      <c r="AW41" s="68">
        <f t="shared" si="39"/>
        <v>119</v>
      </c>
      <c r="AX41" s="68">
        <f t="shared" si="39"/>
        <v>140</v>
      </c>
      <c r="AY41" s="68">
        <f t="shared" si="39"/>
        <v>140</v>
      </c>
      <c r="AZ41" s="68">
        <f t="shared" si="39"/>
        <v>140</v>
      </c>
      <c r="BA41" s="68">
        <f t="shared" si="39"/>
        <v>140</v>
      </c>
      <c r="BB41" s="68">
        <f t="shared" si="39"/>
        <v>147</v>
      </c>
      <c r="BC41" s="68">
        <f t="shared" si="39"/>
        <v>147</v>
      </c>
      <c r="BD41" s="68">
        <f t="shared" si="39"/>
        <v>161</v>
      </c>
      <c r="BE41" s="68">
        <f t="shared" si="39"/>
        <v>161</v>
      </c>
      <c r="BF41" s="68">
        <f t="shared" si="39"/>
        <v>168</v>
      </c>
      <c r="BG41" s="68">
        <f t="shared" si="39"/>
        <v>168</v>
      </c>
      <c r="BH41" s="68">
        <f t="shared" si="39"/>
        <v>175</v>
      </c>
      <c r="BI41" s="68">
        <f t="shared" si="39"/>
        <v>175</v>
      </c>
      <c r="BJ41" s="68">
        <f t="shared" si="39"/>
        <v>175</v>
      </c>
      <c r="BK41" s="68">
        <f t="shared" si="39"/>
        <v>175</v>
      </c>
      <c r="BL41" s="68">
        <f t="shared" si="39"/>
        <v>175</v>
      </c>
      <c r="BM41" s="68">
        <f t="shared" si="39"/>
        <v>175</v>
      </c>
      <c r="BN41" s="68">
        <f t="shared" si="39"/>
        <v>182</v>
      </c>
      <c r="BO41" s="68">
        <f t="shared" si="39"/>
        <v>182</v>
      </c>
      <c r="BP41" s="68">
        <f t="shared" si="39"/>
        <v>182</v>
      </c>
      <c r="BQ41" s="68">
        <f t="shared" si="39"/>
        <v>182</v>
      </c>
      <c r="BR41" s="68">
        <f t="shared" si="39"/>
        <v>182</v>
      </c>
      <c r="BS41" s="68">
        <f t="shared" si="39"/>
        <v>182</v>
      </c>
      <c r="BT41" s="68">
        <f t="shared" si="39"/>
        <v>182</v>
      </c>
      <c r="BU41" s="68">
        <f t="shared" si="39"/>
        <v>182</v>
      </c>
      <c r="BV41" s="68">
        <f>$E41*BV$54</f>
        <v>182</v>
      </c>
      <c r="BW41" s="68">
        <f t="shared" si="40"/>
        <v>182</v>
      </c>
      <c r="BX41" s="68">
        <f t="shared" si="40"/>
        <v>182</v>
      </c>
      <c r="BY41" s="68">
        <f t="shared" si="40"/>
        <v>182</v>
      </c>
      <c r="BZ41" s="68">
        <f t="shared" si="40"/>
        <v>182</v>
      </c>
      <c r="CA41" s="68">
        <f t="shared" si="40"/>
        <v>182</v>
      </c>
      <c r="CB41" s="68">
        <f t="shared" si="40"/>
        <v>182</v>
      </c>
      <c r="CC41" s="68">
        <f t="shared" si="40"/>
        <v>182</v>
      </c>
      <c r="CD41" s="68">
        <f t="shared" si="40"/>
        <v>182</v>
      </c>
      <c r="CE41" s="68">
        <f t="shared" si="40"/>
        <v>182</v>
      </c>
      <c r="CF41" s="68">
        <f t="shared" si="40"/>
        <v>182</v>
      </c>
      <c r="CG41" s="68">
        <f t="shared" si="40"/>
        <v>182</v>
      </c>
      <c r="CH41" s="68"/>
      <c r="CI41" s="68"/>
      <c r="CJ41" s="68"/>
    </row>
    <row r="42" spans="1:88" s="72" customFormat="1" ht="15" customHeight="1">
      <c r="A42" s="68"/>
      <c r="B42" s="68"/>
      <c r="C42" s="68"/>
      <c r="D42" s="68" t="s">
        <v>171</v>
      </c>
      <c r="E42" s="68">
        <v>5</v>
      </c>
      <c r="F42" s="69"/>
      <c r="G42" s="69"/>
      <c r="H42" s="70"/>
      <c r="I42" s="68"/>
      <c r="J42" s="20"/>
      <c r="K42" s="68"/>
      <c r="L42" s="68"/>
      <c r="M42" s="68"/>
      <c r="N42" s="68"/>
      <c r="O42" s="68"/>
      <c r="P42" s="68">
        <f>$E42*P$54</f>
        <v>0</v>
      </c>
      <c r="Q42" s="68">
        <f t="shared" si="39"/>
        <v>0</v>
      </c>
      <c r="R42" s="68">
        <f t="shared" si="39"/>
        <v>0</v>
      </c>
      <c r="S42" s="68">
        <f t="shared" si="39"/>
        <v>0</v>
      </c>
      <c r="T42" s="68">
        <f t="shared" si="39"/>
        <v>0</v>
      </c>
      <c r="U42" s="68">
        <f t="shared" si="39"/>
        <v>0</v>
      </c>
      <c r="V42" s="68">
        <f t="shared" si="39"/>
        <v>0</v>
      </c>
      <c r="W42" s="68">
        <f t="shared" si="39"/>
        <v>0</v>
      </c>
      <c r="X42" s="68">
        <f t="shared" si="39"/>
        <v>0</v>
      </c>
      <c r="Y42" s="68">
        <f t="shared" si="39"/>
        <v>0</v>
      </c>
      <c r="Z42" s="68">
        <f t="shared" si="39"/>
        <v>10</v>
      </c>
      <c r="AA42" s="68">
        <f t="shared" si="39"/>
        <v>10</v>
      </c>
      <c r="AB42" s="68">
        <f t="shared" si="39"/>
        <v>10</v>
      </c>
      <c r="AC42" s="68">
        <f t="shared" si="39"/>
        <v>10</v>
      </c>
      <c r="AD42" s="68">
        <f t="shared" si="39"/>
        <v>10</v>
      </c>
      <c r="AE42" s="68">
        <f t="shared" si="39"/>
        <v>10</v>
      </c>
      <c r="AF42" s="68">
        <f t="shared" si="39"/>
        <v>10</v>
      </c>
      <c r="AG42" s="68">
        <f t="shared" si="39"/>
        <v>10</v>
      </c>
      <c r="AH42" s="68">
        <f t="shared" si="39"/>
        <v>15</v>
      </c>
      <c r="AI42" s="68">
        <f t="shared" si="39"/>
        <v>20</v>
      </c>
      <c r="AJ42" s="68">
        <f t="shared" si="39"/>
        <v>20</v>
      </c>
      <c r="AK42" s="68">
        <f t="shared" si="39"/>
        <v>25</v>
      </c>
      <c r="AL42" s="68">
        <f t="shared" si="39"/>
        <v>35</v>
      </c>
      <c r="AM42" s="68">
        <f t="shared" si="39"/>
        <v>40</v>
      </c>
      <c r="AN42" s="68">
        <f t="shared" si="39"/>
        <v>50</v>
      </c>
      <c r="AO42" s="68">
        <f t="shared" si="39"/>
        <v>50</v>
      </c>
      <c r="AP42" s="68">
        <f t="shared" si="39"/>
        <v>55</v>
      </c>
      <c r="AQ42" s="68">
        <f t="shared" si="39"/>
        <v>65</v>
      </c>
      <c r="AR42" s="68">
        <f t="shared" si="39"/>
        <v>70</v>
      </c>
      <c r="AS42" s="68">
        <f t="shared" si="39"/>
        <v>70</v>
      </c>
      <c r="AT42" s="68">
        <f t="shared" si="39"/>
        <v>85</v>
      </c>
      <c r="AU42" s="68">
        <f t="shared" si="39"/>
        <v>85</v>
      </c>
      <c r="AV42" s="68">
        <f t="shared" si="39"/>
        <v>85</v>
      </c>
      <c r="AW42" s="68">
        <f t="shared" si="39"/>
        <v>85</v>
      </c>
      <c r="AX42" s="68">
        <f t="shared" si="39"/>
        <v>100</v>
      </c>
      <c r="AY42" s="68">
        <f t="shared" si="39"/>
        <v>100</v>
      </c>
      <c r="AZ42" s="68">
        <f t="shared" si="39"/>
        <v>100</v>
      </c>
      <c r="BA42" s="68">
        <f t="shared" si="39"/>
        <v>100</v>
      </c>
      <c r="BB42" s="68">
        <f t="shared" si="39"/>
        <v>105</v>
      </c>
      <c r="BC42" s="68">
        <f t="shared" si="39"/>
        <v>105</v>
      </c>
      <c r="BD42" s="68">
        <f t="shared" si="39"/>
        <v>115</v>
      </c>
      <c r="BE42" s="68">
        <f t="shared" si="39"/>
        <v>115</v>
      </c>
      <c r="BF42" s="68">
        <f t="shared" si="39"/>
        <v>120</v>
      </c>
      <c r="BG42" s="68">
        <f t="shared" si="39"/>
        <v>120</v>
      </c>
      <c r="BH42" s="68">
        <f t="shared" si="39"/>
        <v>125</v>
      </c>
      <c r="BI42" s="68">
        <f t="shared" si="39"/>
        <v>125</v>
      </c>
      <c r="BJ42" s="68">
        <f t="shared" si="39"/>
        <v>125</v>
      </c>
      <c r="BK42" s="68">
        <f t="shared" si="39"/>
        <v>125</v>
      </c>
      <c r="BL42" s="68">
        <f t="shared" si="39"/>
        <v>125</v>
      </c>
      <c r="BM42" s="68">
        <f t="shared" si="39"/>
        <v>125</v>
      </c>
      <c r="BN42" s="68">
        <f t="shared" si="39"/>
        <v>130</v>
      </c>
      <c r="BO42" s="68">
        <f t="shared" si="39"/>
        <v>130</v>
      </c>
      <c r="BP42" s="68">
        <f t="shared" si="39"/>
        <v>130</v>
      </c>
      <c r="BQ42" s="68">
        <f t="shared" si="39"/>
        <v>130</v>
      </c>
      <c r="BR42" s="68">
        <f t="shared" si="39"/>
        <v>130</v>
      </c>
      <c r="BS42" s="68">
        <f t="shared" si="39"/>
        <v>130</v>
      </c>
      <c r="BT42" s="68">
        <f t="shared" si="39"/>
        <v>130</v>
      </c>
      <c r="BU42" s="68">
        <f t="shared" si="39"/>
        <v>130</v>
      </c>
      <c r="BV42" s="68">
        <f>$E42*BV$54</f>
        <v>130</v>
      </c>
      <c r="BW42" s="68">
        <f t="shared" si="40"/>
        <v>130</v>
      </c>
      <c r="BX42" s="68">
        <f t="shared" si="40"/>
        <v>130</v>
      </c>
      <c r="BY42" s="68">
        <f t="shared" si="40"/>
        <v>130</v>
      </c>
      <c r="BZ42" s="68">
        <f t="shared" si="40"/>
        <v>130</v>
      </c>
      <c r="CA42" s="68">
        <f t="shared" si="40"/>
        <v>130</v>
      </c>
      <c r="CB42" s="68">
        <f t="shared" si="40"/>
        <v>130</v>
      </c>
      <c r="CC42" s="68">
        <f t="shared" si="40"/>
        <v>130</v>
      </c>
      <c r="CD42" s="68">
        <f t="shared" si="40"/>
        <v>130</v>
      </c>
      <c r="CE42" s="68">
        <f t="shared" si="40"/>
        <v>130</v>
      </c>
      <c r="CF42" s="68">
        <f t="shared" si="40"/>
        <v>130</v>
      </c>
      <c r="CG42" s="68">
        <f t="shared" si="40"/>
        <v>130</v>
      </c>
      <c r="CH42" s="68"/>
      <c r="CI42" s="68"/>
      <c r="CJ42" s="68"/>
    </row>
    <row r="43" spans="1:88" s="72" customFormat="1" ht="15" customHeight="1">
      <c r="A43" s="68"/>
      <c r="B43" s="68"/>
      <c r="C43" s="68"/>
      <c r="D43" s="68" t="s">
        <v>172</v>
      </c>
      <c r="E43" s="87">
        <v>100</v>
      </c>
      <c r="F43" s="69"/>
      <c r="G43" s="69"/>
      <c r="H43" s="70"/>
      <c r="I43" s="70"/>
      <c r="J43" s="70"/>
      <c r="K43" s="70"/>
      <c r="L43" s="70"/>
      <c r="M43" s="70"/>
      <c r="N43" s="70"/>
      <c r="O43" s="70"/>
      <c r="P43" s="68"/>
      <c r="Q43" s="68"/>
      <c r="R43" s="68"/>
      <c r="S43" s="68"/>
      <c r="T43" s="68"/>
      <c r="U43" s="68"/>
      <c r="V43" s="70"/>
      <c r="W43" s="70"/>
      <c r="X43" s="70"/>
      <c r="Y43" s="70"/>
      <c r="Z43" s="70">
        <v>200</v>
      </c>
      <c r="AA43" s="70">
        <v>200</v>
      </c>
      <c r="AB43" s="70">
        <v>200</v>
      </c>
      <c r="AC43" s="70">
        <v>200</v>
      </c>
      <c r="AD43" s="70">
        <v>300</v>
      </c>
      <c r="AE43" s="70">
        <f t="shared" ref="AA43:BU44" si="41">AD43</f>
        <v>300</v>
      </c>
      <c r="AF43" s="70">
        <f t="shared" si="41"/>
        <v>300</v>
      </c>
      <c r="AG43" s="70">
        <f t="shared" si="41"/>
        <v>300</v>
      </c>
      <c r="AH43" s="70">
        <f t="shared" si="41"/>
        <v>300</v>
      </c>
      <c r="AI43" s="70">
        <v>500</v>
      </c>
      <c r="AJ43" s="70">
        <f t="shared" si="41"/>
        <v>500</v>
      </c>
      <c r="AK43" s="70">
        <f t="shared" si="41"/>
        <v>500</v>
      </c>
      <c r="AL43" s="70">
        <f t="shared" si="41"/>
        <v>500</v>
      </c>
      <c r="AM43" s="70">
        <f t="shared" si="41"/>
        <v>500</v>
      </c>
      <c r="AN43" s="70">
        <f t="shared" si="41"/>
        <v>500</v>
      </c>
      <c r="AO43" s="70">
        <f t="shared" si="41"/>
        <v>500</v>
      </c>
      <c r="AP43" s="70">
        <v>1000</v>
      </c>
      <c r="AQ43" s="70">
        <f t="shared" si="41"/>
        <v>1000</v>
      </c>
      <c r="AR43" s="70">
        <f t="shared" si="41"/>
        <v>1000</v>
      </c>
      <c r="AS43" s="70">
        <f t="shared" si="41"/>
        <v>1000</v>
      </c>
      <c r="AT43" s="70">
        <f t="shared" si="41"/>
        <v>1000</v>
      </c>
      <c r="AU43" s="70">
        <f t="shared" si="41"/>
        <v>1000</v>
      </c>
      <c r="AV43" s="70">
        <f t="shared" si="41"/>
        <v>1000</v>
      </c>
      <c r="AW43" s="70">
        <f t="shared" si="41"/>
        <v>1000</v>
      </c>
      <c r="AX43" s="70">
        <f t="shared" si="41"/>
        <v>1000</v>
      </c>
      <c r="AY43" s="70">
        <f t="shared" si="41"/>
        <v>1000</v>
      </c>
      <c r="AZ43" s="70">
        <f t="shared" si="41"/>
        <v>1000</v>
      </c>
      <c r="BA43" s="70">
        <f t="shared" si="41"/>
        <v>1000</v>
      </c>
      <c r="BB43" s="70">
        <f t="shared" si="41"/>
        <v>1000</v>
      </c>
      <c r="BC43" s="70">
        <f t="shared" si="41"/>
        <v>1000</v>
      </c>
      <c r="BD43" s="70">
        <f t="shared" si="41"/>
        <v>1000</v>
      </c>
      <c r="BE43" s="70">
        <f t="shared" si="41"/>
        <v>1000</v>
      </c>
      <c r="BF43" s="70">
        <f t="shared" si="41"/>
        <v>1000</v>
      </c>
      <c r="BG43" s="70">
        <f t="shared" si="41"/>
        <v>1000</v>
      </c>
      <c r="BH43" s="70">
        <f t="shared" si="41"/>
        <v>1000</v>
      </c>
      <c r="BI43" s="70">
        <f t="shared" si="41"/>
        <v>1000</v>
      </c>
      <c r="BJ43" s="70">
        <f t="shared" si="41"/>
        <v>1000</v>
      </c>
      <c r="BK43" s="70">
        <f t="shared" si="41"/>
        <v>1000</v>
      </c>
      <c r="BL43" s="70">
        <f t="shared" si="41"/>
        <v>1000</v>
      </c>
      <c r="BM43" s="70">
        <f t="shared" si="41"/>
        <v>1000</v>
      </c>
      <c r="BN43" s="70">
        <f t="shared" si="41"/>
        <v>1000</v>
      </c>
      <c r="BO43" s="70">
        <f t="shared" si="41"/>
        <v>1000</v>
      </c>
      <c r="BP43" s="70">
        <f t="shared" si="41"/>
        <v>1000</v>
      </c>
      <c r="BQ43" s="70">
        <f t="shared" si="41"/>
        <v>1000</v>
      </c>
      <c r="BR43" s="70">
        <f t="shared" si="41"/>
        <v>1000</v>
      </c>
      <c r="BS43" s="70">
        <f t="shared" si="41"/>
        <v>1000</v>
      </c>
      <c r="BT43" s="70">
        <f t="shared" si="41"/>
        <v>1000</v>
      </c>
      <c r="BU43" s="70">
        <f t="shared" si="41"/>
        <v>1000</v>
      </c>
      <c r="BV43" s="70">
        <f t="shared" ref="BV43:CG43" si="42">BU43</f>
        <v>1000</v>
      </c>
      <c r="BW43" s="70">
        <f t="shared" si="42"/>
        <v>1000</v>
      </c>
      <c r="BX43" s="70">
        <f t="shared" si="42"/>
        <v>1000</v>
      </c>
      <c r="BY43" s="70">
        <f t="shared" si="42"/>
        <v>1000</v>
      </c>
      <c r="BZ43" s="70">
        <f t="shared" si="42"/>
        <v>1000</v>
      </c>
      <c r="CA43" s="70">
        <f t="shared" si="42"/>
        <v>1000</v>
      </c>
      <c r="CB43" s="70">
        <f t="shared" si="42"/>
        <v>1000</v>
      </c>
      <c r="CC43" s="70">
        <f t="shared" si="42"/>
        <v>1000</v>
      </c>
      <c r="CD43" s="70">
        <f t="shared" si="42"/>
        <v>1000</v>
      </c>
      <c r="CE43" s="70">
        <f t="shared" si="42"/>
        <v>1000</v>
      </c>
      <c r="CF43" s="70">
        <f t="shared" si="42"/>
        <v>1000</v>
      </c>
      <c r="CG43" s="70">
        <f t="shared" si="42"/>
        <v>1000</v>
      </c>
      <c r="CH43" s="70"/>
      <c r="CI43" s="70"/>
      <c r="CJ43" s="70"/>
    </row>
    <row r="44" spans="1:88" s="72" customFormat="1" ht="15" customHeight="1">
      <c r="A44" s="68"/>
      <c r="B44" s="68"/>
      <c r="C44" s="68"/>
      <c r="D44" s="68" t="s">
        <v>173</v>
      </c>
      <c r="E44" s="68"/>
      <c r="F44" s="69"/>
      <c r="G44" s="69"/>
      <c r="H44" s="70"/>
      <c r="I44" s="68"/>
      <c r="J44" s="20"/>
      <c r="K44" s="68"/>
      <c r="L44" s="29"/>
      <c r="M44" s="71"/>
      <c r="N44" s="68"/>
      <c r="O44" s="70"/>
      <c r="P44" s="68"/>
      <c r="Q44" s="68"/>
      <c r="R44" s="68"/>
      <c r="S44" s="68"/>
      <c r="T44" s="68"/>
      <c r="U44" s="68"/>
      <c r="V44" s="70"/>
      <c r="W44" s="70"/>
      <c r="X44" s="70"/>
      <c r="Y44" s="70">
        <v>50</v>
      </c>
      <c r="Z44" s="70">
        <f>Y44</f>
        <v>50</v>
      </c>
      <c r="AA44" s="70">
        <f t="shared" si="41"/>
        <v>50</v>
      </c>
      <c r="AB44" s="70">
        <f t="shared" si="41"/>
        <v>50</v>
      </c>
      <c r="AC44" s="70">
        <v>100</v>
      </c>
      <c r="AD44" s="70">
        <f t="shared" si="41"/>
        <v>100</v>
      </c>
      <c r="AE44" s="70">
        <f t="shared" si="41"/>
        <v>100</v>
      </c>
      <c r="AF44" s="70">
        <v>150</v>
      </c>
      <c r="AG44" s="70">
        <f t="shared" si="41"/>
        <v>150</v>
      </c>
      <c r="AH44" s="70">
        <f t="shared" si="41"/>
        <v>150</v>
      </c>
      <c r="AI44" s="70">
        <f t="shared" si="41"/>
        <v>150</v>
      </c>
      <c r="AJ44" s="70">
        <v>200</v>
      </c>
      <c r="AK44" s="70">
        <f t="shared" si="41"/>
        <v>200</v>
      </c>
      <c r="AL44" s="70">
        <f t="shared" si="41"/>
        <v>200</v>
      </c>
      <c r="AM44" s="70">
        <f t="shared" si="41"/>
        <v>200</v>
      </c>
      <c r="AN44" s="70">
        <f t="shared" si="41"/>
        <v>200</v>
      </c>
      <c r="AO44" s="70">
        <v>400</v>
      </c>
      <c r="AP44" s="70">
        <f t="shared" si="41"/>
        <v>400</v>
      </c>
      <c r="AQ44" s="70">
        <f t="shared" si="41"/>
        <v>400</v>
      </c>
      <c r="AR44" s="70">
        <f t="shared" si="41"/>
        <v>400</v>
      </c>
      <c r="AS44" s="70">
        <f t="shared" si="41"/>
        <v>400</v>
      </c>
      <c r="AT44" s="70">
        <f t="shared" si="41"/>
        <v>400</v>
      </c>
      <c r="AU44" s="70">
        <v>500</v>
      </c>
      <c r="AV44" s="70">
        <f t="shared" si="41"/>
        <v>500</v>
      </c>
      <c r="AW44" s="70">
        <f t="shared" si="41"/>
        <v>500</v>
      </c>
      <c r="AX44" s="70">
        <f t="shared" si="41"/>
        <v>500</v>
      </c>
      <c r="AY44" s="70">
        <f t="shared" si="41"/>
        <v>500</v>
      </c>
      <c r="AZ44" s="70">
        <f t="shared" si="41"/>
        <v>500</v>
      </c>
      <c r="BA44" s="70">
        <f t="shared" si="41"/>
        <v>500</v>
      </c>
      <c r="BB44" s="70">
        <f t="shared" si="41"/>
        <v>500</v>
      </c>
      <c r="BC44" s="70">
        <f t="shared" si="41"/>
        <v>500</v>
      </c>
      <c r="BD44" s="70">
        <f t="shared" si="41"/>
        <v>500</v>
      </c>
      <c r="BE44" s="70">
        <f t="shared" si="41"/>
        <v>500</v>
      </c>
      <c r="BF44" s="70">
        <f t="shared" si="41"/>
        <v>500</v>
      </c>
      <c r="BG44" s="70">
        <f t="shared" si="41"/>
        <v>500</v>
      </c>
      <c r="BH44" s="70">
        <f t="shared" si="41"/>
        <v>500</v>
      </c>
      <c r="BI44" s="70">
        <f t="shared" si="41"/>
        <v>500</v>
      </c>
      <c r="BJ44" s="70">
        <f t="shared" si="41"/>
        <v>500</v>
      </c>
      <c r="BK44" s="70">
        <f t="shared" si="41"/>
        <v>500</v>
      </c>
      <c r="BL44" s="70">
        <f t="shared" si="41"/>
        <v>500</v>
      </c>
      <c r="BM44" s="70">
        <f t="shared" si="41"/>
        <v>500</v>
      </c>
      <c r="BN44" s="70">
        <f t="shared" si="41"/>
        <v>500</v>
      </c>
      <c r="BO44" s="70">
        <f t="shared" si="41"/>
        <v>500</v>
      </c>
      <c r="BP44" s="70">
        <f t="shared" si="41"/>
        <v>500</v>
      </c>
      <c r="BQ44" s="70">
        <f t="shared" si="41"/>
        <v>500</v>
      </c>
      <c r="BR44" s="70">
        <f t="shared" si="41"/>
        <v>500</v>
      </c>
      <c r="BS44" s="70">
        <f t="shared" si="41"/>
        <v>500</v>
      </c>
      <c r="BT44" s="70">
        <f t="shared" si="41"/>
        <v>500</v>
      </c>
      <c r="BU44" s="70">
        <f t="shared" si="41"/>
        <v>500</v>
      </c>
      <c r="BV44" s="70">
        <f t="shared" ref="BV44:CG44" si="43">BU44</f>
        <v>500</v>
      </c>
      <c r="BW44" s="70">
        <f t="shared" si="43"/>
        <v>500</v>
      </c>
      <c r="BX44" s="70">
        <f t="shared" si="43"/>
        <v>500</v>
      </c>
      <c r="BY44" s="70">
        <f t="shared" si="43"/>
        <v>500</v>
      </c>
      <c r="BZ44" s="70">
        <f t="shared" si="43"/>
        <v>500</v>
      </c>
      <c r="CA44" s="70">
        <f t="shared" si="43"/>
        <v>500</v>
      </c>
      <c r="CB44" s="70">
        <f t="shared" si="43"/>
        <v>500</v>
      </c>
      <c r="CC44" s="70">
        <f t="shared" si="43"/>
        <v>500</v>
      </c>
      <c r="CD44" s="70">
        <f t="shared" si="43"/>
        <v>500</v>
      </c>
      <c r="CE44" s="70">
        <f t="shared" si="43"/>
        <v>500</v>
      </c>
      <c r="CF44" s="70">
        <f t="shared" si="43"/>
        <v>500</v>
      </c>
      <c r="CG44" s="70">
        <f t="shared" si="43"/>
        <v>500</v>
      </c>
      <c r="CH44" s="70"/>
      <c r="CI44" s="70"/>
      <c r="CJ44" s="70"/>
    </row>
    <row r="45" spans="1:88" s="72" customFormat="1" ht="15" customHeight="1">
      <c r="A45" s="68"/>
      <c r="B45" s="68"/>
      <c r="C45" s="68"/>
      <c r="D45" s="68" t="s">
        <v>333</v>
      </c>
      <c r="E45" s="87">
        <v>200</v>
      </c>
      <c r="F45" s="69"/>
      <c r="G45" s="69"/>
      <c r="H45" s="70"/>
      <c r="I45" s="68"/>
      <c r="J45" s="20"/>
      <c r="K45" s="68"/>
      <c r="L45" s="29"/>
      <c r="M45" s="71"/>
      <c r="N45" s="242"/>
      <c r="O45" s="242"/>
      <c r="P45" s="242">
        <f t="shared" ref="P45:BU45" si="44">$E45*P54</f>
        <v>0</v>
      </c>
      <c r="Q45" s="242">
        <f t="shared" si="44"/>
        <v>0</v>
      </c>
      <c r="R45" s="242">
        <f t="shared" si="44"/>
        <v>0</v>
      </c>
      <c r="S45" s="242">
        <f t="shared" si="44"/>
        <v>0</v>
      </c>
      <c r="T45" s="242">
        <f t="shared" si="44"/>
        <v>0</v>
      </c>
      <c r="U45" s="242">
        <f t="shared" si="44"/>
        <v>0</v>
      </c>
      <c r="V45" s="242">
        <f t="shared" si="44"/>
        <v>0</v>
      </c>
      <c r="W45" s="242">
        <f t="shared" si="44"/>
        <v>0</v>
      </c>
      <c r="X45" s="242">
        <f t="shared" si="44"/>
        <v>0</v>
      </c>
      <c r="Y45" s="242">
        <f t="shared" si="44"/>
        <v>0</v>
      </c>
      <c r="Z45" s="242">
        <f t="shared" si="44"/>
        <v>400</v>
      </c>
      <c r="AA45" s="242">
        <f t="shared" si="44"/>
        <v>400</v>
      </c>
      <c r="AB45" s="242">
        <f t="shared" si="44"/>
        <v>400</v>
      </c>
      <c r="AC45" s="242">
        <f t="shared" si="44"/>
        <v>400</v>
      </c>
      <c r="AD45" s="242">
        <f t="shared" si="44"/>
        <v>400</v>
      </c>
      <c r="AE45" s="242">
        <f t="shared" si="44"/>
        <v>400</v>
      </c>
      <c r="AF45" s="242">
        <f t="shared" si="44"/>
        <v>400</v>
      </c>
      <c r="AG45" s="242">
        <f t="shared" si="44"/>
        <v>400</v>
      </c>
      <c r="AH45" s="242">
        <f t="shared" si="44"/>
        <v>600</v>
      </c>
      <c r="AI45" s="242">
        <f t="shared" si="44"/>
        <v>800</v>
      </c>
      <c r="AJ45" s="242">
        <f t="shared" si="44"/>
        <v>800</v>
      </c>
      <c r="AK45" s="242">
        <f t="shared" si="44"/>
        <v>1000</v>
      </c>
      <c r="AL45" s="242">
        <f t="shared" si="44"/>
        <v>1400</v>
      </c>
      <c r="AM45" s="242">
        <f t="shared" si="44"/>
        <v>1600</v>
      </c>
      <c r="AN45" s="242">
        <f t="shared" si="44"/>
        <v>2000</v>
      </c>
      <c r="AO45" s="242">
        <f t="shared" si="44"/>
        <v>2000</v>
      </c>
      <c r="AP45" s="242">
        <f t="shared" si="44"/>
        <v>2200</v>
      </c>
      <c r="AQ45" s="242">
        <f t="shared" si="44"/>
        <v>2600</v>
      </c>
      <c r="AR45" s="242">
        <f t="shared" si="44"/>
        <v>2800</v>
      </c>
      <c r="AS45" s="242">
        <f t="shared" si="44"/>
        <v>2800</v>
      </c>
      <c r="AT45" s="242">
        <f t="shared" si="44"/>
        <v>3400</v>
      </c>
      <c r="AU45" s="242">
        <f t="shared" si="44"/>
        <v>3400</v>
      </c>
      <c r="AV45" s="242">
        <f t="shared" si="44"/>
        <v>3400</v>
      </c>
      <c r="AW45" s="242">
        <f t="shared" si="44"/>
        <v>3400</v>
      </c>
      <c r="AX45" s="242">
        <f t="shared" si="44"/>
        <v>4000</v>
      </c>
      <c r="AY45" s="242">
        <f t="shared" si="44"/>
        <v>4000</v>
      </c>
      <c r="AZ45" s="242">
        <f t="shared" si="44"/>
        <v>4000</v>
      </c>
      <c r="BA45" s="242">
        <f t="shared" si="44"/>
        <v>4000</v>
      </c>
      <c r="BB45" s="242">
        <f t="shared" si="44"/>
        <v>4200</v>
      </c>
      <c r="BC45" s="242">
        <f t="shared" si="44"/>
        <v>4200</v>
      </c>
      <c r="BD45" s="242">
        <f t="shared" si="44"/>
        <v>4600</v>
      </c>
      <c r="BE45" s="242">
        <f t="shared" si="44"/>
        <v>4600</v>
      </c>
      <c r="BF45" s="242">
        <f t="shared" si="44"/>
        <v>4800</v>
      </c>
      <c r="BG45" s="242">
        <f t="shared" si="44"/>
        <v>4800</v>
      </c>
      <c r="BH45" s="242">
        <f t="shared" si="44"/>
        <v>5000</v>
      </c>
      <c r="BI45" s="242">
        <f t="shared" si="44"/>
        <v>5000</v>
      </c>
      <c r="BJ45" s="242">
        <f t="shared" si="44"/>
        <v>5000</v>
      </c>
      <c r="BK45" s="242">
        <f t="shared" si="44"/>
        <v>5000</v>
      </c>
      <c r="BL45" s="242">
        <f t="shared" si="44"/>
        <v>5000</v>
      </c>
      <c r="BM45" s="242">
        <f t="shared" si="44"/>
        <v>5000</v>
      </c>
      <c r="BN45" s="242">
        <f t="shared" si="44"/>
        <v>5200</v>
      </c>
      <c r="BO45" s="242">
        <f t="shared" si="44"/>
        <v>5200</v>
      </c>
      <c r="BP45" s="242">
        <f t="shared" si="44"/>
        <v>5200</v>
      </c>
      <c r="BQ45" s="242">
        <f t="shared" si="44"/>
        <v>5200</v>
      </c>
      <c r="BR45" s="242">
        <f t="shared" si="44"/>
        <v>5200</v>
      </c>
      <c r="BS45" s="242">
        <f t="shared" si="44"/>
        <v>5200</v>
      </c>
      <c r="BT45" s="242">
        <f t="shared" si="44"/>
        <v>5200</v>
      </c>
      <c r="BU45" s="242">
        <f t="shared" si="44"/>
        <v>5200</v>
      </c>
      <c r="BV45" s="242">
        <f t="shared" ref="BV45:CG45" si="45">$E45*BV54</f>
        <v>5200</v>
      </c>
      <c r="BW45" s="242">
        <f t="shared" si="45"/>
        <v>5200</v>
      </c>
      <c r="BX45" s="242">
        <f t="shared" si="45"/>
        <v>5200</v>
      </c>
      <c r="BY45" s="242">
        <f t="shared" si="45"/>
        <v>5200</v>
      </c>
      <c r="BZ45" s="242">
        <f t="shared" si="45"/>
        <v>5200</v>
      </c>
      <c r="CA45" s="242">
        <f t="shared" si="45"/>
        <v>5200</v>
      </c>
      <c r="CB45" s="242">
        <f t="shared" si="45"/>
        <v>5200</v>
      </c>
      <c r="CC45" s="242">
        <f t="shared" si="45"/>
        <v>5200</v>
      </c>
      <c r="CD45" s="242">
        <f t="shared" si="45"/>
        <v>5200</v>
      </c>
      <c r="CE45" s="242">
        <f t="shared" si="45"/>
        <v>5200</v>
      </c>
      <c r="CF45" s="242">
        <f t="shared" si="45"/>
        <v>5200</v>
      </c>
      <c r="CG45" s="242">
        <f t="shared" si="45"/>
        <v>5200</v>
      </c>
      <c r="CH45" s="242"/>
      <c r="CI45" s="242"/>
      <c r="CJ45" s="242"/>
    </row>
    <row r="46" spans="1:88" s="72" customFormat="1" ht="15" customHeight="1">
      <c r="A46" s="68"/>
      <c r="B46" s="68"/>
      <c r="C46" s="68"/>
      <c r="D46" s="68" t="s">
        <v>174</v>
      </c>
      <c r="E46" s="258"/>
      <c r="F46" s="69"/>
      <c r="G46" s="81"/>
      <c r="H46" s="70"/>
      <c r="I46" s="68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>
        <v>15000</v>
      </c>
      <c r="AM46" s="203">
        <v>20000</v>
      </c>
      <c r="AN46" s="203">
        <v>25000</v>
      </c>
      <c r="AO46" s="203">
        <v>30000</v>
      </c>
      <c r="AP46" s="203">
        <v>35000</v>
      </c>
      <c r="AQ46" s="203">
        <v>40000</v>
      </c>
      <c r="AR46" s="203">
        <v>42500</v>
      </c>
      <c r="AS46" s="203">
        <v>45000</v>
      </c>
      <c r="AT46" s="203">
        <v>47500</v>
      </c>
      <c r="AU46" s="203">
        <v>50000</v>
      </c>
      <c r="AV46" s="203">
        <f t="shared" ref="AV46:BL46" si="46">AU46</f>
        <v>50000</v>
      </c>
      <c r="AW46" s="203">
        <f t="shared" si="46"/>
        <v>50000</v>
      </c>
      <c r="AX46" s="203">
        <f t="shared" si="46"/>
        <v>50000</v>
      </c>
      <c r="AY46" s="203">
        <f t="shared" si="46"/>
        <v>50000</v>
      </c>
      <c r="AZ46" s="203">
        <f t="shared" si="46"/>
        <v>50000</v>
      </c>
      <c r="BA46" s="203">
        <f t="shared" si="46"/>
        <v>50000</v>
      </c>
      <c r="BB46" s="203">
        <f t="shared" si="46"/>
        <v>50000</v>
      </c>
      <c r="BC46" s="203">
        <f t="shared" si="46"/>
        <v>50000</v>
      </c>
      <c r="BD46" s="203">
        <f t="shared" si="46"/>
        <v>50000</v>
      </c>
      <c r="BE46" s="203">
        <f t="shared" si="46"/>
        <v>50000</v>
      </c>
      <c r="BF46" s="203">
        <f t="shared" si="46"/>
        <v>50000</v>
      </c>
      <c r="BG46" s="203">
        <f t="shared" si="46"/>
        <v>50000</v>
      </c>
      <c r="BH46" s="203">
        <f t="shared" si="46"/>
        <v>50000</v>
      </c>
      <c r="BI46" s="203">
        <f t="shared" si="46"/>
        <v>50000</v>
      </c>
      <c r="BJ46" s="203">
        <f t="shared" si="46"/>
        <v>50000</v>
      </c>
      <c r="BK46" s="203">
        <f t="shared" si="46"/>
        <v>50000</v>
      </c>
      <c r="BL46" s="203">
        <f t="shared" si="46"/>
        <v>50000</v>
      </c>
      <c r="BM46" s="203">
        <f t="shared" ref="BM46:BU46" si="47">BL46</f>
        <v>50000</v>
      </c>
      <c r="BN46" s="203">
        <f t="shared" si="47"/>
        <v>50000</v>
      </c>
      <c r="BO46" s="203">
        <f t="shared" si="47"/>
        <v>50000</v>
      </c>
      <c r="BP46" s="203">
        <f t="shared" si="47"/>
        <v>50000</v>
      </c>
      <c r="BQ46" s="203">
        <f t="shared" si="47"/>
        <v>50000</v>
      </c>
      <c r="BR46" s="203">
        <f t="shared" si="47"/>
        <v>50000</v>
      </c>
      <c r="BS46" s="203">
        <f t="shared" si="47"/>
        <v>50000</v>
      </c>
      <c r="BT46" s="203">
        <f t="shared" si="47"/>
        <v>50000</v>
      </c>
      <c r="BU46" s="203">
        <f t="shared" si="47"/>
        <v>50000</v>
      </c>
      <c r="BV46" s="203">
        <f t="shared" ref="BV46:CG46" si="48">BU46</f>
        <v>50000</v>
      </c>
      <c r="BW46" s="203">
        <f t="shared" si="48"/>
        <v>50000</v>
      </c>
      <c r="BX46" s="203">
        <f t="shared" si="48"/>
        <v>50000</v>
      </c>
      <c r="BY46" s="203">
        <f t="shared" si="48"/>
        <v>50000</v>
      </c>
      <c r="BZ46" s="203">
        <f t="shared" si="48"/>
        <v>50000</v>
      </c>
      <c r="CA46" s="203">
        <f t="shared" si="48"/>
        <v>50000</v>
      </c>
      <c r="CB46" s="203">
        <f t="shared" si="48"/>
        <v>50000</v>
      </c>
      <c r="CC46" s="203">
        <f t="shared" si="48"/>
        <v>50000</v>
      </c>
      <c r="CD46" s="203">
        <f t="shared" si="48"/>
        <v>50000</v>
      </c>
      <c r="CE46" s="203">
        <f t="shared" si="48"/>
        <v>50000</v>
      </c>
      <c r="CF46" s="203">
        <f t="shared" si="48"/>
        <v>50000</v>
      </c>
      <c r="CG46" s="203">
        <f t="shared" si="48"/>
        <v>50000</v>
      </c>
      <c r="CH46" s="203"/>
      <c r="CI46" s="203"/>
      <c r="CJ46" s="203"/>
    </row>
    <row r="47" spans="1:88">
      <c r="A47" s="17"/>
      <c r="B47" s="33" t="s">
        <v>36</v>
      </c>
      <c r="C47" s="17"/>
      <c r="D47" s="17"/>
      <c r="E47" s="17"/>
      <c r="F47" s="18"/>
      <c r="G47" s="18" t="s">
        <v>37</v>
      </c>
      <c r="H47" s="20"/>
      <c r="I47" s="20"/>
      <c r="J47" s="20"/>
      <c r="K47" s="20"/>
      <c r="L47" s="20"/>
      <c r="M47" s="20"/>
      <c r="N47" s="20">
        <f t="shared" ref="N47:AQ47" si="49">N48+N49</f>
        <v>0</v>
      </c>
      <c r="O47" s="20">
        <f t="shared" si="49"/>
        <v>0</v>
      </c>
      <c r="P47" s="20">
        <f t="shared" si="49"/>
        <v>0</v>
      </c>
      <c r="Q47" s="20">
        <f t="shared" si="49"/>
        <v>0</v>
      </c>
      <c r="R47" s="20">
        <f t="shared" si="49"/>
        <v>0</v>
      </c>
      <c r="S47" s="20">
        <f t="shared" si="49"/>
        <v>0</v>
      </c>
      <c r="T47" s="20">
        <f t="shared" si="49"/>
        <v>0</v>
      </c>
      <c r="U47" s="20">
        <f t="shared" si="49"/>
        <v>0</v>
      </c>
      <c r="V47" s="20">
        <f t="shared" si="49"/>
        <v>0</v>
      </c>
      <c r="W47" s="20">
        <f t="shared" si="49"/>
        <v>0</v>
      </c>
      <c r="X47" s="20">
        <f t="shared" si="49"/>
        <v>0</v>
      </c>
      <c r="Y47" s="20">
        <f t="shared" si="49"/>
        <v>0</v>
      </c>
      <c r="Z47" s="20">
        <f t="shared" si="49"/>
        <v>0</v>
      </c>
      <c r="AA47" s="20">
        <f t="shared" si="49"/>
        <v>0</v>
      </c>
      <c r="AB47" s="20">
        <f t="shared" si="49"/>
        <v>0</v>
      </c>
      <c r="AC47" s="20">
        <f t="shared" si="49"/>
        <v>0</v>
      </c>
      <c r="AD47" s="20">
        <f t="shared" si="49"/>
        <v>0</v>
      </c>
      <c r="AE47" s="20">
        <f t="shared" si="49"/>
        <v>0</v>
      </c>
      <c r="AF47" s="20">
        <f t="shared" si="49"/>
        <v>0</v>
      </c>
      <c r="AG47" s="20">
        <f t="shared" si="49"/>
        <v>0</v>
      </c>
      <c r="AH47" s="20">
        <f t="shared" si="49"/>
        <v>0</v>
      </c>
      <c r="AI47" s="20">
        <f t="shared" si="49"/>
        <v>0</v>
      </c>
      <c r="AJ47" s="20">
        <f t="shared" si="49"/>
        <v>0</v>
      </c>
      <c r="AK47" s="20">
        <f t="shared" si="49"/>
        <v>0</v>
      </c>
      <c r="AL47" s="20">
        <f t="shared" si="49"/>
        <v>0</v>
      </c>
      <c r="AM47" s="20">
        <f t="shared" si="49"/>
        <v>0</v>
      </c>
      <c r="AN47" s="20">
        <f t="shared" si="49"/>
        <v>0</v>
      </c>
      <c r="AO47" s="20">
        <f t="shared" si="49"/>
        <v>0</v>
      </c>
      <c r="AP47" s="20">
        <f t="shared" si="49"/>
        <v>0</v>
      </c>
      <c r="AQ47" s="20">
        <f t="shared" si="49"/>
        <v>0</v>
      </c>
      <c r="AR47" s="20">
        <f t="shared" ref="AR47:BC47" si="50">AR48+AR49</f>
        <v>0</v>
      </c>
      <c r="AS47" s="20">
        <f t="shared" si="50"/>
        <v>0</v>
      </c>
      <c r="AT47" s="20">
        <f t="shared" si="50"/>
        <v>0</v>
      </c>
      <c r="AU47" s="20">
        <f t="shared" si="50"/>
        <v>0</v>
      </c>
      <c r="AV47" s="20">
        <f t="shared" si="50"/>
        <v>0</v>
      </c>
      <c r="AW47" s="20">
        <f t="shared" si="50"/>
        <v>135.85</v>
      </c>
      <c r="AX47" s="20">
        <f t="shared" si="50"/>
        <v>52.863604999999687</v>
      </c>
      <c r="AY47" s="20">
        <f t="shared" si="50"/>
        <v>683.05560500000024</v>
      </c>
      <c r="AZ47" s="20">
        <f t="shared" si="50"/>
        <v>1123.2476049999996</v>
      </c>
      <c r="BA47" s="20">
        <f t="shared" si="50"/>
        <v>1677.4396049999996</v>
      </c>
      <c r="BB47" s="20">
        <f t="shared" si="50"/>
        <v>2520.9598999999998</v>
      </c>
      <c r="BC47" s="20">
        <f t="shared" si="50"/>
        <v>3335.0718999999999</v>
      </c>
      <c r="BD47" s="20">
        <f t="shared" ref="BD47:BO47" si="51">BD48+BD49</f>
        <v>3866.3044899999995</v>
      </c>
      <c r="BE47" s="20">
        <f t="shared" si="51"/>
        <v>4832.7204899999997</v>
      </c>
      <c r="BF47" s="20">
        <f t="shared" si="51"/>
        <v>5486.544785</v>
      </c>
      <c r="BG47" s="20">
        <f t="shared" si="51"/>
        <v>6706.1927850000002</v>
      </c>
      <c r="BH47" s="20">
        <f t="shared" si="51"/>
        <v>7359.7130799999995</v>
      </c>
      <c r="BI47" s="20">
        <f t="shared" si="51"/>
        <v>8024.8650799999987</v>
      </c>
      <c r="BJ47" s="20">
        <f t="shared" si="51"/>
        <v>8689.2441600000002</v>
      </c>
      <c r="BK47" s="20">
        <f t="shared" si="51"/>
        <v>9188.1081599999998</v>
      </c>
      <c r="BL47" s="20">
        <f t="shared" si="51"/>
        <v>9686.9721599999993</v>
      </c>
      <c r="BM47" s="20">
        <f t="shared" si="51"/>
        <v>10185.836159999997</v>
      </c>
      <c r="BN47" s="20">
        <f t="shared" si="51"/>
        <v>10673.036249999999</v>
      </c>
      <c r="BO47" s="20">
        <f t="shared" si="51"/>
        <v>11005.61225</v>
      </c>
      <c r="BP47" s="20">
        <f t="shared" ref="BP47:BU47" si="52">BP48+BP49</f>
        <v>11338.188249999999</v>
      </c>
      <c r="BQ47" s="20">
        <f t="shared" si="52"/>
        <v>11670.76425</v>
      </c>
      <c r="BR47" s="20">
        <f t="shared" si="52"/>
        <v>12003.340249999999</v>
      </c>
      <c r="BS47" s="20">
        <f t="shared" si="52"/>
        <v>12335.91625</v>
      </c>
      <c r="BT47" s="20">
        <f t="shared" si="52"/>
        <v>12668.492249999999</v>
      </c>
      <c r="BU47" s="20">
        <f t="shared" si="52"/>
        <v>13001.06825</v>
      </c>
      <c r="BV47" s="20">
        <f t="shared" ref="BV47:CG47" si="53">BV48+BV49</f>
        <v>13232.79795</v>
      </c>
      <c r="BW47" s="20">
        <f t="shared" si="53"/>
        <v>13498.858749999999</v>
      </c>
      <c r="BX47" s="20">
        <f t="shared" si="53"/>
        <v>13665.146749999998</v>
      </c>
      <c r="BY47" s="20">
        <f t="shared" si="53"/>
        <v>13831.43475</v>
      </c>
      <c r="BZ47" s="20">
        <f t="shared" si="53"/>
        <v>13997.722749999999</v>
      </c>
      <c r="CA47" s="20">
        <f t="shared" si="53"/>
        <v>14164.010749999999</v>
      </c>
      <c r="CB47" s="20">
        <f t="shared" si="53"/>
        <v>14330.29875</v>
      </c>
      <c r="CC47" s="20">
        <f t="shared" si="53"/>
        <v>14496.586749999997</v>
      </c>
      <c r="CD47" s="20">
        <f t="shared" si="53"/>
        <v>14662.874749999999</v>
      </c>
      <c r="CE47" s="20">
        <f t="shared" si="53"/>
        <v>14762.647549999998</v>
      </c>
      <c r="CF47" s="20">
        <f t="shared" si="53"/>
        <v>14862.420349999999</v>
      </c>
      <c r="CG47" s="20">
        <f t="shared" si="53"/>
        <v>14995.45075</v>
      </c>
      <c r="CH47" s="20"/>
      <c r="CI47" s="20"/>
      <c r="CJ47" s="20"/>
    </row>
    <row r="48" spans="1:88" s="67" customFormat="1" ht="15" customHeight="1">
      <c r="A48" s="63"/>
      <c r="B48" s="63"/>
      <c r="C48" s="63" t="s">
        <v>175</v>
      </c>
      <c r="D48" s="63"/>
      <c r="E48" s="63"/>
      <c r="F48" s="64"/>
      <c r="G48" s="64"/>
      <c r="H48" s="65"/>
      <c r="I48" s="217"/>
      <c r="J48" s="20"/>
      <c r="K48" s="217"/>
      <c r="L48" s="217"/>
      <c r="M48" s="217"/>
      <c r="N48" s="217">
        <f>TP!J7</f>
        <v>0</v>
      </c>
      <c r="O48" s="217">
        <f>TP!K7</f>
        <v>0</v>
      </c>
      <c r="P48" s="218">
        <f>TP!L7</f>
        <v>0</v>
      </c>
      <c r="Q48" s="218">
        <f>TP!M7</f>
        <v>0</v>
      </c>
      <c r="R48" s="218">
        <f>TP!N7</f>
        <v>0</v>
      </c>
      <c r="S48" s="218">
        <f>TP!O7</f>
        <v>0</v>
      </c>
      <c r="T48" s="218">
        <f>TP!P7</f>
        <v>0</v>
      </c>
      <c r="U48" s="218">
        <f>TP!Q7</f>
        <v>0</v>
      </c>
      <c r="V48" s="218">
        <f>TP!R7</f>
        <v>0</v>
      </c>
      <c r="W48" s="218">
        <f>TP!S7</f>
        <v>0</v>
      </c>
      <c r="X48" s="218">
        <f>TP!T7</f>
        <v>0</v>
      </c>
      <c r="Y48" s="218">
        <f>TP!U7</f>
        <v>0</v>
      </c>
      <c r="Z48" s="218">
        <f>TP!V7</f>
        <v>0</v>
      </c>
      <c r="AA48" s="218">
        <f>TP!W7</f>
        <v>0</v>
      </c>
      <c r="AB48" s="218">
        <f>TP!X7</f>
        <v>0</v>
      </c>
      <c r="AC48" s="218">
        <f>TP!Y7</f>
        <v>0</v>
      </c>
      <c r="AD48" s="218">
        <f>TP!Z7</f>
        <v>0</v>
      </c>
      <c r="AE48" s="218">
        <f>TP!AA7</f>
        <v>0</v>
      </c>
      <c r="AF48" s="218">
        <f>TP!AB7</f>
        <v>0</v>
      </c>
      <c r="AG48" s="218">
        <f>TP!AC7</f>
        <v>0</v>
      </c>
      <c r="AH48" s="218">
        <f>TP!AD7</f>
        <v>0</v>
      </c>
      <c r="AI48" s="218">
        <f>TP!AE7</f>
        <v>0</v>
      </c>
      <c r="AJ48" s="218">
        <f>TP!AF7</f>
        <v>0</v>
      </c>
      <c r="AK48" s="218">
        <f>TP!AG7</f>
        <v>0</v>
      </c>
      <c r="AL48" s="218">
        <f>TP!AH7</f>
        <v>0</v>
      </c>
      <c r="AM48" s="218">
        <f>TP!AI7</f>
        <v>0</v>
      </c>
      <c r="AN48" s="218">
        <f>TP!AJ7</f>
        <v>0</v>
      </c>
      <c r="AO48" s="218">
        <f>TP!AK7</f>
        <v>0</v>
      </c>
      <c r="AP48" s="218">
        <f>TP!AL7</f>
        <v>0</v>
      </c>
      <c r="AQ48" s="218">
        <f>TP!AM7</f>
        <v>0</v>
      </c>
      <c r="AR48" s="218">
        <f>TP!AN7</f>
        <v>0</v>
      </c>
      <c r="AS48" s="218">
        <f>TP!AO7</f>
        <v>0</v>
      </c>
      <c r="AT48" s="218">
        <f>TP!AP7</f>
        <v>0</v>
      </c>
      <c r="AU48" s="218">
        <f>TP!AQ7</f>
        <v>0</v>
      </c>
      <c r="AV48" s="218">
        <f>TP!AR7</f>
        <v>0</v>
      </c>
      <c r="AW48" s="218">
        <f>TP!AS7</f>
        <v>135.85</v>
      </c>
      <c r="AX48" s="218">
        <f>TP!AT7</f>
        <v>52.863604999999687</v>
      </c>
      <c r="AY48" s="218">
        <f>TP!AU7</f>
        <v>683.05560500000024</v>
      </c>
      <c r="AZ48" s="218">
        <f>TP!AV7</f>
        <v>1123.2476049999996</v>
      </c>
      <c r="BA48" s="218">
        <f>TP!AW7</f>
        <v>1677.4396049999996</v>
      </c>
      <c r="BB48" s="218">
        <f>TP!AX7</f>
        <v>2520.9598999999998</v>
      </c>
      <c r="BC48" s="218">
        <f>TP!AY7</f>
        <v>3335.0718999999999</v>
      </c>
      <c r="BD48" s="218">
        <f>TP!AZ7</f>
        <v>3866.3044899999995</v>
      </c>
      <c r="BE48" s="218">
        <f>TP!BA7</f>
        <v>4832.7204899999997</v>
      </c>
      <c r="BF48" s="218">
        <f>TP!BB7</f>
        <v>5486.544785</v>
      </c>
      <c r="BG48" s="218">
        <f>TP!BC7</f>
        <v>6706.1927850000002</v>
      </c>
      <c r="BH48" s="218">
        <f>TP!BD7</f>
        <v>7359.7130799999995</v>
      </c>
      <c r="BI48" s="218">
        <f>TP!BE7</f>
        <v>8024.8650799999987</v>
      </c>
      <c r="BJ48" s="218">
        <f>TP!BF7</f>
        <v>8689.2441600000002</v>
      </c>
      <c r="BK48" s="218">
        <f>TP!BG7</f>
        <v>9188.1081599999998</v>
      </c>
      <c r="BL48" s="218">
        <f>TP!BH7</f>
        <v>9686.9721599999993</v>
      </c>
      <c r="BM48" s="218">
        <f>TP!BI7</f>
        <v>10185.836159999997</v>
      </c>
      <c r="BN48" s="218">
        <f>TP!BJ7</f>
        <v>10673.036249999999</v>
      </c>
      <c r="BO48" s="218">
        <f>TP!BK7</f>
        <v>11005.61225</v>
      </c>
      <c r="BP48" s="218">
        <f>TP!BL7</f>
        <v>11338.188249999999</v>
      </c>
      <c r="BQ48" s="218">
        <f>TP!BM7</f>
        <v>11670.76425</v>
      </c>
      <c r="BR48" s="218">
        <f>TP!BN7</f>
        <v>12003.340249999999</v>
      </c>
      <c r="BS48" s="218">
        <f>TP!BO7</f>
        <v>12335.91625</v>
      </c>
      <c r="BT48" s="218">
        <f>TP!BP7</f>
        <v>12668.492249999999</v>
      </c>
      <c r="BU48" s="218">
        <f>TP!BQ7</f>
        <v>13001.06825</v>
      </c>
      <c r="BV48" s="218">
        <f>TP!BR7</f>
        <v>13232.79795</v>
      </c>
      <c r="BW48" s="218">
        <f>TP!BS7</f>
        <v>13498.858749999999</v>
      </c>
      <c r="BX48" s="218">
        <f>TP!BT7</f>
        <v>13665.146749999998</v>
      </c>
      <c r="BY48" s="218">
        <f>TP!BU7</f>
        <v>13831.43475</v>
      </c>
      <c r="BZ48" s="218">
        <f>TP!BV7</f>
        <v>13997.722749999999</v>
      </c>
      <c r="CA48" s="218">
        <f>TP!BW7</f>
        <v>14164.010749999999</v>
      </c>
      <c r="CB48" s="218">
        <f>TP!BX7</f>
        <v>14330.29875</v>
      </c>
      <c r="CC48" s="218">
        <f>TP!BY7</f>
        <v>14496.586749999997</v>
      </c>
      <c r="CD48" s="218">
        <f>TP!BZ7</f>
        <v>14662.874749999999</v>
      </c>
      <c r="CE48" s="218">
        <f>TP!CA7</f>
        <v>14762.647549999998</v>
      </c>
      <c r="CF48" s="218">
        <f>TP!CB7</f>
        <v>14862.420349999999</v>
      </c>
      <c r="CG48" s="218">
        <f>TP!CC7</f>
        <v>14995.45075</v>
      </c>
      <c r="CH48" s="218"/>
      <c r="CI48" s="218"/>
      <c r="CJ48" s="218"/>
    </row>
    <row r="49" spans="1:88" s="67" customFormat="1" ht="15" customHeight="1">
      <c r="A49" s="63"/>
      <c r="B49" s="63"/>
      <c r="C49" s="63" t="s">
        <v>176</v>
      </c>
      <c r="D49" s="63"/>
      <c r="E49" s="63"/>
      <c r="F49" s="64"/>
      <c r="G49" s="64"/>
      <c r="H49" s="65"/>
      <c r="I49" s="65"/>
      <c r="J49" s="65"/>
      <c r="K49" s="65"/>
      <c r="L49" s="65"/>
      <c r="M49" s="65"/>
      <c r="N49" s="65">
        <f t="shared" ref="N49:AQ49" si="54">SUM(N50:N52)</f>
        <v>0</v>
      </c>
      <c r="O49" s="65">
        <f t="shared" si="54"/>
        <v>0</v>
      </c>
      <c r="P49" s="65">
        <f t="shared" si="54"/>
        <v>0</v>
      </c>
      <c r="Q49" s="65">
        <f t="shared" si="54"/>
        <v>0</v>
      </c>
      <c r="R49" s="65">
        <f t="shared" si="54"/>
        <v>0</v>
      </c>
      <c r="S49" s="65">
        <f t="shared" si="54"/>
        <v>0</v>
      </c>
      <c r="T49" s="65">
        <f t="shared" si="54"/>
        <v>0</v>
      </c>
      <c r="U49" s="65">
        <f t="shared" si="54"/>
        <v>0</v>
      </c>
      <c r="V49" s="65">
        <f t="shared" si="54"/>
        <v>0</v>
      </c>
      <c r="W49" s="65">
        <f t="shared" si="54"/>
        <v>0</v>
      </c>
      <c r="X49" s="65">
        <f t="shared" si="54"/>
        <v>0</v>
      </c>
      <c r="Y49" s="65">
        <f t="shared" si="54"/>
        <v>0</v>
      </c>
      <c r="Z49" s="65">
        <f t="shared" si="54"/>
        <v>0</v>
      </c>
      <c r="AA49" s="65">
        <f t="shared" si="54"/>
        <v>0</v>
      </c>
      <c r="AB49" s="65">
        <f t="shared" si="54"/>
        <v>0</v>
      </c>
      <c r="AC49" s="65">
        <f t="shared" si="54"/>
        <v>0</v>
      </c>
      <c r="AD49" s="65">
        <f t="shared" si="54"/>
        <v>0</v>
      </c>
      <c r="AE49" s="65">
        <f t="shared" si="54"/>
        <v>0</v>
      </c>
      <c r="AF49" s="65">
        <f t="shared" si="54"/>
        <v>0</v>
      </c>
      <c r="AG49" s="65">
        <f t="shared" si="54"/>
        <v>0</v>
      </c>
      <c r="AH49" s="65">
        <f t="shared" si="54"/>
        <v>0</v>
      </c>
      <c r="AI49" s="65">
        <f t="shared" si="54"/>
        <v>0</v>
      </c>
      <c r="AJ49" s="65">
        <f t="shared" si="54"/>
        <v>0</v>
      </c>
      <c r="AK49" s="65">
        <f t="shared" si="54"/>
        <v>0</v>
      </c>
      <c r="AL49" s="65">
        <f t="shared" si="54"/>
        <v>0</v>
      </c>
      <c r="AM49" s="65">
        <f t="shared" si="54"/>
        <v>0</v>
      </c>
      <c r="AN49" s="65">
        <f t="shared" si="54"/>
        <v>0</v>
      </c>
      <c r="AO49" s="65">
        <f t="shared" si="54"/>
        <v>0</v>
      </c>
      <c r="AP49" s="65">
        <f t="shared" si="54"/>
        <v>0</v>
      </c>
      <c r="AQ49" s="65">
        <f t="shared" si="54"/>
        <v>0</v>
      </c>
      <c r="AR49" s="65">
        <f t="shared" ref="AR49:BC49" si="55">SUM(AR50:AR52)</f>
        <v>0</v>
      </c>
      <c r="AS49" s="65">
        <f t="shared" si="55"/>
        <v>0</v>
      </c>
      <c r="AT49" s="65">
        <f t="shared" si="55"/>
        <v>0</v>
      </c>
      <c r="AU49" s="65">
        <f t="shared" si="55"/>
        <v>0</v>
      </c>
      <c r="AV49" s="65">
        <f t="shared" si="55"/>
        <v>0</v>
      </c>
      <c r="AW49" s="65">
        <f t="shared" si="55"/>
        <v>0</v>
      </c>
      <c r="AX49" s="65">
        <f t="shared" si="55"/>
        <v>0</v>
      </c>
      <c r="AY49" s="65">
        <f t="shared" si="55"/>
        <v>0</v>
      </c>
      <c r="AZ49" s="65">
        <f t="shared" si="55"/>
        <v>0</v>
      </c>
      <c r="BA49" s="65">
        <f t="shared" si="55"/>
        <v>0</v>
      </c>
      <c r="BB49" s="65">
        <f t="shared" si="55"/>
        <v>0</v>
      </c>
      <c r="BC49" s="65">
        <f t="shared" si="55"/>
        <v>0</v>
      </c>
      <c r="BD49" s="65">
        <f t="shared" ref="BD49:BO49" si="56">SUM(BD50:BD52)</f>
        <v>0</v>
      </c>
      <c r="BE49" s="65">
        <f t="shared" si="56"/>
        <v>0</v>
      </c>
      <c r="BF49" s="65">
        <f t="shared" si="56"/>
        <v>0</v>
      </c>
      <c r="BG49" s="65">
        <f t="shared" si="56"/>
        <v>0</v>
      </c>
      <c r="BH49" s="65">
        <f t="shared" si="56"/>
        <v>0</v>
      </c>
      <c r="BI49" s="65">
        <f t="shared" si="56"/>
        <v>0</v>
      </c>
      <c r="BJ49" s="65">
        <f t="shared" si="56"/>
        <v>0</v>
      </c>
      <c r="BK49" s="65">
        <f t="shared" si="56"/>
        <v>0</v>
      </c>
      <c r="BL49" s="65">
        <f t="shared" si="56"/>
        <v>0</v>
      </c>
      <c r="BM49" s="65">
        <f t="shared" si="56"/>
        <v>0</v>
      </c>
      <c r="BN49" s="65">
        <f t="shared" si="56"/>
        <v>0</v>
      </c>
      <c r="BO49" s="65">
        <f t="shared" si="56"/>
        <v>0</v>
      </c>
      <c r="BP49" s="65">
        <f t="shared" ref="BP49:BU49" si="57">SUM(BP50:BP52)</f>
        <v>0</v>
      </c>
      <c r="BQ49" s="65">
        <f t="shared" si="57"/>
        <v>0</v>
      </c>
      <c r="BR49" s="65">
        <f t="shared" si="57"/>
        <v>0</v>
      </c>
      <c r="BS49" s="65">
        <f t="shared" si="57"/>
        <v>0</v>
      </c>
      <c r="BT49" s="65">
        <f t="shared" si="57"/>
        <v>0</v>
      </c>
      <c r="BU49" s="65">
        <f t="shared" si="57"/>
        <v>0</v>
      </c>
      <c r="BV49" s="65">
        <f t="shared" ref="BV49:CG49" si="58">SUM(BV50:BV52)</f>
        <v>0</v>
      </c>
      <c r="BW49" s="65">
        <f t="shared" si="58"/>
        <v>0</v>
      </c>
      <c r="BX49" s="65">
        <f t="shared" si="58"/>
        <v>0</v>
      </c>
      <c r="BY49" s="65">
        <f t="shared" si="58"/>
        <v>0</v>
      </c>
      <c r="BZ49" s="65">
        <f t="shared" si="58"/>
        <v>0</v>
      </c>
      <c r="CA49" s="65">
        <f t="shared" si="58"/>
        <v>0</v>
      </c>
      <c r="CB49" s="65">
        <f t="shared" si="58"/>
        <v>0</v>
      </c>
      <c r="CC49" s="65">
        <f t="shared" si="58"/>
        <v>0</v>
      </c>
      <c r="CD49" s="65">
        <f t="shared" si="58"/>
        <v>0</v>
      </c>
      <c r="CE49" s="65">
        <f t="shared" si="58"/>
        <v>0</v>
      </c>
      <c r="CF49" s="65">
        <f t="shared" si="58"/>
        <v>0</v>
      </c>
      <c r="CG49" s="65">
        <f t="shared" si="58"/>
        <v>0</v>
      </c>
      <c r="CH49" s="65"/>
      <c r="CI49" s="65"/>
      <c r="CJ49" s="65"/>
    </row>
    <row r="50" spans="1:88" s="67" customFormat="1" ht="15" customHeight="1">
      <c r="A50" s="63"/>
      <c r="B50" s="63"/>
      <c r="C50" s="63"/>
      <c r="D50" s="68" t="s">
        <v>177</v>
      </c>
      <c r="E50" s="87"/>
      <c r="F50" s="69"/>
      <c r="G50" s="69"/>
      <c r="H50" s="70"/>
      <c r="I50" s="70"/>
      <c r="J50" s="70"/>
      <c r="K50" s="70"/>
      <c r="L50" s="70"/>
      <c r="M50" s="70"/>
      <c r="N50" s="87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>
        <f t="shared" ref="O50:AC51" si="59">$E50</f>
        <v>0</v>
      </c>
      <c r="AA50" s="65">
        <f t="shared" si="59"/>
        <v>0</v>
      </c>
      <c r="AB50" s="65">
        <f t="shared" si="59"/>
        <v>0</v>
      </c>
      <c r="AC50" s="65">
        <f t="shared" si="59"/>
        <v>0</v>
      </c>
      <c r="AD50" s="65">
        <f t="shared" ref="AD50:AS51" si="60">$E50</f>
        <v>0</v>
      </c>
      <c r="AE50" s="65">
        <f t="shared" si="60"/>
        <v>0</v>
      </c>
      <c r="AF50" s="65">
        <f t="shared" si="60"/>
        <v>0</v>
      </c>
      <c r="AG50" s="65">
        <f t="shared" si="60"/>
        <v>0</v>
      </c>
      <c r="AH50" s="65">
        <f t="shared" si="60"/>
        <v>0</v>
      </c>
      <c r="AI50" s="65">
        <f t="shared" si="60"/>
        <v>0</v>
      </c>
      <c r="AJ50" s="65">
        <f t="shared" si="60"/>
        <v>0</v>
      </c>
      <c r="AK50" s="65">
        <f t="shared" si="60"/>
        <v>0</v>
      </c>
      <c r="AL50" s="65">
        <f t="shared" si="60"/>
        <v>0</v>
      </c>
      <c r="AM50" s="65">
        <f t="shared" si="60"/>
        <v>0</v>
      </c>
      <c r="AN50" s="65">
        <f t="shared" si="60"/>
        <v>0</v>
      </c>
      <c r="AO50" s="65">
        <f t="shared" si="60"/>
        <v>0</v>
      </c>
      <c r="AP50" s="65">
        <f t="shared" si="60"/>
        <v>0</v>
      </c>
      <c r="AQ50" s="65">
        <f t="shared" si="60"/>
        <v>0</v>
      </c>
      <c r="AR50" s="65">
        <f t="shared" si="60"/>
        <v>0</v>
      </c>
      <c r="AS50" s="65">
        <f t="shared" si="60"/>
        <v>0</v>
      </c>
      <c r="AT50" s="65">
        <f t="shared" ref="AT50:BI51" si="61">$E50</f>
        <v>0</v>
      </c>
      <c r="AU50" s="65">
        <f t="shared" si="61"/>
        <v>0</v>
      </c>
      <c r="AV50" s="65">
        <f t="shared" si="61"/>
        <v>0</v>
      </c>
      <c r="AW50" s="65">
        <f t="shared" si="61"/>
        <v>0</v>
      </c>
      <c r="AX50" s="65">
        <f t="shared" si="61"/>
        <v>0</v>
      </c>
      <c r="AY50" s="65">
        <f t="shared" si="61"/>
        <v>0</v>
      </c>
      <c r="AZ50" s="65">
        <f t="shared" si="61"/>
        <v>0</v>
      </c>
      <c r="BA50" s="65">
        <f t="shared" si="61"/>
        <v>0</v>
      </c>
      <c r="BB50" s="65">
        <f t="shared" si="61"/>
        <v>0</v>
      </c>
      <c r="BC50" s="65">
        <f t="shared" si="61"/>
        <v>0</v>
      </c>
      <c r="BD50" s="65">
        <f t="shared" si="61"/>
        <v>0</v>
      </c>
      <c r="BE50" s="65">
        <f t="shared" si="61"/>
        <v>0</v>
      </c>
      <c r="BF50" s="65">
        <f t="shared" si="61"/>
        <v>0</v>
      </c>
      <c r="BG50" s="65">
        <f t="shared" si="61"/>
        <v>0</v>
      </c>
      <c r="BH50" s="65">
        <f t="shared" si="61"/>
        <v>0</v>
      </c>
      <c r="BI50" s="65">
        <f t="shared" si="61"/>
        <v>0</v>
      </c>
      <c r="BJ50" s="65">
        <f t="shared" ref="BJ50:BY51" si="62">$E50</f>
        <v>0</v>
      </c>
      <c r="BK50" s="65">
        <f t="shared" si="62"/>
        <v>0</v>
      </c>
      <c r="BL50" s="65">
        <f t="shared" si="62"/>
        <v>0</v>
      </c>
      <c r="BM50" s="65">
        <f t="shared" si="62"/>
        <v>0</v>
      </c>
      <c r="BN50" s="65">
        <f t="shared" si="62"/>
        <v>0</v>
      </c>
      <c r="BO50" s="65">
        <f t="shared" si="62"/>
        <v>0</v>
      </c>
      <c r="BP50" s="65">
        <f t="shared" si="62"/>
        <v>0</v>
      </c>
      <c r="BQ50" s="65">
        <f t="shared" si="62"/>
        <v>0</v>
      </c>
      <c r="BR50" s="65">
        <f t="shared" si="62"/>
        <v>0</v>
      </c>
      <c r="BS50" s="65">
        <f t="shared" si="62"/>
        <v>0</v>
      </c>
      <c r="BT50" s="65">
        <f t="shared" si="62"/>
        <v>0</v>
      </c>
      <c r="BU50" s="65">
        <f t="shared" si="62"/>
        <v>0</v>
      </c>
      <c r="BV50" s="65">
        <f t="shared" si="62"/>
        <v>0</v>
      </c>
      <c r="BW50" s="65">
        <f t="shared" si="62"/>
        <v>0</v>
      </c>
      <c r="BX50" s="65">
        <f t="shared" si="62"/>
        <v>0</v>
      </c>
      <c r="BY50" s="65">
        <f t="shared" si="62"/>
        <v>0</v>
      </c>
      <c r="BZ50" s="65">
        <f t="shared" ref="BV50:CG51" si="63">$E50</f>
        <v>0</v>
      </c>
      <c r="CA50" s="65">
        <f t="shared" si="63"/>
        <v>0</v>
      </c>
      <c r="CB50" s="65">
        <f t="shared" si="63"/>
        <v>0</v>
      </c>
      <c r="CC50" s="65">
        <f t="shared" si="63"/>
        <v>0</v>
      </c>
      <c r="CD50" s="65">
        <f t="shared" si="63"/>
        <v>0</v>
      </c>
      <c r="CE50" s="65">
        <f t="shared" si="63"/>
        <v>0</v>
      </c>
      <c r="CF50" s="65">
        <f t="shared" si="63"/>
        <v>0</v>
      </c>
      <c r="CG50" s="65">
        <f t="shared" si="63"/>
        <v>0</v>
      </c>
      <c r="CH50" s="65"/>
      <c r="CI50" s="65"/>
      <c r="CJ50" s="65"/>
    </row>
    <row r="51" spans="1:88" s="67" customFormat="1" ht="15" customHeight="1">
      <c r="A51" s="63"/>
      <c r="B51" s="63"/>
      <c r="C51" s="63"/>
      <c r="D51" s="68" t="s">
        <v>188</v>
      </c>
      <c r="E51" s="87">
        <v>0</v>
      </c>
      <c r="F51" s="69"/>
      <c r="G51" s="69"/>
      <c r="H51" s="70"/>
      <c r="I51" s="70"/>
      <c r="J51" s="70"/>
      <c r="K51" s="70"/>
      <c r="L51" s="70"/>
      <c r="M51" s="70"/>
      <c r="N51" s="87"/>
      <c r="O51" s="65">
        <f t="shared" si="59"/>
        <v>0</v>
      </c>
      <c r="P51" s="65">
        <f t="shared" si="59"/>
        <v>0</v>
      </c>
      <c r="Q51" s="65">
        <f t="shared" si="59"/>
        <v>0</v>
      </c>
      <c r="R51" s="65">
        <f t="shared" si="59"/>
        <v>0</v>
      </c>
      <c r="S51" s="65">
        <f t="shared" si="59"/>
        <v>0</v>
      </c>
      <c r="T51" s="65">
        <f t="shared" si="59"/>
        <v>0</v>
      </c>
      <c r="U51" s="65">
        <f t="shared" si="59"/>
        <v>0</v>
      </c>
      <c r="V51" s="65"/>
      <c r="W51" s="65"/>
      <c r="X51" s="65"/>
      <c r="Y51" s="65"/>
      <c r="Z51" s="65">
        <f t="shared" si="59"/>
        <v>0</v>
      </c>
      <c r="AA51" s="65">
        <f t="shared" si="59"/>
        <v>0</v>
      </c>
      <c r="AB51" s="65">
        <f t="shared" si="59"/>
        <v>0</v>
      </c>
      <c r="AC51" s="65">
        <f t="shared" si="59"/>
        <v>0</v>
      </c>
      <c r="AD51" s="65">
        <f t="shared" si="60"/>
        <v>0</v>
      </c>
      <c r="AE51" s="65">
        <f t="shared" si="60"/>
        <v>0</v>
      </c>
      <c r="AF51" s="65">
        <f t="shared" si="60"/>
        <v>0</v>
      </c>
      <c r="AG51" s="65">
        <f t="shared" si="60"/>
        <v>0</v>
      </c>
      <c r="AH51" s="65">
        <f t="shared" si="60"/>
        <v>0</v>
      </c>
      <c r="AI51" s="65">
        <f t="shared" si="60"/>
        <v>0</v>
      </c>
      <c r="AJ51" s="65">
        <f t="shared" si="60"/>
        <v>0</v>
      </c>
      <c r="AK51" s="65">
        <f t="shared" si="60"/>
        <v>0</v>
      </c>
      <c r="AL51" s="65">
        <f t="shared" si="60"/>
        <v>0</v>
      </c>
      <c r="AM51" s="65">
        <f t="shared" si="60"/>
        <v>0</v>
      </c>
      <c r="AN51" s="65">
        <f t="shared" si="60"/>
        <v>0</v>
      </c>
      <c r="AO51" s="65">
        <f t="shared" si="60"/>
        <v>0</v>
      </c>
      <c r="AP51" s="65">
        <f t="shared" si="60"/>
        <v>0</v>
      </c>
      <c r="AQ51" s="65">
        <f t="shared" si="60"/>
        <v>0</v>
      </c>
      <c r="AR51" s="65">
        <f t="shared" si="60"/>
        <v>0</v>
      </c>
      <c r="AS51" s="65">
        <f t="shared" si="60"/>
        <v>0</v>
      </c>
      <c r="AT51" s="65">
        <f t="shared" si="61"/>
        <v>0</v>
      </c>
      <c r="AU51" s="65">
        <f t="shared" si="61"/>
        <v>0</v>
      </c>
      <c r="AV51" s="65">
        <f t="shared" si="61"/>
        <v>0</v>
      </c>
      <c r="AW51" s="65">
        <f t="shared" si="61"/>
        <v>0</v>
      </c>
      <c r="AX51" s="65">
        <f t="shared" si="61"/>
        <v>0</v>
      </c>
      <c r="AY51" s="65">
        <f t="shared" si="61"/>
        <v>0</v>
      </c>
      <c r="AZ51" s="65">
        <f t="shared" si="61"/>
        <v>0</v>
      </c>
      <c r="BA51" s="65">
        <f t="shared" si="61"/>
        <v>0</v>
      </c>
      <c r="BB51" s="65">
        <f t="shared" si="61"/>
        <v>0</v>
      </c>
      <c r="BC51" s="65">
        <f t="shared" si="61"/>
        <v>0</v>
      </c>
      <c r="BD51" s="65">
        <f t="shared" si="61"/>
        <v>0</v>
      </c>
      <c r="BE51" s="65">
        <f t="shared" si="61"/>
        <v>0</v>
      </c>
      <c r="BF51" s="65">
        <f t="shared" si="61"/>
        <v>0</v>
      </c>
      <c r="BG51" s="65">
        <f t="shared" si="61"/>
        <v>0</v>
      </c>
      <c r="BH51" s="65">
        <f t="shared" si="61"/>
        <v>0</v>
      </c>
      <c r="BI51" s="65">
        <f t="shared" si="61"/>
        <v>0</v>
      </c>
      <c r="BJ51" s="65">
        <f t="shared" si="62"/>
        <v>0</v>
      </c>
      <c r="BK51" s="65">
        <f t="shared" si="62"/>
        <v>0</v>
      </c>
      <c r="BL51" s="65">
        <f t="shared" si="62"/>
        <v>0</v>
      </c>
      <c r="BM51" s="65">
        <f t="shared" si="62"/>
        <v>0</v>
      </c>
      <c r="BN51" s="65">
        <f t="shared" si="62"/>
        <v>0</v>
      </c>
      <c r="BO51" s="65">
        <f t="shared" si="62"/>
        <v>0</v>
      </c>
      <c r="BP51" s="65">
        <f t="shared" si="62"/>
        <v>0</v>
      </c>
      <c r="BQ51" s="65">
        <f t="shared" si="62"/>
        <v>0</v>
      </c>
      <c r="BR51" s="65">
        <f t="shared" si="62"/>
        <v>0</v>
      </c>
      <c r="BS51" s="65">
        <f t="shared" si="62"/>
        <v>0</v>
      </c>
      <c r="BT51" s="65">
        <f t="shared" si="62"/>
        <v>0</v>
      </c>
      <c r="BU51" s="65">
        <f t="shared" si="62"/>
        <v>0</v>
      </c>
      <c r="BV51" s="65">
        <f t="shared" si="63"/>
        <v>0</v>
      </c>
      <c r="BW51" s="65">
        <f t="shared" si="63"/>
        <v>0</v>
      </c>
      <c r="BX51" s="65">
        <f t="shared" si="63"/>
        <v>0</v>
      </c>
      <c r="BY51" s="65">
        <f t="shared" si="63"/>
        <v>0</v>
      </c>
      <c r="BZ51" s="65">
        <f t="shared" si="63"/>
        <v>0</v>
      </c>
      <c r="CA51" s="65">
        <f t="shared" si="63"/>
        <v>0</v>
      </c>
      <c r="CB51" s="65">
        <f t="shared" si="63"/>
        <v>0</v>
      </c>
      <c r="CC51" s="65">
        <f t="shared" si="63"/>
        <v>0</v>
      </c>
      <c r="CD51" s="65">
        <f t="shared" si="63"/>
        <v>0</v>
      </c>
      <c r="CE51" s="65">
        <f t="shared" si="63"/>
        <v>0</v>
      </c>
      <c r="CF51" s="65">
        <f t="shared" si="63"/>
        <v>0</v>
      </c>
      <c r="CG51" s="65">
        <f t="shared" si="63"/>
        <v>0</v>
      </c>
      <c r="CH51" s="65"/>
      <c r="CI51" s="65"/>
      <c r="CJ51" s="65"/>
    </row>
    <row r="52" spans="1:88" s="67" customFormat="1" ht="15" customHeight="1">
      <c r="A52" s="63"/>
      <c r="B52" s="63"/>
      <c r="C52" s="63"/>
      <c r="D52" s="68" t="s">
        <v>178</v>
      </c>
      <c r="E52" s="68"/>
      <c r="F52" s="69"/>
      <c r="G52" s="69"/>
      <c r="H52" s="70"/>
      <c r="I52" s="63"/>
      <c r="J52" s="20"/>
      <c r="K52" s="63"/>
      <c r="L52" s="29"/>
      <c r="M52" s="66"/>
      <c r="N52" s="63"/>
      <c r="O52" s="63"/>
    </row>
    <row r="53" spans="1:88">
      <c r="A53" s="17"/>
      <c r="B53" s="33" t="s">
        <v>38</v>
      </c>
      <c r="C53" s="17"/>
      <c r="D53" s="17"/>
      <c r="E53" s="17"/>
      <c r="F53" s="18"/>
      <c r="G53" s="18" t="s">
        <v>39</v>
      </c>
      <c r="H53" s="20"/>
      <c r="I53" s="20"/>
      <c r="J53" s="20"/>
      <c r="K53" s="20"/>
      <c r="L53" s="20"/>
      <c r="M53" s="20"/>
      <c r="N53" s="20">
        <f>N55</f>
        <v>0</v>
      </c>
      <c r="O53" s="20">
        <f t="shared" ref="O53:BU53" si="64">O55</f>
        <v>0</v>
      </c>
      <c r="P53" s="20">
        <f t="shared" si="64"/>
        <v>0</v>
      </c>
      <c r="Q53" s="20">
        <f t="shared" si="64"/>
        <v>0</v>
      </c>
      <c r="R53" s="20">
        <f t="shared" si="64"/>
        <v>0</v>
      </c>
      <c r="S53" s="20">
        <f t="shared" si="64"/>
        <v>0</v>
      </c>
      <c r="T53" s="20">
        <f t="shared" si="64"/>
        <v>0</v>
      </c>
      <c r="U53" s="20">
        <f t="shared" si="64"/>
        <v>0</v>
      </c>
      <c r="V53" s="20">
        <f t="shared" si="64"/>
        <v>0</v>
      </c>
      <c r="W53" s="20">
        <f t="shared" si="64"/>
        <v>0</v>
      </c>
      <c r="X53" s="20">
        <f t="shared" si="64"/>
        <v>0</v>
      </c>
      <c r="Y53" s="20">
        <f t="shared" si="64"/>
        <v>0</v>
      </c>
      <c r="Z53" s="20">
        <f t="shared" si="64"/>
        <v>4248</v>
      </c>
      <c r="AA53" s="20">
        <f t="shared" si="64"/>
        <v>4248</v>
      </c>
      <c r="AB53" s="20">
        <f t="shared" si="64"/>
        <v>4248</v>
      </c>
      <c r="AC53" s="20">
        <f t="shared" si="64"/>
        <v>4248</v>
      </c>
      <c r="AD53" s="20">
        <f t="shared" si="64"/>
        <v>4248</v>
      </c>
      <c r="AE53" s="20">
        <f t="shared" si="64"/>
        <v>4248</v>
      </c>
      <c r="AF53" s="20">
        <f t="shared" si="64"/>
        <v>4375.4400000000005</v>
      </c>
      <c r="AG53" s="20">
        <f t="shared" si="64"/>
        <v>4375.4400000000005</v>
      </c>
      <c r="AH53" s="20">
        <f t="shared" si="64"/>
        <v>8495.44</v>
      </c>
      <c r="AI53" s="20">
        <f t="shared" si="64"/>
        <v>12100.44</v>
      </c>
      <c r="AJ53" s="20">
        <f t="shared" si="64"/>
        <v>12100.44</v>
      </c>
      <c r="AK53" s="20">
        <f t="shared" si="64"/>
        <v>14675.44</v>
      </c>
      <c r="AL53" s="20">
        <f t="shared" si="64"/>
        <v>21885.440000000002</v>
      </c>
      <c r="AM53" s="20">
        <f t="shared" si="64"/>
        <v>24975.440000000002</v>
      </c>
      <c r="AN53" s="20">
        <f t="shared" si="64"/>
        <v>30949.440000000002</v>
      </c>
      <c r="AO53" s="20">
        <f t="shared" si="64"/>
        <v>30949.440000000002</v>
      </c>
      <c r="AP53" s="20">
        <f t="shared" si="64"/>
        <v>34382.773333333331</v>
      </c>
      <c r="AQ53" s="20">
        <f t="shared" si="64"/>
        <v>40562.773333333331</v>
      </c>
      <c r="AR53" s="20">
        <f t="shared" si="64"/>
        <v>44944.019908333328</v>
      </c>
      <c r="AS53" s="20">
        <f t="shared" si="64"/>
        <v>45031.773283333328</v>
      </c>
      <c r="AT53" s="20">
        <f t="shared" si="64"/>
        <v>55969.957783333331</v>
      </c>
      <c r="AU53" s="20">
        <f t="shared" si="64"/>
        <v>56067.46153333332</v>
      </c>
      <c r="AV53" s="20">
        <f t="shared" si="64"/>
        <v>56164.965283333324</v>
      </c>
      <c r="AW53" s="20">
        <f t="shared" si="64"/>
        <v>56262.469033333327</v>
      </c>
      <c r="AX53" s="20">
        <f t="shared" si="64"/>
        <v>66507.939533333338</v>
      </c>
      <c r="AY53" s="20">
        <f t="shared" si="64"/>
        <v>66722.447783333337</v>
      </c>
      <c r="AZ53" s="20">
        <f t="shared" si="64"/>
        <v>66936.956033333336</v>
      </c>
      <c r="BA53" s="20">
        <f t="shared" si="64"/>
        <v>67258.718408333327</v>
      </c>
      <c r="BB53" s="20">
        <f t="shared" si="64"/>
        <v>71399.720783333323</v>
      </c>
      <c r="BC53" s="20">
        <f t="shared" si="64"/>
        <v>71721.483158333329</v>
      </c>
      <c r="BD53" s="20">
        <f t="shared" si="64"/>
        <v>79554.530696000002</v>
      </c>
      <c r="BE53" s="20">
        <f t="shared" si="64"/>
        <v>80090.948445999995</v>
      </c>
      <c r="BF53" s="20">
        <f t="shared" si="64"/>
        <v>85011.535776000004</v>
      </c>
      <c r="BG53" s="20">
        <f t="shared" si="64"/>
        <v>85549.904135999997</v>
      </c>
      <c r="BH53" s="20">
        <f t="shared" si="64"/>
        <v>89474.245295999994</v>
      </c>
      <c r="BI53" s="20">
        <f t="shared" si="64"/>
        <v>90228.197255999999</v>
      </c>
      <c r="BJ53" s="20">
        <f t="shared" si="64"/>
        <v>90766.860935999997</v>
      </c>
      <c r="BK53" s="20">
        <f t="shared" si="64"/>
        <v>91521.108215999993</v>
      </c>
      <c r="BL53" s="20">
        <f t="shared" si="64"/>
        <v>92167.563695999997</v>
      </c>
      <c r="BM53" s="20">
        <f t="shared" si="64"/>
        <v>93352.387535999995</v>
      </c>
      <c r="BN53" s="20">
        <f t="shared" si="64"/>
        <v>96366.122862666671</v>
      </c>
      <c r="BO53" s="20">
        <f t="shared" si="64"/>
        <v>97012.28302266667</v>
      </c>
      <c r="BP53" s="20">
        <f t="shared" si="64"/>
        <v>100268.35605854666</v>
      </c>
      <c r="BQ53" s="20">
        <f t="shared" si="64"/>
        <v>100752.97617854667</v>
      </c>
      <c r="BR53" s="20">
        <f t="shared" si="64"/>
        <v>101237.59629854668</v>
      </c>
      <c r="BS53" s="20">
        <f t="shared" si="64"/>
        <v>101722.21641854668</v>
      </c>
      <c r="BT53" s="20">
        <f t="shared" si="64"/>
        <v>102206.83653854666</v>
      </c>
      <c r="BU53" s="20">
        <f t="shared" si="64"/>
        <v>102529.91661854667</v>
      </c>
      <c r="BV53" s="20">
        <f t="shared" ref="BV53:CG53" si="65">BV55</f>
        <v>102852.99669854669</v>
      </c>
      <c r="BW53" s="20">
        <f t="shared" si="65"/>
        <v>103176.07677854667</v>
      </c>
      <c r="BX53" s="20">
        <f t="shared" si="65"/>
        <v>103499.15685854669</v>
      </c>
      <c r="BY53" s="20">
        <f t="shared" si="65"/>
        <v>103822.23693854667</v>
      </c>
      <c r="BZ53" s="20">
        <f t="shared" si="65"/>
        <v>104145.31701854669</v>
      </c>
      <c r="CA53" s="20">
        <f t="shared" si="65"/>
        <v>104468.39709854667</v>
      </c>
      <c r="CB53" s="20">
        <f t="shared" si="65"/>
        <v>107382.76341670308</v>
      </c>
      <c r="CC53" s="20">
        <f t="shared" si="65"/>
        <v>107641.22748070308</v>
      </c>
      <c r="CD53" s="20">
        <f t="shared" si="65"/>
        <v>107802.76752070307</v>
      </c>
      <c r="CE53" s="20">
        <f t="shared" si="65"/>
        <v>107964.30756070308</v>
      </c>
      <c r="CF53" s="20">
        <f t="shared" si="65"/>
        <v>108125.84760070308</v>
      </c>
      <c r="CG53" s="20">
        <f t="shared" si="65"/>
        <v>108287.38764070308</v>
      </c>
      <c r="CH53" s="20"/>
      <c r="CI53" s="20"/>
      <c r="CJ53" s="20"/>
    </row>
    <row r="54" spans="1:88" s="67" customFormat="1" ht="15" customHeight="1">
      <c r="A54" s="63"/>
      <c r="B54" s="63"/>
      <c r="C54" s="63" t="s">
        <v>179</v>
      </c>
      <c r="D54" s="63"/>
      <c r="E54" s="63"/>
      <c r="F54" s="64"/>
      <c r="G54" s="64"/>
      <c r="H54" s="74"/>
      <c r="I54" s="74"/>
      <c r="J54" s="74"/>
      <c r="K54" s="74"/>
      <c r="L54" s="74"/>
      <c r="M54" s="74"/>
      <c r="N54" s="74">
        <f>Staff!H11+Staff!H26+Staff!H42</f>
        <v>0</v>
      </c>
      <c r="O54" s="74">
        <f>Staff!I11+Staff!I26+Staff!I42</f>
        <v>0</v>
      </c>
      <c r="P54" s="74">
        <f>Staff!J11+Staff!J26+Staff!J42</f>
        <v>0</v>
      </c>
      <c r="Q54" s="74">
        <f>Staff!K11+Staff!K26+Staff!K42</f>
        <v>0</v>
      </c>
      <c r="R54" s="74">
        <f>Staff!L11+Staff!L26+Staff!L42</f>
        <v>0</v>
      </c>
      <c r="S54" s="74">
        <f>Staff!M11+Staff!M26+Staff!M42</f>
        <v>0</v>
      </c>
      <c r="T54" s="74">
        <f>Staff!N11+Staff!N26+Staff!N42</f>
        <v>0</v>
      </c>
      <c r="U54" s="74">
        <f>Staff!O11+Staff!O26+Staff!O42</f>
        <v>0</v>
      </c>
      <c r="V54" s="74">
        <f>Staff!P11+Staff!P26+Staff!P42</f>
        <v>0</v>
      </c>
      <c r="W54" s="74">
        <f>Staff!Q11+Staff!Q26+Staff!Q42</f>
        <v>0</v>
      </c>
      <c r="X54" s="74">
        <f>Staff!R11+Staff!R26+Staff!R42</f>
        <v>0</v>
      </c>
      <c r="Y54" s="74">
        <f>Staff!S11+Staff!S26+Staff!S42</f>
        <v>0</v>
      </c>
      <c r="Z54" s="74">
        <f>Staff!T11+Staff!T26+Staff!T42</f>
        <v>2</v>
      </c>
      <c r="AA54" s="74">
        <f>Staff!U11+Staff!U26+Staff!U42</f>
        <v>2</v>
      </c>
      <c r="AB54" s="74">
        <f>Staff!V11+Staff!V26+Staff!V42</f>
        <v>2</v>
      </c>
      <c r="AC54" s="74">
        <f>Staff!W11+Staff!W26+Staff!W42</f>
        <v>2</v>
      </c>
      <c r="AD54" s="74">
        <f>Staff!X11+Staff!X26+Staff!X42</f>
        <v>2</v>
      </c>
      <c r="AE54" s="74">
        <f>Staff!Y11+Staff!Y26+Staff!Y42</f>
        <v>2</v>
      </c>
      <c r="AF54" s="74">
        <f>Staff!Z11+Staff!Z26+Staff!Z42</f>
        <v>2</v>
      </c>
      <c r="AG54" s="74">
        <f>Staff!AA11+Staff!AA26+Staff!AA42</f>
        <v>2</v>
      </c>
      <c r="AH54" s="74">
        <f>Staff!AB11+Staff!AB26+Staff!AB42</f>
        <v>3</v>
      </c>
      <c r="AI54" s="74">
        <f>Staff!AC11+Staff!AC26+Staff!AC42</f>
        <v>4</v>
      </c>
      <c r="AJ54" s="74">
        <f>Staff!AD11+Staff!AD26+Staff!AD42</f>
        <v>4</v>
      </c>
      <c r="AK54" s="74">
        <f>Staff!AE11+Staff!AE26+Staff!AE42</f>
        <v>5</v>
      </c>
      <c r="AL54" s="74">
        <f>Staff!AF11+Staff!AF26+Staff!AF42</f>
        <v>7</v>
      </c>
      <c r="AM54" s="74">
        <f>Staff!AG11+Staff!AG26+Staff!AG42</f>
        <v>8</v>
      </c>
      <c r="AN54" s="74">
        <f>Staff!AH11+Staff!AH26+Staff!AH42</f>
        <v>10</v>
      </c>
      <c r="AO54" s="74">
        <f>Staff!AI11+Staff!AI26+Staff!AI42</f>
        <v>10</v>
      </c>
      <c r="AP54" s="74">
        <f>Staff!AJ11+Staff!AJ26+Staff!AJ42</f>
        <v>11</v>
      </c>
      <c r="AQ54" s="74">
        <f>Staff!AK11+Staff!AK26+Staff!AK42</f>
        <v>13</v>
      </c>
      <c r="AR54" s="74">
        <f>Staff!AL11+Staff!AL26+Staff!AL42</f>
        <v>14</v>
      </c>
      <c r="AS54" s="74">
        <f>Staff!AM11+Staff!AM26+Staff!AM42</f>
        <v>14</v>
      </c>
      <c r="AT54" s="74">
        <f>Staff!AN11+Staff!AN26+Staff!AN42</f>
        <v>17</v>
      </c>
      <c r="AU54" s="74">
        <f>Staff!AO11+Staff!AO26+Staff!AO42</f>
        <v>17</v>
      </c>
      <c r="AV54" s="74">
        <f>Staff!AP11+Staff!AP26+Staff!AP42</f>
        <v>17</v>
      </c>
      <c r="AW54" s="74">
        <f>Staff!AQ11+Staff!AQ26+Staff!AQ42</f>
        <v>17</v>
      </c>
      <c r="AX54" s="74">
        <f>Staff!AR11+Staff!AR26+Staff!AR42</f>
        <v>20</v>
      </c>
      <c r="AY54" s="74">
        <f>Staff!AS11+Staff!AS26+Staff!AS42</f>
        <v>20</v>
      </c>
      <c r="AZ54" s="74">
        <f>Staff!AT11+Staff!AT26+Staff!AT42</f>
        <v>20</v>
      </c>
      <c r="BA54" s="74">
        <f>Staff!AU11+Staff!AU26+Staff!AU42</f>
        <v>20</v>
      </c>
      <c r="BB54" s="74">
        <f>Staff!AV11+Staff!AV26+Staff!AV42</f>
        <v>21</v>
      </c>
      <c r="BC54" s="74">
        <f>Staff!AW11+Staff!AW26+Staff!AW42</f>
        <v>21</v>
      </c>
      <c r="BD54" s="74">
        <f>Staff!AX11+Staff!AX26+Staff!AX42</f>
        <v>23</v>
      </c>
      <c r="BE54" s="74">
        <f>Staff!AY11+Staff!AY26+Staff!AY42</f>
        <v>23</v>
      </c>
      <c r="BF54" s="74">
        <f>Staff!AZ11+Staff!AZ26+Staff!AZ42</f>
        <v>24</v>
      </c>
      <c r="BG54" s="74">
        <f>Staff!BA11+Staff!BA26+Staff!BA42</f>
        <v>24</v>
      </c>
      <c r="BH54" s="74">
        <f>Staff!BB11+Staff!BB26+Staff!BB42</f>
        <v>25</v>
      </c>
      <c r="BI54" s="74">
        <f>Staff!BC11+Staff!BC26+Staff!BC42</f>
        <v>25</v>
      </c>
      <c r="BJ54" s="74">
        <f>Staff!BD11+Staff!BD26+Staff!BD42</f>
        <v>25</v>
      </c>
      <c r="BK54" s="74">
        <f>Staff!BE11+Staff!BE26+Staff!BE42</f>
        <v>25</v>
      </c>
      <c r="BL54" s="74">
        <f>Staff!BF11+Staff!BF26+Staff!BF42</f>
        <v>25</v>
      </c>
      <c r="BM54" s="74">
        <f>Staff!BG11+Staff!BG26+Staff!BG42</f>
        <v>25</v>
      </c>
      <c r="BN54" s="74">
        <f>Staff!BH11+Staff!BH26+Staff!BH42</f>
        <v>26</v>
      </c>
      <c r="BO54" s="74">
        <f>Staff!BI11+Staff!BI26+Staff!BI42</f>
        <v>26</v>
      </c>
      <c r="BP54" s="74">
        <f>Staff!BJ11+Staff!BJ26+Staff!BJ42</f>
        <v>26</v>
      </c>
      <c r="BQ54" s="74">
        <f>Staff!BK11+Staff!BK26+Staff!BK42</f>
        <v>26</v>
      </c>
      <c r="BR54" s="74">
        <f>Staff!BL11+Staff!BL26+Staff!BL42</f>
        <v>26</v>
      </c>
      <c r="BS54" s="74">
        <f>Staff!BM11+Staff!BM26+Staff!BM42</f>
        <v>26</v>
      </c>
      <c r="BT54" s="74">
        <f>Staff!BN11+Staff!BN26+Staff!BN42</f>
        <v>26</v>
      </c>
      <c r="BU54" s="74">
        <f>Staff!BO11+Staff!BO26+Staff!BO42</f>
        <v>26</v>
      </c>
      <c r="BV54" s="74">
        <f>Staff!BP11+Staff!BP26+Staff!BP42</f>
        <v>26</v>
      </c>
      <c r="BW54" s="74">
        <f>Staff!BQ11+Staff!BQ26+Staff!BQ42</f>
        <v>26</v>
      </c>
      <c r="BX54" s="74">
        <f>Staff!BR11+Staff!BR26+Staff!BR42</f>
        <v>26</v>
      </c>
      <c r="BY54" s="74">
        <f>Staff!BS11+Staff!BS26+Staff!BS42</f>
        <v>26</v>
      </c>
      <c r="BZ54" s="74">
        <f>Staff!BT11+Staff!BT26+Staff!BT42</f>
        <v>26</v>
      </c>
      <c r="CA54" s="74">
        <f>Staff!BU11+Staff!BU26+Staff!BU42</f>
        <v>26</v>
      </c>
      <c r="CB54" s="74">
        <f>Staff!BV11+Staff!BV26+Staff!BV42</f>
        <v>26</v>
      </c>
      <c r="CC54" s="74">
        <f>Staff!BW11+Staff!BW26+Staff!BW42</f>
        <v>26</v>
      </c>
      <c r="CD54" s="74">
        <f>Staff!BX11+Staff!BX26+Staff!BX42</f>
        <v>26</v>
      </c>
      <c r="CE54" s="74">
        <f>Staff!BY11+Staff!BY26+Staff!BY42</f>
        <v>26</v>
      </c>
      <c r="CF54" s="74">
        <f>Staff!BZ11+Staff!BZ26+Staff!BZ42</f>
        <v>26</v>
      </c>
      <c r="CG54" s="74">
        <f>Staff!CA11+Staff!CA26+Staff!CA42</f>
        <v>26</v>
      </c>
      <c r="CH54" s="74"/>
      <c r="CI54" s="74"/>
      <c r="CJ54" s="74"/>
    </row>
    <row r="55" spans="1:88" s="67" customFormat="1" ht="15" customHeight="1">
      <c r="A55" s="63"/>
      <c r="B55" s="63"/>
      <c r="C55" s="63" t="s">
        <v>180</v>
      </c>
      <c r="D55" s="63"/>
      <c r="E55" s="63"/>
      <c r="F55" s="64"/>
      <c r="G55" s="5"/>
      <c r="H55" s="65"/>
      <c r="I55" s="65"/>
      <c r="J55" s="65"/>
      <c r="K55" s="65"/>
      <c r="L55" s="65"/>
      <c r="M55" s="65"/>
      <c r="N55" s="65">
        <f t="shared" ref="N55:AS55" si="66">SUM(N56:N59)</f>
        <v>0</v>
      </c>
      <c r="O55" s="65">
        <f t="shared" si="66"/>
        <v>0</v>
      </c>
      <c r="P55" s="65">
        <f t="shared" si="66"/>
        <v>0</v>
      </c>
      <c r="Q55" s="65">
        <f t="shared" si="66"/>
        <v>0</v>
      </c>
      <c r="R55" s="65">
        <f t="shared" si="66"/>
        <v>0</v>
      </c>
      <c r="S55" s="65">
        <f t="shared" si="66"/>
        <v>0</v>
      </c>
      <c r="T55" s="65">
        <f t="shared" si="66"/>
        <v>0</v>
      </c>
      <c r="U55" s="65">
        <f t="shared" si="66"/>
        <v>0</v>
      </c>
      <c r="V55" s="65">
        <f t="shared" si="66"/>
        <v>0</v>
      </c>
      <c r="W55" s="65">
        <f t="shared" si="66"/>
        <v>0</v>
      </c>
      <c r="X55" s="65">
        <f t="shared" si="66"/>
        <v>0</v>
      </c>
      <c r="Y55" s="65">
        <f t="shared" si="66"/>
        <v>0</v>
      </c>
      <c r="Z55" s="65">
        <f t="shared" si="66"/>
        <v>4248</v>
      </c>
      <c r="AA55" s="65">
        <f t="shared" si="66"/>
        <v>4248</v>
      </c>
      <c r="AB55" s="65">
        <f t="shared" si="66"/>
        <v>4248</v>
      </c>
      <c r="AC55" s="65">
        <f t="shared" si="66"/>
        <v>4248</v>
      </c>
      <c r="AD55" s="65">
        <f t="shared" si="66"/>
        <v>4248</v>
      </c>
      <c r="AE55" s="65">
        <f t="shared" si="66"/>
        <v>4248</v>
      </c>
      <c r="AF55" s="65">
        <f t="shared" si="66"/>
        <v>4375.4400000000005</v>
      </c>
      <c r="AG55" s="65">
        <f t="shared" si="66"/>
        <v>4375.4400000000005</v>
      </c>
      <c r="AH55" s="65">
        <f t="shared" si="66"/>
        <v>8495.44</v>
      </c>
      <c r="AI55" s="65">
        <f t="shared" si="66"/>
        <v>12100.44</v>
      </c>
      <c r="AJ55" s="65">
        <f t="shared" si="66"/>
        <v>12100.44</v>
      </c>
      <c r="AK55" s="65">
        <f t="shared" si="66"/>
        <v>14675.44</v>
      </c>
      <c r="AL55" s="65">
        <f t="shared" si="66"/>
        <v>21885.440000000002</v>
      </c>
      <c r="AM55" s="65">
        <f t="shared" si="66"/>
        <v>24975.440000000002</v>
      </c>
      <c r="AN55" s="65">
        <f t="shared" si="66"/>
        <v>30949.440000000002</v>
      </c>
      <c r="AO55" s="65">
        <f t="shared" si="66"/>
        <v>30949.440000000002</v>
      </c>
      <c r="AP55" s="65">
        <f t="shared" si="66"/>
        <v>34382.773333333331</v>
      </c>
      <c r="AQ55" s="65">
        <f t="shared" si="66"/>
        <v>40562.773333333331</v>
      </c>
      <c r="AR55" s="65">
        <f t="shared" si="66"/>
        <v>44944.019908333328</v>
      </c>
      <c r="AS55" s="65">
        <f t="shared" si="66"/>
        <v>45031.773283333328</v>
      </c>
      <c r="AT55" s="65">
        <f t="shared" ref="AT55:BU55" si="67">SUM(AT56:AT59)</f>
        <v>55969.957783333331</v>
      </c>
      <c r="AU55" s="65">
        <f t="shared" si="67"/>
        <v>56067.46153333332</v>
      </c>
      <c r="AV55" s="65">
        <f t="shared" si="67"/>
        <v>56164.965283333324</v>
      </c>
      <c r="AW55" s="65">
        <f t="shared" si="67"/>
        <v>56262.469033333327</v>
      </c>
      <c r="AX55" s="65">
        <f t="shared" si="67"/>
        <v>66507.939533333338</v>
      </c>
      <c r="AY55" s="65">
        <f t="shared" si="67"/>
        <v>66722.447783333337</v>
      </c>
      <c r="AZ55" s="65">
        <f t="shared" si="67"/>
        <v>66936.956033333336</v>
      </c>
      <c r="BA55" s="65">
        <f t="shared" si="67"/>
        <v>67258.718408333327</v>
      </c>
      <c r="BB55" s="65">
        <f t="shared" si="67"/>
        <v>71399.720783333323</v>
      </c>
      <c r="BC55" s="65">
        <f t="shared" si="67"/>
        <v>71721.483158333329</v>
      </c>
      <c r="BD55" s="65">
        <f t="shared" si="67"/>
        <v>79554.530696000002</v>
      </c>
      <c r="BE55" s="65">
        <f t="shared" si="67"/>
        <v>80090.948445999995</v>
      </c>
      <c r="BF55" s="65">
        <f t="shared" si="67"/>
        <v>85011.535776000004</v>
      </c>
      <c r="BG55" s="65">
        <f t="shared" si="67"/>
        <v>85549.904135999997</v>
      </c>
      <c r="BH55" s="65">
        <f t="shared" si="67"/>
        <v>89474.245295999994</v>
      </c>
      <c r="BI55" s="65">
        <f t="shared" si="67"/>
        <v>90228.197255999999</v>
      </c>
      <c r="BJ55" s="65">
        <f t="shared" si="67"/>
        <v>90766.860935999997</v>
      </c>
      <c r="BK55" s="65">
        <f t="shared" si="67"/>
        <v>91521.108215999993</v>
      </c>
      <c r="BL55" s="65">
        <f t="shared" si="67"/>
        <v>92167.563695999997</v>
      </c>
      <c r="BM55" s="65">
        <f t="shared" si="67"/>
        <v>93352.387535999995</v>
      </c>
      <c r="BN55" s="65">
        <f t="shared" si="67"/>
        <v>96366.122862666671</v>
      </c>
      <c r="BO55" s="65">
        <f t="shared" si="67"/>
        <v>97012.28302266667</v>
      </c>
      <c r="BP55" s="65">
        <f t="shared" si="67"/>
        <v>100268.35605854666</v>
      </c>
      <c r="BQ55" s="65">
        <f t="shared" si="67"/>
        <v>100752.97617854667</v>
      </c>
      <c r="BR55" s="65">
        <f t="shared" si="67"/>
        <v>101237.59629854668</v>
      </c>
      <c r="BS55" s="65">
        <f t="shared" si="67"/>
        <v>101722.21641854668</v>
      </c>
      <c r="BT55" s="65">
        <f t="shared" si="67"/>
        <v>102206.83653854666</v>
      </c>
      <c r="BU55" s="65">
        <f t="shared" si="67"/>
        <v>102529.91661854667</v>
      </c>
      <c r="BV55" s="65">
        <f t="shared" ref="BV55:CG55" si="68">SUM(BV56:BV59)</f>
        <v>102852.99669854669</v>
      </c>
      <c r="BW55" s="65">
        <f t="shared" si="68"/>
        <v>103176.07677854667</v>
      </c>
      <c r="BX55" s="65">
        <f t="shared" si="68"/>
        <v>103499.15685854669</v>
      </c>
      <c r="BY55" s="65">
        <f t="shared" si="68"/>
        <v>103822.23693854667</v>
      </c>
      <c r="BZ55" s="65">
        <f t="shared" si="68"/>
        <v>104145.31701854669</v>
      </c>
      <c r="CA55" s="65">
        <f t="shared" si="68"/>
        <v>104468.39709854667</v>
      </c>
      <c r="CB55" s="65">
        <f t="shared" si="68"/>
        <v>107382.76341670308</v>
      </c>
      <c r="CC55" s="65">
        <f t="shared" si="68"/>
        <v>107641.22748070308</v>
      </c>
      <c r="CD55" s="65">
        <f t="shared" si="68"/>
        <v>107802.76752070307</v>
      </c>
      <c r="CE55" s="65">
        <f t="shared" si="68"/>
        <v>107964.30756070308</v>
      </c>
      <c r="CF55" s="65">
        <f t="shared" si="68"/>
        <v>108125.84760070308</v>
      </c>
      <c r="CG55" s="65">
        <f t="shared" si="68"/>
        <v>108287.38764070308</v>
      </c>
      <c r="CH55" s="65"/>
      <c r="CI55" s="65"/>
      <c r="CJ55" s="65"/>
    </row>
    <row r="56" spans="1:88" ht="15" customHeight="1">
      <c r="A56" s="17"/>
      <c r="B56" s="33"/>
      <c r="C56" s="68"/>
      <c r="D56" s="70" t="str">
        <f>Staff!B10</f>
        <v>Management &amp; Organisation</v>
      </c>
      <c r="E56" s="230"/>
      <c r="F56" s="69"/>
      <c r="H56" s="70"/>
      <c r="I56" s="70"/>
      <c r="J56" s="70"/>
      <c r="K56" s="70"/>
      <c r="L56" s="70"/>
      <c r="M56" s="70"/>
      <c r="N56" s="70">
        <f>Staff!H12</f>
        <v>0</v>
      </c>
      <c r="O56" s="70">
        <f>Staff!I12</f>
        <v>0</v>
      </c>
      <c r="P56" s="70">
        <f>Staff!J12</f>
        <v>0</v>
      </c>
      <c r="Q56" s="70">
        <f>Staff!K12</f>
        <v>0</v>
      </c>
      <c r="R56" s="70">
        <f>Staff!L12</f>
        <v>0</v>
      </c>
      <c r="S56" s="70">
        <f>Staff!M12</f>
        <v>0</v>
      </c>
      <c r="T56" s="70">
        <f>Staff!N12</f>
        <v>0</v>
      </c>
      <c r="U56" s="70">
        <f>Staff!O12</f>
        <v>0</v>
      </c>
      <c r="V56" s="70">
        <f>Staff!P12</f>
        <v>0</v>
      </c>
      <c r="W56" s="70">
        <f>Staff!Q12</f>
        <v>0</v>
      </c>
      <c r="X56" s="70">
        <f>Staff!R12</f>
        <v>0</v>
      </c>
      <c r="Y56" s="70">
        <f>Staff!S12</f>
        <v>0</v>
      </c>
      <c r="Z56" s="70">
        <f>Staff!T12</f>
        <v>4248</v>
      </c>
      <c r="AA56" s="70">
        <f>Staff!U12</f>
        <v>4248</v>
      </c>
      <c r="AB56" s="70">
        <f>Staff!V12</f>
        <v>4248</v>
      </c>
      <c r="AC56" s="70">
        <f>Staff!W12</f>
        <v>4248</v>
      </c>
      <c r="AD56" s="70">
        <f>Staff!X12</f>
        <v>4248</v>
      </c>
      <c r="AE56" s="70">
        <f>Staff!Y12</f>
        <v>4248</v>
      </c>
      <c r="AF56" s="70">
        <f>Staff!Z12</f>
        <v>4375.4400000000005</v>
      </c>
      <c r="AG56" s="70">
        <f>Staff!AA12</f>
        <v>4375.4400000000005</v>
      </c>
      <c r="AH56" s="70">
        <f>Staff!AB12</f>
        <v>4375.4400000000005</v>
      </c>
      <c r="AI56" s="70">
        <f>Staff!AC12</f>
        <v>4375.4400000000005</v>
      </c>
      <c r="AJ56" s="70">
        <f>Staff!AD12</f>
        <v>4375.4400000000005</v>
      </c>
      <c r="AK56" s="70">
        <f>Staff!AE12</f>
        <v>6950.4400000000005</v>
      </c>
      <c r="AL56" s="70">
        <f>Staff!AF12</f>
        <v>10555.44</v>
      </c>
      <c r="AM56" s="70">
        <f>Staff!AG12</f>
        <v>13645.44</v>
      </c>
      <c r="AN56" s="70">
        <f>Staff!AH12</f>
        <v>15705.44</v>
      </c>
      <c r="AO56" s="70">
        <f>Staff!AI12</f>
        <v>15705.44</v>
      </c>
      <c r="AP56" s="70">
        <f>Staff!AJ12</f>
        <v>19138.773333333334</v>
      </c>
      <c r="AQ56" s="70">
        <f>Staff!AK12</f>
        <v>19138.773333333334</v>
      </c>
      <c r="AR56" s="70">
        <f>Staff!AL12</f>
        <v>19790.93953333333</v>
      </c>
      <c r="AS56" s="70">
        <f>Staff!AM12</f>
        <v>19868.942533333335</v>
      </c>
      <c r="AT56" s="70">
        <f>Staff!AN12</f>
        <v>19946.945533333332</v>
      </c>
      <c r="AU56" s="70">
        <f>Staff!AO12</f>
        <v>20024.948533333329</v>
      </c>
      <c r="AV56" s="70">
        <f>Staff!AP12</f>
        <v>20102.951533333333</v>
      </c>
      <c r="AW56" s="70">
        <f>Staff!AQ12</f>
        <v>20180.95453333333</v>
      </c>
      <c r="AX56" s="70">
        <f>Staff!AR12</f>
        <v>20336.960533333331</v>
      </c>
      <c r="AY56" s="70">
        <f>Staff!AS12</f>
        <v>20492.966533333332</v>
      </c>
      <c r="AZ56" s="70">
        <f>Staff!AT12</f>
        <v>20648.972533333334</v>
      </c>
      <c r="BA56" s="70">
        <f>Staff!AU12</f>
        <v>20882.981533333332</v>
      </c>
      <c r="BB56" s="70">
        <f>Staff!AV12</f>
        <v>21116.99053333333</v>
      </c>
      <c r="BC56" s="70">
        <f>Staff!AW12</f>
        <v>21350.999533333335</v>
      </c>
      <c r="BD56" s="70">
        <f>Staff!AX12</f>
        <v>24543.971796000002</v>
      </c>
      <c r="BE56" s="70">
        <f>Staff!AY12</f>
        <v>24934.093796000001</v>
      </c>
      <c r="BF56" s="70">
        <f>Staff!AZ12</f>
        <v>25324.215796</v>
      </c>
      <c r="BG56" s="70">
        <f>Staff!BA12</f>
        <v>25714.337796</v>
      </c>
      <c r="BH56" s="70">
        <f>Staff!BB12</f>
        <v>26182.569796</v>
      </c>
      <c r="BI56" s="70">
        <f>Staff!BC12</f>
        <v>26728.911796</v>
      </c>
      <c r="BJ56" s="70">
        <f>Staff!BD12</f>
        <v>27119.247796</v>
      </c>
      <c r="BK56" s="70">
        <f>Staff!BE12</f>
        <v>27665.803796</v>
      </c>
      <c r="BL56" s="70">
        <f>Staff!BF12</f>
        <v>28134.249796</v>
      </c>
      <c r="BM56" s="70">
        <f>Staff!BG12</f>
        <v>28992.817795999999</v>
      </c>
      <c r="BN56" s="70">
        <f>Staff!BH12</f>
        <v>31828.624962666665</v>
      </c>
      <c r="BO56" s="70">
        <f>Staff!BI12</f>
        <v>32296.856962666665</v>
      </c>
      <c r="BP56" s="70">
        <f>Staff!BJ12</f>
        <v>33516.273211546672</v>
      </c>
      <c r="BQ56" s="70">
        <f>Staff!BK12</f>
        <v>33867.447211546671</v>
      </c>
      <c r="BR56" s="70">
        <f>Staff!BL12</f>
        <v>34218.62121154667</v>
      </c>
      <c r="BS56" s="70">
        <f>Staff!BM12</f>
        <v>34569.795211546676</v>
      </c>
      <c r="BT56" s="70">
        <f>Staff!BN12</f>
        <v>34920.969211546668</v>
      </c>
      <c r="BU56" s="70">
        <f>Staff!BO12</f>
        <v>35155.08521154667</v>
      </c>
      <c r="BV56" s="70">
        <f>Staff!BP12</f>
        <v>35389.201211546679</v>
      </c>
      <c r="BW56" s="70">
        <f>Staff!BQ12</f>
        <v>35623.31721154668</v>
      </c>
      <c r="BX56" s="70">
        <f>Staff!BR12</f>
        <v>35857.433211546675</v>
      </c>
      <c r="BY56" s="70">
        <f>Staff!BS12</f>
        <v>36091.549211546677</v>
      </c>
      <c r="BZ56" s="70">
        <f>Staff!BT12</f>
        <v>36325.665211546679</v>
      </c>
      <c r="CA56" s="70">
        <f>Staff!BU12</f>
        <v>36559.781211546673</v>
      </c>
      <c r="CB56" s="70">
        <f>Staff!BV12</f>
        <v>37497.382187893068</v>
      </c>
      <c r="CC56" s="70">
        <f>Staff!BW12</f>
        <v>37684.674987893071</v>
      </c>
      <c r="CD56" s="70">
        <f>Staff!BX12</f>
        <v>37801.732987893061</v>
      </c>
      <c r="CE56" s="70">
        <f>Staff!BY12</f>
        <v>37918.790987893066</v>
      </c>
      <c r="CF56" s="70">
        <f>Staff!BZ12</f>
        <v>38035.84898789307</v>
      </c>
      <c r="CG56" s="70">
        <f>Staff!CA12</f>
        <v>38152.90698789306</v>
      </c>
      <c r="CH56" s="70"/>
      <c r="CI56" s="70"/>
      <c r="CJ56" s="70"/>
    </row>
    <row r="57" spans="1:88" ht="15" customHeight="1">
      <c r="A57" s="17"/>
      <c r="B57" s="33"/>
      <c r="C57" s="68"/>
      <c r="D57" s="70" t="str">
        <f>Staff!B25</f>
        <v>Ventes et Marketing</v>
      </c>
      <c r="E57" s="230"/>
      <c r="F57" s="69"/>
      <c r="H57" s="70"/>
      <c r="I57" s="70"/>
      <c r="J57" s="70"/>
      <c r="K57" s="70"/>
      <c r="L57" s="70"/>
      <c r="M57" s="70"/>
      <c r="N57" s="70">
        <f>Staff!H27</f>
        <v>0</v>
      </c>
      <c r="O57" s="70">
        <f>Staff!I27</f>
        <v>0</v>
      </c>
      <c r="P57" s="70">
        <f>Staff!J27</f>
        <v>0</v>
      </c>
      <c r="Q57" s="70">
        <f>Staff!K27</f>
        <v>0</v>
      </c>
      <c r="R57" s="70">
        <f>Staff!L27</f>
        <v>0</v>
      </c>
      <c r="S57" s="70">
        <f>Staff!M27</f>
        <v>0</v>
      </c>
      <c r="T57" s="70">
        <f>Staff!N27</f>
        <v>0</v>
      </c>
      <c r="U57" s="70">
        <f>Staff!O27</f>
        <v>0</v>
      </c>
      <c r="V57" s="70">
        <f>Staff!P27</f>
        <v>0</v>
      </c>
      <c r="W57" s="70">
        <f>Staff!Q27</f>
        <v>0</v>
      </c>
      <c r="X57" s="70">
        <f>Staff!R27</f>
        <v>0</v>
      </c>
      <c r="Y57" s="70">
        <f>Staff!S27</f>
        <v>0</v>
      </c>
      <c r="Z57" s="70">
        <f>Staff!T27</f>
        <v>0</v>
      </c>
      <c r="AA57" s="70">
        <f>Staff!U27</f>
        <v>0</v>
      </c>
      <c r="AB57" s="70">
        <f>Staff!V27</f>
        <v>0</v>
      </c>
      <c r="AC57" s="70">
        <f>Staff!W27</f>
        <v>0</v>
      </c>
      <c r="AD57" s="70">
        <f>Staff!X27</f>
        <v>0</v>
      </c>
      <c r="AE57" s="70">
        <f>Staff!Y27</f>
        <v>0</v>
      </c>
      <c r="AF57" s="70">
        <f>Staff!Z27</f>
        <v>0</v>
      </c>
      <c r="AG57" s="70">
        <f>Staff!AA27</f>
        <v>0</v>
      </c>
      <c r="AH57" s="70">
        <f>Staff!AB27</f>
        <v>0</v>
      </c>
      <c r="AI57" s="70">
        <f>Staff!AC27</f>
        <v>0</v>
      </c>
      <c r="AJ57" s="70">
        <f>Staff!AD27</f>
        <v>0</v>
      </c>
      <c r="AK57" s="70">
        <f>Staff!AE27</f>
        <v>0</v>
      </c>
      <c r="AL57" s="70">
        <f>Staff!AF27</f>
        <v>0</v>
      </c>
      <c r="AM57" s="70">
        <f>Staff!AG27</f>
        <v>0</v>
      </c>
      <c r="AN57" s="70">
        <f>Staff!AH27</f>
        <v>3914</v>
      </c>
      <c r="AO57" s="70">
        <f>Staff!AI27</f>
        <v>3914</v>
      </c>
      <c r="AP57" s="70">
        <f>Staff!AJ27</f>
        <v>3914</v>
      </c>
      <c r="AQ57" s="70">
        <f>Staff!AK27</f>
        <v>7004</v>
      </c>
      <c r="AR57" s="70">
        <f>Staff!AL27</f>
        <v>10300.480374999999</v>
      </c>
      <c r="AS57" s="70">
        <f>Staff!AM27</f>
        <v>10310.230749999999</v>
      </c>
      <c r="AT57" s="70">
        <f>Staff!AN27</f>
        <v>14380.652249999999</v>
      </c>
      <c r="AU57" s="70">
        <f>Staff!AO27</f>
        <v>14400.152999999998</v>
      </c>
      <c r="AV57" s="70">
        <f>Staff!AP27</f>
        <v>14419.653749999998</v>
      </c>
      <c r="AW57" s="70">
        <f>Staff!AQ27</f>
        <v>14439.154500000001</v>
      </c>
      <c r="AX57" s="70">
        <f>Staff!AR27</f>
        <v>24528.619000000002</v>
      </c>
      <c r="AY57" s="70">
        <f>Staff!AS27</f>
        <v>24587.12125</v>
      </c>
      <c r="AZ57" s="70">
        <f>Staff!AT27</f>
        <v>24645.623499999998</v>
      </c>
      <c r="BA57" s="70">
        <f>Staff!AU27</f>
        <v>24733.376875000002</v>
      </c>
      <c r="BB57" s="70">
        <f>Staff!AV27</f>
        <v>28640.37025</v>
      </c>
      <c r="BC57" s="70">
        <f>Staff!AW27</f>
        <v>28728.123625</v>
      </c>
      <c r="BD57" s="70">
        <f>Staff!AX27</f>
        <v>32718.928100000005</v>
      </c>
      <c r="BE57" s="70">
        <f>Staff!AY27</f>
        <v>32865.223850000002</v>
      </c>
      <c r="BF57" s="70">
        <f>Staff!AZ27</f>
        <v>37395.689180000008</v>
      </c>
      <c r="BG57" s="70">
        <f>Staff!BA27</f>
        <v>37543.935540000006</v>
      </c>
      <c r="BH57" s="70">
        <f>Staff!BB27</f>
        <v>37721.863700000002</v>
      </c>
      <c r="BI57" s="70">
        <f>Staff!BC27</f>
        <v>37929.473660000003</v>
      </c>
      <c r="BJ57" s="70">
        <f>Staff!BD27</f>
        <v>38077.801340000005</v>
      </c>
      <c r="BK57" s="70">
        <f>Staff!BE27</f>
        <v>38285.492620000005</v>
      </c>
      <c r="BL57" s="70">
        <f>Staff!BF27</f>
        <v>38463.502099999998</v>
      </c>
      <c r="BM57" s="70">
        <f>Staff!BG27</f>
        <v>38789.757940000003</v>
      </c>
      <c r="BN57" s="70">
        <f>Staff!BH27</f>
        <v>38967.686100000006</v>
      </c>
      <c r="BO57" s="70">
        <f>Staff!BI27</f>
        <v>39145.614260000002</v>
      </c>
      <c r="BP57" s="70">
        <f>Staff!BJ27</f>
        <v>40415.176693000001</v>
      </c>
      <c r="BQ57" s="70">
        <f>Staff!BK27</f>
        <v>40548.622813000002</v>
      </c>
      <c r="BR57" s="70">
        <f>Staff!BL27</f>
        <v>40682.068933000002</v>
      </c>
      <c r="BS57" s="70">
        <f>Staff!BM27</f>
        <v>40815.515053000003</v>
      </c>
      <c r="BT57" s="70">
        <f>Staff!BN27</f>
        <v>40948.961173000003</v>
      </c>
      <c r="BU57" s="70">
        <f>Staff!BO27</f>
        <v>41037.925253000001</v>
      </c>
      <c r="BV57" s="70">
        <f>Staff!BP27</f>
        <v>41126.889333000006</v>
      </c>
      <c r="BW57" s="70">
        <f>Staff!BQ27</f>
        <v>41215.853413000004</v>
      </c>
      <c r="BX57" s="70">
        <f>Staff!BR27</f>
        <v>41304.817493000002</v>
      </c>
      <c r="BY57" s="70">
        <f>Staff!BS27</f>
        <v>41393.781573</v>
      </c>
      <c r="BZ57" s="70">
        <f>Staff!BT27</f>
        <v>41482.745653000005</v>
      </c>
      <c r="CA57" s="70">
        <f>Staff!BU27</f>
        <v>41571.709733000003</v>
      </c>
      <c r="CB57" s="70">
        <f>Staff!BV27</f>
        <v>42758.367890189998</v>
      </c>
      <c r="CC57" s="70">
        <f>Staff!BW27</f>
        <v>42829.53915419001</v>
      </c>
      <c r="CD57" s="70">
        <f>Staff!BX27</f>
        <v>42874.021194190005</v>
      </c>
      <c r="CE57" s="70">
        <f>Staff!BY27</f>
        <v>42918.503234190008</v>
      </c>
      <c r="CF57" s="70">
        <f>Staff!BZ27</f>
        <v>42962.98527419001</v>
      </c>
      <c r="CG57" s="70">
        <f>Staff!CA27</f>
        <v>43007.467314190006</v>
      </c>
      <c r="CH57" s="70"/>
      <c r="CI57" s="70"/>
      <c r="CJ57" s="70"/>
    </row>
    <row r="58" spans="1:88" ht="15" customHeight="1">
      <c r="A58" s="17"/>
      <c r="B58" s="33"/>
      <c r="C58" s="68"/>
      <c r="D58" s="70" t="str">
        <f>Staff!B41</f>
        <v>Recherche et Développement</v>
      </c>
      <c r="E58" s="230"/>
      <c r="F58" s="69"/>
      <c r="H58" s="70"/>
      <c r="I58" s="70"/>
      <c r="J58" s="70"/>
      <c r="K58" s="70"/>
      <c r="L58" s="70"/>
      <c r="M58" s="70"/>
      <c r="N58" s="231">
        <f>Staff!H43</f>
        <v>0</v>
      </c>
      <c r="O58" s="231">
        <f>Staff!I43</f>
        <v>0</v>
      </c>
      <c r="P58" s="231">
        <f>Staff!J43</f>
        <v>0</v>
      </c>
      <c r="Q58" s="231">
        <f>Staff!K43</f>
        <v>0</v>
      </c>
      <c r="R58" s="231">
        <f>Staff!L43</f>
        <v>0</v>
      </c>
      <c r="S58" s="231">
        <f>Staff!M43</f>
        <v>0</v>
      </c>
      <c r="T58" s="231">
        <f>Staff!N43</f>
        <v>0</v>
      </c>
      <c r="U58" s="231">
        <f>Staff!O43</f>
        <v>0</v>
      </c>
      <c r="V58" s="231">
        <f>Staff!P43</f>
        <v>0</v>
      </c>
      <c r="W58" s="231">
        <f>Staff!Q43</f>
        <v>0</v>
      </c>
      <c r="X58" s="231">
        <f>Staff!R43</f>
        <v>0</v>
      </c>
      <c r="Y58" s="231">
        <f>Staff!S43</f>
        <v>0</v>
      </c>
      <c r="Z58" s="231">
        <f>Staff!T43</f>
        <v>0</v>
      </c>
      <c r="AA58" s="231">
        <f>Staff!U43</f>
        <v>0</v>
      </c>
      <c r="AB58" s="231">
        <f>Staff!V43</f>
        <v>0</v>
      </c>
      <c r="AC58" s="231">
        <f>Staff!W43</f>
        <v>0</v>
      </c>
      <c r="AD58" s="231">
        <f>Staff!X43</f>
        <v>0</v>
      </c>
      <c r="AE58" s="231">
        <f>Staff!Y43</f>
        <v>0</v>
      </c>
      <c r="AF58" s="231">
        <f>Staff!Z43</f>
        <v>0</v>
      </c>
      <c r="AG58" s="231">
        <f>Staff!AA43</f>
        <v>0</v>
      </c>
      <c r="AH58" s="231">
        <f>Staff!AB43</f>
        <v>4120</v>
      </c>
      <c r="AI58" s="231">
        <f>Staff!AC43</f>
        <v>7725</v>
      </c>
      <c r="AJ58" s="231">
        <f>Staff!AD43</f>
        <v>7725</v>
      </c>
      <c r="AK58" s="231">
        <f>Staff!AE43</f>
        <v>7725</v>
      </c>
      <c r="AL58" s="231">
        <f>Staff!AF43</f>
        <v>11330</v>
      </c>
      <c r="AM58" s="231">
        <f>Staff!AG43</f>
        <v>11330</v>
      </c>
      <c r="AN58" s="231">
        <f>Staff!AH43</f>
        <v>11330</v>
      </c>
      <c r="AO58" s="231">
        <f>Staff!AI43</f>
        <v>11330</v>
      </c>
      <c r="AP58" s="231">
        <f>Staff!AJ43</f>
        <v>11330</v>
      </c>
      <c r="AQ58" s="231">
        <f>Staff!AK43</f>
        <v>14420</v>
      </c>
      <c r="AR58" s="231">
        <f>Staff!AL43</f>
        <v>14852.599999999999</v>
      </c>
      <c r="AS58" s="231">
        <f>Staff!AM43</f>
        <v>14852.599999999999</v>
      </c>
      <c r="AT58" s="231">
        <f>Staff!AN43</f>
        <v>21642.359999999997</v>
      </c>
      <c r="AU58" s="231">
        <f>Staff!AO43</f>
        <v>21642.359999999997</v>
      </c>
      <c r="AV58" s="231">
        <f>Staff!AP43</f>
        <v>21642.359999999997</v>
      </c>
      <c r="AW58" s="231">
        <f>Staff!AQ43</f>
        <v>21642.359999999997</v>
      </c>
      <c r="AX58" s="231">
        <f>Staff!AR43</f>
        <v>21642.359999999997</v>
      </c>
      <c r="AY58" s="231">
        <f>Staff!AS43</f>
        <v>21642.359999999997</v>
      </c>
      <c r="AZ58" s="231">
        <f>Staff!AT43</f>
        <v>21642.359999999997</v>
      </c>
      <c r="BA58" s="231">
        <f>Staff!AU43</f>
        <v>21642.359999999997</v>
      </c>
      <c r="BB58" s="231">
        <f>Staff!AV43</f>
        <v>21642.359999999997</v>
      </c>
      <c r="BC58" s="231">
        <f>Staff!AW43</f>
        <v>21642.359999999997</v>
      </c>
      <c r="BD58" s="231">
        <f>Staff!AX43</f>
        <v>22291.630799999999</v>
      </c>
      <c r="BE58" s="231">
        <f>Staff!AY43</f>
        <v>22291.630799999999</v>
      </c>
      <c r="BF58" s="231">
        <f>Staff!AZ43</f>
        <v>22291.630799999999</v>
      </c>
      <c r="BG58" s="231">
        <f>Staff!BA43</f>
        <v>22291.630799999999</v>
      </c>
      <c r="BH58" s="231">
        <f>Staff!BB43</f>
        <v>25569.811799999999</v>
      </c>
      <c r="BI58" s="231">
        <f>Staff!BC43</f>
        <v>25569.811799999999</v>
      </c>
      <c r="BJ58" s="231">
        <f>Staff!BD43</f>
        <v>25569.811799999999</v>
      </c>
      <c r="BK58" s="231">
        <f>Staff!BE43</f>
        <v>25569.811799999999</v>
      </c>
      <c r="BL58" s="231">
        <f>Staff!BF43</f>
        <v>25569.811799999999</v>
      </c>
      <c r="BM58" s="231">
        <f>Staff!BG43</f>
        <v>25569.811799999999</v>
      </c>
      <c r="BN58" s="231">
        <f>Staff!BH43</f>
        <v>25569.811799999999</v>
      </c>
      <c r="BO58" s="231">
        <f>Staff!BI43</f>
        <v>25569.811799999999</v>
      </c>
      <c r="BP58" s="231">
        <f>Staff!BJ43</f>
        <v>26336.906154000004</v>
      </c>
      <c r="BQ58" s="231">
        <f>Staff!BK43</f>
        <v>26336.906154000004</v>
      </c>
      <c r="BR58" s="231">
        <f>Staff!BL43</f>
        <v>26336.906154000004</v>
      </c>
      <c r="BS58" s="231">
        <f>Staff!BM43</f>
        <v>26336.906154000004</v>
      </c>
      <c r="BT58" s="231">
        <f>Staff!BN43</f>
        <v>26336.906154000004</v>
      </c>
      <c r="BU58" s="231">
        <f>Staff!BO43</f>
        <v>26336.906154000004</v>
      </c>
      <c r="BV58" s="231">
        <f>Staff!BP43</f>
        <v>26336.906154000004</v>
      </c>
      <c r="BW58" s="231">
        <f>Staff!BQ43</f>
        <v>26336.906154000004</v>
      </c>
      <c r="BX58" s="231">
        <f>Staff!BR43</f>
        <v>26336.906154000004</v>
      </c>
      <c r="BY58" s="231">
        <f>Staff!BS43</f>
        <v>26336.906154000004</v>
      </c>
      <c r="BZ58" s="231">
        <f>Staff!BT43</f>
        <v>26336.906154000004</v>
      </c>
      <c r="CA58" s="231">
        <f>Staff!BU43</f>
        <v>26336.906154000004</v>
      </c>
      <c r="CB58" s="231">
        <f>Staff!BV43</f>
        <v>27127.013338620007</v>
      </c>
      <c r="CC58" s="231">
        <f>Staff!BW43</f>
        <v>27127.013338620007</v>
      </c>
      <c r="CD58" s="231">
        <f>Staff!BX43</f>
        <v>27127.013338620007</v>
      </c>
      <c r="CE58" s="231">
        <f>Staff!BY43</f>
        <v>27127.013338620007</v>
      </c>
      <c r="CF58" s="231">
        <f>Staff!BZ43</f>
        <v>27127.013338620007</v>
      </c>
      <c r="CG58" s="231">
        <f>Staff!CA43</f>
        <v>27127.013338620007</v>
      </c>
      <c r="CH58" s="231"/>
      <c r="CI58" s="231"/>
      <c r="CJ58" s="231"/>
    </row>
    <row r="59" spans="1:88" ht="15" customHeight="1">
      <c r="A59" s="17"/>
      <c r="B59" s="33"/>
      <c r="C59" s="68"/>
      <c r="D59" s="70" t="str">
        <f>IF(Staff!D40=0,"-",Staff!B40)</f>
        <v>-</v>
      </c>
      <c r="E59" s="230"/>
      <c r="F59" s="69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</row>
    <row r="60" spans="1:88" s="67" customFormat="1" ht="15" customHeight="1">
      <c r="A60" s="63"/>
      <c r="B60" s="63"/>
      <c r="C60" s="63" t="s">
        <v>181</v>
      </c>
      <c r="D60" s="63"/>
      <c r="E60" s="63"/>
      <c r="F60" s="64"/>
      <c r="G60" s="64"/>
      <c r="H60" s="65"/>
      <c r="I60" s="63"/>
      <c r="J60" s="20"/>
      <c r="K60" s="63"/>
      <c r="L60" s="29"/>
      <c r="M60" s="66"/>
      <c r="N60" s="63"/>
      <c r="O60" s="63"/>
    </row>
    <row r="61" spans="1:88">
      <c r="A61" s="17"/>
      <c r="B61" s="33" t="s">
        <v>40</v>
      </c>
      <c r="C61" s="17"/>
      <c r="D61" s="17"/>
      <c r="E61" s="73">
        <v>0.45</v>
      </c>
      <c r="G61" s="18" t="s">
        <v>41</v>
      </c>
      <c r="H61" s="20"/>
      <c r="I61" s="20"/>
      <c r="J61" s="20"/>
      <c r="K61" s="20"/>
      <c r="L61" s="20"/>
      <c r="M61" s="20"/>
      <c r="N61" s="20">
        <f xml:space="preserve"> IF(N7&lt;Staff!$D$14+365,N53*8.5%,N53*$E$61)</f>
        <v>0</v>
      </c>
      <c r="O61" s="20">
        <f xml:space="preserve"> IF(O7&lt;Staff!$D$14+365,O53*8.5%,O53*$E$61)</f>
        <v>0</v>
      </c>
      <c r="P61" s="20">
        <f xml:space="preserve"> IF(P7&lt;Staff!$D$14+365,P53*8.5%,P53*$E$61)</f>
        <v>0</v>
      </c>
      <c r="Q61" s="20">
        <f xml:space="preserve"> IF(Q7&lt;Staff!$D$14+365,Q53*8.5%,Q53*$E$61)</f>
        <v>0</v>
      </c>
      <c r="R61" s="20">
        <f xml:space="preserve"> IF(R7&lt;Staff!$D$14+365,R53*8.5%,R53*$E$61)</f>
        <v>0</v>
      </c>
      <c r="S61" s="20">
        <f xml:space="preserve"> IF(S7&lt;Staff!$D$14+365,S53*8.5%,S53*$E$61)</f>
        <v>0</v>
      </c>
      <c r="T61" s="20">
        <f xml:space="preserve"> IF(T7&lt;Staff!$D$14+365,T53*8.5%,T53*$E$61)</f>
        <v>0</v>
      </c>
      <c r="U61" s="20">
        <f xml:space="preserve"> IF(U7&lt;Staff!$D$14+365,U53*8.5%,U53*$E$61)</f>
        <v>0</v>
      </c>
      <c r="V61" s="20">
        <f xml:space="preserve"> IF(V7&lt;Staff!$D$14+365,V53*8.5%,V53*$E$61)</f>
        <v>0</v>
      </c>
      <c r="W61" s="20">
        <f xml:space="preserve"> IF(W7&lt;Staff!$D$14+365,W53*8.5%,W53*$E$61)</f>
        <v>0</v>
      </c>
      <c r="X61" s="20">
        <f xml:space="preserve"> IF(X7&lt;Staff!$D$14+365,X53*8.5%,X53*$E$61)</f>
        <v>0</v>
      </c>
      <c r="Y61" s="20">
        <f xml:space="preserve"> IF(Y7&lt;Staff!$D$14+365,Y53*8.5%,Y53*$E$61)</f>
        <v>0</v>
      </c>
      <c r="Z61" s="20">
        <f xml:space="preserve"> IF(Z7&lt;Staff!$D$14+365,Z53*8.5%,Z53*$E$61)</f>
        <v>361.08000000000004</v>
      </c>
      <c r="AA61" s="20">
        <f xml:space="preserve"> IF(AA7&lt;Staff!$D$14+365,AA53*8.5%,AA53*$E$61)</f>
        <v>361.08000000000004</v>
      </c>
      <c r="AB61" s="20">
        <f xml:space="preserve"> IF(AB7&lt;Staff!$D$14+365,AB53*8.5%,AB53*$E$61)</f>
        <v>361.08000000000004</v>
      </c>
      <c r="AC61" s="20">
        <f xml:space="preserve"> IF(AC7&lt;Staff!$D$14+365,AC53*8.5%,AC53*$E$61)</f>
        <v>361.08000000000004</v>
      </c>
      <c r="AD61" s="20">
        <f xml:space="preserve"> IF(AD7&lt;Staff!$D$14+365,AD53*8.5%,AD53*$E$61)</f>
        <v>361.08000000000004</v>
      </c>
      <c r="AE61" s="20">
        <f xml:space="preserve"> IF(AE7&lt;Staff!$D$14+365,AE53*8.5%,AE53*$E$61)</f>
        <v>361.08000000000004</v>
      </c>
      <c r="AF61" s="20">
        <f xml:space="preserve"> IF(AF7&lt;Staff!$D$14+365,AF53*8.5%,AF53*$E$61)</f>
        <v>371.91240000000005</v>
      </c>
      <c r="AG61" s="20">
        <f xml:space="preserve"> IF(AG7&lt;Staff!$D$14+365,AG53*8.5%,AG53*$E$61)</f>
        <v>371.91240000000005</v>
      </c>
      <c r="AH61" s="20">
        <f xml:space="preserve"> IF(AH7&lt;Staff!$D$14+365,AH53*8.5%,AH53*$E$61)</f>
        <v>722.11240000000009</v>
      </c>
      <c r="AI61" s="20">
        <f xml:space="preserve"> IF(AI7&lt;Staff!$D$14+365,AI53*8.5%,AI53*$E$61)</f>
        <v>1028.5374000000002</v>
      </c>
      <c r="AJ61" s="20">
        <f xml:space="preserve"> IF(AJ7&lt;Staff!$D$14+365,AJ53*8.5%,AJ53*$E$61)</f>
        <v>1028.5374000000002</v>
      </c>
      <c r="AK61" s="20">
        <f xml:space="preserve"> IF(AK7&lt;Staff!$D$14+365,AK53*8.5%,AK53*$E$61)</f>
        <v>1247.4124000000002</v>
      </c>
      <c r="AL61" s="20">
        <f xml:space="preserve"> IF(AL7&lt;Staff!$D$14+365,AL53*8.5%,AL53*$E$61)</f>
        <v>9848.4480000000021</v>
      </c>
      <c r="AM61" s="20">
        <f xml:space="preserve"> IF(AM7&lt;Staff!$D$14+365,AM53*8.5%,AM53*$E$61)</f>
        <v>11238.948000000002</v>
      </c>
      <c r="AN61" s="20">
        <f xml:space="preserve"> IF(AN7&lt;Staff!$D$14+365,AN53*8.5%,AN53*$E$61)</f>
        <v>13927.248000000001</v>
      </c>
      <c r="AO61" s="20">
        <f xml:space="preserve"> IF(AO7&lt;Staff!$D$14+365,AO53*8.5%,AO53*$E$61)</f>
        <v>13927.248000000001</v>
      </c>
      <c r="AP61" s="20">
        <f xml:space="preserve"> IF(AP7&lt;Staff!$D$14+365,AP53*8.5%,AP53*$E$61)</f>
        <v>15472.248</v>
      </c>
      <c r="AQ61" s="20">
        <f xml:space="preserve"> IF(AQ7&lt;Staff!$D$14+365,AQ53*8.5%,AQ53*$E$61)</f>
        <v>18253.248</v>
      </c>
      <c r="AR61" s="20">
        <f xml:space="preserve"> IF(AR7&lt;Staff!$D$14+365,AR53*8.5%,AR53*$E$61)</f>
        <v>20224.80895875</v>
      </c>
      <c r="AS61" s="20">
        <f xml:space="preserve"> IF(AS7&lt;Staff!$D$14+365,AS53*8.5%,AS53*$E$61)</f>
        <v>20264.297977499999</v>
      </c>
      <c r="AT61" s="20">
        <f xml:space="preserve"> IF(AT7&lt;Staff!$D$14+365,AT53*8.5%,AT53*$E$61)</f>
        <v>25186.481002500001</v>
      </c>
      <c r="AU61" s="20">
        <f xml:space="preserve"> IF(AU7&lt;Staff!$D$14+365,AU53*8.5%,AU53*$E$61)</f>
        <v>25230.357689999993</v>
      </c>
      <c r="AV61" s="20">
        <f xml:space="preserve"> IF(AV7&lt;Staff!$D$14+365,AV53*8.5%,AV53*$E$61)</f>
        <v>25274.234377499997</v>
      </c>
      <c r="AW61" s="20">
        <f xml:space="preserve"> IF(AW7&lt;Staff!$D$14+365,AW53*8.5%,AW53*$E$61)</f>
        <v>25318.111064999997</v>
      </c>
      <c r="AX61" s="20">
        <f xml:space="preserve"> IF(AX7&lt;Staff!$D$14+365,AX53*8.5%,AX53*$E$61)</f>
        <v>29928.572790000002</v>
      </c>
      <c r="AY61" s="20">
        <f xml:space="preserve"> IF(AY7&lt;Staff!$D$14+365,AY53*8.5%,AY53*$E$61)</f>
        <v>30025.101502500002</v>
      </c>
      <c r="AZ61" s="20">
        <f xml:space="preserve"> IF(AZ7&lt;Staff!$D$14+365,AZ53*8.5%,AZ53*$E$61)</f>
        <v>30121.630215000001</v>
      </c>
      <c r="BA61" s="20">
        <f xml:space="preserve"> IF(BA7&lt;Staff!$D$14+365,BA53*8.5%,BA53*$E$61)</f>
        <v>30266.423283749999</v>
      </c>
      <c r="BB61" s="20">
        <f xml:space="preserve"> IF(BB7&lt;Staff!$D$14+365,BB53*8.5%,BB53*$E$61)</f>
        <v>32129.874352499995</v>
      </c>
      <c r="BC61" s="20">
        <f xml:space="preserve"> IF(BC7&lt;Staff!$D$14+365,BC53*8.5%,BC53*$E$61)</f>
        <v>32274.66742125</v>
      </c>
      <c r="BD61" s="20">
        <f xml:space="preserve"> IF(BD7&lt;Staff!$D$14+365,BD53*8.5%,BD53*$E$61)</f>
        <v>35799.538813200001</v>
      </c>
      <c r="BE61" s="20">
        <f xml:space="preserve"> IF(BE7&lt;Staff!$D$14+365,BE53*8.5%,BE53*$E$61)</f>
        <v>36040.926800699999</v>
      </c>
      <c r="BF61" s="20">
        <f xml:space="preserve"> IF(BF7&lt;Staff!$D$14+365,BF53*8.5%,BF53*$E$61)</f>
        <v>38255.191099200005</v>
      </c>
      <c r="BG61" s="20">
        <f xml:space="preserve"> IF(BG7&lt;Staff!$D$14+365,BG53*8.5%,BG53*$E$61)</f>
        <v>38497.4568612</v>
      </c>
      <c r="BH61" s="20">
        <f xml:space="preserve"> IF(BH7&lt;Staff!$D$14+365,BH53*8.5%,BH53*$E$61)</f>
        <v>40263.410383199996</v>
      </c>
      <c r="BI61" s="20">
        <f xml:space="preserve"> IF(BI7&lt;Staff!$D$14+365,BI53*8.5%,BI53*$E$61)</f>
        <v>40602.6887652</v>
      </c>
      <c r="BJ61" s="20">
        <f xml:space="preserve"> IF(BJ7&lt;Staff!$D$14+365,BJ53*8.5%,BJ53*$E$61)</f>
        <v>40845.087421199998</v>
      </c>
      <c r="BK61" s="20">
        <f xml:space="preserve"> IF(BK7&lt;Staff!$D$14+365,BK53*8.5%,BK53*$E$61)</f>
        <v>41184.498697199997</v>
      </c>
      <c r="BL61" s="20">
        <f xml:space="preserve"> IF(BL7&lt;Staff!$D$14+365,BL53*8.5%,BL53*$E$61)</f>
        <v>41475.403663199999</v>
      </c>
      <c r="BM61" s="20">
        <f xml:space="preserve"> IF(BM7&lt;Staff!$D$14+365,BM53*8.5%,BM53*$E$61)</f>
        <v>42008.574391199996</v>
      </c>
      <c r="BN61" s="20">
        <f xml:space="preserve"> IF(BN7&lt;Staff!$D$14+365,BN53*8.5%,BN53*$E$61)</f>
        <v>43364.755288200002</v>
      </c>
      <c r="BO61" s="20">
        <f xml:space="preserve"> IF(BO7&lt;Staff!$D$14+365,BO53*8.5%,BO53*$E$61)</f>
        <v>43655.527360200002</v>
      </c>
      <c r="BP61" s="20">
        <f xml:space="preserve"> IF(BP7&lt;Staff!$D$14+365,BP53*8.5%,BP53*$E$61)</f>
        <v>45120.760226345999</v>
      </c>
      <c r="BQ61" s="20">
        <f xml:space="preserve"> IF(BQ7&lt;Staff!$D$14+365,BQ53*8.5%,BQ53*$E$61)</f>
        <v>45338.839280346001</v>
      </c>
      <c r="BR61" s="20">
        <f xml:space="preserve"> IF(BR7&lt;Staff!$D$14+365,BR53*8.5%,BR53*$E$61)</f>
        <v>45556.918334346003</v>
      </c>
      <c r="BS61" s="20">
        <f xml:space="preserve"> IF(BS7&lt;Staff!$D$14+365,BS53*8.5%,BS53*$E$61)</f>
        <v>45774.997388346012</v>
      </c>
      <c r="BT61" s="20">
        <f xml:space="preserve"> IF(BT7&lt;Staff!$D$14+365,BT53*8.5%,BT53*$E$61)</f>
        <v>45993.076442345999</v>
      </c>
      <c r="BU61" s="20">
        <f xml:space="preserve"> IF(BU7&lt;Staff!$D$14+365,BU53*8.5%,BU53*$E$61)</f>
        <v>46138.462478346002</v>
      </c>
      <c r="BV61" s="20">
        <f xml:space="preserve"> IF(BV7&lt;Staff!$D$14+365,BV53*8.5%,BV53*$E$61)</f>
        <v>46283.848514346013</v>
      </c>
      <c r="BW61" s="20">
        <f xml:space="preserve"> IF(BW7&lt;Staff!$D$14+365,BW53*8.5%,BW53*$E$61)</f>
        <v>46429.234550346002</v>
      </c>
      <c r="BX61" s="20">
        <f xml:space="preserve"> IF(BX7&lt;Staff!$D$14+365,BX53*8.5%,BX53*$E$61)</f>
        <v>46574.620586346013</v>
      </c>
      <c r="BY61" s="20">
        <f xml:space="preserve"> IF(BY7&lt;Staff!$D$14+365,BY53*8.5%,BY53*$E$61)</f>
        <v>46720.006622346002</v>
      </c>
      <c r="BZ61" s="20">
        <f xml:space="preserve"> IF(BZ7&lt;Staff!$D$14+365,BZ53*8.5%,BZ53*$E$61)</f>
        <v>46865.392658346012</v>
      </c>
      <c r="CA61" s="20">
        <f xml:space="preserve"> IF(CA7&lt;Staff!$D$14+365,CA53*8.5%,CA53*$E$61)</f>
        <v>47010.778694346001</v>
      </c>
      <c r="CB61" s="20">
        <f xml:space="preserve"> IF(CB7&lt;Staff!$D$14+365,CB53*8.5%,CB53*$E$61)</f>
        <v>48322.243537516384</v>
      </c>
      <c r="CC61" s="20">
        <f xml:space="preserve"> IF(CC7&lt;Staff!$D$14+365,CC53*8.5%,CC53*$E$61)</f>
        <v>48438.552366316384</v>
      </c>
      <c r="CD61" s="20">
        <f xml:space="preserve"> IF(CD7&lt;Staff!$D$14+365,CD53*8.5%,CD53*$E$61)</f>
        <v>48511.245384316382</v>
      </c>
      <c r="CE61" s="20">
        <f xml:space="preserve"> IF(CE7&lt;Staff!$D$14+365,CE53*8.5%,CE53*$E$61)</f>
        <v>48583.938402316388</v>
      </c>
      <c r="CF61" s="20">
        <f xml:space="preserve"> IF(CF7&lt;Staff!$D$14+365,CF53*8.5%,CF53*$E$61)</f>
        <v>48656.631420316386</v>
      </c>
      <c r="CG61" s="20">
        <f xml:space="preserve"> IF(CG7&lt;Staff!$D$14+365,CG53*8.5%,CG53*$E$61)</f>
        <v>48729.324438316384</v>
      </c>
      <c r="CH61" s="20"/>
      <c r="CI61" s="20"/>
      <c r="CJ61" s="20"/>
    </row>
    <row r="62" spans="1:88">
      <c r="A62" s="17"/>
      <c r="B62" s="17"/>
      <c r="C62" s="33"/>
      <c r="D62" s="33" t="s">
        <v>42</v>
      </c>
      <c r="E62" s="33"/>
      <c r="F62" s="40"/>
      <c r="G62" s="18" t="s">
        <v>43</v>
      </c>
      <c r="H62" s="20"/>
      <c r="I62" s="20"/>
      <c r="J62" s="20"/>
      <c r="K62" s="20"/>
      <c r="L62" s="20"/>
      <c r="M62" s="20"/>
      <c r="N62" s="20">
        <f>invest!M65</f>
        <v>0</v>
      </c>
      <c r="O62" s="20">
        <f>invest!N65</f>
        <v>0</v>
      </c>
      <c r="P62" s="20">
        <f>invest!O65</f>
        <v>0</v>
      </c>
      <c r="Q62" s="20">
        <f>invest!P65</f>
        <v>0</v>
      </c>
      <c r="R62" s="20">
        <f>invest!Q65</f>
        <v>0</v>
      </c>
      <c r="S62" s="20">
        <f>invest!R65</f>
        <v>0</v>
      </c>
      <c r="T62" s="20">
        <f>invest!S65</f>
        <v>0</v>
      </c>
      <c r="U62" s="20">
        <f>invest!T65</f>
        <v>0</v>
      </c>
      <c r="V62" s="20">
        <f>invest!U65</f>
        <v>0</v>
      </c>
      <c r="W62" s="20">
        <f>invest!V65</f>
        <v>0</v>
      </c>
      <c r="X62" s="20">
        <f>invest!W65</f>
        <v>0</v>
      </c>
      <c r="Y62" s="20">
        <f>invest!X65</f>
        <v>4166.666666666667</v>
      </c>
      <c r="Z62" s="20">
        <f>invest!Y65</f>
        <v>4166.666666666667</v>
      </c>
      <c r="AA62" s="20">
        <f>invest!Z65</f>
        <v>4166.666666666667</v>
      </c>
      <c r="AB62" s="20">
        <f>invest!AA65</f>
        <v>4166.666666666667</v>
      </c>
      <c r="AC62" s="20">
        <f>invest!AB65</f>
        <v>4166.666666666667</v>
      </c>
      <c r="AD62" s="20">
        <f>invest!AC65</f>
        <v>4166.666666666667</v>
      </c>
      <c r="AE62" s="20">
        <f>invest!AD65</f>
        <v>4166.666666666667</v>
      </c>
      <c r="AF62" s="20">
        <f>invest!AE65</f>
        <v>4166.666666666667</v>
      </c>
      <c r="AG62" s="20">
        <f>invest!AF65</f>
        <v>4166.666666666667</v>
      </c>
      <c r="AH62" s="20">
        <f>invest!AG65</f>
        <v>4500</v>
      </c>
      <c r="AI62" s="20">
        <f>invest!AH65</f>
        <v>4500</v>
      </c>
      <c r="AJ62" s="20">
        <f>invest!AI65</f>
        <v>4500</v>
      </c>
      <c r="AK62" s="20">
        <f>invest!AJ65</f>
        <v>4500</v>
      </c>
      <c r="AL62" s="20">
        <f>invest!AK65</f>
        <v>4500</v>
      </c>
      <c r="AM62" s="20">
        <f>invest!AL65</f>
        <v>4500</v>
      </c>
      <c r="AN62" s="20">
        <f>invest!AM65</f>
        <v>4500</v>
      </c>
      <c r="AO62" s="20">
        <f>invest!AN65</f>
        <v>4500</v>
      </c>
      <c r="AP62" s="20">
        <f>invest!AO65</f>
        <v>4500</v>
      </c>
      <c r="AQ62" s="20">
        <f>invest!AP65</f>
        <v>4500</v>
      </c>
      <c r="AR62" s="20">
        <f>invest!AQ65</f>
        <v>5500</v>
      </c>
      <c r="AS62" s="20">
        <f>invest!AR65</f>
        <v>5500</v>
      </c>
      <c r="AT62" s="20">
        <f>invest!AS65</f>
        <v>5500</v>
      </c>
      <c r="AU62" s="20">
        <f>invest!AT65</f>
        <v>5500</v>
      </c>
      <c r="AV62" s="20">
        <f>invest!AU65</f>
        <v>5500</v>
      </c>
      <c r="AW62" s="20">
        <f>invest!AV65</f>
        <v>5500</v>
      </c>
      <c r="AX62" s="20">
        <f>invest!AW65</f>
        <v>5500</v>
      </c>
      <c r="AY62" s="20">
        <f>invest!AX65</f>
        <v>5500</v>
      </c>
      <c r="AZ62" s="20">
        <f>invest!AY65</f>
        <v>5500</v>
      </c>
      <c r="BA62" s="20">
        <f>invest!AZ65</f>
        <v>5500</v>
      </c>
      <c r="BB62" s="20">
        <f>invest!BA65</f>
        <v>5500</v>
      </c>
      <c r="BC62" s="20">
        <f>invest!BB65</f>
        <v>5500</v>
      </c>
      <c r="BD62" s="20">
        <f>invest!BC65</f>
        <v>6250</v>
      </c>
      <c r="BE62" s="20">
        <f>invest!BD65</f>
        <v>6250</v>
      </c>
      <c r="BF62" s="20">
        <f>invest!BE65</f>
        <v>6250</v>
      </c>
      <c r="BG62" s="20">
        <f>invest!BF65</f>
        <v>6250</v>
      </c>
      <c r="BH62" s="20">
        <f>invest!BG65</f>
        <v>6250</v>
      </c>
      <c r="BI62" s="20">
        <f>invest!BH65</f>
        <v>6250</v>
      </c>
      <c r="BJ62" s="20">
        <f>invest!BI65</f>
        <v>6250</v>
      </c>
      <c r="BK62" s="20">
        <f>invest!BJ65</f>
        <v>6250</v>
      </c>
      <c r="BL62" s="20">
        <f>invest!BK65</f>
        <v>6250</v>
      </c>
      <c r="BM62" s="20">
        <f>invest!BL65</f>
        <v>6250</v>
      </c>
      <c r="BN62" s="20">
        <f>invest!BM65</f>
        <v>6250</v>
      </c>
      <c r="BO62" s="20">
        <f>invest!BN65</f>
        <v>6250</v>
      </c>
      <c r="BP62" s="20">
        <f>invest!BO65</f>
        <v>6250</v>
      </c>
      <c r="BQ62" s="20">
        <f>invest!BP65</f>
        <v>6250</v>
      </c>
      <c r="BR62" s="20">
        <f>invest!BQ65</f>
        <v>6250</v>
      </c>
      <c r="BS62" s="20">
        <f>invest!BR65</f>
        <v>6250</v>
      </c>
      <c r="BT62" s="20">
        <f>invest!BS65</f>
        <v>6250</v>
      </c>
      <c r="BU62" s="20">
        <f>invest!BT65</f>
        <v>6250</v>
      </c>
      <c r="BV62" s="20">
        <f>invest!BU65</f>
        <v>6250</v>
      </c>
      <c r="BW62" s="20">
        <f>invest!BV65</f>
        <v>6250</v>
      </c>
      <c r="BX62" s="20">
        <f>invest!BW65</f>
        <v>6250</v>
      </c>
      <c r="BY62" s="20">
        <f>invest!BX65</f>
        <v>6250</v>
      </c>
      <c r="BZ62" s="20">
        <f>invest!BY65</f>
        <v>6250</v>
      </c>
      <c r="CA62" s="20">
        <f>invest!BZ65</f>
        <v>6250</v>
      </c>
      <c r="CB62" s="20">
        <f>invest!CA65</f>
        <v>6250</v>
      </c>
      <c r="CC62" s="20">
        <f>invest!CB65</f>
        <v>6250</v>
      </c>
      <c r="CD62" s="20">
        <f>invest!CC65</f>
        <v>6250</v>
      </c>
      <c r="CE62" s="20">
        <f>invest!CD65</f>
        <v>6250</v>
      </c>
      <c r="CF62" s="20">
        <f>invest!CE65</f>
        <v>6250</v>
      </c>
      <c r="CG62" s="20">
        <f>invest!CF65</f>
        <v>6250</v>
      </c>
      <c r="CH62" s="20"/>
      <c r="CI62" s="20"/>
      <c r="CJ62" s="20"/>
    </row>
    <row r="63" spans="1:88">
      <c r="A63" s="17"/>
      <c r="B63" s="17"/>
      <c r="C63" s="41" t="s">
        <v>151</v>
      </c>
      <c r="D63" s="33" t="s">
        <v>44</v>
      </c>
      <c r="E63" s="33"/>
      <c r="F63" s="40"/>
      <c r="G63" s="18" t="s">
        <v>45</v>
      </c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</row>
    <row r="64" spans="1:88">
      <c r="A64" s="17"/>
      <c r="B64" s="33" t="s">
        <v>46</v>
      </c>
      <c r="C64" s="42" t="s">
        <v>47</v>
      </c>
      <c r="D64" s="17" t="s">
        <v>44</v>
      </c>
      <c r="E64" s="17"/>
      <c r="F64" s="18"/>
      <c r="G64" s="18" t="s">
        <v>48</v>
      </c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</row>
    <row r="65" spans="1:88">
      <c r="A65" s="17"/>
      <c r="B65" s="17"/>
      <c r="C65" s="43" t="s">
        <v>49</v>
      </c>
      <c r="D65" s="43"/>
      <c r="E65" s="43"/>
      <c r="F65" s="44"/>
      <c r="G65" s="18" t="s">
        <v>187</v>
      </c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</row>
    <row r="66" spans="1:88">
      <c r="A66" s="17"/>
      <c r="B66" s="33" t="s">
        <v>50</v>
      </c>
      <c r="C66" s="17"/>
      <c r="D66" s="17"/>
      <c r="E66" s="17"/>
      <c r="F66" s="18"/>
      <c r="G66" s="18" t="s">
        <v>51</v>
      </c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</row>
    <row r="67" spans="1:88">
      <c r="A67" s="17"/>
      <c r="B67" s="26"/>
      <c r="C67" s="17"/>
      <c r="D67" s="17"/>
      <c r="E67" s="17"/>
      <c r="F67" s="18"/>
      <c r="G67" s="18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</row>
    <row r="68" spans="1:88">
      <c r="A68" s="45"/>
      <c r="B68" s="45"/>
      <c r="C68" s="37" t="s">
        <v>52</v>
      </c>
      <c r="D68" s="37"/>
      <c r="E68" s="37"/>
      <c r="F68" s="38" t="s">
        <v>53</v>
      </c>
      <c r="G68" s="31" t="s">
        <v>54</v>
      </c>
      <c r="H68" s="46"/>
      <c r="I68" s="46"/>
      <c r="J68" s="46"/>
      <c r="K68" s="46"/>
      <c r="L68" s="46"/>
      <c r="M68" s="46"/>
      <c r="N68" s="46">
        <f t="shared" ref="N68:AS68" si="69">SUM(N22:N26)+N47+N53+N61+SUM(N62:N66)</f>
        <v>0</v>
      </c>
      <c r="O68" s="46">
        <f t="shared" si="69"/>
        <v>0</v>
      </c>
      <c r="P68" s="46">
        <f t="shared" si="69"/>
        <v>0</v>
      </c>
      <c r="Q68" s="46">
        <f t="shared" si="69"/>
        <v>0</v>
      </c>
      <c r="R68" s="46">
        <f t="shared" si="69"/>
        <v>0</v>
      </c>
      <c r="S68" s="46">
        <f t="shared" si="69"/>
        <v>0</v>
      </c>
      <c r="T68" s="46">
        <f t="shared" si="69"/>
        <v>0</v>
      </c>
      <c r="U68" s="46">
        <f t="shared" si="69"/>
        <v>350</v>
      </c>
      <c r="V68" s="46">
        <f t="shared" si="69"/>
        <v>350</v>
      </c>
      <c r="W68" s="46">
        <f t="shared" si="69"/>
        <v>350</v>
      </c>
      <c r="X68" s="46">
        <f t="shared" si="69"/>
        <v>350</v>
      </c>
      <c r="Y68" s="46">
        <f t="shared" si="69"/>
        <v>7066.666666666667</v>
      </c>
      <c r="Z68" s="46">
        <f>SUM(Z22:Z26)+Z47+Z53+Z61+SUM(Z62:Z66)</f>
        <v>10279.746666666666</v>
      </c>
      <c r="AA68" s="46">
        <f t="shared" si="69"/>
        <v>10279.746666666666</v>
      </c>
      <c r="AB68" s="46">
        <f t="shared" si="69"/>
        <v>10329.746666666666</v>
      </c>
      <c r="AC68" s="46">
        <f t="shared" si="69"/>
        <v>10419.296666666667</v>
      </c>
      <c r="AD68" s="46">
        <f t="shared" si="69"/>
        <v>10619.296666666667</v>
      </c>
      <c r="AE68" s="46">
        <f t="shared" si="69"/>
        <v>10619.296666666667</v>
      </c>
      <c r="AF68" s="46">
        <f t="shared" si="69"/>
        <v>11464.069066666667</v>
      </c>
      <c r="AG68" s="46">
        <f t="shared" si="69"/>
        <v>10796.269066666668</v>
      </c>
      <c r="AH68" s="46">
        <f t="shared" si="69"/>
        <v>16155.0524</v>
      </c>
      <c r="AI68" s="46">
        <f t="shared" si="69"/>
        <v>20821.7274</v>
      </c>
      <c r="AJ68" s="46">
        <f t="shared" si="69"/>
        <v>20921.7274</v>
      </c>
      <c r="AK68" s="46">
        <f t="shared" si="69"/>
        <v>24270.852400000003</v>
      </c>
      <c r="AL68" s="46">
        <f t="shared" si="69"/>
        <v>57176.538000000008</v>
      </c>
      <c r="AM68" s="46">
        <f t="shared" si="69"/>
        <v>68246.438000000009</v>
      </c>
      <c r="AN68" s="46">
        <f t="shared" si="69"/>
        <v>84003.388000000006</v>
      </c>
      <c r="AO68" s="46">
        <f t="shared" si="69"/>
        <v>100387.53800000002</v>
      </c>
      <c r="AP68" s="46">
        <f t="shared" si="69"/>
        <v>128455.27133333334</v>
      </c>
      <c r="AQ68" s="46">
        <f t="shared" si="69"/>
        <v>124510.92133333333</v>
      </c>
      <c r="AR68" s="46">
        <f t="shared" si="69"/>
        <v>150887.27886708331</v>
      </c>
      <c r="AS68" s="46">
        <f t="shared" si="69"/>
        <v>139532.82126083333</v>
      </c>
      <c r="AT68" s="46">
        <f t="shared" ref="AT68:BU68" si="70">SUM(AT22:AT26)+AT47+AT53+AT61+SUM(AT62:AT66)</f>
        <v>165527.23878583332</v>
      </c>
      <c r="AU68" s="46">
        <f t="shared" si="70"/>
        <v>167221.06922333332</v>
      </c>
      <c r="AV68" s="46">
        <f t="shared" si="70"/>
        <v>180314.89966083333</v>
      </c>
      <c r="AW68" s="46">
        <f t="shared" si="70"/>
        <v>169544.58009833333</v>
      </c>
      <c r="AX68" s="46">
        <f t="shared" si="70"/>
        <v>199094.32842833336</v>
      </c>
      <c r="AY68" s="46">
        <f t="shared" si="70"/>
        <v>202957.65739083334</v>
      </c>
      <c r="AZ68" s="46">
        <f t="shared" si="70"/>
        <v>211630.98635333334</v>
      </c>
      <c r="BA68" s="46">
        <f t="shared" si="70"/>
        <v>217573.83379708332</v>
      </c>
      <c r="BB68" s="46">
        <f t="shared" si="70"/>
        <v>225893.00503583331</v>
      </c>
      <c r="BC68" s="46">
        <f t="shared" si="70"/>
        <v>233066.77247958331</v>
      </c>
      <c r="BD68" s="46">
        <f t="shared" si="70"/>
        <v>251757.91899919999</v>
      </c>
      <c r="BE68" s="46">
        <f t="shared" si="70"/>
        <v>255397.94073669999</v>
      </c>
      <c r="BF68" s="46">
        <f t="shared" si="70"/>
        <v>269660.51416020002</v>
      </c>
      <c r="BG68" s="46">
        <f t="shared" si="70"/>
        <v>282493.19628219999</v>
      </c>
      <c r="BH68" s="46">
        <f t="shared" si="70"/>
        <v>295308.20875919994</v>
      </c>
      <c r="BI68" s="46">
        <f t="shared" si="70"/>
        <v>302974.19110119995</v>
      </c>
      <c r="BJ68" s="46">
        <f t="shared" si="70"/>
        <v>310527.57251720002</v>
      </c>
      <c r="BK68" s="46">
        <f t="shared" si="70"/>
        <v>316550.79507320002</v>
      </c>
      <c r="BL68" s="46">
        <f t="shared" si="70"/>
        <v>322417.71951919998</v>
      </c>
      <c r="BM68" s="46">
        <f t="shared" si="70"/>
        <v>329065.27808720001</v>
      </c>
      <c r="BN68" s="46">
        <f t="shared" si="70"/>
        <v>338925.03940086666</v>
      </c>
      <c r="BO68" s="46">
        <f t="shared" si="70"/>
        <v>343148.34763286664</v>
      </c>
      <c r="BP68" s="46">
        <f t="shared" si="70"/>
        <v>351156.02953489264</v>
      </c>
      <c r="BQ68" s="46">
        <f t="shared" si="70"/>
        <v>355145.1047088927</v>
      </c>
      <c r="BR68" s="46">
        <f t="shared" si="70"/>
        <v>359134.17988289276</v>
      </c>
      <c r="BS68" s="46">
        <f t="shared" si="70"/>
        <v>363123.2550568927</v>
      </c>
      <c r="BT68" s="46">
        <f t="shared" si="70"/>
        <v>367112.33023089264</v>
      </c>
      <c r="BU68" s="46">
        <f t="shared" si="70"/>
        <v>370867.17234689271</v>
      </c>
      <c r="BV68" s="46">
        <f t="shared" ref="BV68:CG68" si="71">SUM(BV22:BV26)+BV47+BV53+BV61+SUM(BV62:BV66)</f>
        <v>373913.27816289273</v>
      </c>
      <c r="BW68" s="46">
        <f t="shared" si="71"/>
        <v>377010.84507889266</v>
      </c>
      <c r="BX68" s="46">
        <f t="shared" si="71"/>
        <v>379122.49919489271</v>
      </c>
      <c r="BY68" s="46">
        <f t="shared" si="71"/>
        <v>381234.15331089264</v>
      </c>
      <c r="BZ68" s="46">
        <f t="shared" si="71"/>
        <v>383345.80742689269</v>
      </c>
      <c r="CA68" s="46">
        <f t="shared" si="71"/>
        <v>385457.46154289268</v>
      </c>
      <c r="CB68" s="46">
        <f t="shared" si="71"/>
        <v>391326.48070421949</v>
      </c>
      <c r="CC68" s="46">
        <f t="shared" si="71"/>
        <v>393344.44159701944</v>
      </c>
      <c r="CD68" s="46">
        <f t="shared" si="71"/>
        <v>395221.86265501945</v>
      </c>
      <c r="CE68" s="46">
        <f t="shared" si="71"/>
        <v>396442.00851301954</v>
      </c>
      <c r="CF68" s="46">
        <f t="shared" si="71"/>
        <v>397662.15437101951</v>
      </c>
      <c r="CG68" s="46">
        <f t="shared" si="71"/>
        <v>399210.9378290195</v>
      </c>
      <c r="CH68" s="46"/>
      <c r="CI68" s="46"/>
      <c r="CJ68" s="46"/>
    </row>
    <row r="69" spans="1:88" s="8" customFormat="1">
      <c r="E69" s="8" t="s">
        <v>190</v>
      </c>
      <c r="H69" s="90"/>
      <c r="I69" s="90"/>
      <c r="J69" s="90"/>
      <c r="K69" s="90"/>
      <c r="L69" s="90"/>
      <c r="M69" s="90"/>
      <c r="N69" s="90">
        <f t="shared" ref="N69:BC69" si="72">N68+M69</f>
        <v>0</v>
      </c>
      <c r="O69" s="90">
        <f t="shared" si="72"/>
        <v>0</v>
      </c>
      <c r="P69" s="90">
        <f t="shared" si="72"/>
        <v>0</v>
      </c>
      <c r="Q69" s="90">
        <f t="shared" si="72"/>
        <v>0</v>
      </c>
      <c r="R69" s="90">
        <f t="shared" si="72"/>
        <v>0</v>
      </c>
      <c r="S69" s="90">
        <f t="shared" si="72"/>
        <v>0</v>
      </c>
      <c r="T69" s="90">
        <f t="shared" si="72"/>
        <v>0</v>
      </c>
      <c r="U69" s="90">
        <f t="shared" si="72"/>
        <v>350</v>
      </c>
      <c r="V69" s="90">
        <f t="shared" si="72"/>
        <v>700</v>
      </c>
      <c r="W69" s="90">
        <f t="shared" si="72"/>
        <v>1050</v>
      </c>
      <c r="X69" s="90">
        <f t="shared" si="72"/>
        <v>1400</v>
      </c>
      <c r="Y69" s="90">
        <f t="shared" si="72"/>
        <v>8466.6666666666679</v>
      </c>
      <c r="Z69" s="90">
        <f t="shared" si="72"/>
        <v>18746.413333333334</v>
      </c>
      <c r="AA69" s="90">
        <f t="shared" si="72"/>
        <v>29026.16</v>
      </c>
      <c r="AB69" s="90">
        <f t="shared" si="72"/>
        <v>39355.906666666662</v>
      </c>
      <c r="AC69" s="90">
        <f t="shared" si="72"/>
        <v>49775.203333333331</v>
      </c>
      <c r="AD69" s="90">
        <f t="shared" si="72"/>
        <v>60394.5</v>
      </c>
      <c r="AE69" s="90">
        <f t="shared" si="72"/>
        <v>71013.796666666662</v>
      </c>
      <c r="AF69" s="90">
        <f t="shared" si="72"/>
        <v>82477.865733333325</v>
      </c>
      <c r="AG69" s="90">
        <f t="shared" si="72"/>
        <v>93274.1348</v>
      </c>
      <c r="AH69" s="90">
        <f t="shared" si="72"/>
        <v>109429.1872</v>
      </c>
      <c r="AI69" s="90">
        <f t="shared" si="72"/>
        <v>130250.9146</v>
      </c>
      <c r="AJ69" s="90">
        <f t="shared" si="72"/>
        <v>151172.64199999999</v>
      </c>
      <c r="AK69" s="90">
        <f t="shared" si="72"/>
        <v>175443.4944</v>
      </c>
      <c r="AL69" s="90">
        <f t="shared" si="72"/>
        <v>232620.0324</v>
      </c>
      <c r="AM69" s="90">
        <f t="shared" si="72"/>
        <v>300866.47039999999</v>
      </c>
      <c r="AN69" s="90">
        <f t="shared" si="72"/>
        <v>384869.85840000003</v>
      </c>
      <c r="AO69" s="90">
        <f t="shared" si="72"/>
        <v>485257.39640000003</v>
      </c>
      <c r="AP69" s="90">
        <f t="shared" si="72"/>
        <v>613712.66773333331</v>
      </c>
      <c r="AQ69" s="90">
        <f t="shared" si="72"/>
        <v>738223.58906666667</v>
      </c>
      <c r="AR69" s="90">
        <f t="shared" si="72"/>
        <v>889110.86793374992</v>
      </c>
      <c r="AS69" s="90">
        <f t="shared" si="72"/>
        <v>1028643.6891945832</v>
      </c>
      <c r="AT69" s="90">
        <f t="shared" si="72"/>
        <v>1194170.9279804165</v>
      </c>
      <c r="AU69" s="90">
        <f t="shared" si="72"/>
        <v>1361391.9972037498</v>
      </c>
      <c r="AV69" s="90">
        <f t="shared" si="72"/>
        <v>1541706.8968645833</v>
      </c>
      <c r="AW69" s="90">
        <f t="shared" si="72"/>
        <v>1711251.4769629166</v>
      </c>
      <c r="AX69" s="90">
        <f t="shared" si="72"/>
        <v>1910345.8053912499</v>
      </c>
      <c r="AY69" s="90">
        <f t="shared" si="72"/>
        <v>2113303.4627820831</v>
      </c>
      <c r="AZ69" s="90">
        <f t="shared" si="72"/>
        <v>2324934.4491354162</v>
      </c>
      <c r="BA69" s="90">
        <f t="shared" si="72"/>
        <v>2542508.2829324994</v>
      </c>
      <c r="BB69" s="90">
        <f t="shared" si="72"/>
        <v>2768401.2879683329</v>
      </c>
      <c r="BC69" s="90">
        <f t="shared" si="72"/>
        <v>3001468.0604479164</v>
      </c>
      <c r="BD69" s="90">
        <f t="shared" ref="BD69:BO69" si="73">BD68+BC69</f>
        <v>3253225.9794471161</v>
      </c>
      <c r="BE69" s="90">
        <f t="shared" si="73"/>
        <v>3508623.920183816</v>
      </c>
      <c r="BF69" s="90">
        <f t="shared" si="73"/>
        <v>3778284.434344016</v>
      </c>
      <c r="BG69" s="90">
        <f t="shared" si="73"/>
        <v>4060777.6306262161</v>
      </c>
      <c r="BH69" s="90">
        <f t="shared" si="73"/>
        <v>4356085.8393854164</v>
      </c>
      <c r="BI69" s="90">
        <f t="shared" si="73"/>
        <v>4659060.0304866163</v>
      </c>
      <c r="BJ69" s="90">
        <f t="shared" si="73"/>
        <v>4969587.6030038167</v>
      </c>
      <c r="BK69" s="90">
        <f t="shared" si="73"/>
        <v>5286138.3980770167</v>
      </c>
      <c r="BL69" s="90">
        <f t="shared" si="73"/>
        <v>5608556.1175962165</v>
      </c>
      <c r="BM69" s="90">
        <f t="shared" si="73"/>
        <v>5937621.3956834162</v>
      </c>
      <c r="BN69" s="90">
        <f t="shared" si="73"/>
        <v>6276546.4350842824</v>
      </c>
      <c r="BO69" s="90">
        <f t="shared" si="73"/>
        <v>6619694.7827171488</v>
      </c>
      <c r="BP69" s="90">
        <f t="shared" ref="BP69:BU69" si="74">BP68+BO69</f>
        <v>6970850.812252041</v>
      </c>
      <c r="BQ69" s="90">
        <f t="shared" si="74"/>
        <v>7325995.9169609332</v>
      </c>
      <c r="BR69" s="90">
        <f t="shared" si="74"/>
        <v>7685130.0968438257</v>
      </c>
      <c r="BS69" s="90">
        <f t="shared" si="74"/>
        <v>8048253.3519007182</v>
      </c>
      <c r="BT69" s="90">
        <f t="shared" si="74"/>
        <v>8415365.6821316108</v>
      </c>
      <c r="BU69" s="90">
        <f t="shared" si="74"/>
        <v>8786232.8544785026</v>
      </c>
      <c r="BV69" s="90">
        <f t="shared" ref="BV69:CG69" si="75">BV68+BU69</f>
        <v>9160146.1326413956</v>
      </c>
      <c r="BW69" s="90">
        <f t="shared" si="75"/>
        <v>9537156.9777202886</v>
      </c>
      <c r="BX69" s="90">
        <f t="shared" si="75"/>
        <v>9916279.4769151807</v>
      </c>
      <c r="BY69" s="90">
        <f t="shared" si="75"/>
        <v>10297513.630226074</v>
      </c>
      <c r="BZ69" s="90">
        <f t="shared" si="75"/>
        <v>10680859.437652966</v>
      </c>
      <c r="CA69" s="90">
        <f t="shared" si="75"/>
        <v>11066316.899195859</v>
      </c>
      <c r="CB69" s="90">
        <f t="shared" si="75"/>
        <v>11457643.379900079</v>
      </c>
      <c r="CC69" s="90">
        <f t="shared" si="75"/>
        <v>11850987.821497099</v>
      </c>
      <c r="CD69" s="90">
        <f t="shared" si="75"/>
        <v>12246209.684152119</v>
      </c>
      <c r="CE69" s="90">
        <f t="shared" si="75"/>
        <v>12642651.692665139</v>
      </c>
      <c r="CF69" s="90">
        <f t="shared" si="75"/>
        <v>13040313.847036159</v>
      </c>
      <c r="CG69" s="90">
        <f t="shared" si="75"/>
        <v>13439524.784865178</v>
      </c>
      <c r="CH69" s="90"/>
      <c r="CI69" s="90"/>
      <c r="CJ69" s="90"/>
    </row>
    <row r="70" spans="1:88">
      <c r="G70" s="31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</row>
    <row r="71" spans="1:88">
      <c r="A71" s="17"/>
      <c r="B71" s="47"/>
      <c r="C71" s="48"/>
      <c r="D71" s="48"/>
      <c r="E71" s="48"/>
      <c r="F71" s="49"/>
      <c r="G71" s="18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</row>
    <row r="72" spans="1:88">
      <c r="A72" s="45">
        <v>1</v>
      </c>
      <c r="B72" s="50" t="s">
        <v>55</v>
      </c>
      <c r="C72" s="37"/>
      <c r="D72" s="37"/>
      <c r="E72" s="37"/>
      <c r="F72" s="38"/>
      <c r="G72" s="82" t="s">
        <v>56</v>
      </c>
      <c r="H72" s="46"/>
      <c r="I72" s="46"/>
      <c r="J72" s="46"/>
      <c r="K72" s="46"/>
      <c r="L72" s="46"/>
      <c r="M72" s="46"/>
      <c r="N72" s="46">
        <f t="shared" ref="N72:AS72" si="76">N19-N68</f>
        <v>0</v>
      </c>
      <c r="O72" s="46">
        <f t="shared" si="76"/>
        <v>0</v>
      </c>
      <c r="P72" s="46">
        <f t="shared" si="76"/>
        <v>0</v>
      </c>
      <c r="Q72" s="46">
        <f t="shared" si="76"/>
        <v>0</v>
      </c>
      <c r="R72" s="46">
        <f t="shared" si="76"/>
        <v>0</v>
      </c>
      <c r="S72" s="46">
        <f t="shared" si="76"/>
        <v>0</v>
      </c>
      <c r="T72" s="46">
        <f t="shared" si="76"/>
        <v>0</v>
      </c>
      <c r="U72" s="46">
        <f t="shared" si="76"/>
        <v>-350</v>
      </c>
      <c r="V72" s="46">
        <f t="shared" si="76"/>
        <v>-350</v>
      </c>
      <c r="W72" s="46">
        <f t="shared" si="76"/>
        <v>-350</v>
      </c>
      <c r="X72" s="46">
        <f t="shared" si="76"/>
        <v>-350</v>
      </c>
      <c r="Y72" s="46">
        <f t="shared" si="76"/>
        <v>-7066.666666666667</v>
      </c>
      <c r="Z72" s="46">
        <f t="shared" si="76"/>
        <v>-10279.746666666666</v>
      </c>
      <c r="AA72" s="46">
        <f t="shared" si="76"/>
        <v>-10279.746666666666</v>
      </c>
      <c r="AB72" s="46">
        <f t="shared" si="76"/>
        <v>-10329.746666666666</v>
      </c>
      <c r="AC72" s="46">
        <f t="shared" si="76"/>
        <v>-10419.296666666667</v>
      </c>
      <c r="AD72" s="46">
        <f t="shared" si="76"/>
        <v>-10619.296666666667</v>
      </c>
      <c r="AE72" s="46">
        <f t="shared" si="76"/>
        <v>-10619.296666666667</v>
      </c>
      <c r="AF72" s="46">
        <f t="shared" si="76"/>
        <v>-11464.069066666667</v>
      </c>
      <c r="AG72" s="46">
        <f t="shared" si="76"/>
        <v>-10796.269066666668</v>
      </c>
      <c r="AH72" s="46">
        <f t="shared" si="76"/>
        <v>-16155.0524</v>
      </c>
      <c r="AI72" s="46">
        <f t="shared" si="76"/>
        <v>-20821.7274</v>
      </c>
      <c r="AJ72" s="46">
        <f t="shared" si="76"/>
        <v>-20921.7274</v>
      </c>
      <c r="AK72" s="46">
        <f t="shared" si="76"/>
        <v>-24270.852400000003</v>
      </c>
      <c r="AL72" s="46">
        <f t="shared" si="76"/>
        <v>-53276.388000000006</v>
      </c>
      <c r="AM72" s="46">
        <f t="shared" si="76"/>
        <v>-60446.138000000006</v>
      </c>
      <c r="AN72" s="46">
        <f t="shared" si="76"/>
        <v>-72302.938000000009</v>
      </c>
      <c r="AO72" s="46">
        <f t="shared" si="76"/>
        <v>-84786.938000000009</v>
      </c>
      <c r="AP72" s="46">
        <f t="shared" si="76"/>
        <v>-108954.52133333334</v>
      </c>
      <c r="AQ72" s="46">
        <f t="shared" si="76"/>
        <v>-101110.02133333334</v>
      </c>
      <c r="AR72" s="46">
        <f t="shared" si="76"/>
        <v>-119686.07886708331</v>
      </c>
      <c r="AS72" s="46">
        <f t="shared" si="76"/>
        <v>-100531.32126083333</v>
      </c>
      <c r="AT72" s="46">
        <f t="shared" ref="AT72:BU72" si="77">AT19-AT68</f>
        <v>-118725.43878583332</v>
      </c>
      <c r="AU72" s="46">
        <f t="shared" si="77"/>
        <v>-108718.81922333332</v>
      </c>
      <c r="AV72" s="46">
        <f t="shared" si="77"/>
        <v>-110112.19966083333</v>
      </c>
      <c r="AW72" s="46">
        <f t="shared" si="77"/>
        <v>-87641.430098333338</v>
      </c>
      <c r="AX72" s="46">
        <f t="shared" si="77"/>
        <v>-105490.72842833336</v>
      </c>
      <c r="AY72" s="46">
        <f t="shared" si="77"/>
        <v>-89847.95739083334</v>
      </c>
      <c r="AZ72" s="46">
        <f t="shared" si="77"/>
        <v>-79015.186353333353</v>
      </c>
      <c r="BA72" s="46">
        <f t="shared" si="77"/>
        <v>-65451.933797083329</v>
      </c>
      <c r="BB72" s="46">
        <f t="shared" si="77"/>
        <v>-50359.50503583331</v>
      </c>
      <c r="BC72" s="46">
        <f t="shared" si="77"/>
        <v>-30216.1724795833</v>
      </c>
      <c r="BD72" s="46">
        <f t="shared" si="77"/>
        <v>-29390.518999199994</v>
      </c>
      <c r="BE72" s="46">
        <f t="shared" si="77"/>
        <v>-5702.7407366999832</v>
      </c>
      <c r="BF72" s="46">
        <f t="shared" si="77"/>
        <v>3456.9858397999778</v>
      </c>
      <c r="BG72" s="46">
        <f t="shared" si="77"/>
        <v>33552.703717800032</v>
      </c>
      <c r="BH72" s="46">
        <f t="shared" si="77"/>
        <v>44149.291240800056</v>
      </c>
      <c r="BI72" s="46">
        <f t="shared" si="77"/>
        <v>59894.908898800029</v>
      </c>
      <c r="BJ72" s="46">
        <f t="shared" si="77"/>
        <v>75753.127482799988</v>
      </c>
      <c r="BK72" s="46">
        <f t="shared" si="77"/>
        <v>87288.604926800006</v>
      </c>
      <c r="BL72" s="46">
        <f t="shared" si="77"/>
        <v>98980.380480799999</v>
      </c>
      <c r="BM72" s="46">
        <f t="shared" si="77"/>
        <v>109891.52191279997</v>
      </c>
      <c r="BN72" s="46">
        <f t="shared" si="77"/>
        <v>117590.46059913334</v>
      </c>
      <c r="BO72" s="46">
        <f t="shared" si="77"/>
        <v>125072.95236713334</v>
      </c>
      <c r="BP72" s="46">
        <f t="shared" si="77"/>
        <v>128771.07046510733</v>
      </c>
      <c r="BQ72" s="46">
        <f t="shared" si="77"/>
        <v>136487.79529110732</v>
      </c>
      <c r="BR72" s="46">
        <f t="shared" si="77"/>
        <v>144204.52011710725</v>
      </c>
      <c r="BS72" s="46">
        <f t="shared" si="77"/>
        <v>151921.2449431073</v>
      </c>
      <c r="BT72" s="46">
        <f t="shared" si="77"/>
        <v>159637.96976910741</v>
      </c>
      <c r="BU72" s="46">
        <f t="shared" si="77"/>
        <v>167588.92765310727</v>
      </c>
      <c r="BV72" s="46">
        <f t="shared" ref="BV72:CG72" si="78">BV19-BV68</f>
        <v>172736.8818371073</v>
      </c>
      <c r="BW72" s="46">
        <f t="shared" si="78"/>
        <v>179003.95492110739</v>
      </c>
      <c r="BX72" s="46">
        <f t="shared" si="78"/>
        <v>182745.20080510725</v>
      </c>
      <c r="BY72" s="46">
        <f t="shared" si="78"/>
        <v>186486.44668910734</v>
      </c>
      <c r="BZ72" s="46">
        <f t="shared" si="78"/>
        <v>190227.69257310731</v>
      </c>
      <c r="CA72" s="46">
        <f t="shared" si="78"/>
        <v>193968.93845710735</v>
      </c>
      <c r="CB72" s="46">
        <f t="shared" si="78"/>
        <v>193952.81929578056</v>
      </c>
      <c r="CC72" s="46">
        <f t="shared" si="78"/>
        <v>197787.75840298051</v>
      </c>
      <c r="CD72" s="46">
        <f t="shared" si="78"/>
        <v>201763.23734498053</v>
      </c>
      <c r="CE72" s="46">
        <f t="shared" si="78"/>
        <v>204054.83148698043</v>
      </c>
      <c r="CF72" s="46">
        <f t="shared" si="78"/>
        <v>206346.42562898045</v>
      </c>
      <c r="CG72" s="46">
        <f t="shared" si="78"/>
        <v>209479.96217098052</v>
      </c>
      <c r="CH72" s="46"/>
      <c r="CI72" s="46"/>
      <c r="CJ72" s="46"/>
    </row>
    <row r="73" spans="1:88">
      <c r="A73" s="17"/>
      <c r="B73" s="51"/>
      <c r="C73" s="17"/>
      <c r="D73" s="17"/>
      <c r="E73" s="17"/>
      <c r="F73" s="18"/>
      <c r="H73" s="2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</row>
    <row r="74" spans="1:88">
      <c r="A74" s="17"/>
      <c r="B74" s="33" t="s">
        <v>57</v>
      </c>
      <c r="C74" s="17"/>
      <c r="D74" s="17"/>
      <c r="E74" s="17"/>
      <c r="F74" s="18" t="s">
        <v>58</v>
      </c>
      <c r="G74" s="18" t="s">
        <v>59</v>
      </c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</row>
    <row r="75" spans="1:88">
      <c r="A75" s="17"/>
      <c r="B75" s="33" t="s">
        <v>60</v>
      </c>
      <c r="C75" s="17"/>
      <c r="D75" s="17"/>
      <c r="E75" s="17"/>
      <c r="F75" s="18" t="s">
        <v>61</v>
      </c>
      <c r="G75" s="18" t="s">
        <v>62</v>
      </c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</row>
    <row r="76" spans="1:88">
      <c r="A76" s="17"/>
      <c r="B76" s="52" t="s">
        <v>63</v>
      </c>
      <c r="C76" s="17"/>
      <c r="D76" s="17"/>
      <c r="E76" s="17"/>
      <c r="F76" s="18"/>
      <c r="G76" s="18" t="s">
        <v>64</v>
      </c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</row>
    <row r="77" spans="1:88" ht="14.25">
      <c r="A77" s="17"/>
      <c r="B77" s="33" t="s">
        <v>152</v>
      </c>
      <c r="C77" s="17"/>
      <c r="D77" s="17"/>
      <c r="E77" s="17"/>
      <c r="F77" s="18"/>
      <c r="G77" s="18" t="s">
        <v>65</v>
      </c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</row>
    <row r="78" spans="1:88">
      <c r="A78" s="17"/>
      <c r="B78" s="33" t="s">
        <v>66</v>
      </c>
      <c r="C78" s="17"/>
      <c r="D78" s="17"/>
      <c r="E78" s="17"/>
      <c r="F78" s="18"/>
      <c r="G78" s="18" t="s">
        <v>67</v>
      </c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</row>
    <row r="79" spans="1:88">
      <c r="A79" s="17"/>
      <c r="B79" s="33" t="s">
        <v>68</v>
      </c>
      <c r="C79" s="17"/>
      <c r="D79" s="17"/>
      <c r="E79" s="17"/>
      <c r="F79" s="18"/>
      <c r="G79" s="18" t="s">
        <v>69</v>
      </c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</row>
    <row r="80" spans="1:88">
      <c r="A80" s="17"/>
      <c r="B80" s="33" t="s">
        <v>70</v>
      </c>
      <c r="C80" s="17"/>
      <c r="D80" s="17"/>
      <c r="E80" s="17"/>
      <c r="F80" s="18"/>
      <c r="G80" s="18" t="s">
        <v>71</v>
      </c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</row>
    <row r="81" spans="1:88">
      <c r="A81" s="17"/>
      <c r="B81" s="33" t="s">
        <v>72</v>
      </c>
      <c r="C81" s="17"/>
      <c r="D81" s="17"/>
      <c r="E81" s="17"/>
      <c r="F81" s="18"/>
      <c r="G81" s="18" t="s">
        <v>73</v>
      </c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</row>
    <row r="82" spans="1:88">
      <c r="A82" s="17"/>
      <c r="B82" s="33"/>
      <c r="C82" s="17"/>
      <c r="D82" s="17"/>
      <c r="E82" s="17"/>
      <c r="F82" s="18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</row>
    <row r="83" spans="1:88">
      <c r="A83" s="45"/>
      <c r="B83" s="45"/>
      <c r="C83" s="37" t="s">
        <v>74</v>
      </c>
      <c r="D83" s="45"/>
      <c r="E83" s="45"/>
      <c r="F83" s="53" t="s">
        <v>75</v>
      </c>
      <c r="G83" s="18" t="s">
        <v>76</v>
      </c>
      <c r="H83" s="20"/>
      <c r="I83" s="20"/>
      <c r="J83" s="20"/>
      <c r="K83" s="20"/>
      <c r="L83" s="20"/>
      <c r="M83" s="20"/>
      <c r="N83" s="20">
        <f t="shared" ref="N83:AQ83" si="79">SUM(N74:N81)</f>
        <v>0</v>
      </c>
      <c r="O83" s="20">
        <f t="shared" si="79"/>
        <v>0</v>
      </c>
      <c r="P83" s="20">
        <f t="shared" si="79"/>
        <v>0</v>
      </c>
      <c r="Q83" s="20">
        <f t="shared" si="79"/>
        <v>0</v>
      </c>
      <c r="R83" s="20">
        <f t="shared" si="79"/>
        <v>0</v>
      </c>
      <c r="S83" s="20">
        <f t="shared" si="79"/>
        <v>0</v>
      </c>
      <c r="T83" s="20">
        <f t="shared" si="79"/>
        <v>0</v>
      </c>
      <c r="U83" s="20">
        <f t="shared" si="79"/>
        <v>0</v>
      </c>
      <c r="V83" s="20">
        <f t="shared" si="79"/>
        <v>0</v>
      </c>
      <c r="W83" s="20">
        <f t="shared" si="79"/>
        <v>0</v>
      </c>
      <c r="X83" s="20">
        <f t="shared" si="79"/>
        <v>0</v>
      </c>
      <c r="Y83" s="20">
        <f t="shared" si="79"/>
        <v>0</v>
      </c>
      <c r="Z83" s="20">
        <f t="shared" si="79"/>
        <v>0</v>
      </c>
      <c r="AA83" s="20">
        <f t="shared" si="79"/>
        <v>0</v>
      </c>
      <c r="AB83" s="20">
        <f t="shared" si="79"/>
        <v>0</v>
      </c>
      <c r="AC83" s="20">
        <f t="shared" si="79"/>
        <v>0</v>
      </c>
      <c r="AD83" s="20">
        <f t="shared" si="79"/>
        <v>0</v>
      </c>
      <c r="AE83" s="20">
        <f t="shared" si="79"/>
        <v>0</v>
      </c>
      <c r="AF83" s="20">
        <f t="shared" si="79"/>
        <v>0</v>
      </c>
      <c r="AG83" s="20">
        <f t="shared" si="79"/>
        <v>0</v>
      </c>
      <c r="AH83" s="20">
        <f t="shared" si="79"/>
        <v>0</v>
      </c>
      <c r="AI83" s="20">
        <f t="shared" si="79"/>
        <v>0</v>
      </c>
      <c r="AJ83" s="20">
        <f t="shared" si="79"/>
        <v>0</v>
      </c>
      <c r="AK83" s="20">
        <f t="shared" si="79"/>
        <v>0</v>
      </c>
      <c r="AL83" s="20">
        <f t="shared" si="79"/>
        <v>0</v>
      </c>
      <c r="AM83" s="20">
        <f t="shared" si="79"/>
        <v>0</v>
      </c>
      <c r="AN83" s="20">
        <f t="shared" si="79"/>
        <v>0</v>
      </c>
      <c r="AO83" s="20">
        <f t="shared" si="79"/>
        <v>0</v>
      </c>
      <c r="AP83" s="20">
        <f t="shared" si="79"/>
        <v>0</v>
      </c>
      <c r="AQ83" s="20">
        <f t="shared" si="79"/>
        <v>0</v>
      </c>
      <c r="AR83" s="20">
        <f t="shared" ref="AR83:BC83" si="80">SUM(AR74:AR81)</f>
        <v>0</v>
      </c>
      <c r="AS83" s="20">
        <f t="shared" si="80"/>
        <v>0</v>
      </c>
      <c r="AT83" s="20">
        <f t="shared" si="80"/>
        <v>0</v>
      </c>
      <c r="AU83" s="20">
        <f t="shared" si="80"/>
        <v>0</v>
      </c>
      <c r="AV83" s="20">
        <f t="shared" si="80"/>
        <v>0</v>
      </c>
      <c r="AW83" s="20">
        <f t="shared" si="80"/>
        <v>0</v>
      </c>
      <c r="AX83" s="20">
        <f t="shared" si="80"/>
        <v>0</v>
      </c>
      <c r="AY83" s="20">
        <f t="shared" si="80"/>
        <v>0</v>
      </c>
      <c r="AZ83" s="20">
        <f t="shared" si="80"/>
        <v>0</v>
      </c>
      <c r="BA83" s="20">
        <f t="shared" si="80"/>
        <v>0</v>
      </c>
      <c r="BB83" s="20">
        <f t="shared" si="80"/>
        <v>0</v>
      </c>
      <c r="BC83" s="20">
        <f t="shared" si="80"/>
        <v>0</v>
      </c>
      <c r="BD83" s="20">
        <f t="shared" ref="BD83:BO83" si="81">SUM(BD74:BD81)</f>
        <v>0</v>
      </c>
      <c r="BE83" s="20">
        <f t="shared" si="81"/>
        <v>0</v>
      </c>
      <c r="BF83" s="20">
        <f t="shared" si="81"/>
        <v>0</v>
      </c>
      <c r="BG83" s="20">
        <f t="shared" si="81"/>
        <v>0</v>
      </c>
      <c r="BH83" s="20">
        <f t="shared" si="81"/>
        <v>0</v>
      </c>
      <c r="BI83" s="20">
        <f t="shared" si="81"/>
        <v>0</v>
      </c>
      <c r="BJ83" s="20">
        <f t="shared" si="81"/>
        <v>0</v>
      </c>
      <c r="BK83" s="20">
        <f t="shared" si="81"/>
        <v>0</v>
      </c>
      <c r="BL83" s="20">
        <f t="shared" si="81"/>
        <v>0</v>
      </c>
      <c r="BM83" s="20">
        <f t="shared" si="81"/>
        <v>0</v>
      </c>
      <c r="BN83" s="20">
        <f t="shared" si="81"/>
        <v>0</v>
      </c>
      <c r="BO83" s="20">
        <f t="shared" si="81"/>
        <v>0</v>
      </c>
      <c r="BP83" s="20">
        <f t="shared" ref="BP83:BU83" si="82">SUM(BP74:BP81)</f>
        <v>0</v>
      </c>
      <c r="BQ83" s="20">
        <f t="shared" si="82"/>
        <v>0</v>
      </c>
      <c r="BR83" s="20">
        <f t="shared" si="82"/>
        <v>0</v>
      </c>
      <c r="BS83" s="20">
        <f t="shared" si="82"/>
        <v>0</v>
      </c>
      <c r="BT83" s="20">
        <f t="shared" si="82"/>
        <v>0</v>
      </c>
      <c r="BU83" s="20">
        <f t="shared" si="82"/>
        <v>0</v>
      </c>
      <c r="BV83" s="20">
        <f t="shared" ref="BV83:CG83" si="83">SUM(BV74:BV81)</f>
        <v>0</v>
      </c>
      <c r="BW83" s="20">
        <f t="shared" si="83"/>
        <v>0</v>
      </c>
      <c r="BX83" s="20">
        <f t="shared" si="83"/>
        <v>0</v>
      </c>
      <c r="BY83" s="20">
        <f t="shared" si="83"/>
        <v>0</v>
      </c>
      <c r="BZ83" s="20">
        <f t="shared" si="83"/>
        <v>0</v>
      </c>
      <c r="CA83" s="20">
        <f t="shared" si="83"/>
        <v>0</v>
      </c>
      <c r="CB83" s="20">
        <f t="shared" si="83"/>
        <v>0</v>
      </c>
      <c r="CC83" s="20">
        <f t="shared" si="83"/>
        <v>0</v>
      </c>
      <c r="CD83" s="20">
        <f t="shared" si="83"/>
        <v>0</v>
      </c>
      <c r="CE83" s="20">
        <f t="shared" si="83"/>
        <v>0</v>
      </c>
      <c r="CF83" s="20">
        <f t="shared" si="83"/>
        <v>0</v>
      </c>
      <c r="CG83" s="20">
        <f t="shared" si="83"/>
        <v>0</v>
      </c>
      <c r="CH83" s="20"/>
      <c r="CI83" s="20"/>
      <c r="CJ83" s="20"/>
    </row>
    <row r="84" spans="1:88">
      <c r="A84" s="17"/>
      <c r="B84" s="26"/>
      <c r="C84" s="26"/>
      <c r="D84" s="26"/>
      <c r="E84" s="26"/>
      <c r="F84" s="28"/>
      <c r="G84" s="83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</row>
    <row r="85" spans="1:88">
      <c r="A85" s="17"/>
      <c r="B85" s="33" t="s">
        <v>77</v>
      </c>
      <c r="C85" s="54"/>
      <c r="D85" s="54"/>
      <c r="E85" s="54"/>
      <c r="F85" s="55"/>
      <c r="G85" s="28" t="s">
        <v>78</v>
      </c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</row>
    <row r="86" spans="1:88">
      <c r="A86" s="17"/>
      <c r="B86" s="33" t="s">
        <v>79</v>
      </c>
      <c r="C86" s="54"/>
      <c r="D86" s="54"/>
      <c r="E86" s="54"/>
      <c r="F86" s="55"/>
      <c r="G86" s="84" t="s">
        <v>182</v>
      </c>
      <c r="H86" s="29"/>
      <c r="I86" s="29"/>
      <c r="J86" s="29"/>
      <c r="K86" s="29"/>
      <c r="L86" s="29"/>
      <c r="M86" s="29"/>
      <c r="N86" s="29">
        <f>fincmt!J17+fincmt!J16+fincmt!J33+fincmt!J22</f>
        <v>0</v>
      </c>
      <c r="O86" s="29">
        <f>fincmt!K17+fincmt!K16+fincmt!K33+fincmt!K22</f>
        <v>0</v>
      </c>
      <c r="P86" s="29">
        <f>fincmt!L17+fincmt!L16+fincmt!L33+fincmt!L22</f>
        <v>0</v>
      </c>
      <c r="Q86" s="29">
        <f>fincmt!M17+fincmt!M16+fincmt!M33+fincmt!M22</f>
        <v>0</v>
      </c>
      <c r="R86" s="29">
        <f>fincmt!N17+fincmt!N16+fincmt!N33+fincmt!N22</f>
        <v>0</v>
      </c>
      <c r="S86" s="29">
        <f>fincmt!O17+fincmt!O16+fincmt!O33+fincmt!O22</f>
        <v>0</v>
      </c>
      <c r="T86" s="29">
        <f>fincmt!P17+fincmt!P16+fincmt!P33+fincmt!P22</f>
        <v>0</v>
      </c>
      <c r="U86" s="29">
        <f>fincmt!Q17+fincmt!Q16+fincmt!Q33+fincmt!Q22</f>
        <v>0</v>
      </c>
      <c r="V86" s="29">
        <f>fincmt!R17+fincmt!R16+fincmt!R33+fincmt!R22</f>
        <v>0</v>
      </c>
      <c r="W86" s="29">
        <f>fincmt!S17+fincmt!S16+fincmt!S33+fincmt!S22</f>
        <v>0</v>
      </c>
      <c r="X86" s="29">
        <f>fincmt!T17+fincmt!T16+fincmt!T33+fincmt!T22</f>
        <v>0</v>
      </c>
      <c r="Y86" s="29">
        <f>fincmt!U17+fincmt!U16+fincmt!U33+fincmt!U22</f>
        <v>0</v>
      </c>
      <c r="Z86" s="29">
        <f>fincmt!V17+fincmt!V16+fincmt!V33+fincmt!V22</f>
        <v>1083.3296795180715</v>
      </c>
      <c r="AA86" s="29">
        <f>fincmt!W17+fincmt!W16+fincmt!W33+fincmt!W22</f>
        <v>1062.4926923694761</v>
      </c>
      <c r="AB86" s="29">
        <f>fincmt!X17+fincmt!X16+fincmt!X33+fincmt!X22</f>
        <v>1041.6557052208807</v>
      </c>
      <c r="AC86" s="29">
        <f>fincmt!Y17+fincmt!Y16+fincmt!Y33+fincmt!Y22</f>
        <v>1020.8187180722854</v>
      </c>
      <c r="AD86" s="29">
        <f>fincmt!Z17+fincmt!Z16+fincmt!Z33+fincmt!Z22</f>
        <v>999.98173092369007</v>
      </c>
      <c r="AE86" s="29">
        <f>fincmt!AA17+fincmt!AA16+fincmt!AA33+fincmt!AA22</f>
        <v>979.14474377509464</v>
      </c>
      <c r="AF86" s="29">
        <f>fincmt!AB17+fincmt!AB16+fincmt!AB33+fincmt!AB22</f>
        <v>958.30775662649944</v>
      </c>
      <c r="AG86" s="29">
        <f>fincmt!AC17+fincmt!AC16+fincmt!AC33+fincmt!AC22</f>
        <v>937.47076947790413</v>
      </c>
      <c r="AH86" s="29">
        <f>fincmt!AD17+fincmt!AD16+fincmt!AD33+fincmt!AD22</f>
        <v>916.6337823293087</v>
      </c>
      <c r="AI86" s="29">
        <f>fincmt!AE17+fincmt!AE16+fincmt!AE33+fincmt!AE22</f>
        <v>930.46334492529161</v>
      </c>
      <c r="AJ86" s="29">
        <f>fincmt!AF17+fincmt!AF16+fincmt!AF33+fincmt!AF22</f>
        <v>908.95957418794126</v>
      </c>
      <c r="AK86" s="29">
        <f>fincmt!AG17+fincmt!AG16+fincmt!AG33+fincmt!AG22</f>
        <v>887.45580345059079</v>
      </c>
      <c r="AL86" s="29">
        <f>fincmt!AH17+fincmt!AH16+fincmt!AH33+fincmt!AH22</f>
        <v>865.95203271324044</v>
      </c>
      <c r="AM86" s="29">
        <f>fincmt!AI17+fincmt!AI16+fincmt!AI33+fincmt!AI22</f>
        <v>844.44826197589009</v>
      </c>
      <c r="AN86" s="29">
        <f>fincmt!AJ17+fincmt!AJ16+fincmt!AJ33+fincmt!AJ22</f>
        <v>822.94449123853974</v>
      </c>
      <c r="AO86" s="29">
        <f>fincmt!AK17+fincmt!AK16+fincmt!AK33+fincmt!AK22</f>
        <v>801.44072050118939</v>
      </c>
      <c r="AP86" s="29">
        <f>fincmt!AL17+fincmt!AL16+fincmt!AL33+fincmt!AL22</f>
        <v>779.93694976383904</v>
      </c>
      <c r="AQ86" s="29">
        <f>fincmt!AM17+fincmt!AM16+fincmt!AM33+fincmt!AM22</f>
        <v>758.43317902648857</v>
      </c>
      <c r="AR86" s="29">
        <f>fincmt!AN17+fincmt!AN16+fincmt!AN33+fincmt!AN22</f>
        <v>736.92940828913822</v>
      </c>
      <c r="AS86" s="29">
        <f>fincmt!AO17+fincmt!AO16+fincmt!AO33+fincmt!AO22</f>
        <v>819.42528678552264</v>
      </c>
      <c r="AT86" s="29">
        <f>fincmt!AP17+fincmt!AP16+fincmt!AP33+fincmt!AP22</f>
        <v>795.92116528190707</v>
      </c>
      <c r="AU86" s="29">
        <f>fincmt!AQ17+fincmt!AQ16+fincmt!AQ33+fincmt!AQ22</f>
        <v>772.4170437782916</v>
      </c>
      <c r="AV86" s="29">
        <f>fincmt!AR17+fincmt!AR16+fincmt!AR33+fincmt!AR22</f>
        <v>748.91292227467591</v>
      </c>
      <c r="AW86" s="29">
        <f>fincmt!AS17+fincmt!AS16+fincmt!AS33+fincmt!AS22</f>
        <v>725.40880077106033</v>
      </c>
      <c r="AX86" s="29">
        <f>fincmt!AT17+fincmt!AT16+fincmt!AT33+fincmt!AT22</f>
        <v>701.90467926744475</v>
      </c>
      <c r="AY86" s="29">
        <f>fincmt!AU17+fincmt!AU16+fincmt!AU33+fincmt!AU22</f>
        <v>678.40055776382928</v>
      </c>
      <c r="AZ86" s="29">
        <f>fincmt!AV17+fincmt!AV16+fincmt!AV33+fincmt!AV22</f>
        <v>654.8964362602137</v>
      </c>
      <c r="BA86" s="29">
        <f>fincmt!AW17+fincmt!AW16+fincmt!AW33+fincmt!AW22</f>
        <v>631.39231475659824</v>
      </c>
      <c r="BB86" s="29">
        <f>fincmt!AX17+fincmt!AX16+fincmt!AX33+fincmt!AX22</f>
        <v>607.88819325298255</v>
      </c>
      <c r="BC86" s="29">
        <f>fincmt!AY17+fincmt!AY16+fincmt!AY33+fincmt!AY22</f>
        <v>584.38407174936697</v>
      </c>
      <c r="BD86" s="29">
        <f>fincmt!AZ17+fincmt!AZ16+fincmt!AZ33+fincmt!AZ22</f>
        <v>560.87995024575139</v>
      </c>
      <c r="BE86" s="29">
        <f>fincmt!BA17+fincmt!BA16+fincmt!BA33+fincmt!BA22</f>
        <v>615.37556566743706</v>
      </c>
      <c r="BF86" s="29">
        <f>fincmt!BB17+fincmt!BB16+fincmt!BB33+fincmt!BB22</f>
        <v>590.37118108912262</v>
      </c>
      <c r="BG86" s="29">
        <f>fincmt!BC17+fincmt!BC16+fincmt!BC33+fincmt!BC22</f>
        <v>565.36679651080817</v>
      </c>
      <c r="BH86" s="29">
        <f>fincmt!BD17+fincmt!BD16+fincmt!BD33+fincmt!BD22</f>
        <v>540.36241193249373</v>
      </c>
      <c r="BI86" s="29">
        <f>fincmt!BE17+fincmt!BE16+fincmt!BE33+fincmt!BE22</f>
        <v>515.35802735417928</v>
      </c>
      <c r="BJ86" s="29">
        <f>fincmt!BF17+fincmt!BF16+fincmt!BF33+fincmt!BF22</f>
        <v>490.35364277586484</v>
      </c>
      <c r="BK86" s="29">
        <f>fincmt!BG17+fincmt!BG16+fincmt!BG33+fincmt!BG22</f>
        <v>465.34925819755045</v>
      </c>
      <c r="BL86" s="29">
        <f>fincmt!BH17+fincmt!BH16+fincmt!BH33+fincmt!BH22</f>
        <v>440.34487361923607</v>
      </c>
      <c r="BM86" s="29">
        <f>fincmt!BI17+fincmt!BI16+fincmt!BI33+fincmt!BI22</f>
        <v>415.34048904092157</v>
      </c>
      <c r="BN86" s="29">
        <f>fincmt!BJ17+fincmt!BJ16+fincmt!BJ33+fincmt!BJ22</f>
        <v>390.33610446260718</v>
      </c>
      <c r="BO86" s="29">
        <f>fincmt!BK17+fincmt!BK16+fincmt!BK33+fincmt!BK22</f>
        <v>365.33171988429274</v>
      </c>
      <c r="BP86" s="29">
        <f>fincmt!BL17+fincmt!BL16+fincmt!BL33+fincmt!BL22</f>
        <v>340.32733530597835</v>
      </c>
      <c r="BQ86" s="29">
        <f>fincmt!BM17+fincmt!BM16+fincmt!BM33+fincmt!BM22</f>
        <v>315.32295072766385</v>
      </c>
      <c r="BR86" s="29">
        <f>fincmt!BN17+fincmt!BN16+fincmt!BN33+fincmt!BN22</f>
        <v>290.31856614934946</v>
      </c>
      <c r="BS86" s="29">
        <f>fincmt!BO17+fincmt!BO16+fincmt!BO33+fincmt!BO22</f>
        <v>265.31418157103502</v>
      </c>
      <c r="BT86" s="29">
        <f>fincmt!BP17+fincmt!BP16+fincmt!BP33+fincmt!BP22</f>
        <v>240.30979699272061</v>
      </c>
      <c r="BU86" s="29">
        <f>fincmt!BQ17+fincmt!BQ16+fincmt!BQ33+fincmt!BQ22</f>
        <v>215.30541241440616</v>
      </c>
      <c r="BV86" s="29">
        <f>fincmt!CD17+fincmt!CD16+fincmt!CD33+fincmt!CD22</f>
        <v>0</v>
      </c>
      <c r="BW86" s="29">
        <f>fincmt!CE17+fincmt!CE16+fincmt!CE33+fincmt!CE22</f>
        <v>0</v>
      </c>
      <c r="BX86" s="29">
        <f>fincmt!CF17+fincmt!CF16+fincmt!CF33+fincmt!CF22</f>
        <v>0</v>
      </c>
      <c r="BY86" s="29">
        <f>fincmt!CG17+fincmt!CG16+fincmt!CG33+fincmt!CG22</f>
        <v>0</v>
      </c>
      <c r="BZ86" s="29">
        <f>fincmt!CH17+fincmt!CH16+fincmt!CH33+fincmt!CH22</f>
        <v>0</v>
      </c>
      <c r="CA86" s="29">
        <f>fincmt!CI17+fincmt!CI16+fincmt!CI33+fincmt!CI22</f>
        <v>0</v>
      </c>
      <c r="CB86" s="29">
        <f>fincmt!CJ17+fincmt!CJ16+fincmt!CJ33+fincmt!CJ22</f>
        <v>0</v>
      </c>
      <c r="CC86" s="29">
        <f>fincmt!CK17+fincmt!CK16+fincmt!CK33+fincmt!CK22</f>
        <v>0</v>
      </c>
      <c r="CD86" s="29">
        <f>fincmt!CL17+fincmt!CL16+fincmt!CL33+fincmt!CL22</f>
        <v>0</v>
      </c>
      <c r="CE86" s="29">
        <f>fincmt!CM17+fincmt!CM16+fincmt!CM33+fincmt!CM22</f>
        <v>0</v>
      </c>
      <c r="CF86" s="29">
        <f>fincmt!CN17+fincmt!CN16+fincmt!CN33+fincmt!CN22</f>
        <v>0</v>
      </c>
      <c r="CG86" s="29">
        <f>fincmt!CO17+fincmt!CO16+fincmt!CO33+fincmt!CO22</f>
        <v>0</v>
      </c>
      <c r="CH86" s="29"/>
      <c r="CI86" s="29"/>
      <c r="CJ86" s="29"/>
    </row>
    <row r="87" spans="1:88">
      <c r="A87" s="17"/>
      <c r="B87" s="33" t="s">
        <v>80</v>
      </c>
      <c r="C87" s="54"/>
      <c r="D87" s="54"/>
      <c r="E87" s="54"/>
      <c r="F87" s="55"/>
      <c r="G87" s="85" t="s">
        <v>81</v>
      </c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</row>
    <row r="88" spans="1:88">
      <c r="A88" s="17"/>
      <c r="B88" s="33" t="s">
        <v>82</v>
      </c>
      <c r="C88" s="54"/>
      <c r="D88" s="54"/>
      <c r="E88" s="54"/>
      <c r="F88" s="55"/>
      <c r="G88" s="85" t="s">
        <v>83</v>
      </c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</row>
    <row r="89" spans="1:88">
      <c r="A89" s="17"/>
      <c r="B89" s="26"/>
      <c r="C89" s="54"/>
      <c r="D89" s="54"/>
      <c r="E89" s="54"/>
      <c r="F89" s="55"/>
      <c r="G89" s="84" t="s">
        <v>11</v>
      </c>
      <c r="H89" s="20"/>
      <c r="I89" s="20"/>
      <c r="J89" s="20"/>
      <c r="K89" s="20"/>
      <c r="L89" s="20"/>
      <c r="M89" s="20"/>
      <c r="N89" s="20" t="s">
        <v>22</v>
      </c>
      <c r="O89" s="20" t="s">
        <v>22</v>
      </c>
      <c r="P89" s="20" t="s">
        <v>22</v>
      </c>
      <c r="Q89" s="20" t="s">
        <v>22</v>
      </c>
      <c r="R89" s="20" t="s">
        <v>22</v>
      </c>
      <c r="S89" s="20" t="s">
        <v>22</v>
      </c>
      <c r="T89" s="20" t="s">
        <v>22</v>
      </c>
      <c r="U89" s="20" t="s">
        <v>22</v>
      </c>
      <c r="V89" s="20" t="s">
        <v>22</v>
      </c>
      <c r="W89" s="20" t="s">
        <v>22</v>
      </c>
      <c r="X89" s="20" t="s">
        <v>22</v>
      </c>
      <c r="Y89" s="20" t="s">
        <v>22</v>
      </c>
      <c r="Z89" s="20" t="s">
        <v>22</v>
      </c>
      <c r="AA89" s="20" t="s">
        <v>22</v>
      </c>
      <c r="AB89" s="20" t="s">
        <v>22</v>
      </c>
      <c r="AC89" s="20" t="s">
        <v>22</v>
      </c>
      <c r="AD89" s="20" t="s">
        <v>22</v>
      </c>
      <c r="AE89" s="20" t="s">
        <v>22</v>
      </c>
      <c r="AF89" s="20" t="s">
        <v>22</v>
      </c>
      <c r="AG89" s="20" t="s">
        <v>22</v>
      </c>
      <c r="AH89" s="20" t="s">
        <v>22</v>
      </c>
      <c r="AI89" s="20" t="s">
        <v>22</v>
      </c>
      <c r="AJ89" s="20" t="s">
        <v>22</v>
      </c>
      <c r="AK89" s="20" t="s">
        <v>22</v>
      </c>
      <c r="AL89" s="20" t="s">
        <v>22</v>
      </c>
      <c r="AM89" s="20" t="s">
        <v>22</v>
      </c>
      <c r="AN89" s="20" t="s">
        <v>22</v>
      </c>
      <c r="AO89" s="20" t="s">
        <v>22</v>
      </c>
      <c r="AP89" s="20" t="s">
        <v>22</v>
      </c>
      <c r="AQ89" s="20" t="s">
        <v>22</v>
      </c>
      <c r="AR89" s="20" t="s">
        <v>22</v>
      </c>
      <c r="AS89" s="20" t="s">
        <v>22</v>
      </c>
      <c r="AT89" s="20" t="s">
        <v>22</v>
      </c>
      <c r="AU89" s="20" t="s">
        <v>22</v>
      </c>
      <c r="AV89" s="20" t="s">
        <v>22</v>
      </c>
      <c r="AW89" s="20" t="s">
        <v>22</v>
      </c>
      <c r="AX89" s="20" t="s">
        <v>22</v>
      </c>
      <c r="AY89" s="20" t="s">
        <v>22</v>
      </c>
      <c r="AZ89" s="20" t="s">
        <v>22</v>
      </c>
      <c r="BA89" s="20" t="s">
        <v>22</v>
      </c>
      <c r="BB89" s="20" t="s">
        <v>22</v>
      </c>
      <c r="BC89" s="20" t="s">
        <v>22</v>
      </c>
      <c r="BD89" s="20" t="s">
        <v>22</v>
      </c>
      <c r="BE89" s="20" t="s">
        <v>22</v>
      </c>
      <c r="BF89" s="20" t="s">
        <v>22</v>
      </c>
      <c r="BG89" s="20" t="s">
        <v>22</v>
      </c>
      <c r="BH89" s="20" t="s">
        <v>22</v>
      </c>
      <c r="BI89" s="20" t="s">
        <v>22</v>
      </c>
      <c r="BJ89" s="20" t="s">
        <v>22</v>
      </c>
      <c r="BK89" s="20" t="s">
        <v>22</v>
      </c>
      <c r="BL89" s="20" t="s">
        <v>22</v>
      </c>
      <c r="BM89" s="20" t="s">
        <v>22</v>
      </c>
      <c r="BN89" s="20" t="s">
        <v>22</v>
      </c>
      <c r="BO89" s="20" t="s">
        <v>22</v>
      </c>
      <c r="BP89" s="20" t="s">
        <v>22</v>
      </c>
      <c r="BQ89" s="20" t="s">
        <v>22</v>
      </c>
      <c r="BR89" s="20" t="s">
        <v>22</v>
      </c>
      <c r="BS89" s="20" t="s">
        <v>22</v>
      </c>
      <c r="BT89" s="20" t="s">
        <v>22</v>
      </c>
      <c r="BU89" s="20" t="s">
        <v>22</v>
      </c>
      <c r="BV89" s="20" t="s">
        <v>22</v>
      </c>
      <c r="BW89" s="20" t="s">
        <v>22</v>
      </c>
      <c r="BX89" s="20" t="s">
        <v>22</v>
      </c>
      <c r="BY89" s="20" t="s">
        <v>22</v>
      </c>
      <c r="BZ89" s="20" t="s">
        <v>22</v>
      </c>
      <c r="CA89" s="20" t="s">
        <v>22</v>
      </c>
      <c r="CB89" s="20" t="s">
        <v>22</v>
      </c>
      <c r="CC89" s="20" t="s">
        <v>22</v>
      </c>
      <c r="CD89" s="20" t="s">
        <v>22</v>
      </c>
      <c r="CE89" s="20" t="s">
        <v>22</v>
      </c>
      <c r="CF89" s="20" t="s">
        <v>22</v>
      </c>
      <c r="CG89" s="20" t="s">
        <v>22</v>
      </c>
      <c r="CH89" s="20"/>
      <c r="CI89" s="20"/>
      <c r="CJ89" s="20"/>
    </row>
    <row r="90" spans="1:88">
      <c r="A90" s="36"/>
      <c r="B90" s="45"/>
      <c r="C90" s="37" t="s">
        <v>84</v>
      </c>
      <c r="D90" s="45"/>
      <c r="E90" s="45"/>
      <c r="F90" s="53" t="s">
        <v>85</v>
      </c>
      <c r="G90" s="84" t="s">
        <v>86</v>
      </c>
      <c r="H90" s="20"/>
      <c r="I90" s="20"/>
      <c r="J90" s="20"/>
      <c r="K90" s="20"/>
      <c r="L90" s="20"/>
      <c r="M90" s="20"/>
      <c r="N90" s="20">
        <f t="shared" ref="N90:AQ90" si="84">SUM(N85:N88)</f>
        <v>0</v>
      </c>
      <c r="O90" s="20">
        <f t="shared" si="84"/>
        <v>0</v>
      </c>
      <c r="P90" s="20">
        <f t="shared" si="84"/>
        <v>0</v>
      </c>
      <c r="Q90" s="20">
        <f t="shared" si="84"/>
        <v>0</v>
      </c>
      <c r="R90" s="20">
        <f t="shared" si="84"/>
        <v>0</v>
      </c>
      <c r="S90" s="20">
        <f t="shared" si="84"/>
        <v>0</v>
      </c>
      <c r="T90" s="20">
        <f t="shared" si="84"/>
        <v>0</v>
      </c>
      <c r="U90" s="20">
        <f t="shared" si="84"/>
        <v>0</v>
      </c>
      <c r="V90" s="20">
        <f t="shared" si="84"/>
        <v>0</v>
      </c>
      <c r="W90" s="20">
        <f t="shared" si="84"/>
        <v>0</v>
      </c>
      <c r="X90" s="20">
        <f t="shared" si="84"/>
        <v>0</v>
      </c>
      <c r="Y90" s="20">
        <f t="shared" si="84"/>
        <v>0</v>
      </c>
      <c r="Z90" s="20">
        <f t="shared" si="84"/>
        <v>1083.3296795180715</v>
      </c>
      <c r="AA90" s="20">
        <f t="shared" si="84"/>
        <v>1062.4926923694761</v>
      </c>
      <c r="AB90" s="20">
        <f t="shared" si="84"/>
        <v>1041.6557052208807</v>
      </c>
      <c r="AC90" s="20">
        <f t="shared" si="84"/>
        <v>1020.8187180722854</v>
      </c>
      <c r="AD90" s="20">
        <f t="shared" si="84"/>
        <v>999.98173092369007</v>
      </c>
      <c r="AE90" s="20">
        <f t="shared" si="84"/>
        <v>979.14474377509464</v>
      </c>
      <c r="AF90" s="20">
        <f t="shared" si="84"/>
        <v>958.30775662649944</v>
      </c>
      <c r="AG90" s="20">
        <f t="shared" si="84"/>
        <v>937.47076947790413</v>
      </c>
      <c r="AH90" s="20">
        <f t="shared" si="84"/>
        <v>916.6337823293087</v>
      </c>
      <c r="AI90" s="20">
        <f t="shared" si="84"/>
        <v>930.46334492529161</v>
      </c>
      <c r="AJ90" s="20">
        <f t="shared" si="84"/>
        <v>908.95957418794126</v>
      </c>
      <c r="AK90" s="20">
        <f t="shared" si="84"/>
        <v>887.45580345059079</v>
      </c>
      <c r="AL90" s="20">
        <f t="shared" si="84"/>
        <v>865.95203271324044</v>
      </c>
      <c r="AM90" s="20">
        <f t="shared" si="84"/>
        <v>844.44826197589009</v>
      </c>
      <c r="AN90" s="20">
        <f t="shared" si="84"/>
        <v>822.94449123853974</v>
      </c>
      <c r="AO90" s="20">
        <f t="shared" si="84"/>
        <v>801.44072050118939</v>
      </c>
      <c r="AP90" s="20">
        <f t="shared" si="84"/>
        <v>779.93694976383904</v>
      </c>
      <c r="AQ90" s="20">
        <f t="shared" si="84"/>
        <v>758.43317902648857</v>
      </c>
      <c r="AR90" s="20">
        <f t="shared" ref="AR90:BC90" si="85">SUM(AR85:AR88)</f>
        <v>736.92940828913822</v>
      </c>
      <c r="AS90" s="20">
        <f t="shared" si="85"/>
        <v>819.42528678552264</v>
      </c>
      <c r="AT90" s="20">
        <f t="shared" si="85"/>
        <v>795.92116528190707</v>
      </c>
      <c r="AU90" s="20">
        <f t="shared" si="85"/>
        <v>772.4170437782916</v>
      </c>
      <c r="AV90" s="20">
        <f t="shared" si="85"/>
        <v>748.91292227467591</v>
      </c>
      <c r="AW90" s="20">
        <f t="shared" si="85"/>
        <v>725.40880077106033</v>
      </c>
      <c r="AX90" s="20">
        <f t="shared" si="85"/>
        <v>701.90467926744475</v>
      </c>
      <c r="AY90" s="20">
        <f t="shared" si="85"/>
        <v>678.40055776382928</v>
      </c>
      <c r="AZ90" s="20">
        <f t="shared" si="85"/>
        <v>654.8964362602137</v>
      </c>
      <c r="BA90" s="20">
        <f t="shared" si="85"/>
        <v>631.39231475659824</v>
      </c>
      <c r="BB90" s="20">
        <f t="shared" si="85"/>
        <v>607.88819325298255</v>
      </c>
      <c r="BC90" s="20">
        <f t="shared" si="85"/>
        <v>584.38407174936697</v>
      </c>
      <c r="BD90" s="20">
        <f t="shared" ref="BD90:BO90" si="86">SUM(BD85:BD88)</f>
        <v>560.87995024575139</v>
      </c>
      <c r="BE90" s="20">
        <f t="shared" si="86"/>
        <v>615.37556566743706</v>
      </c>
      <c r="BF90" s="20">
        <f t="shared" si="86"/>
        <v>590.37118108912262</v>
      </c>
      <c r="BG90" s="20">
        <f t="shared" si="86"/>
        <v>565.36679651080817</v>
      </c>
      <c r="BH90" s="20">
        <f t="shared" si="86"/>
        <v>540.36241193249373</v>
      </c>
      <c r="BI90" s="20">
        <f t="shared" si="86"/>
        <v>515.35802735417928</v>
      </c>
      <c r="BJ90" s="20">
        <f t="shared" si="86"/>
        <v>490.35364277586484</v>
      </c>
      <c r="BK90" s="20">
        <f t="shared" si="86"/>
        <v>465.34925819755045</v>
      </c>
      <c r="BL90" s="20">
        <f t="shared" si="86"/>
        <v>440.34487361923607</v>
      </c>
      <c r="BM90" s="20">
        <f t="shared" si="86"/>
        <v>415.34048904092157</v>
      </c>
      <c r="BN90" s="20">
        <f t="shared" si="86"/>
        <v>390.33610446260718</v>
      </c>
      <c r="BO90" s="20">
        <f t="shared" si="86"/>
        <v>365.33171988429274</v>
      </c>
      <c r="BP90" s="20">
        <f t="shared" ref="BP90:BU90" si="87">SUM(BP85:BP88)</f>
        <v>340.32733530597835</v>
      </c>
      <c r="BQ90" s="20">
        <f t="shared" si="87"/>
        <v>315.32295072766385</v>
      </c>
      <c r="BR90" s="20">
        <f t="shared" si="87"/>
        <v>290.31856614934946</v>
      </c>
      <c r="BS90" s="20">
        <f t="shared" si="87"/>
        <v>265.31418157103502</v>
      </c>
      <c r="BT90" s="20">
        <f t="shared" si="87"/>
        <v>240.30979699272061</v>
      </c>
      <c r="BU90" s="20">
        <f t="shared" si="87"/>
        <v>215.30541241440616</v>
      </c>
      <c r="BV90" s="20">
        <f t="shared" ref="BV90:CG90" si="88">SUM(BV85:BV88)</f>
        <v>0</v>
      </c>
      <c r="BW90" s="20">
        <f t="shared" si="88"/>
        <v>0</v>
      </c>
      <c r="BX90" s="20">
        <f t="shared" si="88"/>
        <v>0</v>
      </c>
      <c r="BY90" s="20">
        <f t="shared" si="88"/>
        <v>0</v>
      </c>
      <c r="BZ90" s="20">
        <f t="shared" si="88"/>
        <v>0</v>
      </c>
      <c r="CA90" s="20">
        <f t="shared" si="88"/>
        <v>0</v>
      </c>
      <c r="CB90" s="20">
        <f t="shared" si="88"/>
        <v>0</v>
      </c>
      <c r="CC90" s="20">
        <f t="shared" si="88"/>
        <v>0</v>
      </c>
      <c r="CD90" s="20">
        <f t="shared" si="88"/>
        <v>0</v>
      </c>
      <c r="CE90" s="20">
        <f t="shared" si="88"/>
        <v>0</v>
      </c>
      <c r="CF90" s="20">
        <f t="shared" si="88"/>
        <v>0</v>
      </c>
      <c r="CG90" s="20">
        <f t="shared" si="88"/>
        <v>0</v>
      </c>
      <c r="CH90" s="20"/>
      <c r="CI90" s="20"/>
      <c r="CJ90" s="20"/>
    </row>
    <row r="91" spans="1:88">
      <c r="A91" s="17"/>
      <c r="B91" s="33"/>
      <c r="C91" s="54"/>
      <c r="D91" s="54"/>
      <c r="E91" s="54"/>
      <c r="F91" s="55"/>
      <c r="G91" s="84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</row>
    <row r="92" spans="1:88">
      <c r="A92" s="45">
        <v>2</v>
      </c>
      <c r="B92" s="50" t="s">
        <v>87</v>
      </c>
      <c r="C92" s="37"/>
      <c r="D92" s="37"/>
      <c r="E92" s="37"/>
      <c r="F92" s="38"/>
      <c r="G92" s="18" t="s">
        <v>88</v>
      </c>
      <c r="H92" s="20"/>
      <c r="I92" s="20"/>
      <c r="J92" s="20"/>
      <c r="K92" s="20"/>
      <c r="L92" s="20"/>
      <c r="M92" s="20"/>
      <c r="N92" s="20">
        <f t="shared" ref="N92:AQ92" si="89">N83-N90</f>
        <v>0</v>
      </c>
      <c r="O92" s="20">
        <f t="shared" si="89"/>
        <v>0</v>
      </c>
      <c r="P92" s="20">
        <f t="shared" si="89"/>
        <v>0</v>
      </c>
      <c r="Q92" s="20">
        <f t="shared" si="89"/>
        <v>0</v>
      </c>
      <c r="R92" s="20">
        <f t="shared" si="89"/>
        <v>0</v>
      </c>
      <c r="S92" s="20">
        <f t="shared" si="89"/>
        <v>0</v>
      </c>
      <c r="T92" s="20">
        <f t="shared" si="89"/>
        <v>0</v>
      </c>
      <c r="U92" s="20">
        <f t="shared" si="89"/>
        <v>0</v>
      </c>
      <c r="V92" s="20">
        <f t="shared" si="89"/>
        <v>0</v>
      </c>
      <c r="W92" s="20">
        <f t="shared" si="89"/>
        <v>0</v>
      </c>
      <c r="X92" s="20">
        <f t="shared" si="89"/>
        <v>0</v>
      </c>
      <c r="Y92" s="20">
        <f t="shared" si="89"/>
        <v>0</v>
      </c>
      <c r="Z92" s="20">
        <f t="shared" si="89"/>
        <v>-1083.3296795180715</v>
      </c>
      <c r="AA92" s="20">
        <f t="shared" si="89"/>
        <v>-1062.4926923694761</v>
      </c>
      <c r="AB92" s="20">
        <f t="shared" si="89"/>
        <v>-1041.6557052208807</v>
      </c>
      <c r="AC92" s="20">
        <f t="shared" si="89"/>
        <v>-1020.8187180722854</v>
      </c>
      <c r="AD92" s="20">
        <f t="shared" si="89"/>
        <v>-999.98173092369007</v>
      </c>
      <c r="AE92" s="20">
        <f t="shared" si="89"/>
        <v>-979.14474377509464</v>
      </c>
      <c r="AF92" s="20">
        <f t="shared" si="89"/>
        <v>-958.30775662649944</v>
      </c>
      <c r="AG92" s="20">
        <f t="shared" si="89"/>
        <v>-937.47076947790413</v>
      </c>
      <c r="AH92" s="20">
        <f t="shared" si="89"/>
        <v>-916.6337823293087</v>
      </c>
      <c r="AI92" s="20">
        <f t="shared" si="89"/>
        <v>-930.46334492529161</v>
      </c>
      <c r="AJ92" s="20">
        <f t="shared" si="89"/>
        <v>-908.95957418794126</v>
      </c>
      <c r="AK92" s="20">
        <f t="shared" si="89"/>
        <v>-887.45580345059079</v>
      </c>
      <c r="AL92" s="20">
        <f t="shared" si="89"/>
        <v>-865.95203271324044</v>
      </c>
      <c r="AM92" s="20">
        <f t="shared" si="89"/>
        <v>-844.44826197589009</v>
      </c>
      <c r="AN92" s="20">
        <f t="shared" si="89"/>
        <v>-822.94449123853974</v>
      </c>
      <c r="AO92" s="20">
        <f t="shared" si="89"/>
        <v>-801.44072050118939</v>
      </c>
      <c r="AP92" s="20">
        <f t="shared" si="89"/>
        <v>-779.93694976383904</v>
      </c>
      <c r="AQ92" s="20">
        <f t="shared" si="89"/>
        <v>-758.43317902648857</v>
      </c>
      <c r="AR92" s="20">
        <f t="shared" ref="AR92:BC92" si="90">AR83-AR90</f>
        <v>-736.92940828913822</v>
      </c>
      <c r="AS92" s="20">
        <f t="shared" si="90"/>
        <v>-819.42528678552264</v>
      </c>
      <c r="AT92" s="20">
        <f t="shared" si="90"/>
        <v>-795.92116528190707</v>
      </c>
      <c r="AU92" s="20">
        <f t="shared" si="90"/>
        <v>-772.4170437782916</v>
      </c>
      <c r="AV92" s="20">
        <f t="shared" si="90"/>
        <v>-748.91292227467591</v>
      </c>
      <c r="AW92" s="20">
        <f t="shared" si="90"/>
        <v>-725.40880077106033</v>
      </c>
      <c r="AX92" s="20">
        <f t="shared" si="90"/>
        <v>-701.90467926744475</v>
      </c>
      <c r="AY92" s="20">
        <f t="shared" si="90"/>
        <v>-678.40055776382928</v>
      </c>
      <c r="AZ92" s="20">
        <f t="shared" si="90"/>
        <v>-654.8964362602137</v>
      </c>
      <c r="BA92" s="20">
        <f t="shared" si="90"/>
        <v>-631.39231475659824</v>
      </c>
      <c r="BB92" s="20">
        <f t="shared" si="90"/>
        <v>-607.88819325298255</v>
      </c>
      <c r="BC92" s="20">
        <f t="shared" si="90"/>
        <v>-584.38407174936697</v>
      </c>
      <c r="BD92" s="20">
        <f t="shared" ref="BD92:BO92" si="91">BD83-BD90</f>
        <v>-560.87995024575139</v>
      </c>
      <c r="BE92" s="20">
        <f t="shared" si="91"/>
        <v>-615.37556566743706</v>
      </c>
      <c r="BF92" s="20">
        <f t="shared" si="91"/>
        <v>-590.37118108912262</v>
      </c>
      <c r="BG92" s="20">
        <f t="shared" si="91"/>
        <v>-565.36679651080817</v>
      </c>
      <c r="BH92" s="20">
        <f t="shared" si="91"/>
        <v>-540.36241193249373</v>
      </c>
      <c r="BI92" s="20">
        <f t="shared" si="91"/>
        <v>-515.35802735417928</v>
      </c>
      <c r="BJ92" s="20">
        <f t="shared" si="91"/>
        <v>-490.35364277586484</v>
      </c>
      <c r="BK92" s="20">
        <f t="shared" si="91"/>
        <v>-465.34925819755045</v>
      </c>
      <c r="BL92" s="20">
        <f t="shared" si="91"/>
        <v>-440.34487361923607</v>
      </c>
      <c r="BM92" s="20">
        <f t="shared" si="91"/>
        <v>-415.34048904092157</v>
      </c>
      <c r="BN92" s="20">
        <f t="shared" si="91"/>
        <v>-390.33610446260718</v>
      </c>
      <c r="BO92" s="20">
        <f t="shared" si="91"/>
        <v>-365.33171988429274</v>
      </c>
      <c r="BP92" s="20">
        <f t="shared" ref="BP92:BU92" si="92">BP83-BP90</f>
        <v>-340.32733530597835</v>
      </c>
      <c r="BQ92" s="20">
        <f t="shared" si="92"/>
        <v>-315.32295072766385</v>
      </c>
      <c r="BR92" s="20">
        <f t="shared" si="92"/>
        <v>-290.31856614934946</v>
      </c>
      <c r="BS92" s="20">
        <f t="shared" si="92"/>
        <v>-265.31418157103502</v>
      </c>
      <c r="BT92" s="20">
        <f t="shared" si="92"/>
        <v>-240.30979699272061</v>
      </c>
      <c r="BU92" s="20">
        <f t="shared" si="92"/>
        <v>-215.30541241440616</v>
      </c>
      <c r="BV92" s="20">
        <f t="shared" ref="BV92:CG92" si="93">BV83-BV90</f>
        <v>0</v>
      </c>
      <c r="BW92" s="20">
        <f t="shared" si="93"/>
        <v>0</v>
      </c>
      <c r="BX92" s="20">
        <f t="shared" si="93"/>
        <v>0</v>
      </c>
      <c r="BY92" s="20">
        <f t="shared" si="93"/>
        <v>0</v>
      </c>
      <c r="BZ92" s="20">
        <f t="shared" si="93"/>
        <v>0</v>
      </c>
      <c r="CA92" s="20">
        <f t="shared" si="93"/>
        <v>0</v>
      </c>
      <c r="CB92" s="20">
        <f t="shared" si="93"/>
        <v>0</v>
      </c>
      <c r="CC92" s="20">
        <f t="shared" si="93"/>
        <v>0</v>
      </c>
      <c r="CD92" s="20">
        <f t="shared" si="93"/>
        <v>0</v>
      </c>
      <c r="CE92" s="20">
        <f t="shared" si="93"/>
        <v>0</v>
      </c>
      <c r="CF92" s="20">
        <f t="shared" si="93"/>
        <v>0</v>
      </c>
      <c r="CG92" s="20">
        <f t="shared" si="93"/>
        <v>0</v>
      </c>
      <c r="CH92" s="20"/>
      <c r="CI92" s="20"/>
      <c r="CJ92" s="20"/>
    </row>
    <row r="94" spans="1:88">
      <c r="A94" s="17"/>
      <c r="B94" s="26"/>
      <c r="C94" s="54"/>
      <c r="D94" s="54"/>
      <c r="E94" s="54"/>
      <c r="F94" s="55"/>
      <c r="G94" s="84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</row>
    <row r="95" spans="1:88">
      <c r="A95" s="45">
        <v>3</v>
      </c>
      <c r="B95" s="56" t="s">
        <v>89</v>
      </c>
      <c r="C95" s="45"/>
      <c r="D95" s="45"/>
      <c r="E95" s="45"/>
      <c r="F95" s="53"/>
      <c r="G95" s="84" t="s">
        <v>90</v>
      </c>
      <c r="H95" s="20"/>
      <c r="I95" s="20"/>
      <c r="J95" s="20"/>
      <c r="K95" s="20"/>
      <c r="L95" s="20"/>
      <c r="M95" s="20"/>
      <c r="N95" s="20">
        <f t="shared" ref="N95:AQ95" si="94">N72+N74-N74+N92</f>
        <v>0</v>
      </c>
      <c r="O95" s="20">
        <f t="shared" si="94"/>
        <v>0</v>
      </c>
      <c r="P95" s="20">
        <f t="shared" si="94"/>
        <v>0</v>
      </c>
      <c r="Q95" s="20">
        <f t="shared" si="94"/>
        <v>0</v>
      </c>
      <c r="R95" s="20">
        <f t="shared" si="94"/>
        <v>0</v>
      </c>
      <c r="S95" s="20">
        <f t="shared" si="94"/>
        <v>0</v>
      </c>
      <c r="T95" s="20">
        <f t="shared" si="94"/>
        <v>0</v>
      </c>
      <c r="U95" s="20">
        <f t="shared" si="94"/>
        <v>-350</v>
      </c>
      <c r="V95" s="20">
        <f t="shared" si="94"/>
        <v>-350</v>
      </c>
      <c r="W95" s="20">
        <f t="shared" si="94"/>
        <v>-350</v>
      </c>
      <c r="X95" s="20">
        <f t="shared" si="94"/>
        <v>-350</v>
      </c>
      <c r="Y95" s="20">
        <f t="shared" si="94"/>
        <v>-7066.666666666667</v>
      </c>
      <c r="Z95" s="20">
        <f t="shared" si="94"/>
        <v>-11363.076346184738</v>
      </c>
      <c r="AA95" s="20">
        <f t="shared" si="94"/>
        <v>-11342.239359036143</v>
      </c>
      <c r="AB95" s="20">
        <f t="shared" si="94"/>
        <v>-11371.402371887547</v>
      </c>
      <c r="AC95" s="20">
        <f t="shared" si="94"/>
        <v>-11440.115384738952</v>
      </c>
      <c r="AD95" s="20">
        <f t="shared" si="94"/>
        <v>-11619.278397590357</v>
      </c>
      <c r="AE95" s="20">
        <f t="shared" si="94"/>
        <v>-11598.441410441761</v>
      </c>
      <c r="AF95" s="20">
        <f t="shared" si="94"/>
        <v>-12422.376823293167</v>
      </c>
      <c r="AG95" s="20">
        <f t="shared" si="94"/>
        <v>-11733.739836144572</v>
      </c>
      <c r="AH95" s="20">
        <f t="shared" si="94"/>
        <v>-17071.686182329307</v>
      </c>
      <c r="AI95" s="20">
        <f t="shared" si="94"/>
        <v>-21752.19074492529</v>
      </c>
      <c r="AJ95" s="20">
        <f t="shared" si="94"/>
        <v>-21830.686974187942</v>
      </c>
      <c r="AK95" s="20">
        <f t="shared" si="94"/>
        <v>-25158.308203450593</v>
      </c>
      <c r="AL95" s="20">
        <f t="shared" si="94"/>
        <v>-54142.340032713248</v>
      </c>
      <c r="AM95" s="20">
        <f t="shared" si="94"/>
        <v>-61290.586261975899</v>
      </c>
      <c r="AN95" s="20">
        <f t="shared" si="94"/>
        <v>-73125.882491238546</v>
      </c>
      <c r="AO95" s="20">
        <f t="shared" si="94"/>
        <v>-85588.378720501205</v>
      </c>
      <c r="AP95" s="20">
        <f t="shared" si="94"/>
        <v>-109734.45828309718</v>
      </c>
      <c r="AQ95" s="20">
        <f t="shared" si="94"/>
        <v>-101868.45451235982</v>
      </c>
      <c r="AR95" s="20">
        <f t="shared" ref="AR95:BC95" si="95">AR72+AR74-AR74+AR92</f>
        <v>-120423.00827537246</v>
      </c>
      <c r="AS95" s="20">
        <f t="shared" si="95"/>
        <v>-101350.74654761885</v>
      </c>
      <c r="AT95" s="20">
        <f t="shared" si="95"/>
        <v>-119521.35995111523</v>
      </c>
      <c r="AU95" s="20">
        <f t="shared" si="95"/>
        <v>-109491.23626711161</v>
      </c>
      <c r="AV95" s="20">
        <f t="shared" si="95"/>
        <v>-110861.112583108</v>
      </c>
      <c r="AW95" s="20">
        <f t="shared" si="95"/>
        <v>-88366.838899104405</v>
      </c>
      <c r="AX95" s="20">
        <f t="shared" si="95"/>
        <v>-106192.63310760081</v>
      </c>
      <c r="AY95" s="20">
        <f t="shared" si="95"/>
        <v>-90526.357948597171</v>
      </c>
      <c r="AZ95" s="20">
        <f t="shared" si="95"/>
        <v>-79670.082789593565</v>
      </c>
      <c r="BA95" s="20">
        <f t="shared" si="95"/>
        <v>-66083.326111839924</v>
      </c>
      <c r="BB95" s="20">
        <f t="shared" si="95"/>
        <v>-50967.393229086294</v>
      </c>
      <c r="BC95" s="20">
        <f t="shared" si="95"/>
        <v>-30800.556551332666</v>
      </c>
      <c r="BD95" s="20">
        <f t="shared" ref="BD95:BO95" si="96">BD72+BD74-BD74+BD92</f>
        <v>-29951.398949445746</v>
      </c>
      <c r="BE95" s="20">
        <f t="shared" si="96"/>
        <v>-6318.1163023674198</v>
      </c>
      <c r="BF95" s="20">
        <f t="shared" si="96"/>
        <v>2866.6146587108551</v>
      </c>
      <c r="BG95" s="20">
        <f t="shared" si="96"/>
        <v>32987.336921289221</v>
      </c>
      <c r="BH95" s="20">
        <f t="shared" si="96"/>
        <v>43608.92882886756</v>
      </c>
      <c r="BI95" s="20">
        <f t="shared" si="96"/>
        <v>59379.550871445848</v>
      </c>
      <c r="BJ95" s="20">
        <f t="shared" si="96"/>
        <v>75262.773840024121</v>
      </c>
      <c r="BK95" s="20">
        <f t="shared" si="96"/>
        <v>86823.255668602462</v>
      </c>
      <c r="BL95" s="20">
        <f t="shared" si="96"/>
        <v>98540.035607180762</v>
      </c>
      <c r="BM95" s="20">
        <f t="shared" si="96"/>
        <v>109476.18142375906</v>
      </c>
      <c r="BN95" s="20">
        <f t="shared" si="96"/>
        <v>117200.12449467073</v>
      </c>
      <c r="BO95" s="20">
        <f t="shared" si="96"/>
        <v>124707.62064724904</v>
      </c>
      <c r="BP95" s="20">
        <f t="shared" ref="BP95:BU95" si="97">BP72+BP74-BP74+BP92</f>
        <v>128430.74312980135</v>
      </c>
      <c r="BQ95" s="20">
        <f t="shared" si="97"/>
        <v>136172.47234037967</v>
      </c>
      <c r="BR95" s="20">
        <f t="shared" si="97"/>
        <v>143914.20155095789</v>
      </c>
      <c r="BS95" s="20">
        <f t="shared" si="97"/>
        <v>151655.93076153626</v>
      </c>
      <c r="BT95" s="20">
        <f t="shared" si="97"/>
        <v>159397.65997211469</v>
      </c>
      <c r="BU95" s="20">
        <f t="shared" si="97"/>
        <v>167373.62224069287</v>
      </c>
      <c r="BV95" s="20">
        <f t="shared" ref="BV95:CG95" si="98">BV72+BV74-BV74+BV92</f>
        <v>172736.8818371073</v>
      </c>
      <c r="BW95" s="20">
        <f t="shared" si="98"/>
        <v>179003.95492110739</v>
      </c>
      <c r="BX95" s="20">
        <f t="shared" si="98"/>
        <v>182745.20080510725</v>
      </c>
      <c r="BY95" s="20">
        <f t="shared" si="98"/>
        <v>186486.44668910734</v>
      </c>
      <c r="BZ95" s="20">
        <f t="shared" si="98"/>
        <v>190227.69257310731</v>
      </c>
      <c r="CA95" s="20">
        <f t="shared" si="98"/>
        <v>193968.93845710735</v>
      </c>
      <c r="CB95" s="20">
        <f t="shared" si="98"/>
        <v>193952.81929578056</v>
      </c>
      <c r="CC95" s="20">
        <f t="shared" si="98"/>
        <v>197787.75840298051</v>
      </c>
      <c r="CD95" s="20">
        <f t="shared" si="98"/>
        <v>201763.23734498053</v>
      </c>
      <c r="CE95" s="20">
        <f t="shared" si="98"/>
        <v>204054.83148698043</v>
      </c>
      <c r="CF95" s="20">
        <f t="shared" si="98"/>
        <v>206346.42562898045</v>
      </c>
      <c r="CG95" s="20">
        <f t="shared" si="98"/>
        <v>209479.96217098052</v>
      </c>
      <c r="CH95" s="20"/>
      <c r="CI95" s="20"/>
      <c r="CJ95" s="20"/>
    </row>
    <row r="96" spans="1:88">
      <c r="A96" s="17"/>
      <c r="B96" s="17"/>
      <c r="C96" s="17"/>
      <c r="D96" s="17"/>
      <c r="E96" s="17"/>
      <c r="F96" s="18"/>
      <c r="G96" s="18"/>
      <c r="H96" s="9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</row>
    <row r="97" spans="1:88">
      <c r="A97" s="17"/>
      <c r="B97" s="17"/>
      <c r="C97" s="17"/>
      <c r="D97" s="17"/>
      <c r="E97" s="17"/>
      <c r="F97" s="18"/>
      <c r="G97" s="18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</row>
    <row r="98" spans="1:88">
      <c r="A98" s="57"/>
      <c r="B98" s="58" t="s">
        <v>91</v>
      </c>
      <c r="C98" s="58"/>
      <c r="D98" s="58"/>
      <c r="E98" s="58"/>
      <c r="F98" s="58"/>
      <c r="G98" s="86" t="s">
        <v>92</v>
      </c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</row>
    <row r="99" spans="1:88">
      <c r="A99" s="57"/>
      <c r="B99" s="57" t="s">
        <v>93</v>
      </c>
      <c r="C99" s="58"/>
      <c r="D99" s="58"/>
      <c r="E99" s="58"/>
      <c r="F99" s="58"/>
      <c r="G99" s="28" t="s">
        <v>94</v>
      </c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</row>
    <row r="100" spans="1:88">
      <c r="A100" s="57"/>
      <c r="B100" s="57" t="s">
        <v>95</v>
      </c>
      <c r="C100" s="58"/>
      <c r="D100" s="58"/>
      <c r="E100" s="58"/>
      <c r="F100" s="58"/>
      <c r="G100" s="28" t="s">
        <v>96</v>
      </c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</row>
    <row r="102" spans="1:88">
      <c r="A102" s="45"/>
      <c r="B102" s="56"/>
      <c r="C102" s="45" t="s">
        <v>97</v>
      </c>
      <c r="D102" s="45"/>
      <c r="E102" s="45"/>
      <c r="F102" s="53" t="s">
        <v>98</v>
      </c>
      <c r="G102" s="28" t="s">
        <v>99</v>
      </c>
      <c r="H102" s="23"/>
      <c r="I102" s="23"/>
      <c r="J102" s="23"/>
      <c r="K102" s="23"/>
      <c r="L102" s="23"/>
      <c r="M102" s="23"/>
      <c r="N102" s="23">
        <f t="shared" ref="N102:AQ102" si="99">SUM(N98:N101)</f>
        <v>0</v>
      </c>
      <c r="O102" s="23">
        <f t="shared" si="99"/>
        <v>0</v>
      </c>
      <c r="P102" s="23">
        <f t="shared" si="99"/>
        <v>0</v>
      </c>
      <c r="Q102" s="23">
        <f t="shared" si="99"/>
        <v>0</v>
      </c>
      <c r="R102" s="23">
        <f t="shared" si="99"/>
        <v>0</v>
      </c>
      <c r="S102" s="23">
        <f t="shared" si="99"/>
        <v>0</v>
      </c>
      <c r="T102" s="23">
        <f t="shared" si="99"/>
        <v>0</v>
      </c>
      <c r="U102" s="23">
        <f t="shared" si="99"/>
        <v>0</v>
      </c>
      <c r="V102" s="23">
        <f t="shared" si="99"/>
        <v>0</v>
      </c>
      <c r="W102" s="23">
        <f t="shared" si="99"/>
        <v>0</v>
      </c>
      <c r="X102" s="23">
        <f t="shared" si="99"/>
        <v>0</v>
      </c>
      <c r="Y102" s="23">
        <f t="shared" si="99"/>
        <v>0</v>
      </c>
      <c r="Z102" s="23">
        <f t="shared" si="99"/>
        <v>0</v>
      </c>
      <c r="AA102" s="23">
        <f t="shared" si="99"/>
        <v>0</v>
      </c>
      <c r="AB102" s="23">
        <f t="shared" si="99"/>
        <v>0</v>
      </c>
      <c r="AC102" s="23">
        <f t="shared" si="99"/>
        <v>0</v>
      </c>
      <c r="AD102" s="23">
        <f t="shared" si="99"/>
        <v>0</v>
      </c>
      <c r="AE102" s="23">
        <f t="shared" si="99"/>
        <v>0</v>
      </c>
      <c r="AF102" s="23">
        <f t="shared" si="99"/>
        <v>0</v>
      </c>
      <c r="AG102" s="23">
        <f t="shared" si="99"/>
        <v>0</v>
      </c>
      <c r="AH102" s="23">
        <f t="shared" si="99"/>
        <v>0</v>
      </c>
      <c r="AI102" s="23">
        <f t="shared" si="99"/>
        <v>0</v>
      </c>
      <c r="AJ102" s="23">
        <f t="shared" si="99"/>
        <v>0</v>
      </c>
      <c r="AK102" s="23">
        <f t="shared" si="99"/>
        <v>0</v>
      </c>
      <c r="AL102" s="23">
        <f t="shared" si="99"/>
        <v>0</v>
      </c>
      <c r="AM102" s="23">
        <f t="shared" si="99"/>
        <v>0</v>
      </c>
      <c r="AN102" s="23">
        <f t="shared" si="99"/>
        <v>0</v>
      </c>
      <c r="AO102" s="23">
        <f t="shared" si="99"/>
        <v>0</v>
      </c>
      <c r="AP102" s="23">
        <f t="shared" si="99"/>
        <v>0</v>
      </c>
      <c r="AQ102" s="23">
        <f t="shared" si="99"/>
        <v>0</v>
      </c>
      <c r="AR102" s="23">
        <f t="shared" ref="AR102:BC102" si="100">SUM(AR98:AR101)</f>
        <v>0</v>
      </c>
      <c r="AS102" s="23">
        <f t="shared" si="100"/>
        <v>0</v>
      </c>
      <c r="AT102" s="23">
        <f t="shared" si="100"/>
        <v>0</v>
      </c>
      <c r="AU102" s="23">
        <f t="shared" si="100"/>
        <v>0</v>
      </c>
      <c r="AV102" s="23">
        <f t="shared" si="100"/>
        <v>0</v>
      </c>
      <c r="AW102" s="23">
        <f t="shared" si="100"/>
        <v>0</v>
      </c>
      <c r="AX102" s="23">
        <f t="shared" si="100"/>
        <v>0</v>
      </c>
      <c r="AY102" s="23">
        <f t="shared" si="100"/>
        <v>0</v>
      </c>
      <c r="AZ102" s="23">
        <f t="shared" si="100"/>
        <v>0</v>
      </c>
      <c r="BA102" s="23">
        <f t="shared" si="100"/>
        <v>0</v>
      </c>
      <c r="BB102" s="23">
        <f t="shared" si="100"/>
        <v>0</v>
      </c>
      <c r="BC102" s="23">
        <f t="shared" si="100"/>
        <v>0</v>
      </c>
      <c r="BD102" s="23">
        <f t="shared" ref="BD102:BO102" si="101">SUM(BD98:BD101)</f>
        <v>0</v>
      </c>
      <c r="BE102" s="23">
        <f t="shared" si="101"/>
        <v>0</v>
      </c>
      <c r="BF102" s="23">
        <f t="shared" si="101"/>
        <v>0</v>
      </c>
      <c r="BG102" s="23">
        <f t="shared" si="101"/>
        <v>0</v>
      </c>
      <c r="BH102" s="23">
        <f t="shared" si="101"/>
        <v>0</v>
      </c>
      <c r="BI102" s="23">
        <f t="shared" si="101"/>
        <v>0</v>
      </c>
      <c r="BJ102" s="23">
        <f t="shared" si="101"/>
        <v>0</v>
      </c>
      <c r="BK102" s="23">
        <f t="shared" si="101"/>
        <v>0</v>
      </c>
      <c r="BL102" s="23">
        <f t="shared" si="101"/>
        <v>0</v>
      </c>
      <c r="BM102" s="23">
        <f t="shared" si="101"/>
        <v>0</v>
      </c>
      <c r="BN102" s="23">
        <f t="shared" si="101"/>
        <v>0</v>
      </c>
      <c r="BO102" s="23">
        <f t="shared" si="101"/>
        <v>0</v>
      </c>
      <c r="BP102" s="23">
        <f t="shared" ref="BP102:BU102" si="102">SUM(BP98:BP101)</f>
        <v>0</v>
      </c>
      <c r="BQ102" s="23">
        <f t="shared" si="102"/>
        <v>0</v>
      </c>
      <c r="BR102" s="23">
        <f t="shared" si="102"/>
        <v>0</v>
      </c>
      <c r="BS102" s="23">
        <f t="shared" si="102"/>
        <v>0</v>
      </c>
      <c r="BT102" s="23">
        <f t="shared" si="102"/>
        <v>0</v>
      </c>
      <c r="BU102" s="23">
        <f t="shared" si="102"/>
        <v>0</v>
      </c>
      <c r="BV102" s="23">
        <f t="shared" ref="BV102:CG102" si="103">SUM(BV98:BV101)</f>
        <v>0</v>
      </c>
      <c r="BW102" s="23">
        <f t="shared" si="103"/>
        <v>0</v>
      </c>
      <c r="BX102" s="23">
        <f t="shared" si="103"/>
        <v>0</v>
      </c>
      <c r="BY102" s="23">
        <f t="shared" si="103"/>
        <v>0</v>
      </c>
      <c r="BZ102" s="23">
        <f t="shared" si="103"/>
        <v>0</v>
      </c>
      <c r="CA102" s="23">
        <f t="shared" si="103"/>
        <v>0</v>
      </c>
      <c r="CB102" s="23">
        <f t="shared" si="103"/>
        <v>0</v>
      </c>
      <c r="CC102" s="23">
        <f t="shared" si="103"/>
        <v>0</v>
      </c>
      <c r="CD102" s="23">
        <f t="shared" si="103"/>
        <v>0</v>
      </c>
      <c r="CE102" s="23">
        <f t="shared" si="103"/>
        <v>0</v>
      </c>
      <c r="CF102" s="23">
        <f t="shared" si="103"/>
        <v>0</v>
      </c>
      <c r="CG102" s="23">
        <f t="shared" si="103"/>
        <v>0</v>
      </c>
      <c r="CH102" s="23"/>
      <c r="CI102" s="23"/>
      <c r="CJ102" s="23"/>
    </row>
    <row r="104" spans="1:88">
      <c r="A104" s="58"/>
      <c r="B104" s="58" t="s">
        <v>100</v>
      </c>
      <c r="C104" s="58"/>
      <c r="D104" s="58"/>
      <c r="E104" s="58"/>
      <c r="F104" s="58"/>
      <c r="G104" s="28" t="s">
        <v>101</v>
      </c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/>
      <c r="BS104" s="59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  <c r="CG104" s="59"/>
      <c r="CH104" s="59"/>
      <c r="CI104" s="59"/>
      <c r="CJ104" s="59"/>
    </row>
    <row r="105" spans="1:88">
      <c r="A105" s="58"/>
      <c r="B105" s="57" t="s">
        <v>102</v>
      </c>
      <c r="C105" s="58"/>
      <c r="D105" s="58"/>
      <c r="E105" s="58"/>
      <c r="F105" s="58"/>
      <c r="G105" s="28" t="s">
        <v>103</v>
      </c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/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59"/>
      <c r="CD105" s="59"/>
      <c r="CE105" s="59"/>
      <c r="CF105" s="59"/>
      <c r="CG105" s="59"/>
      <c r="CH105" s="59"/>
      <c r="CI105" s="59"/>
      <c r="CJ105" s="59"/>
    </row>
    <row r="106" spans="1:88">
      <c r="A106" s="58"/>
      <c r="B106" s="57" t="s">
        <v>104</v>
      </c>
      <c r="C106" s="58"/>
      <c r="D106" s="58"/>
      <c r="E106" s="58"/>
      <c r="F106" s="58"/>
      <c r="G106" s="28" t="s">
        <v>105</v>
      </c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/>
      <c r="BS106" s="59"/>
      <c r="BT106" s="59"/>
      <c r="BU106" s="59"/>
      <c r="BV106" s="59"/>
      <c r="BW106" s="59"/>
      <c r="BX106" s="59"/>
      <c r="BY106" s="59"/>
      <c r="BZ106" s="59"/>
      <c r="CA106" s="59"/>
      <c r="CB106" s="59"/>
      <c r="CC106" s="59"/>
      <c r="CD106" s="59"/>
      <c r="CE106" s="59"/>
      <c r="CF106" s="59"/>
      <c r="CG106" s="59"/>
      <c r="CH106" s="59"/>
      <c r="CI106" s="59"/>
      <c r="CJ106" s="59"/>
    </row>
    <row r="107" spans="1:88">
      <c r="A107" s="58"/>
      <c r="B107" s="58"/>
      <c r="C107" s="58"/>
      <c r="D107" s="58"/>
      <c r="E107" s="58"/>
      <c r="F107" s="58"/>
      <c r="G107" s="28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9"/>
      <c r="BS107" s="59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  <c r="CG107" s="59"/>
      <c r="CH107" s="59"/>
      <c r="CI107" s="59"/>
      <c r="CJ107" s="59"/>
    </row>
    <row r="108" spans="1:88">
      <c r="A108" s="45"/>
      <c r="B108" s="56"/>
      <c r="C108" s="45" t="s">
        <v>106</v>
      </c>
      <c r="D108" s="45"/>
      <c r="E108" s="45"/>
      <c r="F108" s="53" t="s">
        <v>107</v>
      </c>
      <c r="G108" s="28" t="s">
        <v>108</v>
      </c>
      <c r="H108" s="23"/>
      <c r="I108" s="23"/>
      <c r="J108" s="23"/>
      <c r="K108" s="23"/>
      <c r="L108" s="23"/>
      <c r="M108" s="23"/>
      <c r="N108" s="23">
        <f t="shared" ref="N108:AQ108" si="104">SUM(N104:N107)</f>
        <v>0</v>
      </c>
      <c r="O108" s="23">
        <f t="shared" si="104"/>
        <v>0</v>
      </c>
      <c r="P108" s="23">
        <f t="shared" si="104"/>
        <v>0</v>
      </c>
      <c r="Q108" s="23">
        <f t="shared" si="104"/>
        <v>0</v>
      </c>
      <c r="R108" s="23">
        <f t="shared" si="104"/>
        <v>0</v>
      </c>
      <c r="S108" s="23">
        <f t="shared" si="104"/>
        <v>0</v>
      </c>
      <c r="T108" s="23">
        <f t="shared" si="104"/>
        <v>0</v>
      </c>
      <c r="U108" s="23">
        <f t="shared" si="104"/>
        <v>0</v>
      </c>
      <c r="V108" s="23">
        <f t="shared" si="104"/>
        <v>0</v>
      </c>
      <c r="W108" s="23">
        <f t="shared" si="104"/>
        <v>0</v>
      </c>
      <c r="X108" s="23">
        <f t="shared" si="104"/>
        <v>0</v>
      </c>
      <c r="Y108" s="23">
        <f t="shared" si="104"/>
        <v>0</v>
      </c>
      <c r="Z108" s="23">
        <f t="shared" si="104"/>
        <v>0</v>
      </c>
      <c r="AA108" s="23">
        <f t="shared" si="104"/>
        <v>0</v>
      </c>
      <c r="AB108" s="23">
        <f t="shared" si="104"/>
        <v>0</v>
      </c>
      <c r="AC108" s="23">
        <f t="shared" si="104"/>
        <v>0</v>
      </c>
      <c r="AD108" s="23">
        <f t="shared" si="104"/>
        <v>0</v>
      </c>
      <c r="AE108" s="23">
        <f t="shared" si="104"/>
        <v>0</v>
      </c>
      <c r="AF108" s="23">
        <f t="shared" si="104"/>
        <v>0</v>
      </c>
      <c r="AG108" s="23">
        <f t="shared" si="104"/>
        <v>0</v>
      </c>
      <c r="AH108" s="23">
        <f t="shared" si="104"/>
        <v>0</v>
      </c>
      <c r="AI108" s="23">
        <f t="shared" si="104"/>
        <v>0</v>
      </c>
      <c r="AJ108" s="23">
        <f t="shared" si="104"/>
        <v>0</v>
      </c>
      <c r="AK108" s="23">
        <f t="shared" si="104"/>
        <v>0</v>
      </c>
      <c r="AL108" s="23">
        <f t="shared" si="104"/>
        <v>0</v>
      </c>
      <c r="AM108" s="23">
        <f t="shared" si="104"/>
        <v>0</v>
      </c>
      <c r="AN108" s="23">
        <f t="shared" si="104"/>
        <v>0</v>
      </c>
      <c r="AO108" s="23">
        <f t="shared" si="104"/>
        <v>0</v>
      </c>
      <c r="AP108" s="23">
        <f t="shared" si="104"/>
        <v>0</v>
      </c>
      <c r="AQ108" s="23">
        <f t="shared" si="104"/>
        <v>0</v>
      </c>
      <c r="AR108" s="23">
        <f t="shared" ref="AR108:BC108" si="105">SUM(AR104:AR107)</f>
        <v>0</v>
      </c>
      <c r="AS108" s="23">
        <f t="shared" si="105"/>
        <v>0</v>
      </c>
      <c r="AT108" s="23">
        <f t="shared" si="105"/>
        <v>0</v>
      </c>
      <c r="AU108" s="23">
        <f t="shared" si="105"/>
        <v>0</v>
      </c>
      <c r="AV108" s="23">
        <f t="shared" si="105"/>
        <v>0</v>
      </c>
      <c r="AW108" s="23">
        <f t="shared" si="105"/>
        <v>0</v>
      </c>
      <c r="AX108" s="23">
        <f t="shared" si="105"/>
        <v>0</v>
      </c>
      <c r="AY108" s="23">
        <f t="shared" si="105"/>
        <v>0</v>
      </c>
      <c r="AZ108" s="23">
        <f t="shared" si="105"/>
        <v>0</v>
      </c>
      <c r="BA108" s="23">
        <f t="shared" si="105"/>
        <v>0</v>
      </c>
      <c r="BB108" s="23">
        <f t="shared" si="105"/>
        <v>0</v>
      </c>
      <c r="BC108" s="23">
        <f t="shared" si="105"/>
        <v>0</v>
      </c>
      <c r="BD108" s="23">
        <f t="shared" ref="BD108:BO108" si="106">SUM(BD104:BD107)</f>
        <v>0</v>
      </c>
      <c r="BE108" s="23">
        <f t="shared" si="106"/>
        <v>0</v>
      </c>
      <c r="BF108" s="23">
        <f t="shared" si="106"/>
        <v>0</v>
      </c>
      <c r="BG108" s="23">
        <f t="shared" si="106"/>
        <v>0</v>
      </c>
      <c r="BH108" s="23">
        <f t="shared" si="106"/>
        <v>0</v>
      </c>
      <c r="BI108" s="23">
        <f t="shared" si="106"/>
        <v>0</v>
      </c>
      <c r="BJ108" s="23">
        <f t="shared" si="106"/>
        <v>0</v>
      </c>
      <c r="BK108" s="23">
        <f t="shared" si="106"/>
        <v>0</v>
      </c>
      <c r="BL108" s="23">
        <f t="shared" si="106"/>
        <v>0</v>
      </c>
      <c r="BM108" s="23">
        <f t="shared" si="106"/>
        <v>0</v>
      </c>
      <c r="BN108" s="23">
        <f t="shared" si="106"/>
        <v>0</v>
      </c>
      <c r="BO108" s="23">
        <f t="shared" si="106"/>
        <v>0</v>
      </c>
      <c r="BP108" s="23">
        <f t="shared" ref="BP108:BU108" si="107">SUM(BP104:BP107)</f>
        <v>0</v>
      </c>
      <c r="BQ108" s="23">
        <f t="shared" si="107"/>
        <v>0</v>
      </c>
      <c r="BR108" s="23">
        <f t="shared" si="107"/>
        <v>0</v>
      </c>
      <c r="BS108" s="23">
        <f t="shared" si="107"/>
        <v>0</v>
      </c>
      <c r="BT108" s="23">
        <f t="shared" si="107"/>
        <v>0</v>
      </c>
      <c r="BU108" s="23">
        <f t="shared" si="107"/>
        <v>0</v>
      </c>
      <c r="BV108" s="23">
        <f t="shared" ref="BV108:CG108" si="108">SUM(BV104:BV107)</f>
        <v>0</v>
      </c>
      <c r="BW108" s="23">
        <f t="shared" si="108"/>
        <v>0</v>
      </c>
      <c r="BX108" s="23">
        <f t="shared" si="108"/>
        <v>0</v>
      </c>
      <c r="BY108" s="23">
        <f t="shared" si="108"/>
        <v>0</v>
      </c>
      <c r="BZ108" s="23">
        <f t="shared" si="108"/>
        <v>0</v>
      </c>
      <c r="CA108" s="23">
        <f t="shared" si="108"/>
        <v>0</v>
      </c>
      <c r="CB108" s="23">
        <f t="shared" si="108"/>
        <v>0</v>
      </c>
      <c r="CC108" s="23">
        <f t="shared" si="108"/>
        <v>0</v>
      </c>
      <c r="CD108" s="23">
        <f t="shared" si="108"/>
        <v>0</v>
      </c>
      <c r="CE108" s="23">
        <f t="shared" si="108"/>
        <v>0</v>
      </c>
      <c r="CF108" s="23">
        <f t="shared" si="108"/>
        <v>0</v>
      </c>
      <c r="CG108" s="23">
        <f t="shared" si="108"/>
        <v>0</v>
      </c>
      <c r="CH108" s="23"/>
      <c r="CI108" s="23"/>
      <c r="CJ108" s="23"/>
    </row>
    <row r="110" spans="1:88">
      <c r="A110" s="45">
        <v>3</v>
      </c>
      <c r="B110" s="56" t="s">
        <v>109</v>
      </c>
      <c r="C110" s="45"/>
      <c r="D110" s="45"/>
      <c r="E110" s="45"/>
      <c r="F110" s="53"/>
      <c r="G110" s="28" t="s">
        <v>110</v>
      </c>
      <c r="H110" s="23"/>
      <c r="I110" s="23"/>
      <c r="J110" s="23"/>
      <c r="K110" s="23"/>
      <c r="L110" s="23"/>
      <c r="M110" s="23"/>
      <c r="N110" s="23">
        <f t="shared" ref="N110:AQ110" si="109">N102-N108</f>
        <v>0</v>
      </c>
      <c r="O110" s="23">
        <f t="shared" si="109"/>
        <v>0</v>
      </c>
      <c r="P110" s="23">
        <f t="shared" si="109"/>
        <v>0</v>
      </c>
      <c r="Q110" s="23">
        <f t="shared" si="109"/>
        <v>0</v>
      </c>
      <c r="R110" s="23">
        <f t="shared" si="109"/>
        <v>0</v>
      </c>
      <c r="S110" s="23">
        <f t="shared" si="109"/>
        <v>0</v>
      </c>
      <c r="T110" s="23">
        <f t="shared" si="109"/>
        <v>0</v>
      </c>
      <c r="U110" s="23">
        <f t="shared" si="109"/>
        <v>0</v>
      </c>
      <c r="V110" s="23">
        <f t="shared" si="109"/>
        <v>0</v>
      </c>
      <c r="W110" s="23">
        <f t="shared" si="109"/>
        <v>0</v>
      </c>
      <c r="X110" s="23">
        <f t="shared" si="109"/>
        <v>0</v>
      </c>
      <c r="Y110" s="23">
        <f t="shared" si="109"/>
        <v>0</v>
      </c>
      <c r="Z110" s="23">
        <f t="shared" si="109"/>
        <v>0</v>
      </c>
      <c r="AA110" s="23">
        <f t="shared" si="109"/>
        <v>0</v>
      </c>
      <c r="AB110" s="23">
        <f t="shared" si="109"/>
        <v>0</v>
      </c>
      <c r="AC110" s="23">
        <f t="shared" si="109"/>
        <v>0</v>
      </c>
      <c r="AD110" s="23">
        <f t="shared" si="109"/>
        <v>0</v>
      </c>
      <c r="AE110" s="23">
        <f t="shared" si="109"/>
        <v>0</v>
      </c>
      <c r="AF110" s="23">
        <f t="shared" si="109"/>
        <v>0</v>
      </c>
      <c r="AG110" s="23">
        <f t="shared" si="109"/>
        <v>0</v>
      </c>
      <c r="AH110" s="23">
        <f t="shared" si="109"/>
        <v>0</v>
      </c>
      <c r="AI110" s="23">
        <f t="shared" si="109"/>
        <v>0</v>
      </c>
      <c r="AJ110" s="23">
        <f t="shared" si="109"/>
        <v>0</v>
      </c>
      <c r="AK110" s="23">
        <f t="shared" si="109"/>
        <v>0</v>
      </c>
      <c r="AL110" s="23">
        <f t="shared" si="109"/>
        <v>0</v>
      </c>
      <c r="AM110" s="23">
        <f t="shared" si="109"/>
        <v>0</v>
      </c>
      <c r="AN110" s="23">
        <f t="shared" si="109"/>
        <v>0</v>
      </c>
      <c r="AO110" s="23">
        <f t="shared" si="109"/>
        <v>0</v>
      </c>
      <c r="AP110" s="23">
        <f t="shared" si="109"/>
        <v>0</v>
      </c>
      <c r="AQ110" s="23">
        <f t="shared" si="109"/>
        <v>0</v>
      </c>
      <c r="AR110" s="23">
        <f t="shared" ref="AR110:BC110" si="110">AR102-AR108</f>
        <v>0</v>
      </c>
      <c r="AS110" s="23">
        <f t="shared" si="110"/>
        <v>0</v>
      </c>
      <c r="AT110" s="23">
        <f t="shared" si="110"/>
        <v>0</v>
      </c>
      <c r="AU110" s="23">
        <f t="shared" si="110"/>
        <v>0</v>
      </c>
      <c r="AV110" s="23">
        <f t="shared" si="110"/>
        <v>0</v>
      </c>
      <c r="AW110" s="23">
        <f t="shared" si="110"/>
        <v>0</v>
      </c>
      <c r="AX110" s="23">
        <f t="shared" si="110"/>
        <v>0</v>
      </c>
      <c r="AY110" s="23">
        <f t="shared" si="110"/>
        <v>0</v>
      </c>
      <c r="AZ110" s="23">
        <f t="shared" si="110"/>
        <v>0</v>
      </c>
      <c r="BA110" s="23">
        <f t="shared" si="110"/>
        <v>0</v>
      </c>
      <c r="BB110" s="23">
        <f t="shared" si="110"/>
        <v>0</v>
      </c>
      <c r="BC110" s="23">
        <f t="shared" si="110"/>
        <v>0</v>
      </c>
      <c r="BD110" s="23">
        <f t="shared" ref="BD110:BO110" si="111">BD102-BD108</f>
        <v>0</v>
      </c>
      <c r="BE110" s="23">
        <f t="shared" si="111"/>
        <v>0</v>
      </c>
      <c r="BF110" s="23">
        <f t="shared" si="111"/>
        <v>0</v>
      </c>
      <c r="BG110" s="23">
        <f t="shared" si="111"/>
        <v>0</v>
      </c>
      <c r="BH110" s="23">
        <f t="shared" si="111"/>
        <v>0</v>
      </c>
      <c r="BI110" s="23">
        <f t="shared" si="111"/>
        <v>0</v>
      </c>
      <c r="BJ110" s="23">
        <f t="shared" si="111"/>
        <v>0</v>
      </c>
      <c r="BK110" s="23">
        <f t="shared" si="111"/>
        <v>0</v>
      </c>
      <c r="BL110" s="23">
        <f t="shared" si="111"/>
        <v>0</v>
      </c>
      <c r="BM110" s="23">
        <f t="shared" si="111"/>
        <v>0</v>
      </c>
      <c r="BN110" s="23">
        <f t="shared" si="111"/>
        <v>0</v>
      </c>
      <c r="BO110" s="23">
        <f t="shared" si="111"/>
        <v>0</v>
      </c>
      <c r="BP110" s="23">
        <f t="shared" ref="BP110:BU110" si="112">BP102-BP108</f>
        <v>0</v>
      </c>
      <c r="BQ110" s="23">
        <f t="shared" si="112"/>
        <v>0</v>
      </c>
      <c r="BR110" s="23">
        <f t="shared" si="112"/>
        <v>0</v>
      </c>
      <c r="BS110" s="23">
        <f t="shared" si="112"/>
        <v>0</v>
      </c>
      <c r="BT110" s="23">
        <f t="shared" si="112"/>
        <v>0</v>
      </c>
      <c r="BU110" s="23">
        <f t="shared" si="112"/>
        <v>0</v>
      </c>
      <c r="BV110" s="23">
        <f t="shared" ref="BV110:CG110" si="113">BV102-BV108</f>
        <v>0</v>
      </c>
      <c r="BW110" s="23">
        <f t="shared" si="113"/>
        <v>0</v>
      </c>
      <c r="BX110" s="23">
        <f t="shared" si="113"/>
        <v>0</v>
      </c>
      <c r="BY110" s="23">
        <f t="shared" si="113"/>
        <v>0</v>
      </c>
      <c r="BZ110" s="23">
        <f t="shared" si="113"/>
        <v>0</v>
      </c>
      <c r="CA110" s="23">
        <f t="shared" si="113"/>
        <v>0</v>
      </c>
      <c r="CB110" s="23">
        <f t="shared" si="113"/>
        <v>0</v>
      </c>
      <c r="CC110" s="23">
        <f t="shared" si="113"/>
        <v>0</v>
      </c>
      <c r="CD110" s="23">
        <f t="shared" si="113"/>
        <v>0</v>
      </c>
      <c r="CE110" s="23">
        <f t="shared" si="113"/>
        <v>0</v>
      </c>
      <c r="CF110" s="23">
        <f t="shared" si="113"/>
        <v>0</v>
      </c>
      <c r="CG110" s="23">
        <f t="shared" si="113"/>
        <v>0</v>
      </c>
      <c r="CH110" s="23"/>
      <c r="CI110" s="23"/>
      <c r="CJ110" s="23"/>
    </row>
    <row r="112" spans="1:88">
      <c r="A112" s="58"/>
      <c r="B112" s="57" t="s">
        <v>111</v>
      </c>
      <c r="C112" s="58"/>
      <c r="D112" s="58"/>
      <c r="E112" s="58"/>
      <c r="F112" s="55" t="s">
        <v>112</v>
      </c>
      <c r="G112" s="28" t="s">
        <v>113</v>
      </c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9"/>
      <c r="BS112" s="59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  <c r="CG112" s="59"/>
      <c r="CH112" s="59"/>
      <c r="CI112" s="59"/>
      <c r="CJ112" s="59"/>
    </row>
    <row r="113" spans="1:88">
      <c r="A113" s="57"/>
      <c r="B113" s="58" t="s">
        <v>114</v>
      </c>
      <c r="C113" s="58"/>
      <c r="D113" s="58"/>
      <c r="E113" s="58"/>
      <c r="F113" s="55" t="s">
        <v>115</v>
      </c>
      <c r="G113" s="28" t="s">
        <v>116</v>
      </c>
      <c r="H113" s="59"/>
      <c r="I113" s="59"/>
      <c r="J113" s="59"/>
      <c r="K113" s="59"/>
      <c r="L113" s="59"/>
      <c r="M113" s="59"/>
      <c r="N113" s="59">
        <f>IF(SUM($H95:N95)+SUM($H110:N110)-SUM($H112:N112)&lt;0,0,(SUM($H95:N95)+SUM($H110:N110)-SUM($H112:N112))*0.3333-SUM($G113:M113))</f>
        <v>0</v>
      </c>
      <c r="O113" s="59">
        <f>IF(SUM($H95:O95)+SUM($H110:O110)-SUM($H112:O112)&lt;0,0,(SUM($H95:O95)+SUM($H110:O110)-SUM($H112:O112))*0.3333-SUM($G113:N113))</f>
        <v>0</v>
      </c>
      <c r="P113" s="59">
        <f>IF(SUM($H95:P95)+SUM($H110:P110)-SUM($H112:P112)&lt;0,0,(SUM($H95:P95)+SUM($H110:P110)-SUM($H112:P112))*0.3333-SUM($G113:O113))</f>
        <v>0</v>
      </c>
      <c r="Q113" s="59">
        <f>IF(SUM($H95:Q95)+SUM($H110:Q110)-SUM($H112:Q112)&lt;0,0,(SUM($H95:Q95)+SUM($H110:Q110)-SUM($H112:Q112))*0.3333-SUM($G113:P113))</f>
        <v>0</v>
      </c>
      <c r="R113" s="59">
        <f>IF(SUM($H95:R95)+SUM($H110:R110)-SUM($H112:R112)&lt;0,0,(SUM($H95:R95)+SUM($H110:R110)-SUM($H112:R112))*0.3333-SUM($G113:Q113))</f>
        <v>0</v>
      </c>
      <c r="S113" s="59">
        <f>IF(SUM($H95:S95)+SUM($H110:S110)-SUM($H112:S112)&lt;0,0,(SUM($H95:S95)+SUM($H110:S110)-SUM($H112:S112))*0.15-SUM($G113:R113))</f>
        <v>0</v>
      </c>
      <c r="T113" s="59">
        <f>IF(SUM($H95:T95)+SUM($H110:T110)-SUM($H112:T112)&lt;0,0,(SUM($H95:T95)+SUM($H110:T110)-SUM($H112:T112))*0.15-SUM($G113:S113))</f>
        <v>0</v>
      </c>
      <c r="U113" s="59">
        <f>IF(SUM($H95:U95)+SUM($H110:U110)-SUM($H112:U112)&lt;0,0,(SUM($H95:U95)+SUM($H110:U110)-SUM($H112:U112))*0.15-SUM($G113:T113))</f>
        <v>0</v>
      </c>
      <c r="V113" s="59">
        <f>IF(SUM($H95:V95)+SUM($H110:V110)-SUM($H112:V112)&lt;0,0,(SUM($H95:V95)+SUM($H110:V110)-SUM($H112:V112))*0.15-SUM($G113:U113))</f>
        <v>0</v>
      </c>
      <c r="W113" s="59">
        <f>IF(SUM($H95:W95)+SUM($H110:W110)-SUM($H112:W112)&lt;0,0,(SUM($H95:W95)+SUM($H110:W110)-SUM($H112:W112))*0.15-SUM($G113:V113))</f>
        <v>0</v>
      </c>
      <c r="X113" s="59">
        <f>IF(SUM($H95:X95)+SUM($H110:X110)-SUM($H112:X112)&lt;0,0,(SUM($H95:X95)+SUM($H110:X110)-SUM($H112:X112))*0.15-SUM($G113:W113))</f>
        <v>0</v>
      </c>
      <c r="Y113" s="59">
        <f>IF(SUM($H95:Y95)+SUM($H110:Y110)-SUM($H112:Y112)&lt;0,0,(SUM($H95:Y95)+SUM($H110:Y110)-SUM($H112:Y112))*0.15-SUM($G113:X113))</f>
        <v>0</v>
      </c>
      <c r="Z113" s="59">
        <f>IF(SUM($H95:Z95)+SUM($H110:Z110)-SUM($H112:Z112)&lt;0,0,(SUM($H95:Z95)+SUM($H110:Z110)-SUM($H112:Z112))*0.15-SUM($G113:Y113))</f>
        <v>0</v>
      </c>
      <c r="AA113" s="59">
        <f>IF(SUM($H95:AA95)+SUM($H110:AA110)-SUM($H112:AA112)&lt;0,0,(SUM($H95:AA95)+SUM($H110:AA110)-SUM($H112:AA112))*0.15-SUM($G113:Z113))</f>
        <v>0</v>
      </c>
      <c r="AB113" s="59">
        <f>IF(SUM($H95:AB95)+SUM($H110:AB110)-SUM($H112:AB112)&lt;0,0,(SUM($H95:AB95)+SUM($H110:AB110)-SUM($H112:AB112))*0.15-SUM($G113:AA113))</f>
        <v>0</v>
      </c>
      <c r="AC113" s="59">
        <f>IF(SUM($H95:AC95)+SUM($H110:AC110)-SUM($H112:AC112)&lt;0,0,(SUM($H95:AC95)+SUM($H110:AC110)-SUM($H112:AC112))*0.15-SUM($G113:AB113))</f>
        <v>0</v>
      </c>
      <c r="AD113" s="59">
        <f>IF(SUM($H95:AD95)+SUM($H110:AD110)-SUM($H112:AD112)&lt;0,0,(SUM($H95:AD95)+SUM($H110:AD110)-SUM($H112:AD112))*0.15-SUM($G113:AC113))</f>
        <v>0</v>
      </c>
      <c r="AE113" s="59">
        <f>IF(SUM($H95:AE95)+SUM($H110:AE110)-SUM($H112:AE112)&lt;0,0,(SUM($H95:AE95)+SUM($H110:AE110)-SUM($H112:AE112))*0.15-SUM($G113:AD113))</f>
        <v>0</v>
      </c>
      <c r="AF113" s="59">
        <f>IF(SUM($H95:AF95)+SUM($H110:AF110)-SUM($H112:AF112)&lt;0,0,(SUM($H95:AF95)+SUM($H110:AF110)-SUM($H112:AF112))*0.15-SUM($G113:AE113))</f>
        <v>0</v>
      </c>
      <c r="AG113" s="59">
        <f>IF(SUM($H95:AG95)+SUM($H110:AG110)-SUM($H112:AG112)&lt;0,0,(SUM($H95:AG95)+SUM($H110:AG110)-SUM($H112:AG112))*0.15-SUM($G113:AF113))</f>
        <v>0</v>
      </c>
      <c r="AH113" s="59">
        <f>IF(SUM($H95:AH95)+SUM($H110:AH110)-SUM($H112:AH112)&lt;0,0,(SUM($H95:AH95)+SUM($H110:AH110)-SUM($H112:AH112))*0.15-SUM($G113:AG113))</f>
        <v>0</v>
      </c>
      <c r="AI113" s="59">
        <f>IF(SUM($H95:AI95)+SUM($H110:AI110)-SUM($H112:AI112)&lt;0,0,(SUM($H95:AI95)+SUM($H110:AI110)-SUM($H112:AI112))*0.15-SUM($G113:AH113))</f>
        <v>0</v>
      </c>
      <c r="AJ113" s="59">
        <f>IF(SUM($H95:AJ95)+SUM($H110:AJ110)-SUM($H112:AJ112)&lt;0,0,(SUM($H95:AJ95)+SUM($H110:AJ110)-SUM($H112:AJ112))*0.15-SUM($G113:AI113))</f>
        <v>0</v>
      </c>
      <c r="AK113" s="59">
        <f>IF(SUM($H95:AK95)+SUM($H110:AK110)-SUM($H112:AK112)&lt;0,0,(SUM($H95:AK95)+SUM($H110:AK110)-SUM($H112:AK112))*0.15-SUM($G113:AJ113))</f>
        <v>0</v>
      </c>
      <c r="AL113" s="59">
        <f>IF(SUM($H95:AL95)+SUM($H110:AL110)-SUM($H112:AL112)&lt;0,0,(SUM($H95:AL95)+SUM($H110:AL110)-SUM($H112:AL112))*0.15-SUM($G113:AK113))</f>
        <v>0</v>
      </c>
      <c r="AM113" s="59">
        <f>IF(SUM($H95:AM95)+SUM($H110:AM110)-SUM($H112:AM112)&lt;0,0,(SUM($H95:AM95)+SUM($H110:AM110)-SUM($H112:AM112))*0.15-SUM($G113:AL113))</f>
        <v>0</v>
      </c>
      <c r="AN113" s="59">
        <f>IF(SUM($H95:AN95)+SUM($H110:AN110)-SUM($H112:AN112)&lt;0,0,(SUM($H95:AN95)+SUM($H110:AN110)-SUM($H112:AN112))*0.15-SUM($G113:AM113))</f>
        <v>0</v>
      </c>
      <c r="AO113" s="59">
        <f>IF(SUM($H95:AO95)+SUM($H110:AO110)-SUM($H112:AO112)&lt;0,0,(SUM($H95:AO95)+SUM($H110:AO110)-SUM($H112:AO112))*0.15-SUM($G113:AN113))</f>
        <v>0</v>
      </c>
      <c r="AP113" s="59">
        <f>IF(SUM($H95:AP95)+SUM($H110:AP110)-SUM($H112:AP112)&lt;0,0,(SUM($H95:AP95)+SUM($H110:AP110)-SUM($H112:AP112))*0.15-SUM($G113:AO113))</f>
        <v>0</v>
      </c>
      <c r="AQ113" s="59">
        <f>IF(SUM($H95:AQ95)+SUM($H110:AQ110)-SUM($H112:AQ112)&lt;0,0,(SUM($H95:AQ95)+SUM($H110:AQ110)-SUM($H112:AQ112))*0.15-SUM($G113:AP113))</f>
        <v>0</v>
      </c>
      <c r="AR113" s="59">
        <f>IF(SUM($H95:AR95)+SUM($H110:AR110)-SUM($H112:AR112)&lt;0,0,(SUM($H95:AR95)+SUM($H110:AR110)-SUM($H112:AR112))*0.15-SUM($G113:AQ113))</f>
        <v>0</v>
      </c>
      <c r="AS113" s="59">
        <f>IF(SUM($H95:AS95)+SUM($H110:AS110)-SUM($H112:AS112)&lt;0,0,(SUM($H95:AS95)+SUM($H110:AS110)-SUM($H112:AS112))*0.15-SUM($G113:AR113))</f>
        <v>0</v>
      </c>
      <c r="AT113" s="59">
        <f>IF(SUM($H95:AT95)+SUM($H110:AT110)-SUM($H112:AT112)&lt;0,0,(SUM($H95:AT95)+SUM($H110:AT110)-SUM($H112:AT112))*0.15-SUM($G113:AS113))</f>
        <v>0</v>
      </c>
      <c r="AU113" s="59">
        <f>IF(SUM($H95:AU95)+SUM($H110:AU110)-SUM($H112:AU112)&lt;0,0,(SUM($H95:AU95)+SUM($H110:AU110)-SUM($H112:AU112))*0.15-SUM($G113:AT113))</f>
        <v>0</v>
      </c>
      <c r="AV113" s="59">
        <f>IF(SUM($H95:AV95)+SUM($H110:AV110)-SUM($H112:AV112)&lt;0,0,(SUM($H95:AV95)+SUM($H110:AV110)-SUM($H112:AV112))*0.15-SUM($G113:AU113))</f>
        <v>0</v>
      </c>
      <c r="AW113" s="59">
        <f>IF(SUM($H95:AW95)+SUM($H110:AW110)-SUM($H112:AW112)&lt;0,0,(SUM($H95:AW95)+SUM($H110:AW110)-SUM($H112:AW112))*0.15-SUM($G113:AV113))</f>
        <v>0</v>
      </c>
      <c r="AX113" s="59">
        <f>IF(SUM($H95:AX95)+SUM($H110:AX110)-SUM($H112:AX112)&lt;0,0,(SUM($H95:AX95)+SUM($H110:AX110)-SUM($H112:AX112))*0.15-SUM($G113:AW113))</f>
        <v>0</v>
      </c>
      <c r="AY113" s="59">
        <f>IF(SUM($H95:AY95)+SUM($H110:AY110)-SUM($H112:AY112)&lt;0,0,(SUM($H95:AY95)+SUM($H110:AY110)-SUM($H112:AY112))*0.15-SUM($G113:AX113))</f>
        <v>0</v>
      </c>
      <c r="AZ113" s="59">
        <f>IF(SUM($H95:AZ95)+SUM($H110:AZ110)-SUM($H112:AZ112)&lt;0,0,(SUM($H95:AZ95)+SUM($H110:AZ110)-SUM($H112:AZ112))*0.15-SUM($G113:AY113))</f>
        <v>0</v>
      </c>
      <c r="BA113" s="59">
        <f>IF(SUM($H95:BA95)+SUM($H110:BA110)-SUM($H112:BA112)&lt;0,0,(SUM($H95:BA95)+SUM($H110:BA110)-SUM($H112:BA112))*0.15-SUM($G113:AZ113))</f>
        <v>0</v>
      </c>
      <c r="BB113" s="59">
        <f>IF(SUM($H95:BB95)+SUM($H110:BB110)-SUM($H112:BB112)&lt;0,0,(SUM($H95:BB95)+SUM($H110:BB110)-SUM($H112:BB112))*0.15-SUM($G113:BA113))</f>
        <v>0</v>
      </c>
      <c r="BC113" s="59">
        <f>IF(SUM($H95:BC95)+SUM($H110:BC110)-SUM($H112:BC112)&lt;0,0,(SUM($H95:BC95)+SUM($H110:BC110)-SUM($H112:BC112))*0.15-SUM($G113:BB113))</f>
        <v>0</v>
      </c>
      <c r="BD113" s="59">
        <f>IF(SUM($H95:BD95)+SUM($H110:BD110)-SUM($H112:BD112)&lt;0,0,(SUM($H95:BD95)+SUM($H110:BD110)-SUM($H112:BD112))*0.15-SUM($G113:BC113))</f>
        <v>0</v>
      </c>
      <c r="BE113" s="59">
        <f>IF(SUM($H95:BE95)+SUM($H110:BE110)-SUM($H112:BE112)&lt;0,0,(SUM($H95:BE95)+SUM($H110:BE110)-SUM($H112:BE112))*0.15-SUM($G113:BD113))</f>
        <v>0</v>
      </c>
      <c r="BF113" s="59">
        <f>IF(SUM($H95:BF95)+SUM($H110:BF110)-SUM($H112:BF112)&lt;0,0,(SUM($H95:BF95)+SUM($H110:BF110)-SUM($H112:BF112))*0.15-SUM($G113:BE113))</f>
        <v>0</v>
      </c>
      <c r="BG113" s="59">
        <f>IF(SUM($H95:BG95)+SUM($H110:BG110)-SUM($H112:BG112)&lt;0,0,(SUM($H95:BG95)+SUM($H110:BG110)-SUM($H112:BG112))*0.15-SUM($G113:BF113))</f>
        <v>0</v>
      </c>
      <c r="BH113" s="59">
        <f>IF(SUM($H95:BH95)+SUM($H110:BH110)-SUM($H112:BH112)&lt;0,0,(SUM($H95:BH95)+SUM($H110:BH110)-SUM($H112:BH112))*0.15-SUM($G113:BG113))</f>
        <v>0</v>
      </c>
      <c r="BI113" s="59">
        <f>IF(SUM($H95:BI95)+SUM($H110:BI110)-SUM($H112:BI112)&lt;0,0,(SUM($H95:BI95)+SUM($H110:BI110)-SUM($H112:BI112))*0.15-SUM($G113:BH113))</f>
        <v>0</v>
      </c>
      <c r="BJ113" s="59">
        <f>IF(SUM($H95:BJ95)+SUM($H110:BJ110)-SUM($H112:BJ112)&lt;0,0,(SUM($H95:BJ95)+SUM($H110:BJ110)-SUM($H112:BJ112))*0.15-SUM($G113:BI113))</f>
        <v>0</v>
      </c>
      <c r="BK113" s="59">
        <f>IF(SUM($H95:BK95)+SUM($H110:BK110)-SUM($H112:BK112)&lt;0,0,(SUM($H95:BK95)+SUM($H110:BK110)-SUM($H112:BK112))*0.15-SUM($G113:BJ113))</f>
        <v>0</v>
      </c>
      <c r="BL113" s="59">
        <f>IF(SUM($H95:BL95)+SUM($H110:BL110)-SUM($H112:BL112)&lt;0,0,(SUM($H95:BL95)+SUM($H110:BL110)-SUM($H112:BL112))*0.15-SUM($G113:BK113))</f>
        <v>0</v>
      </c>
      <c r="BM113" s="59">
        <f>IF(SUM($H95:BM95)+SUM($H110:BM110)-SUM($H112:BM112)&lt;0,0,(SUM($H95:BM95)+SUM($H110:BM110)-SUM($H112:BM112))*0.15-SUM($G113:BL113))</f>
        <v>0</v>
      </c>
      <c r="BN113" s="59">
        <f>IF(SUM($H95:BN95)+SUM($H110:BN110)-SUM($H112:BN112)&lt;0,0,(SUM($H95:BN95)+SUM($H110:BN110)-SUM($H112:BN112))*0.15-SUM($G113:BM113))</f>
        <v>0</v>
      </c>
      <c r="BO113" s="59">
        <f>IF(SUM($H95:BO95)+SUM($H110:BO110)-SUM($H112:BO112)&lt;0,0,(SUM($H95:BO95)+SUM($H110:BO110)-SUM($H112:BO112))*0.15-SUM($G113:BN113))</f>
        <v>0</v>
      </c>
      <c r="BP113" s="59">
        <f>IF(SUM($H95:BP95)+SUM($H110:BP110)-SUM($H112:BP112)&lt;0,0,(SUM($H95:BP95)+SUM($H110:BP110)-SUM($H112:BP112))*0.15-SUM($G113:BO113))</f>
        <v>0</v>
      </c>
      <c r="BQ113" s="59">
        <f>IF(SUM($H95:BQ95)+SUM($H110:BQ110)-SUM($H112:BQ112)&lt;0,0,(SUM($H95:BQ95)+SUM($H110:BQ110)-SUM($H112:BQ112))*0.15-SUM($G113:BP113))</f>
        <v>0</v>
      </c>
      <c r="BR113" s="59">
        <f>IF(SUM($H95:BR95)+SUM($H110:BR110)-SUM($H112:BR112)&lt;0,0,(SUM($H95:BR95)+SUM($H110:BR110)-SUM($H112:BR112))*0.15-SUM($G113:BQ113))</f>
        <v>0</v>
      </c>
      <c r="BS113" s="59">
        <f>IF(SUM($H95:BS95)+SUM($H110:BS110)-SUM($H112:BS112)&lt;0,0,(SUM($H95:BS95)+SUM($H110:BS110)-SUM($H112:BS112))*0.15-SUM($G113:BR113))</f>
        <v>0</v>
      </c>
      <c r="BT113" s="59">
        <f>IF(SUM($H95:BT95)+SUM($H110:BT110)-SUM($H112:BT112)&lt;0,0,(SUM($H95:BT95)+SUM($H110:BT110)-SUM($H112:BT112))*0.15-SUM($G113:BS113))</f>
        <v>0</v>
      </c>
      <c r="BU113" s="59">
        <f>IF(SUM($H95:BU95)+SUM($H110:BU110)-SUM($H112:BU112)&lt;0,0,(SUM($H95:BU95)+SUM($H110:BU110)-SUM($H112:BU112))*0.15-SUM($G113:BT113))</f>
        <v>0</v>
      </c>
      <c r="BV113" s="59">
        <f>IF(SUM($H95:BV95)+SUM($H110:BV110)-SUM($H112:BV112)&lt;0,0,(SUM($H95:BV95)+SUM($H110:BV110)-SUM($H112:BV112))*0.15-SUM($G113:BU113))</f>
        <v>4063.4187417499384</v>
      </c>
      <c r="BW113" s="59">
        <f>IF(SUM($H95:BW95)+SUM($H110:BW110)-SUM($H112:BW112)&lt;0,0,(SUM($H95:BW95)+SUM($H110:BW110)-SUM($H112:BW112))*0.15-SUM($G113:BV113))</f>
        <v>26850.593238166108</v>
      </c>
      <c r="BX113" s="59">
        <f>IF(SUM($H95:BX95)+SUM($H110:BX110)-SUM($H112:BX112)&lt;0,0,(SUM($H95:BX95)+SUM($H110:BX110)-SUM($H112:BX112))*0.15-SUM($G113:BW113))</f>
        <v>27411.780120766089</v>
      </c>
      <c r="BY113" s="59">
        <f>IF(SUM($H95:BY95)+SUM($H110:BY110)-SUM($H112:BY112)&lt;0,0,(SUM($H95:BY95)+SUM($H110:BY110)-SUM($H112:BY112))*0.15-SUM($G113:BX113))</f>
        <v>27972.967003366102</v>
      </c>
      <c r="BZ113" s="59">
        <f>IF(SUM($H95:BZ95)+SUM($H110:BZ110)-SUM($H112:BZ112)&lt;0,0,(SUM($H95:BZ95)+SUM($H110:BZ110)-SUM($H112:BZ112))*0.15-SUM($G113:BY113))</f>
        <v>28534.153885966094</v>
      </c>
      <c r="CA113" s="59">
        <f>IF(SUM($H95:CA95)+SUM($H110:CA110)-SUM($H112:CA112)&lt;0,0,(SUM($H95:CA95)+SUM($H110:CA110)-SUM($H112:CA112))*0.15-SUM($G113:BZ113))</f>
        <v>29095.340768566122</v>
      </c>
      <c r="CB113" s="59">
        <f>IF(SUM($H95:CB95)+SUM($H110:CB110)-SUM($H112:CB112)&lt;0,0,(SUM($H95:CB95)+SUM($H110:CB110)-SUM($H112:CB112))*0.15-SUM($G113:CA113))</f>
        <v>29092.922894367075</v>
      </c>
      <c r="CC113" s="59">
        <f>IF(SUM($H95:CC95)+SUM($H110:CC110)-SUM($H112:CC112)&lt;0,0,(SUM($H95:CC95)+SUM($H110:CC110)-SUM($H112:CC112))*0.15-SUM($G113:CB113))</f>
        <v>29668.163760447089</v>
      </c>
      <c r="CD113" s="59">
        <f>IF(SUM($H95:CD95)+SUM($H110:CD110)-SUM($H112:CD112)&lt;0,0,(SUM($H95:CD95)+SUM($H110:CD110)-SUM($H112:CD112))*0.15-SUM($G113:CC113))</f>
        <v>30264.485601747059</v>
      </c>
      <c r="CE113" s="59">
        <f>IF(SUM($H95:CE95)+SUM($H110:CE110)-SUM($H112:CE112)&lt;0,0,(SUM($H95:CE95)+SUM($H110:CE110)-SUM($H112:CE112))*0.15-SUM($G113:CD113))</f>
        <v>30608.224723047053</v>
      </c>
      <c r="CF113" s="59">
        <f>IF(SUM($H95:CF95)+SUM($H110:CF110)-SUM($H112:CF112)&lt;0,0,(SUM($H95:CF95)+SUM($H110:CF110)-SUM($H112:CF112))*0.15-SUM($G113:CE113))</f>
        <v>30951.963844347047</v>
      </c>
      <c r="CG113" s="59">
        <f>IF(SUM($H95:CG95)+SUM($H110:CG110)-SUM($H112:CG112)&lt;0,0,(SUM($H95:CG95)+SUM($H110:CG110)-SUM($H112:CG112))*0.15-SUM($G113:CF113))</f>
        <v>31421.994325647072</v>
      </c>
      <c r="CH113" s="59"/>
      <c r="CI113" s="59"/>
      <c r="CJ113" s="59"/>
    </row>
    <row r="115" spans="1:88">
      <c r="A115" s="45"/>
      <c r="B115" s="56"/>
      <c r="C115" s="45" t="s">
        <v>117</v>
      </c>
      <c r="D115" s="45"/>
      <c r="E115" s="45"/>
      <c r="F115" s="53"/>
      <c r="G115" s="28" t="s">
        <v>118</v>
      </c>
      <c r="H115" s="60"/>
      <c r="I115" s="60"/>
      <c r="J115" s="60"/>
      <c r="K115" s="60"/>
      <c r="L115" s="60"/>
      <c r="M115" s="60"/>
      <c r="N115" s="60">
        <f t="shared" ref="N115:AS115" si="114">N19+N74+N83+N102</f>
        <v>0</v>
      </c>
      <c r="O115" s="60">
        <f t="shared" si="114"/>
        <v>0</v>
      </c>
      <c r="P115" s="60">
        <f t="shared" si="114"/>
        <v>0</v>
      </c>
      <c r="Q115" s="60">
        <f t="shared" si="114"/>
        <v>0</v>
      </c>
      <c r="R115" s="60">
        <f t="shared" si="114"/>
        <v>0</v>
      </c>
      <c r="S115" s="60">
        <f t="shared" si="114"/>
        <v>0</v>
      </c>
      <c r="T115" s="60">
        <f t="shared" si="114"/>
        <v>0</v>
      </c>
      <c r="U115" s="60">
        <f t="shared" si="114"/>
        <v>0</v>
      </c>
      <c r="V115" s="60">
        <f t="shared" si="114"/>
        <v>0</v>
      </c>
      <c r="W115" s="60">
        <f t="shared" si="114"/>
        <v>0</v>
      </c>
      <c r="X115" s="60">
        <f t="shared" si="114"/>
        <v>0</v>
      </c>
      <c r="Y115" s="60">
        <f t="shared" si="114"/>
        <v>0</v>
      </c>
      <c r="Z115" s="60">
        <f t="shared" si="114"/>
        <v>0</v>
      </c>
      <c r="AA115" s="60">
        <f t="shared" si="114"/>
        <v>0</v>
      </c>
      <c r="AB115" s="60">
        <f t="shared" si="114"/>
        <v>0</v>
      </c>
      <c r="AC115" s="60">
        <f t="shared" si="114"/>
        <v>0</v>
      </c>
      <c r="AD115" s="60">
        <f t="shared" si="114"/>
        <v>0</v>
      </c>
      <c r="AE115" s="60">
        <f t="shared" si="114"/>
        <v>0</v>
      </c>
      <c r="AF115" s="60">
        <f t="shared" si="114"/>
        <v>0</v>
      </c>
      <c r="AG115" s="60">
        <f t="shared" si="114"/>
        <v>0</v>
      </c>
      <c r="AH115" s="60">
        <f t="shared" si="114"/>
        <v>0</v>
      </c>
      <c r="AI115" s="60">
        <f t="shared" si="114"/>
        <v>0</v>
      </c>
      <c r="AJ115" s="60">
        <f t="shared" si="114"/>
        <v>0</v>
      </c>
      <c r="AK115" s="60">
        <f t="shared" si="114"/>
        <v>0</v>
      </c>
      <c r="AL115" s="60">
        <f t="shared" si="114"/>
        <v>3900.15</v>
      </c>
      <c r="AM115" s="60">
        <f t="shared" si="114"/>
        <v>7800.3</v>
      </c>
      <c r="AN115" s="60">
        <f t="shared" si="114"/>
        <v>11700.45</v>
      </c>
      <c r="AO115" s="60">
        <f t="shared" si="114"/>
        <v>15600.6</v>
      </c>
      <c r="AP115" s="60">
        <f t="shared" si="114"/>
        <v>19500.75</v>
      </c>
      <c r="AQ115" s="60">
        <f t="shared" si="114"/>
        <v>23400.9</v>
      </c>
      <c r="AR115" s="60">
        <f t="shared" si="114"/>
        <v>31201.200000000001</v>
      </c>
      <c r="AS115" s="60">
        <f t="shared" si="114"/>
        <v>39001.5</v>
      </c>
      <c r="AT115" s="60">
        <f t="shared" ref="AT115:BU115" si="115">AT19+AT74+AT83+AT102</f>
        <v>46801.8</v>
      </c>
      <c r="AU115" s="60">
        <f t="shared" si="115"/>
        <v>58502.25</v>
      </c>
      <c r="AV115" s="60">
        <f t="shared" si="115"/>
        <v>70202.7</v>
      </c>
      <c r="AW115" s="60">
        <f t="shared" si="115"/>
        <v>81903.149999999994</v>
      </c>
      <c r="AX115" s="60">
        <f t="shared" si="115"/>
        <v>93603.6</v>
      </c>
      <c r="AY115" s="60">
        <f t="shared" si="115"/>
        <v>113109.7</v>
      </c>
      <c r="AZ115" s="60">
        <f t="shared" si="115"/>
        <v>132615.79999999999</v>
      </c>
      <c r="BA115" s="60">
        <f t="shared" si="115"/>
        <v>152121.9</v>
      </c>
      <c r="BB115" s="60">
        <f t="shared" si="115"/>
        <v>175533.5</v>
      </c>
      <c r="BC115" s="60">
        <f t="shared" si="115"/>
        <v>202850.6</v>
      </c>
      <c r="BD115" s="60">
        <f t="shared" si="115"/>
        <v>222367.4</v>
      </c>
      <c r="BE115" s="60">
        <f t="shared" si="115"/>
        <v>249695.2</v>
      </c>
      <c r="BF115" s="60">
        <f t="shared" si="115"/>
        <v>273117.5</v>
      </c>
      <c r="BG115" s="60">
        <f t="shared" si="115"/>
        <v>316045.90000000002</v>
      </c>
      <c r="BH115" s="60">
        <f t="shared" si="115"/>
        <v>339457.5</v>
      </c>
      <c r="BI115" s="60">
        <f t="shared" si="115"/>
        <v>362869.1</v>
      </c>
      <c r="BJ115" s="60">
        <f t="shared" si="115"/>
        <v>386280.7</v>
      </c>
      <c r="BK115" s="60">
        <f t="shared" si="115"/>
        <v>403839.4</v>
      </c>
      <c r="BL115" s="60">
        <f t="shared" si="115"/>
        <v>421398.1</v>
      </c>
      <c r="BM115" s="60">
        <f t="shared" si="115"/>
        <v>438956.79999999999</v>
      </c>
      <c r="BN115" s="60">
        <f t="shared" si="115"/>
        <v>456515.5</v>
      </c>
      <c r="BO115" s="60">
        <f t="shared" si="115"/>
        <v>468221.3</v>
      </c>
      <c r="BP115" s="60">
        <f t="shared" si="115"/>
        <v>479927.1</v>
      </c>
      <c r="BQ115" s="60">
        <f t="shared" si="115"/>
        <v>491632.9</v>
      </c>
      <c r="BR115" s="60">
        <f t="shared" si="115"/>
        <v>503338.7</v>
      </c>
      <c r="BS115" s="60">
        <f t="shared" si="115"/>
        <v>515044.5</v>
      </c>
      <c r="BT115" s="60">
        <f t="shared" si="115"/>
        <v>526750.30000000005</v>
      </c>
      <c r="BU115" s="60">
        <f t="shared" si="115"/>
        <v>538456.1</v>
      </c>
      <c r="BV115" s="60">
        <f t="shared" ref="BV115:CG115" si="116">BV19+BV74+BV83+BV102</f>
        <v>546650.16</v>
      </c>
      <c r="BW115" s="60">
        <f t="shared" si="116"/>
        <v>556014.80000000005</v>
      </c>
      <c r="BX115" s="60">
        <f t="shared" si="116"/>
        <v>561867.69999999995</v>
      </c>
      <c r="BY115" s="60">
        <f t="shared" si="116"/>
        <v>567720.6</v>
      </c>
      <c r="BZ115" s="60">
        <f t="shared" si="116"/>
        <v>573573.5</v>
      </c>
      <c r="CA115" s="60">
        <f t="shared" si="116"/>
        <v>579426.4</v>
      </c>
      <c r="CB115" s="60">
        <f t="shared" si="116"/>
        <v>585279.30000000005</v>
      </c>
      <c r="CC115" s="60">
        <f t="shared" si="116"/>
        <v>591132.19999999995</v>
      </c>
      <c r="CD115" s="60">
        <f t="shared" si="116"/>
        <v>596985.1</v>
      </c>
      <c r="CE115" s="60">
        <f t="shared" si="116"/>
        <v>600496.84</v>
      </c>
      <c r="CF115" s="60">
        <f t="shared" si="116"/>
        <v>604008.57999999996</v>
      </c>
      <c r="CG115" s="60">
        <f t="shared" si="116"/>
        <v>608690.9</v>
      </c>
      <c r="CH115" s="60"/>
      <c r="CI115" s="60"/>
      <c r="CJ115" s="60"/>
    </row>
    <row r="117" spans="1:88">
      <c r="A117" s="45"/>
      <c r="B117" s="56"/>
      <c r="C117" s="45" t="s">
        <v>119</v>
      </c>
      <c r="D117" s="45"/>
      <c r="E117" s="45"/>
      <c r="F117" s="53"/>
      <c r="G117" s="28" t="s">
        <v>120</v>
      </c>
      <c r="H117" s="60"/>
      <c r="I117" s="60"/>
      <c r="J117" s="60"/>
      <c r="K117" s="60"/>
      <c r="L117" s="60"/>
      <c r="M117" s="60"/>
      <c r="N117" s="60">
        <f t="shared" ref="N117:AQ117" si="117">N68+N75+N90+N108+N112+N113</f>
        <v>0</v>
      </c>
      <c r="O117" s="60">
        <f t="shared" si="117"/>
        <v>0</v>
      </c>
      <c r="P117" s="60">
        <f t="shared" si="117"/>
        <v>0</v>
      </c>
      <c r="Q117" s="60">
        <f t="shared" si="117"/>
        <v>0</v>
      </c>
      <c r="R117" s="60">
        <f t="shared" si="117"/>
        <v>0</v>
      </c>
      <c r="S117" s="60">
        <f t="shared" si="117"/>
        <v>0</v>
      </c>
      <c r="T117" s="60">
        <f t="shared" si="117"/>
        <v>0</v>
      </c>
      <c r="U117" s="60">
        <f t="shared" si="117"/>
        <v>350</v>
      </c>
      <c r="V117" s="60">
        <f t="shared" si="117"/>
        <v>350</v>
      </c>
      <c r="W117" s="60">
        <f t="shared" si="117"/>
        <v>350</v>
      </c>
      <c r="X117" s="60">
        <f t="shared" si="117"/>
        <v>350</v>
      </c>
      <c r="Y117" s="60">
        <f t="shared" si="117"/>
        <v>7066.666666666667</v>
      </c>
      <c r="Z117" s="60">
        <f t="shared" si="117"/>
        <v>11363.076346184738</v>
      </c>
      <c r="AA117" s="60">
        <f t="shared" si="117"/>
        <v>11342.239359036143</v>
      </c>
      <c r="AB117" s="60">
        <f t="shared" si="117"/>
        <v>11371.402371887547</v>
      </c>
      <c r="AC117" s="60">
        <f t="shared" si="117"/>
        <v>11440.115384738952</v>
      </c>
      <c r="AD117" s="60">
        <f t="shared" si="117"/>
        <v>11619.278397590357</v>
      </c>
      <c r="AE117" s="60">
        <f t="shared" si="117"/>
        <v>11598.441410441761</v>
      </c>
      <c r="AF117" s="60">
        <f t="shared" si="117"/>
        <v>12422.376823293167</v>
      </c>
      <c r="AG117" s="60">
        <f t="shared" si="117"/>
        <v>11733.739836144572</v>
      </c>
      <c r="AH117" s="60">
        <f t="shared" si="117"/>
        <v>17071.686182329307</v>
      </c>
      <c r="AI117" s="60">
        <f t="shared" si="117"/>
        <v>21752.19074492529</v>
      </c>
      <c r="AJ117" s="60">
        <f t="shared" si="117"/>
        <v>21830.686974187942</v>
      </c>
      <c r="AK117" s="60">
        <f t="shared" si="117"/>
        <v>25158.308203450593</v>
      </c>
      <c r="AL117" s="60">
        <f t="shared" si="117"/>
        <v>58042.490032713249</v>
      </c>
      <c r="AM117" s="60">
        <f t="shared" si="117"/>
        <v>69090.886261975902</v>
      </c>
      <c r="AN117" s="60">
        <f t="shared" si="117"/>
        <v>84826.332491238543</v>
      </c>
      <c r="AO117" s="60">
        <f t="shared" si="117"/>
        <v>101188.97872050121</v>
      </c>
      <c r="AP117" s="60">
        <f t="shared" si="117"/>
        <v>129235.20828309718</v>
      </c>
      <c r="AQ117" s="60">
        <f t="shared" si="117"/>
        <v>125269.35451235982</v>
      </c>
      <c r="AR117" s="60">
        <f t="shared" ref="AR117:BC117" si="118">AR68+AR75+AR90+AR108+AR112+AR113</f>
        <v>151624.20827537245</v>
      </c>
      <c r="AS117" s="60">
        <f t="shared" si="118"/>
        <v>140352.24654761885</v>
      </c>
      <c r="AT117" s="60">
        <f t="shared" si="118"/>
        <v>166323.15995111523</v>
      </c>
      <c r="AU117" s="60">
        <f t="shared" si="118"/>
        <v>167993.48626711161</v>
      </c>
      <c r="AV117" s="60">
        <f t="shared" si="118"/>
        <v>181063.812583108</v>
      </c>
      <c r="AW117" s="60">
        <f t="shared" si="118"/>
        <v>170269.98889910438</v>
      </c>
      <c r="AX117" s="60">
        <f t="shared" si="118"/>
        <v>199796.2331076008</v>
      </c>
      <c r="AY117" s="60">
        <f t="shared" si="118"/>
        <v>203636.05794859715</v>
      </c>
      <c r="AZ117" s="60">
        <f t="shared" si="118"/>
        <v>212285.88278959357</v>
      </c>
      <c r="BA117" s="60">
        <f t="shared" si="118"/>
        <v>218205.22611183993</v>
      </c>
      <c r="BB117" s="60">
        <f t="shared" si="118"/>
        <v>226500.8932290863</v>
      </c>
      <c r="BC117" s="60">
        <f t="shared" si="118"/>
        <v>233651.15655133268</v>
      </c>
      <c r="BD117" s="60">
        <f t="shared" ref="BD117:BO117" si="119">BD68+BD75+BD90+BD108+BD112+BD113</f>
        <v>252318.79894944574</v>
      </c>
      <c r="BE117" s="60">
        <f t="shared" si="119"/>
        <v>256013.31630236743</v>
      </c>
      <c r="BF117" s="60">
        <f t="shared" si="119"/>
        <v>270250.88534128916</v>
      </c>
      <c r="BG117" s="60">
        <f t="shared" si="119"/>
        <v>283058.56307871081</v>
      </c>
      <c r="BH117" s="60">
        <f t="shared" si="119"/>
        <v>295848.57117113244</v>
      </c>
      <c r="BI117" s="60">
        <f t="shared" si="119"/>
        <v>303489.54912855412</v>
      </c>
      <c r="BJ117" s="60">
        <f t="shared" si="119"/>
        <v>311017.92615997588</v>
      </c>
      <c r="BK117" s="60">
        <f t="shared" si="119"/>
        <v>317016.14433139755</v>
      </c>
      <c r="BL117" s="60">
        <f t="shared" si="119"/>
        <v>322858.06439281919</v>
      </c>
      <c r="BM117" s="60">
        <f t="shared" si="119"/>
        <v>329480.61857624096</v>
      </c>
      <c r="BN117" s="60">
        <f t="shared" si="119"/>
        <v>339315.37550532928</v>
      </c>
      <c r="BO117" s="60">
        <f t="shared" si="119"/>
        <v>343513.67935275094</v>
      </c>
      <c r="BP117" s="60">
        <f t="shared" ref="BP117:BU117" si="120">BP68+BP75+BP90+BP108+BP112+BP113</f>
        <v>351496.35687019862</v>
      </c>
      <c r="BQ117" s="60">
        <f t="shared" si="120"/>
        <v>355460.42765962036</v>
      </c>
      <c r="BR117" s="60">
        <f t="shared" si="120"/>
        <v>359424.49844904209</v>
      </c>
      <c r="BS117" s="60">
        <f t="shared" si="120"/>
        <v>363388.56923846371</v>
      </c>
      <c r="BT117" s="60">
        <f t="shared" si="120"/>
        <v>367352.64002788538</v>
      </c>
      <c r="BU117" s="60">
        <f t="shared" si="120"/>
        <v>371082.47775930713</v>
      </c>
      <c r="BV117" s="60">
        <f t="shared" ref="BV117:CG117" si="121">BV68+BV75+BV90+BV108+BV112+BV113</f>
        <v>377976.69690464268</v>
      </c>
      <c r="BW117" s="60">
        <f t="shared" si="121"/>
        <v>403861.43831705878</v>
      </c>
      <c r="BX117" s="60">
        <f t="shared" si="121"/>
        <v>406534.27931565879</v>
      </c>
      <c r="BY117" s="60">
        <f t="shared" si="121"/>
        <v>409207.12031425873</v>
      </c>
      <c r="BZ117" s="60">
        <f t="shared" si="121"/>
        <v>411879.9613128588</v>
      </c>
      <c r="CA117" s="60">
        <f t="shared" si="121"/>
        <v>414552.8023114588</v>
      </c>
      <c r="CB117" s="60">
        <f t="shared" si="121"/>
        <v>420419.40359858656</v>
      </c>
      <c r="CC117" s="60">
        <f t="shared" si="121"/>
        <v>423012.6053574665</v>
      </c>
      <c r="CD117" s="60">
        <f t="shared" si="121"/>
        <v>425486.34825676651</v>
      </c>
      <c r="CE117" s="60">
        <f t="shared" si="121"/>
        <v>427050.23323606659</v>
      </c>
      <c r="CF117" s="60">
        <f t="shared" si="121"/>
        <v>428614.11821536656</v>
      </c>
      <c r="CG117" s="60">
        <f t="shared" si="121"/>
        <v>430632.93215466657</v>
      </c>
      <c r="CH117" s="60"/>
      <c r="CI117" s="60"/>
      <c r="CJ117" s="60"/>
    </row>
    <row r="118" spans="1:88"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60"/>
      <c r="BE118" s="60"/>
      <c r="BF118" s="60"/>
      <c r="BG118" s="60"/>
      <c r="BH118" s="60"/>
      <c r="BI118" s="60"/>
      <c r="BJ118" s="60"/>
      <c r="BK118" s="60"/>
      <c r="BL118" s="60"/>
      <c r="BM118" s="60"/>
      <c r="BN118" s="60"/>
      <c r="BO118" s="60"/>
      <c r="BP118" s="60"/>
      <c r="BQ118" s="60"/>
      <c r="BR118" s="60"/>
      <c r="BS118" s="60"/>
      <c r="BT118" s="60"/>
      <c r="BU118" s="60"/>
      <c r="BV118" s="60"/>
      <c r="BW118" s="60"/>
      <c r="BX118" s="60"/>
      <c r="BY118" s="60"/>
      <c r="BZ118" s="60"/>
      <c r="CA118" s="60"/>
      <c r="CB118" s="60"/>
      <c r="CC118" s="60"/>
      <c r="CD118" s="60"/>
      <c r="CE118" s="60"/>
      <c r="CF118" s="60"/>
      <c r="CG118" s="60"/>
      <c r="CH118" s="60"/>
      <c r="CI118" s="60"/>
      <c r="CJ118" s="60"/>
    </row>
    <row r="119" spans="1:88">
      <c r="A119" s="45">
        <v>4</v>
      </c>
      <c r="B119" s="56" t="s">
        <v>121</v>
      </c>
      <c r="C119" s="45"/>
      <c r="D119" s="45"/>
      <c r="E119" s="45"/>
      <c r="F119" s="53"/>
      <c r="G119" s="28" t="s">
        <v>122</v>
      </c>
      <c r="H119" s="60"/>
      <c r="I119" s="60"/>
      <c r="J119" s="60"/>
      <c r="K119" s="60"/>
      <c r="L119" s="60"/>
      <c r="M119" s="60"/>
      <c r="N119" s="60">
        <f t="shared" ref="N119:AQ119" si="122">N115-N117</f>
        <v>0</v>
      </c>
      <c r="O119" s="60">
        <f t="shared" si="122"/>
        <v>0</v>
      </c>
      <c r="P119" s="60">
        <f t="shared" si="122"/>
        <v>0</v>
      </c>
      <c r="Q119" s="60">
        <f t="shared" si="122"/>
        <v>0</v>
      </c>
      <c r="R119" s="60">
        <f t="shared" si="122"/>
        <v>0</v>
      </c>
      <c r="S119" s="60">
        <f t="shared" si="122"/>
        <v>0</v>
      </c>
      <c r="T119" s="60">
        <f t="shared" si="122"/>
        <v>0</v>
      </c>
      <c r="U119" s="60">
        <f t="shared" si="122"/>
        <v>-350</v>
      </c>
      <c r="V119" s="60">
        <f t="shared" si="122"/>
        <v>-350</v>
      </c>
      <c r="W119" s="60">
        <f t="shared" si="122"/>
        <v>-350</v>
      </c>
      <c r="X119" s="60">
        <f t="shared" si="122"/>
        <v>-350</v>
      </c>
      <c r="Y119" s="60">
        <f t="shared" si="122"/>
        <v>-7066.666666666667</v>
      </c>
      <c r="Z119" s="60">
        <f t="shared" si="122"/>
        <v>-11363.076346184738</v>
      </c>
      <c r="AA119" s="60">
        <f t="shared" si="122"/>
        <v>-11342.239359036143</v>
      </c>
      <c r="AB119" s="60">
        <f t="shared" si="122"/>
        <v>-11371.402371887547</v>
      </c>
      <c r="AC119" s="60">
        <f t="shared" si="122"/>
        <v>-11440.115384738952</v>
      </c>
      <c r="AD119" s="60">
        <f t="shared" si="122"/>
        <v>-11619.278397590357</v>
      </c>
      <c r="AE119" s="60">
        <f t="shared" si="122"/>
        <v>-11598.441410441761</v>
      </c>
      <c r="AF119" s="60">
        <f t="shared" si="122"/>
        <v>-12422.376823293167</v>
      </c>
      <c r="AG119" s="60">
        <f t="shared" si="122"/>
        <v>-11733.739836144572</v>
      </c>
      <c r="AH119" s="60">
        <f t="shared" si="122"/>
        <v>-17071.686182329307</v>
      </c>
      <c r="AI119" s="60">
        <f t="shared" si="122"/>
        <v>-21752.19074492529</v>
      </c>
      <c r="AJ119" s="60">
        <f t="shared" si="122"/>
        <v>-21830.686974187942</v>
      </c>
      <c r="AK119" s="60">
        <f t="shared" si="122"/>
        <v>-25158.308203450593</v>
      </c>
      <c r="AL119" s="60">
        <f t="shared" si="122"/>
        <v>-54142.340032713248</v>
      </c>
      <c r="AM119" s="60">
        <f t="shared" si="122"/>
        <v>-61290.586261975899</v>
      </c>
      <c r="AN119" s="60">
        <f t="shared" si="122"/>
        <v>-73125.882491238546</v>
      </c>
      <c r="AO119" s="60">
        <f t="shared" si="122"/>
        <v>-85588.378720501205</v>
      </c>
      <c r="AP119" s="60">
        <f t="shared" si="122"/>
        <v>-109734.45828309718</v>
      </c>
      <c r="AQ119" s="60">
        <f t="shared" si="122"/>
        <v>-101868.45451235981</v>
      </c>
      <c r="AR119" s="60">
        <f t="shared" ref="AR119:BC119" si="123">AR115-AR117</f>
        <v>-120423.00827537246</v>
      </c>
      <c r="AS119" s="60">
        <f t="shared" si="123"/>
        <v>-101350.74654761885</v>
      </c>
      <c r="AT119" s="60">
        <f t="shared" si="123"/>
        <v>-119521.35995111523</v>
      </c>
      <c r="AU119" s="60">
        <f t="shared" si="123"/>
        <v>-109491.23626711161</v>
      </c>
      <c r="AV119" s="60">
        <f t="shared" si="123"/>
        <v>-110861.112583108</v>
      </c>
      <c r="AW119" s="60">
        <f t="shared" si="123"/>
        <v>-88366.83889910439</v>
      </c>
      <c r="AX119" s="60">
        <f t="shared" si="123"/>
        <v>-106192.63310760079</v>
      </c>
      <c r="AY119" s="60">
        <f t="shared" si="123"/>
        <v>-90526.357948597157</v>
      </c>
      <c r="AZ119" s="60">
        <f t="shared" si="123"/>
        <v>-79670.08278959358</v>
      </c>
      <c r="BA119" s="60">
        <f t="shared" si="123"/>
        <v>-66083.326111839939</v>
      </c>
      <c r="BB119" s="60">
        <f t="shared" si="123"/>
        <v>-50967.393229086301</v>
      </c>
      <c r="BC119" s="60">
        <f t="shared" si="123"/>
        <v>-30800.556551332673</v>
      </c>
      <c r="BD119" s="60">
        <f t="shared" ref="BD119:BO119" si="124">BD115-BD117</f>
        <v>-29951.398949445749</v>
      </c>
      <c r="BE119" s="60">
        <f t="shared" si="124"/>
        <v>-6318.1163023674162</v>
      </c>
      <c r="BF119" s="60">
        <f t="shared" si="124"/>
        <v>2866.6146587108378</v>
      </c>
      <c r="BG119" s="60">
        <f t="shared" si="124"/>
        <v>32987.336921289214</v>
      </c>
      <c r="BH119" s="60">
        <f t="shared" si="124"/>
        <v>43608.92882886756</v>
      </c>
      <c r="BI119" s="60">
        <f t="shared" si="124"/>
        <v>59379.550871445856</v>
      </c>
      <c r="BJ119" s="60">
        <f t="shared" si="124"/>
        <v>75262.773840024136</v>
      </c>
      <c r="BK119" s="60">
        <f t="shared" si="124"/>
        <v>86823.255668602476</v>
      </c>
      <c r="BL119" s="60">
        <f t="shared" si="124"/>
        <v>98540.035607180791</v>
      </c>
      <c r="BM119" s="60">
        <f t="shared" si="124"/>
        <v>109476.18142375903</v>
      </c>
      <c r="BN119" s="60">
        <f t="shared" si="124"/>
        <v>117200.12449467072</v>
      </c>
      <c r="BO119" s="60">
        <f t="shared" si="124"/>
        <v>124707.62064724904</v>
      </c>
      <c r="BP119" s="60">
        <f t="shared" ref="BP119:BU119" si="125">BP115-BP117</f>
        <v>128430.74312980135</v>
      </c>
      <c r="BQ119" s="60">
        <f t="shared" si="125"/>
        <v>136172.47234037967</v>
      </c>
      <c r="BR119" s="60">
        <f t="shared" si="125"/>
        <v>143914.20155095792</v>
      </c>
      <c r="BS119" s="60">
        <f t="shared" si="125"/>
        <v>151655.93076153629</v>
      </c>
      <c r="BT119" s="60">
        <f t="shared" si="125"/>
        <v>159397.65997211466</v>
      </c>
      <c r="BU119" s="60">
        <f t="shared" si="125"/>
        <v>167373.62224069284</v>
      </c>
      <c r="BV119" s="60">
        <f t="shared" ref="BV119:CG119" si="126">BV115-BV117</f>
        <v>168673.46309535735</v>
      </c>
      <c r="BW119" s="60">
        <f t="shared" si="126"/>
        <v>152153.36168294126</v>
      </c>
      <c r="BX119" s="60">
        <f t="shared" si="126"/>
        <v>155333.42068434117</v>
      </c>
      <c r="BY119" s="60">
        <f t="shared" si="126"/>
        <v>158513.47968574124</v>
      </c>
      <c r="BZ119" s="60">
        <f t="shared" si="126"/>
        <v>161693.5386871412</v>
      </c>
      <c r="CA119" s="60">
        <f t="shared" si="126"/>
        <v>164873.59768854122</v>
      </c>
      <c r="CB119" s="60">
        <f t="shared" si="126"/>
        <v>164859.89640141348</v>
      </c>
      <c r="CC119" s="60">
        <f t="shared" si="126"/>
        <v>168119.59464253346</v>
      </c>
      <c r="CD119" s="60">
        <f t="shared" si="126"/>
        <v>171498.75174323347</v>
      </c>
      <c r="CE119" s="60">
        <f t="shared" si="126"/>
        <v>173446.60676393338</v>
      </c>
      <c r="CF119" s="60">
        <f t="shared" si="126"/>
        <v>175394.4617846334</v>
      </c>
      <c r="CG119" s="60">
        <f t="shared" si="126"/>
        <v>178057.96784533345</v>
      </c>
      <c r="CH119" s="60"/>
      <c r="CI119" s="60"/>
      <c r="CJ119" s="60"/>
    </row>
    <row r="120" spans="1:88" s="8" customFormat="1"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90"/>
      <c r="BO120" s="90"/>
      <c r="BP120" s="90"/>
      <c r="BQ120" s="90"/>
      <c r="BR120" s="90"/>
      <c r="BS120" s="90"/>
      <c r="BT120" s="90"/>
      <c r="BU120" s="90"/>
      <c r="BV120" s="90"/>
      <c r="BW120" s="90"/>
      <c r="BX120" s="90"/>
      <c r="BY120" s="90"/>
      <c r="BZ120" s="90"/>
      <c r="CA120" s="90"/>
      <c r="CB120" s="90"/>
      <c r="CC120" s="90"/>
      <c r="CD120" s="90"/>
      <c r="CE120" s="90"/>
      <c r="CF120" s="90"/>
      <c r="CG120" s="90"/>
      <c r="CH120" s="90"/>
      <c r="CI120" s="90"/>
      <c r="CJ120" s="90"/>
    </row>
    <row r="121" spans="1:88">
      <c r="A121" s="45"/>
      <c r="B121" s="56"/>
      <c r="C121" s="45"/>
      <c r="D121" s="45"/>
      <c r="E121" s="45"/>
      <c r="F121" s="53"/>
      <c r="G121" s="28"/>
      <c r="H121" s="60"/>
    </row>
    <row r="123" spans="1:88">
      <c r="A123" s="61">
        <v>1</v>
      </c>
      <c r="B123" s="62" t="s">
        <v>123</v>
      </c>
      <c r="C123" s="58"/>
      <c r="D123" s="58"/>
      <c r="E123" s="58"/>
      <c r="F123" s="58"/>
      <c r="G123" s="28" t="s">
        <v>124</v>
      </c>
      <c r="H123" s="59"/>
    </row>
    <row r="124" spans="1:88">
      <c r="A124" s="61">
        <v>2</v>
      </c>
      <c r="B124" s="62" t="s">
        <v>125</v>
      </c>
      <c r="C124" s="58"/>
      <c r="D124" s="58"/>
      <c r="E124" s="58"/>
      <c r="F124" s="58"/>
      <c r="G124" s="28" t="s">
        <v>126</v>
      </c>
      <c r="H124" s="59"/>
    </row>
    <row r="125" spans="1:88">
      <c r="A125" s="61"/>
      <c r="B125" s="57" t="s">
        <v>127</v>
      </c>
      <c r="C125" s="58"/>
      <c r="D125" s="58"/>
      <c r="E125" s="58"/>
      <c r="F125" s="58"/>
      <c r="G125" s="28" t="s">
        <v>128</v>
      </c>
      <c r="H125" s="59"/>
    </row>
    <row r="126" spans="1:88">
      <c r="A126" s="61">
        <v>3</v>
      </c>
      <c r="B126" s="62" t="s">
        <v>129</v>
      </c>
      <c r="C126" s="58"/>
      <c r="D126" s="58"/>
      <c r="E126" s="58"/>
      <c r="F126" s="58"/>
      <c r="G126" s="28" t="s">
        <v>130</v>
      </c>
      <c r="H126" s="59"/>
    </row>
    <row r="127" spans="1:88">
      <c r="A127" s="61"/>
      <c r="B127" s="57" t="s">
        <v>131</v>
      </c>
      <c r="C127" s="58"/>
      <c r="D127" s="58"/>
      <c r="E127" s="58"/>
      <c r="F127" s="58"/>
      <c r="G127" s="28" t="s">
        <v>132</v>
      </c>
      <c r="H127" s="59"/>
    </row>
    <row r="128" spans="1:88">
      <c r="A128" s="61">
        <v>4</v>
      </c>
      <c r="B128" s="62" t="s">
        <v>133</v>
      </c>
      <c r="C128" s="58"/>
      <c r="D128" s="58"/>
      <c r="E128" s="58"/>
      <c r="F128" s="58"/>
      <c r="G128" s="28" t="s">
        <v>134</v>
      </c>
      <c r="H128" s="59"/>
    </row>
    <row r="129" spans="1:8">
      <c r="A129" s="61">
        <v>5</v>
      </c>
      <c r="B129" s="62" t="s">
        <v>135</v>
      </c>
      <c r="C129" s="58"/>
      <c r="D129" s="58"/>
      <c r="E129" s="58"/>
      <c r="F129" s="58"/>
      <c r="G129" s="28" t="s">
        <v>136</v>
      </c>
      <c r="H129" s="59"/>
    </row>
    <row r="130" spans="1:8">
      <c r="A130" s="61">
        <v>6</v>
      </c>
      <c r="B130" s="62" t="s">
        <v>137</v>
      </c>
      <c r="C130" s="58"/>
      <c r="D130" s="58"/>
      <c r="E130" s="58"/>
      <c r="F130" s="58"/>
      <c r="G130" s="28" t="s">
        <v>138</v>
      </c>
      <c r="H130" s="59"/>
    </row>
    <row r="131" spans="1:8">
      <c r="A131" s="61" t="s">
        <v>139</v>
      </c>
      <c r="B131" s="62" t="s">
        <v>140</v>
      </c>
      <c r="C131" s="58"/>
      <c r="D131" s="58"/>
      <c r="E131" s="58"/>
      <c r="F131" s="58"/>
      <c r="G131" s="28" t="s">
        <v>141</v>
      </c>
      <c r="H131" s="59"/>
    </row>
    <row r="132" spans="1:8">
      <c r="A132" s="61">
        <v>9</v>
      </c>
      <c r="B132" s="62" t="s">
        <v>142</v>
      </c>
      <c r="C132" s="58"/>
      <c r="D132" s="58"/>
      <c r="E132" s="58"/>
      <c r="F132" s="58"/>
      <c r="G132" s="28" t="s">
        <v>143</v>
      </c>
      <c r="H132" s="59"/>
    </row>
    <row r="133" spans="1:8">
      <c r="A133" s="61">
        <v>10</v>
      </c>
      <c r="B133" s="62" t="s">
        <v>144</v>
      </c>
      <c r="C133" s="58"/>
      <c r="D133" s="58"/>
      <c r="E133" s="58"/>
      <c r="F133" s="58"/>
      <c r="G133" s="28" t="s">
        <v>145</v>
      </c>
      <c r="H133" s="59"/>
    </row>
    <row r="134" spans="1:8">
      <c r="A134" s="61">
        <v>11</v>
      </c>
      <c r="B134" s="62" t="s">
        <v>146</v>
      </c>
      <c r="C134" s="58"/>
      <c r="D134" s="58"/>
      <c r="E134" s="58"/>
      <c r="F134" s="58"/>
      <c r="G134" s="28" t="s">
        <v>147</v>
      </c>
      <c r="H134" s="59"/>
    </row>
    <row r="135" spans="1:8">
      <c r="A135" s="61">
        <v>12</v>
      </c>
      <c r="B135" s="62" t="s">
        <v>148</v>
      </c>
      <c r="C135" s="58"/>
      <c r="D135" s="58"/>
      <c r="E135" s="58"/>
      <c r="F135" s="58"/>
      <c r="G135" s="28" t="s">
        <v>149</v>
      </c>
      <c r="H135" s="59"/>
    </row>
    <row r="136" spans="1:8">
      <c r="A136" s="61">
        <v>13</v>
      </c>
      <c r="B136" s="62" t="s">
        <v>150</v>
      </c>
      <c r="C136" s="58"/>
      <c r="D136" s="58"/>
      <c r="E136" s="58"/>
      <c r="F136" s="58"/>
      <c r="G136" s="28"/>
      <c r="H136" s="59"/>
    </row>
    <row r="137" spans="1:8">
      <c r="H137" s="90"/>
    </row>
  </sheetData>
  <phoneticPr fontId="0" type="noConversion"/>
  <pageMargins left="0.39370078740157483" right="0.39370078740157483" top="0.39370078740157483" bottom="0.39370078740157483" header="0.31496062992125984" footer="0.31496062992125984"/>
  <pageSetup paperSize="8" scale="21" fitToWidth="5" orientation="portrait" r:id="rId1"/>
  <headerFooter alignWithMargins="0"/>
  <colBreaks count="2" manualBreakCount="2">
    <brk id="37" max="118" man="1"/>
    <brk id="61" max="1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2:I10"/>
  <sheetViews>
    <sheetView view="pageBreakPreview" zoomScaleNormal="100" workbookViewId="0">
      <selection activeCell="B8" sqref="B8"/>
    </sheetView>
  </sheetViews>
  <sheetFormatPr baseColWidth="10" defaultRowHeight="12.75"/>
  <cols>
    <col min="4" max="4" width="16.7109375" customWidth="1"/>
    <col min="6" max="6" width="11" customWidth="1"/>
    <col min="7" max="8" width="8.85546875" customWidth="1"/>
    <col min="9" max="9" width="8.85546875" style="1" customWidth="1"/>
  </cols>
  <sheetData>
    <row r="2" spans="1:9">
      <c r="A2" s="12" t="s">
        <v>421</v>
      </c>
    </row>
    <row r="3" spans="1:9">
      <c r="G3" s="1" t="s">
        <v>342</v>
      </c>
      <c r="H3" s="255">
        <v>10</v>
      </c>
    </row>
    <row r="4" spans="1:9">
      <c r="B4" s="1" t="s">
        <v>225</v>
      </c>
      <c r="C4" s="1" t="s">
        <v>336</v>
      </c>
      <c r="D4" s="1" t="s">
        <v>337</v>
      </c>
      <c r="E4" s="1" t="s">
        <v>338</v>
      </c>
      <c r="F4" s="1" t="s">
        <v>339</v>
      </c>
      <c r="G4" s="1" t="s">
        <v>343</v>
      </c>
      <c r="H4" s="1" t="s">
        <v>344</v>
      </c>
      <c r="I4" s="1" t="s">
        <v>4</v>
      </c>
    </row>
    <row r="5" spans="1:9">
      <c r="A5">
        <v>1</v>
      </c>
      <c r="B5" s="254">
        <v>250000</v>
      </c>
      <c r="C5" s="253">
        <f>B5/$B$10</f>
        <v>0.625</v>
      </c>
      <c r="D5" t="s">
        <v>349</v>
      </c>
      <c r="E5" t="s">
        <v>340</v>
      </c>
      <c r="F5" s="1" t="s">
        <v>266</v>
      </c>
      <c r="G5" s="1">
        <v>1</v>
      </c>
      <c r="H5" s="1">
        <f>B5/H$3+G5-1</f>
        <v>25000</v>
      </c>
      <c r="I5" s="1">
        <f>H5-G5+1</f>
        <v>25000</v>
      </c>
    </row>
    <row r="6" spans="1:9">
      <c r="A6">
        <v>2</v>
      </c>
      <c r="B6" s="254">
        <v>100000</v>
      </c>
      <c r="C6" s="253">
        <f>B6/$B$10</f>
        <v>0.25</v>
      </c>
      <c r="D6" t="s">
        <v>416</v>
      </c>
      <c r="E6" t="s">
        <v>415</v>
      </c>
      <c r="F6" s="1" t="s">
        <v>266</v>
      </c>
      <c r="G6" s="1">
        <f>H5+1</f>
        <v>25001</v>
      </c>
      <c r="H6" s="1">
        <f>B6/H$3+G6-1</f>
        <v>35000</v>
      </c>
      <c r="I6" s="1">
        <f>H6-G6+1</f>
        <v>10000</v>
      </c>
    </row>
    <row r="7" spans="1:9">
      <c r="A7">
        <v>3</v>
      </c>
      <c r="B7" s="254">
        <v>50000</v>
      </c>
      <c r="C7" s="253">
        <f>B7/$B$10</f>
        <v>0.125</v>
      </c>
      <c r="D7" t="s">
        <v>414</v>
      </c>
      <c r="E7" t="s">
        <v>415</v>
      </c>
      <c r="F7" s="1" t="s">
        <v>266</v>
      </c>
      <c r="G7" s="1">
        <f>H6+1</f>
        <v>35001</v>
      </c>
      <c r="H7" s="1">
        <f>B7/H$3+G7-1</f>
        <v>40000</v>
      </c>
      <c r="I7" s="1">
        <f>H7-G7+1</f>
        <v>5000</v>
      </c>
    </row>
    <row r="8" spans="1:9">
      <c r="C8" s="253"/>
    </row>
    <row r="10" spans="1:9">
      <c r="A10" t="s">
        <v>341</v>
      </c>
      <c r="B10">
        <f>SUM(B5:B8)</f>
        <v>400000</v>
      </c>
      <c r="C10" s="253">
        <f>B10/$B$10</f>
        <v>1</v>
      </c>
    </row>
  </sheetData>
  <phoneticPr fontId="36" type="noConversion"/>
  <pageMargins left="1.1811023622047245" right="0.78740157480314965" top="0.98425196850393704" bottom="1.3779527559055118" header="0.78740157480314965" footer="1.1811023622047245"/>
  <pageSetup paperSize="8" scale="89" orientation="landscape" r:id="rId1"/>
  <headerFooter alignWithMargins="0">
    <oddFooter>&amp;C&amp;D&amp;R&amp;F/&amp;A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17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10</vt:i4>
      </vt:variant>
    </vt:vector>
  </HeadingPairs>
  <TitlesOfParts>
    <vt:vector size="28" baseType="lpstr">
      <vt:lpstr>Intro</vt:lpstr>
      <vt:lpstr>Sales &amp; Costs</vt:lpstr>
      <vt:lpstr>P&amp;L Year</vt:lpstr>
      <vt:lpstr>Bilan</vt:lpstr>
      <vt:lpstr>BP1Bis</vt:lpstr>
      <vt:lpstr>Valo BP0 JSC</vt:lpstr>
      <vt:lpstr>modèle prev (2)</vt:lpstr>
      <vt:lpstr>P&amp;L Month</vt:lpstr>
      <vt:lpstr>Capital</vt:lpstr>
      <vt:lpstr>invest base</vt:lpstr>
      <vt:lpstr>invest</vt:lpstr>
      <vt:lpstr>fincmt</vt:lpstr>
      <vt:lpstr>Staff</vt:lpstr>
      <vt:lpstr>Missions</vt:lpstr>
      <vt:lpstr>Cash Flow</vt:lpstr>
      <vt:lpstr>Détail CF</vt:lpstr>
      <vt:lpstr>TP</vt:lpstr>
      <vt:lpstr>Ventes Graph</vt:lpstr>
      <vt:lpstr>Bilan!Impression_des_titres</vt:lpstr>
      <vt:lpstr>'Cash Flow'!Impression_des_titres</vt:lpstr>
      <vt:lpstr>invest!Impression_des_titres</vt:lpstr>
      <vt:lpstr>'P&amp;L Month'!Impression_des_titres</vt:lpstr>
      <vt:lpstr>'Sales &amp; Costs'!Impression_des_titres</vt:lpstr>
      <vt:lpstr>Bilan!Zone_d_impression</vt:lpstr>
      <vt:lpstr>Intro!Zone_d_impression</vt:lpstr>
      <vt:lpstr>'P&amp;L Month'!Zone_d_impression</vt:lpstr>
      <vt:lpstr>'P&amp;L Year'!Zone_d_impression</vt:lpstr>
      <vt:lpstr>'Valo BP0 JSC'!Zone_d_impression</vt:lpstr>
    </vt:vector>
  </TitlesOfParts>
  <Manager>Olivier Steu</Manager>
  <Company>Modddjo / S&amp;D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Plan "Modddjo"</dc:title>
  <dc:creator>Olivier Steu / Sébastien Bloc</dc:creator>
  <cp:lastModifiedBy>evelyne</cp:lastModifiedBy>
  <cp:lastPrinted>2010-01-28T22:57:22Z</cp:lastPrinted>
  <dcterms:created xsi:type="dcterms:W3CDTF">2005-11-10T11:19:03Z</dcterms:created>
  <dcterms:modified xsi:type="dcterms:W3CDTF">2010-06-21T17:10:51Z</dcterms:modified>
</cp:coreProperties>
</file>