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600" windowHeight="6390" firstSheet="1" activeTab="4"/>
  </bookViews>
  <sheets>
    <sheet name="tronc commun" sheetId="4" r:id="rId1"/>
    <sheet name="Immob vs plcmt" sheetId="7" r:id="rId2"/>
    <sheet name="Immob vs plcmt (2)" sheetId="8" r:id="rId3"/>
    <sheet name="graphiques 1" sheetId="9" r:id="rId4"/>
    <sheet name="graphiques 1 (2)" sheetId="10" r:id="rId5"/>
    <sheet name="RENTA ACTIFS" sheetId="6" r:id="rId6"/>
  </sheets>
  <definedNames>
    <definedName name="_xlnm.Print_Area" localSheetId="1">'Immob vs plcmt'!$A$1:$T$71</definedName>
    <definedName name="_xlnm.Print_Area" localSheetId="2">'Immob vs plcmt (2)'!$A$1:$T$71</definedName>
    <definedName name="_xlnm.Print_Area" localSheetId="0">'tronc commun'!$A$1:$X$72</definedName>
  </definedNames>
  <calcPr calcId="145621"/>
</workbook>
</file>

<file path=xl/calcChain.xml><?xml version="1.0" encoding="utf-8"?>
<calcChain xmlns="http://schemas.openxmlformats.org/spreadsheetml/2006/main">
  <c r="H21" i="10" l="1"/>
  <c r="B23" i="10" l="1"/>
  <c r="B24" i="10" s="1"/>
  <c r="D24" i="10" s="1"/>
  <c r="D22" i="10"/>
  <c r="F22" i="10" s="1"/>
  <c r="H22" i="10" s="1"/>
  <c r="A37" i="10"/>
  <c r="I9" i="7"/>
  <c r="I16" i="7"/>
  <c r="A23" i="10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C7" i="10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B7" i="10"/>
  <c r="B8" i="10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D6" i="10"/>
  <c r="F6" i="10" s="1"/>
  <c r="A1" i="10"/>
  <c r="A3" i="10" s="1"/>
  <c r="F28" i="9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C47" i="9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B47" i="9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A47" i="9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D46" i="9"/>
  <c r="F46" i="9" s="1"/>
  <c r="C27" i="9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B27" i="9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A27" i="9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26" i="9"/>
  <c r="F26" i="9" s="1"/>
  <c r="F25" i="9" s="1"/>
  <c r="C7" i="9"/>
  <c r="C8" i="9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D6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1" i="9"/>
  <c r="A3" i="9" s="1"/>
  <c r="G22" i="10" l="1"/>
  <c r="D23" i="10"/>
  <c r="B25" i="10"/>
  <c r="F23" i="10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I17" i="7"/>
  <c r="H5" i="10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D8" i="10"/>
  <c r="B9" i="10"/>
  <c r="G6" i="10"/>
  <c r="D7" i="10"/>
  <c r="F45" i="9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" i="9"/>
  <c r="F5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G46" i="9"/>
  <c r="D47" i="9"/>
  <c r="D49" i="9"/>
  <c r="D48" i="9"/>
  <c r="D27" i="9"/>
  <c r="F27" i="9"/>
  <c r="G26" i="9"/>
  <c r="D8" i="9"/>
  <c r="E8" i="9" s="1"/>
  <c r="G8" i="9" s="1"/>
  <c r="C9" i="9"/>
  <c r="D7" i="9"/>
  <c r="C46" i="8"/>
  <c r="C55" i="8" s="1"/>
  <c r="C63" i="8" s="1"/>
  <c r="E46" i="8"/>
  <c r="E55" i="8" s="1"/>
  <c r="E63" i="8" s="1"/>
  <c r="G46" i="8"/>
  <c r="G55" i="8" s="1"/>
  <c r="G63" i="8" s="1"/>
  <c r="I46" i="8"/>
  <c r="I55" i="8" s="1"/>
  <c r="I63" i="8" s="1"/>
  <c r="K46" i="8"/>
  <c r="K55" i="8" s="1"/>
  <c r="K63" i="8" s="1"/>
  <c r="M46" i="8"/>
  <c r="M55" i="8" s="1"/>
  <c r="M63" i="8" s="1"/>
  <c r="O46" i="8"/>
  <c r="O55" i="8" s="1"/>
  <c r="O63" i="8" s="1"/>
  <c r="Q46" i="8"/>
  <c r="Q55" i="8" s="1"/>
  <c r="Q63" i="8" s="1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C47" i="7"/>
  <c r="C60" i="8"/>
  <c r="B46" i="8"/>
  <c r="B55" i="8" s="1"/>
  <c r="B63" i="8" s="1"/>
  <c r="P46" i="8"/>
  <c r="P55" i="8" s="1"/>
  <c r="P63" i="8" s="1"/>
  <c r="N46" i="8"/>
  <c r="N55" i="8" s="1"/>
  <c r="N63" i="8" s="1"/>
  <c r="L46" i="8"/>
  <c r="L55" i="8" s="1"/>
  <c r="L63" i="8" s="1"/>
  <c r="J46" i="8"/>
  <c r="J55" i="8" s="1"/>
  <c r="J63" i="8" s="1"/>
  <c r="H46" i="8"/>
  <c r="H55" i="8" s="1"/>
  <c r="H63" i="8" s="1"/>
  <c r="F46" i="8"/>
  <c r="F55" i="8" s="1"/>
  <c r="F63" i="8" s="1"/>
  <c r="D46" i="8"/>
  <c r="D55" i="8" s="1"/>
  <c r="D63" i="8" s="1"/>
  <c r="K16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B11" i="8"/>
  <c r="C10" i="8"/>
  <c r="B10" i="8"/>
  <c r="B5" i="8"/>
  <c r="B6" i="8" s="1"/>
  <c r="A1" i="8"/>
  <c r="T7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F11" i="7"/>
  <c r="C10" i="7"/>
  <c r="B10" i="7"/>
  <c r="B11" i="7"/>
  <c r="B5" i="7"/>
  <c r="B6" i="7" s="1"/>
  <c r="C7" i="4"/>
  <c r="E24" i="10" l="1"/>
  <c r="G24" i="10" s="1"/>
  <c r="E23" i="10"/>
  <c r="G23" i="10" s="1"/>
  <c r="D25" i="10"/>
  <c r="B26" i="10"/>
  <c r="B10" i="10"/>
  <c r="D9" i="10"/>
  <c r="E7" i="10"/>
  <c r="G7" i="10" s="1"/>
  <c r="E8" i="10"/>
  <c r="G8" i="10" s="1"/>
  <c r="E47" i="9"/>
  <c r="G47" i="9" s="1"/>
  <c r="G6" i="9"/>
  <c r="D50" i="9"/>
  <c r="E49" i="9"/>
  <c r="G49" i="9" s="1"/>
  <c r="E27" i="9"/>
  <c r="G27" i="9" s="1"/>
  <c r="D28" i="9"/>
  <c r="E7" i="9"/>
  <c r="G7" i="9" s="1"/>
  <c r="D9" i="9"/>
  <c r="C10" i="9"/>
  <c r="B64" i="8"/>
  <c r="F12" i="8"/>
  <c r="F15" i="8" s="1"/>
  <c r="A3" i="8"/>
  <c r="B7" i="8"/>
  <c r="A18" i="8"/>
  <c r="A71" i="8"/>
  <c r="A62" i="8"/>
  <c r="A54" i="8"/>
  <c r="A44" i="8"/>
  <c r="A45" i="8"/>
  <c r="B67" i="8"/>
  <c r="P47" i="8"/>
  <c r="P50" i="8" s="1"/>
  <c r="N47" i="8"/>
  <c r="N50" i="8" s="1"/>
  <c r="L47" i="8"/>
  <c r="L50" i="8" s="1"/>
  <c r="J47" i="8"/>
  <c r="J50" i="8" s="1"/>
  <c r="H47" i="8"/>
  <c r="H50" i="8" s="1"/>
  <c r="F47" i="8"/>
  <c r="F50" i="8" s="1"/>
  <c r="D47" i="8"/>
  <c r="D50" i="8" s="1"/>
  <c r="Q47" i="8"/>
  <c r="Q50" i="8" s="1"/>
  <c r="M47" i="8"/>
  <c r="M50" i="8" s="1"/>
  <c r="I47" i="8"/>
  <c r="I50" i="8" s="1"/>
  <c r="E47" i="8"/>
  <c r="E50" i="8" s="1"/>
  <c r="O47" i="8"/>
  <c r="O50" i="8" s="1"/>
  <c r="K47" i="8"/>
  <c r="K50" i="8" s="1"/>
  <c r="G47" i="8"/>
  <c r="G50" i="8" s="1"/>
  <c r="C47" i="8"/>
  <c r="C50" i="8" s="1"/>
  <c r="H20" i="6"/>
  <c r="E25" i="10" l="1"/>
  <c r="G25" i="10" s="1"/>
  <c r="D26" i="10"/>
  <c r="B27" i="10"/>
  <c r="D10" i="10"/>
  <c r="B11" i="10"/>
  <c r="E9" i="10"/>
  <c r="G9" i="10" s="1"/>
  <c r="E48" i="9"/>
  <c r="G48" i="9" s="1"/>
  <c r="E50" i="9"/>
  <c r="G50" i="9" s="1"/>
  <c r="D51" i="9"/>
  <c r="D29" i="9"/>
  <c r="E28" i="9"/>
  <c r="G28" i="9" s="1"/>
  <c r="E9" i="9"/>
  <c r="G9" i="9" s="1"/>
  <c r="D10" i="9"/>
  <c r="C11" i="9"/>
  <c r="B69" i="8"/>
  <c r="C67" i="8"/>
  <c r="B65" i="8"/>
  <c r="C58" i="8"/>
  <c r="D58" i="8" s="1"/>
  <c r="E58" i="8" s="1"/>
  <c r="F58" i="8" s="1"/>
  <c r="G58" i="8" s="1"/>
  <c r="H58" i="8" s="1"/>
  <c r="I58" i="8" s="1"/>
  <c r="J58" i="8" s="1"/>
  <c r="K58" i="8" s="1"/>
  <c r="L58" i="8" s="1"/>
  <c r="M58" i="8" s="1"/>
  <c r="N58" i="8" s="1"/>
  <c r="O58" i="8" s="1"/>
  <c r="P58" i="8" s="1"/>
  <c r="Q58" i="8" s="1"/>
  <c r="B70" i="8"/>
  <c r="K16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C19" i="7"/>
  <c r="C14" i="6"/>
  <c r="D14" i="6"/>
  <c r="E14" i="6"/>
  <c r="B14" i="6"/>
  <c r="J8" i="6"/>
  <c r="J9" i="6"/>
  <c r="J10" i="6"/>
  <c r="I8" i="6"/>
  <c r="I9" i="6"/>
  <c r="I10" i="6"/>
  <c r="G10" i="6"/>
  <c r="G9" i="6"/>
  <c r="G8" i="6"/>
  <c r="H7" i="6"/>
  <c r="J7" i="6" s="1"/>
  <c r="F8" i="6"/>
  <c r="F9" i="6"/>
  <c r="F10" i="6"/>
  <c r="F11" i="6"/>
  <c r="F7" i="6"/>
  <c r="C19" i="6"/>
  <c r="D20" i="6"/>
  <c r="E19" i="6"/>
  <c r="B20" i="6"/>
  <c r="E20" i="6"/>
  <c r="E26" i="10" l="1"/>
  <c r="G26" i="10" s="1"/>
  <c r="D27" i="10"/>
  <c r="B28" i="10"/>
  <c r="B12" i="10"/>
  <c r="D11" i="10"/>
  <c r="E10" i="10"/>
  <c r="G10" i="10" s="1"/>
  <c r="D52" i="9"/>
  <c r="E51" i="9"/>
  <c r="G51" i="9" s="1"/>
  <c r="E29" i="9"/>
  <c r="G29" i="9" s="1"/>
  <c r="D30" i="9"/>
  <c r="E10" i="9"/>
  <c r="G10" i="9" s="1"/>
  <c r="C12" i="9"/>
  <c r="D11" i="9"/>
  <c r="C65" i="8"/>
  <c r="C51" i="8"/>
  <c r="D67" i="8"/>
  <c r="G7" i="6"/>
  <c r="I7" i="6"/>
  <c r="B19" i="6"/>
  <c r="B22" i="6"/>
  <c r="H11" i="6" s="1"/>
  <c r="C16" i="6"/>
  <c r="E27" i="10" l="1"/>
  <c r="G27" i="10" s="1"/>
  <c r="D28" i="10"/>
  <c r="B29" i="10"/>
  <c r="E11" i="10"/>
  <c r="G11" i="10" s="1"/>
  <c r="D12" i="10"/>
  <c r="B13" i="10"/>
  <c r="E52" i="9"/>
  <c r="G52" i="9" s="1"/>
  <c r="D53" i="9"/>
  <c r="E30" i="9"/>
  <c r="G30" i="9" s="1"/>
  <c r="D31" i="9"/>
  <c r="E11" i="9"/>
  <c r="G11" i="9" s="1"/>
  <c r="C13" i="9"/>
  <c r="D12" i="9"/>
  <c r="E67" i="8"/>
  <c r="D65" i="8"/>
  <c r="C52" i="8"/>
  <c r="C53" i="8" s="1"/>
  <c r="J11" i="6"/>
  <c r="I11" i="6"/>
  <c r="G11" i="6"/>
  <c r="D16" i="6"/>
  <c r="E16" i="6" s="1"/>
  <c r="E28" i="10" l="1"/>
  <c r="G28" i="10" s="1"/>
  <c r="D29" i="10"/>
  <c r="B30" i="10"/>
  <c r="B14" i="10"/>
  <c r="D13" i="10"/>
  <c r="E12" i="10"/>
  <c r="G12" i="10" s="1"/>
  <c r="E53" i="9"/>
  <c r="G53" i="9" s="1"/>
  <c r="D54" i="9"/>
  <c r="D32" i="9"/>
  <c r="E31" i="9"/>
  <c r="G31" i="9" s="1"/>
  <c r="E12" i="9"/>
  <c r="G12" i="9" s="1"/>
  <c r="C14" i="9"/>
  <c r="D13" i="9"/>
  <c r="C56" i="8"/>
  <c r="C61" i="8" s="1"/>
  <c r="C64" i="8"/>
  <c r="F67" i="8"/>
  <c r="E65" i="8"/>
  <c r="C15" i="6"/>
  <c r="D15" i="6" s="1"/>
  <c r="D17" i="6" s="1"/>
  <c r="C18" i="6"/>
  <c r="C20" i="6" s="1"/>
  <c r="A1" i="6"/>
  <c r="A3" i="6" s="1"/>
  <c r="E29" i="10" l="1"/>
  <c r="G29" i="10" s="1"/>
  <c r="D30" i="10"/>
  <c r="B31" i="10"/>
  <c r="E13" i="10"/>
  <c r="G13" i="10" s="1"/>
  <c r="D14" i="10"/>
  <c r="B15" i="10"/>
  <c r="D55" i="9"/>
  <c r="E54" i="9"/>
  <c r="G54" i="9" s="1"/>
  <c r="E32" i="9"/>
  <c r="G32" i="9" s="1"/>
  <c r="D33" i="9"/>
  <c r="C15" i="9"/>
  <c r="D14" i="9"/>
  <c r="E13" i="9"/>
  <c r="G13" i="9" s="1"/>
  <c r="F65" i="8"/>
  <c r="G67" i="8"/>
  <c r="C68" i="8"/>
  <c r="D60" i="8"/>
  <c r="D57" i="8"/>
  <c r="G13" i="8" s="1"/>
  <c r="G15" i="8" s="1"/>
  <c r="C17" i="6"/>
  <c r="D19" i="6"/>
  <c r="F19" i="6" s="1"/>
  <c r="G20" i="6"/>
  <c r="E15" i="6"/>
  <c r="D18" i="6"/>
  <c r="E18" i="6" s="1"/>
  <c r="E30" i="10" l="1"/>
  <c r="G30" i="10" s="1"/>
  <c r="D31" i="10"/>
  <c r="B32" i="10"/>
  <c r="B16" i="10"/>
  <c r="D15" i="10"/>
  <c r="E14" i="10"/>
  <c r="G14" i="10" s="1"/>
  <c r="D56" i="9"/>
  <c r="E55" i="9"/>
  <c r="G55" i="9" s="1"/>
  <c r="D34" i="9"/>
  <c r="E33" i="9"/>
  <c r="G33" i="9" s="1"/>
  <c r="C16" i="9"/>
  <c r="D15" i="9"/>
  <c r="E14" i="9"/>
  <c r="G14" i="9" s="1"/>
  <c r="C69" i="8"/>
  <c r="C70" i="8" s="1"/>
  <c r="D51" i="8"/>
  <c r="H67" i="8"/>
  <c r="G65" i="8"/>
  <c r="B21" i="6"/>
  <c r="C60" i="7"/>
  <c r="C33" i="7"/>
  <c r="Q28" i="7"/>
  <c r="Q36" i="7" s="1"/>
  <c r="Q46" i="7" s="1"/>
  <c r="Q55" i="7" s="1"/>
  <c r="Q63" i="7" s="1"/>
  <c r="M28" i="7"/>
  <c r="M36" i="7" s="1"/>
  <c r="M46" i="7" s="1"/>
  <c r="M55" i="7" s="1"/>
  <c r="M63" i="7" s="1"/>
  <c r="I28" i="7"/>
  <c r="I36" i="7" s="1"/>
  <c r="I46" i="7" s="1"/>
  <c r="I55" i="7" s="1"/>
  <c r="I63" i="7" s="1"/>
  <c r="E28" i="7"/>
  <c r="E36" i="7" s="1"/>
  <c r="E46" i="7" s="1"/>
  <c r="E55" i="7" s="1"/>
  <c r="E63" i="7" s="1"/>
  <c r="B28" i="7"/>
  <c r="B36" i="7" s="1"/>
  <c r="B46" i="7" s="1"/>
  <c r="B55" i="7" s="1"/>
  <c r="B63" i="7" s="1"/>
  <c r="P28" i="7"/>
  <c r="P36" i="7" s="1"/>
  <c r="P46" i="7" s="1"/>
  <c r="P55" i="7" s="1"/>
  <c r="P63" i="7" s="1"/>
  <c r="O28" i="7"/>
  <c r="O36" i="7" s="1"/>
  <c r="O46" i="7" s="1"/>
  <c r="O55" i="7" s="1"/>
  <c r="O63" i="7" s="1"/>
  <c r="N28" i="7"/>
  <c r="N36" i="7" s="1"/>
  <c r="N46" i="7" s="1"/>
  <c r="N55" i="7" s="1"/>
  <c r="N63" i="7" s="1"/>
  <c r="L28" i="7"/>
  <c r="L36" i="7" s="1"/>
  <c r="L46" i="7" s="1"/>
  <c r="L55" i="7" s="1"/>
  <c r="L63" i="7" s="1"/>
  <c r="K28" i="7"/>
  <c r="K36" i="7" s="1"/>
  <c r="K46" i="7" s="1"/>
  <c r="K55" i="7" s="1"/>
  <c r="K63" i="7" s="1"/>
  <c r="J28" i="7"/>
  <c r="J36" i="7" s="1"/>
  <c r="J46" i="7" s="1"/>
  <c r="J55" i="7" s="1"/>
  <c r="J63" i="7" s="1"/>
  <c r="H28" i="7"/>
  <c r="H36" i="7" s="1"/>
  <c r="H46" i="7" s="1"/>
  <c r="H55" i="7" s="1"/>
  <c r="H63" i="7" s="1"/>
  <c r="G28" i="7"/>
  <c r="G36" i="7" s="1"/>
  <c r="G46" i="7" s="1"/>
  <c r="G55" i="7" s="1"/>
  <c r="G63" i="7" s="1"/>
  <c r="F28" i="7"/>
  <c r="F36" i="7" s="1"/>
  <c r="F46" i="7" s="1"/>
  <c r="F55" i="7" s="1"/>
  <c r="F63" i="7" s="1"/>
  <c r="D28" i="7"/>
  <c r="D36" i="7" s="1"/>
  <c r="D46" i="7" s="1"/>
  <c r="D55" i="7" s="1"/>
  <c r="D63" i="7" s="1"/>
  <c r="C28" i="7"/>
  <c r="C36" i="7" s="1"/>
  <c r="C46" i="7" s="1"/>
  <c r="C55" i="7" s="1"/>
  <c r="C63" i="7" s="1"/>
  <c r="F6" i="7"/>
  <c r="B4" i="7"/>
  <c r="A1" i="7"/>
  <c r="A1" i="4"/>
  <c r="E31" i="10" l="1"/>
  <c r="G31" i="10" s="1"/>
  <c r="D32" i="10"/>
  <c r="B33" i="10"/>
  <c r="E15" i="10"/>
  <c r="G15" i="10" s="1"/>
  <c r="D16" i="10"/>
  <c r="B17" i="10"/>
  <c r="E56" i="9"/>
  <c r="G56" i="9" s="1"/>
  <c r="D57" i="9"/>
  <c r="E34" i="9"/>
  <c r="G34" i="9" s="1"/>
  <c r="D35" i="9"/>
  <c r="E15" i="9"/>
  <c r="G15" i="9" s="1"/>
  <c r="D16" i="9"/>
  <c r="C17" i="9"/>
  <c r="H65" i="8"/>
  <c r="I67" i="8"/>
  <c r="D52" i="8"/>
  <c r="D53" i="8" s="1"/>
  <c r="R40" i="7"/>
  <c r="B40" i="7"/>
  <c r="B67" i="7"/>
  <c r="C22" i="7"/>
  <c r="D22" i="7" s="1"/>
  <c r="E22" i="7" s="1"/>
  <c r="F22" i="7" s="1"/>
  <c r="G22" i="7" s="1"/>
  <c r="H22" i="7" s="1"/>
  <c r="I22" i="7" s="1"/>
  <c r="J22" i="7" s="1"/>
  <c r="K22" i="7" s="1"/>
  <c r="L22" i="7" s="1"/>
  <c r="M22" i="7" s="1"/>
  <c r="N22" i="7" s="1"/>
  <c r="O22" i="7" s="1"/>
  <c r="P22" i="7" s="1"/>
  <c r="Q22" i="7" s="1"/>
  <c r="C20" i="7"/>
  <c r="A71" i="7"/>
  <c r="A45" i="7"/>
  <c r="A35" i="7"/>
  <c r="A44" i="7"/>
  <c r="A62" i="7"/>
  <c r="A54" i="7"/>
  <c r="A3" i="7"/>
  <c r="A18" i="7"/>
  <c r="A27" i="7"/>
  <c r="C70" i="4"/>
  <c r="B59" i="4"/>
  <c r="C59" i="4" s="1"/>
  <c r="B49" i="4"/>
  <c r="Q45" i="4"/>
  <c r="Q55" i="4" s="1"/>
  <c r="Q66" i="4" s="1"/>
  <c r="P45" i="4"/>
  <c r="P55" i="4" s="1"/>
  <c r="P66" i="4" s="1"/>
  <c r="O45" i="4"/>
  <c r="O55" i="4" s="1"/>
  <c r="O66" i="4" s="1"/>
  <c r="N45" i="4"/>
  <c r="N55" i="4" s="1"/>
  <c r="N66" i="4" s="1"/>
  <c r="M45" i="4"/>
  <c r="M55" i="4" s="1"/>
  <c r="M66" i="4" s="1"/>
  <c r="L45" i="4"/>
  <c r="L55" i="4" s="1"/>
  <c r="L66" i="4" s="1"/>
  <c r="K45" i="4"/>
  <c r="K55" i="4" s="1"/>
  <c r="K66" i="4" s="1"/>
  <c r="J45" i="4"/>
  <c r="J55" i="4" s="1"/>
  <c r="J66" i="4" s="1"/>
  <c r="I45" i="4"/>
  <c r="I55" i="4" s="1"/>
  <c r="I66" i="4" s="1"/>
  <c r="H45" i="4"/>
  <c r="H55" i="4" s="1"/>
  <c r="H66" i="4" s="1"/>
  <c r="G45" i="4"/>
  <c r="G55" i="4" s="1"/>
  <c r="G66" i="4" s="1"/>
  <c r="F45" i="4"/>
  <c r="F55" i="4" s="1"/>
  <c r="F66" i="4" s="1"/>
  <c r="E45" i="4"/>
  <c r="E55" i="4" s="1"/>
  <c r="E66" i="4" s="1"/>
  <c r="D45" i="4"/>
  <c r="D55" i="4" s="1"/>
  <c r="D66" i="4" s="1"/>
  <c r="C45" i="4"/>
  <c r="C55" i="4" s="1"/>
  <c r="C66" i="4" s="1"/>
  <c r="B42" i="4"/>
  <c r="B40" i="4"/>
  <c r="C32" i="4"/>
  <c r="D32" i="4" s="1"/>
  <c r="E32" i="4" s="1"/>
  <c r="F32" i="4" s="1"/>
  <c r="G32" i="4" s="1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C30" i="4"/>
  <c r="C31" i="4" s="1"/>
  <c r="G22" i="4"/>
  <c r="F22" i="4"/>
  <c r="J15" i="4"/>
  <c r="I11" i="4"/>
  <c r="F9" i="4"/>
  <c r="B51" i="4" s="1"/>
  <c r="B61" i="4" s="1"/>
  <c r="C61" i="4" s="1"/>
  <c r="D61" i="4" s="1"/>
  <c r="E61" i="4" s="1"/>
  <c r="F61" i="4" s="1"/>
  <c r="G61" i="4" s="1"/>
  <c r="H61" i="4" s="1"/>
  <c r="I61" i="4" s="1"/>
  <c r="J61" i="4" s="1"/>
  <c r="K61" i="4" s="1"/>
  <c r="L61" i="4" s="1"/>
  <c r="M61" i="4" s="1"/>
  <c r="N61" i="4" s="1"/>
  <c r="O61" i="4" s="1"/>
  <c r="P61" i="4" s="1"/>
  <c r="Q61" i="4" s="1"/>
  <c r="J8" i="4"/>
  <c r="B8" i="4"/>
  <c r="C33" i="4" s="1"/>
  <c r="B6" i="4"/>
  <c r="X4" i="4"/>
  <c r="X11" i="4" s="1"/>
  <c r="W4" i="4"/>
  <c r="W11" i="4" s="1"/>
  <c r="V4" i="4"/>
  <c r="V11" i="4" s="1"/>
  <c r="U4" i="4"/>
  <c r="U11" i="4" s="1"/>
  <c r="T4" i="4"/>
  <c r="T11" i="4" s="1"/>
  <c r="S4" i="4"/>
  <c r="S11" i="4" s="1"/>
  <c r="R4" i="4"/>
  <c r="R11" i="4" s="1"/>
  <c r="Q4" i="4"/>
  <c r="Q11" i="4" s="1"/>
  <c r="P4" i="4"/>
  <c r="P11" i="4" s="1"/>
  <c r="O4" i="4"/>
  <c r="O11" i="4" s="1"/>
  <c r="N4" i="4"/>
  <c r="N11" i="4" s="1"/>
  <c r="M4" i="4"/>
  <c r="M11" i="4" s="1"/>
  <c r="L4" i="4"/>
  <c r="L11" i="4" s="1"/>
  <c r="K4" i="4"/>
  <c r="K11" i="4" s="1"/>
  <c r="J4" i="4"/>
  <c r="J11" i="4" s="1"/>
  <c r="E32" i="10" l="1"/>
  <c r="G32" i="10" s="1"/>
  <c r="D33" i="10"/>
  <c r="B34" i="10"/>
  <c r="B18" i="10"/>
  <c r="D17" i="10"/>
  <c r="E16" i="10"/>
  <c r="G16" i="10" s="1"/>
  <c r="D58" i="9"/>
  <c r="E57" i="9"/>
  <c r="G57" i="9" s="1"/>
  <c r="D36" i="9"/>
  <c r="E35" i="9"/>
  <c r="G35" i="9" s="1"/>
  <c r="C18" i="9"/>
  <c r="D17" i="9"/>
  <c r="E16" i="9"/>
  <c r="G16" i="9" s="1"/>
  <c r="D56" i="8"/>
  <c r="D61" i="8" s="1"/>
  <c r="D64" i="8"/>
  <c r="J67" i="8"/>
  <c r="I65" i="8"/>
  <c r="D20" i="7"/>
  <c r="C21" i="7"/>
  <c r="C23" i="7" s="1"/>
  <c r="B69" i="7"/>
  <c r="C67" i="7"/>
  <c r="B42" i="7"/>
  <c r="C40" i="7"/>
  <c r="B64" i="7"/>
  <c r="F12" i="7"/>
  <c r="F15" i="7" s="1"/>
  <c r="B37" i="7"/>
  <c r="F5" i="7"/>
  <c r="F8" i="7" s="1"/>
  <c r="B7" i="7"/>
  <c r="B11" i="4"/>
  <c r="B14" i="4" s="1"/>
  <c r="B9" i="4"/>
  <c r="C36" i="4"/>
  <c r="C34" i="4"/>
  <c r="D33" i="4"/>
  <c r="A72" i="4"/>
  <c r="A65" i="4"/>
  <c r="A54" i="4"/>
  <c r="A44" i="4"/>
  <c r="A28" i="4"/>
  <c r="D30" i="4"/>
  <c r="D31" i="4" s="1"/>
  <c r="D59" i="4"/>
  <c r="A3" i="4"/>
  <c r="E33" i="10" l="1"/>
  <c r="G33" i="10" s="1"/>
  <c r="D34" i="10"/>
  <c r="B35" i="10"/>
  <c r="E17" i="10"/>
  <c r="G17" i="10" s="1"/>
  <c r="D18" i="10"/>
  <c r="B19" i="10"/>
  <c r="E58" i="9"/>
  <c r="G58" i="9" s="1"/>
  <c r="D59" i="9"/>
  <c r="E36" i="9"/>
  <c r="G36" i="9" s="1"/>
  <c r="D37" i="9"/>
  <c r="C19" i="9"/>
  <c r="D18" i="9"/>
  <c r="E17" i="9"/>
  <c r="G17" i="9" s="1"/>
  <c r="J65" i="8"/>
  <c r="K67" i="8"/>
  <c r="D68" i="8"/>
  <c r="E60" i="8"/>
  <c r="E57" i="8"/>
  <c r="H13" i="8" s="1"/>
  <c r="H15" i="8" s="1"/>
  <c r="B12" i="4"/>
  <c r="B17" i="4"/>
  <c r="F8" i="4" s="1"/>
  <c r="B65" i="7"/>
  <c r="B70" i="7" s="1"/>
  <c r="C58" i="7"/>
  <c r="D58" i="7" s="1"/>
  <c r="E58" i="7" s="1"/>
  <c r="F58" i="7" s="1"/>
  <c r="G58" i="7" s="1"/>
  <c r="H58" i="7" s="1"/>
  <c r="I58" i="7" s="1"/>
  <c r="J58" i="7" s="1"/>
  <c r="K58" i="7" s="1"/>
  <c r="L58" i="7" s="1"/>
  <c r="M58" i="7" s="1"/>
  <c r="N58" i="7" s="1"/>
  <c r="O58" i="7" s="1"/>
  <c r="P58" i="7" s="1"/>
  <c r="Q58" i="7" s="1"/>
  <c r="B38" i="7"/>
  <c r="C31" i="7"/>
  <c r="D31" i="7" s="1"/>
  <c r="E31" i="7" s="1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B43" i="7"/>
  <c r="D21" i="7"/>
  <c r="D23" i="7" s="1"/>
  <c r="E20" i="7"/>
  <c r="D40" i="7"/>
  <c r="D67" i="7"/>
  <c r="E59" i="4"/>
  <c r="D36" i="4"/>
  <c r="E30" i="4"/>
  <c r="E31" i="4" s="1"/>
  <c r="D34" i="4"/>
  <c r="E33" i="4"/>
  <c r="C37" i="4"/>
  <c r="C39" i="4"/>
  <c r="C50" i="7" s="1"/>
  <c r="C52" i="7" s="1"/>
  <c r="F11" i="4"/>
  <c r="F5" i="4"/>
  <c r="B50" i="4"/>
  <c r="B60" i="4" s="1"/>
  <c r="E34" i="10" l="1"/>
  <c r="G34" i="10" s="1"/>
  <c r="D35" i="10"/>
  <c r="B36" i="10"/>
  <c r="B20" i="10"/>
  <c r="D19" i="10"/>
  <c r="E18" i="10"/>
  <c r="G18" i="10" s="1"/>
  <c r="D61" i="9"/>
  <c r="D60" i="9"/>
  <c r="E59" i="9"/>
  <c r="G59" i="9" s="1"/>
  <c r="D38" i="9"/>
  <c r="E37" i="9"/>
  <c r="G37" i="9" s="1"/>
  <c r="E18" i="9"/>
  <c r="G18" i="9" s="1"/>
  <c r="C20" i="9"/>
  <c r="D19" i="9"/>
  <c r="D69" i="8"/>
  <c r="D70" i="8" s="1"/>
  <c r="E51" i="8"/>
  <c r="L67" i="8"/>
  <c r="K65" i="8"/>
  <c r="E40" i="7"/>
  <c r="E67" i="7"/>
  <c r="E21" i="7"/>
  <c r="E23" i="7" s="1"/>
  <c r="F20" i="7"/>
  <c r="C38" i="7"/>
  <c r="C24" i="7"/>
  <c r="C51" i="7"/>
  <c r="C65" i="7"/>
  <c r="F6" i="4"/>
  <c r="B48" i="4" s="1"/>
  <c r="B57" i="4" s="1"/>
  <c r="C60" i="4"/>
  <c r="B47" i="4"/>
  <c r="I5" i="4"/>
  <c r="E34" i="4"/>
  <c r="F33" i="4"/>
  <c r="E36" i="4"/>
  <c r="F30" i="4"/>
  <c r="F31" i="4" s="1"/>
  <c r="D39" i="4"/>
  <c r="D50" i="7" s="1"/>
  <c r="D37" i="4"/>
  <c r="F59" i="4"/>
  <c r="E35" i="10" l="1"/>
  <c r="G35" i="10" s="1"/>
  <c r="D36" i="10"/>
  <c r="B37" i="10"/>
  <c r="D37" i="10" s="1"/>
  <c r="E19" i="10"/>
  <c r="G19" i="10" s="1"/>
  <c r="D20" i="10"/>
  <c r="B21" i="10"/>
  <c r="D21" i="10" s="1"/>
  <c r="E60" i="9"/>
  <c r="G60" i="9" s="1"/>
  <c r="E61" i="9"/>
  <c r="E45" i="9" s="1"/>
  <c r="E38" i="9"/>
  <c r="G38" i="9" s="1"/>
  <c r="D39" i="9"/>
  <c r="C21" i="9"/>
  <c r="D21" i="9" s="1"/>
  <c r="D20" i="9"/>
  <c r="E19" i="9"/>
  <c r="G19" i="9" s="1"/>
  <c r="L65" i="8"/>
  <c r="M67" i="8"/>
  <c r="E52" i="8"/>
  <c r="E53" i="8" s="1"/>
  <c r="C53" i="7"/>
  <c r="D38" i="7"/>
  <c r="F40" i="7"/>
  <c r="D65" i="7"/>
  <c r="C25" i="7"/>
  <c r="C26" i="7" s="1"/>
  <c r="F21" i="7"/>
  <c r="F23" i="7" s="1"/>
  <c r="G20" i="7"/>
  <c r="F67" i="7"/>
  <c r="F15" i="4"/>
  <c r="F17" i="4"/>
  <c r="F12" i="4"/>
  <c r="C40" i="4"/>
  <c r="C41" i="4" s="1"/>
  <c r="E37" i="4"/>
  <c r="E39" i="4"/>
  <c r="E50" i="7" s="1"/>
  <c r="I8" i="4"/>
  <c r="I12" i="4"/>
  <c r="I15" i="4" s="1"/>
  <c r="G59" i="4"/>
  <c r="F36" i="4"/>
  <c r="G30" i="4"/>
  <c r="G31" i="4" s="1"/>
  <c r="F34" i="4"/>
  <c r="G33" i="4"/>
  <c r="B67" i="4"/>
  <c r="B70" i="4" s="1"/>
  <c r="B56" i="4"/>
  <c r="B53" i="4"/>
  <c r="D60" i="4"/>
  <c r="E37" i="10" l="1"/>
  <c r="E36" i="10"/>
  <c r="G36" i="10" s="1"/>
  <c r="E21" i="10"/>
  <c r="E5" i="10" s="1"/>
  <c r="E20" i="10"/>
  <c r="G20" i="10" s="1"/>
  <c r="G61" i="9"/>
  <c r="D41" i="9"/>
  <c r="D42" i="9" s="1"/>
  <c r="D40" i="9"/>
  <c r="E39" i="9"/>
  <c r="G39" i="9" s="1"/>
  <c r="E20" i="9"/>
  <c r="G20" i="9" s="1"/>
  <c r="E21" i="9"/>
  <c r="N67" i="8"/>
  <c r="E56" i="8"/>
  <c r="E61" i="8" s="1"/>
  <c r="E64" i="8"/>
  <c r="M65" i="8"/>
  <c r="C29" i="7"/>
  <c r="C34" i="7" s="1"/>
  <c r="C37" i="7"/>
  <c r="G40" i="7"/>
  <c r="C56" i="7"/>
  <c r="C61" i="7" s="1"/>
  <c r="C64" i="7"/>
  <c r="G67" i="7"/>
  <c r="H20" i="7"/>
  <c r="G21" i="7"/>
  <c r="G23" i="7" s="1"/>
  <c r="E65" i="7"/>
  <c r="E38" i="7"/>
  <c r="C48" i="4"/>
  <c r="C57" i="4" s="1"/>
  <c r="D40" i="4" s="1"/>
  <c r="F16" i="4"/>
  <c r="E60" i="4"/>
  <c r="G34" i="4"/>
  <c r="H33" i="4"/>
  <c r="B62" i="4"/>
  <c r="B63" i="4" s="1"/>
  <c r="B64" i="4" s="1"/>
  <c r="C52" i="4"/>
  <c r="F39" i="4"/>
  <c r="F50" i="7" s="1"/>
  <c r="F37" i="4"/>
  <c r="H59" i="4"/>
  <c r="G36" i="4"/>
  <c r="H30" i="4"/>
  <c r="H31" i="4" s="1"/>
  <c r="C42" i="4"/>
  <c r="C43" i="4" s="1"/>
  <c r="G37" i="10" l="1"/>
  <c r="H23" i="10"/>
  <c r="G21" i="10"/>
  <c r="D43" i="9"/>
  <c r="D62" i="9"/>
  <c r="D63" i="9" s="1"/>
  <c r="E40" i="9"/>
  <c r="G40" i="9" s="1"/>
  <c r="E41" i="9"/>
  <c r="E25" i="9" s="1"/>
  <c r="G21" i="9"/>
  <c r="E5" i="9"/>
  <c r="N65" i="8"/>
  <c r="O67" i="8"/>
  <c r="E68" i="8"/>
  <c r="F60" i="8"/>
  <c r="F57" i="8"/>
  <c r="I13" i="8" s="1"/>
  <c r="I15" i="8" s="1"/>
  <c r="F38" i="7"/>
  <c r="F65" i="7"/>
  <c r="H21" i="7"/>
  <c r="H23" i="7" s="1"/>
  <c r="I20" i="7"/>
  <c r="H67" i="7"/>
  <c r="H40" i="7"/>
  <c r="C68" i="7"/>
  <c r="D60" i="7"/>
  <c r="D57" i="7"/>
  <c r="D33" i="7"/>
  <c r="C41" i="7"/>
  <c r="D30" i="7"/>
  <c r="G6" i="7" s="1"/>
  <c r="G8" i="7" s="1"/>
  <c r="C46" i="4"/>
  <c r="C53" i="4" s="1"/>
  <c r="C56" i="4"/>
  <c r="I59" i="4"/>
  <c r="G37" i="4"/>
  <c r="G39" i="4"/>
  <c r="G50" i="7" s="1"/>
  <c r="H34" i="4"/>
  <c r="I33" i="4"/>
  <c r="D41" i="4"/>
  <c r="D48" i="4"/>
  <c r="D57" i="4" s="1"/>
  <c r="H36" i="4"/>
  <c r="I30" i="4"/>
  <c r="I31" i="4" s="1"/>
  <c r="F60" i="4"/>
  <c r="G41" i="9" l="1"/>
  <c r="P67" i="8"/>
  <c r="E69" i="8"/>
  <c r="E70" i="8" s="1"/>
  <c r="F51" i="8"/>
  <c r="O65" i="8"/>
  <c r="G13" i="7"/>
  <c r="G15" i="7" s="1"/>
  <c r="C69" i="7"/>
  <c r="C70" i="7" s="1"/>
  <c r="D51" i="7"/>
  <c r="D52" i="7" s="1"/>
  <c r="C42" i="7"/>
  <c r="C43" i="7" s="1"/>
  <c r="D24" i="7"/>
  <c r="I40" i="7"/>
  <c r="I67" i="7"/>
  <c r="I21" i="7"/>
  <c r="I23" i="7" s="1"/>
  <c r="J20" i="7"/>
  <c r="G65" i="7"/>
  <c r="G38" i="7"/>
  <c r="G60" i="4"/>
  <c r="H39" i="4"/>
  <c r="H50" i="7" s="1"/>
  <c r="H37" i="4"/>
  <c r="D42" i="4"/>
  <c r="D43" i="4" s="1"/>
  <c r="D46" i="4" s="1"/>
  <c r="I36" i="4"/>
  <c r="J30" i="4"/>
  <c r="J31" i="4" s="1"/>
  <c r="E40" i="4"/>
  <c r="I34" i="4"/>
  <c r="J33" i="4"/>
  <c r="J59" i="4"/>
  <c r="C62" i="4"/>
  <c r="C63" i="4" s="1"/>
  <c r="C64" i="4" s="1"/>
  <c r="D52" i="4"/>
  <c r="D47" i="4"/>
  <c r="P65" i="8" l="1"/>
  <c r="F52" i="8"/>
  <c r="F53" i="8" s="1"/>
  <c r="Q67" i="8"/>
  <c r="H65" i="7"/>
  <c r="J21" i="7"/>
  <c r="J23" i="7" s="1"/>
  <c r="K20" i="7"/>
  <c r="H38" i="7"/>
  <c r="J67" i="7"/>
  <c r="J40" i="7"/>
  <c r="D25" i="7"/>
  <c r="D26" i="7" s="1"/>
  <c r="D53" i="7"/>
  <c r="D68" i="4"/>
  <c r="D70" i="4" s="1"/>
  <c r="K6" i="4"/>
  <c r="K59" i="4"/>
  <c r="J34" i="4"/>
  <c r="K33" i="4"/>
  <c r="E48" i="4"/>
  <c r="E57" i="4" s="1"/>
  <c r="E41" i="4"/>
  <c r="J36" i="4"/>
  <c r="K30" i="4"/>
  <c r="K31" i="4" s="1"/>
  <c r="D56" i="4"/>
  <c r="I37" i="4"/>
  <c r="I39" i="4"/>
  <c r="I50" i="7" s="1"/>
  <c r="D53" i="4"/>
  <c r="H60" i="4"/>
  <c r="F56" i="8" l="1"/>
  <c r="F61" i="8" s="1"/>
  <c r="F64" i="8"/>
  <c r="Q65" i="8"/>
  <c r="D29" i="7"/>
  <c r="D34" i="7" s="1"/>
  <c r="D37" i="7"/>
  <c r="K40" i="7"/>
  <c r="K67" i="7"/>
  <c r="D56" i="7"/>
  <c r="D61" i="7" s="1"/>
  <c r="D64" i="7"/>
  <c r="I38" i="7"/>
  <c r="L20" i="7"/>
  <c r="K21" i="7"/>
  <c r="K23" i="7" s="1"/>
  <c r="I65" i="7"/>
  <c r="I60" i="4"/>
  <c r="D62" i="4"/>
  <c r="D63" i="4" s="1"/>
  <c r="D64" i="4" s="1"/>
  <c r="E52" i="4"/>
  <c r="E47" i="4"/>
  <c r="K36" i="4"/>
  <c r="L30" i="4"/>
  <c r="L31" i="4" s="1"/>
  <c r="E42" i="4"/>
  <c r="E43" i="4" s="1"/>
  <c r="K34" i="4"/>
  <c r="L33" i="4"/>
  <c r="K13" i="4"/>
  <c r="K15" i="4" s="1"/>
  <c r="K8" i="4"/>
  <c r="J39" i="4"/>
  <c r="J50" i="7" s="1"/>
  <c r="J37" i="4"/>
  <c r="F40" i="4"/>
  <c r="L59" i="4"/>
  <c r="R65" i="8" l="1"/>
  <c r="F68" i="8"/>
  <c r="G57" i="8"/>
  <c r="J13" i="8" s="1"/>
  <c r="J15" i="8" s="1"/>
  <c r="G60" i="8"/>
  <c r="J65" i="7"/>
  <c r="L21" i="7"/>
  <c r="L23" i="7" s="1"/>
  <c r="M20" i="7"/>
  <c r="L67" i="7"/>
  <c r="L40" i="7"/>
  <c r="J38" i="7"/>
  <c r="D68" i="7"/>
  <c r="E57" i="7"/>
  <c r="E60" i="7"/>
  <c r="D41" i="7"/>
  <c r="E33" i="7"/>
  <c r="E30" i="7"/>
  <c r="H6" i="7" s="1"/>
  <c r="H8" i="7" s="1"/>
  <c r="E46" i="4"/>
  <c r="E53" i="4" s="1"/>
  <c r="F52" i="4" s="1"/>
  <c r="E56" i="4"/>
  <c r="K37" i="4"/>
  <c r="K39" i="4"/>
  <c r="K50" i="7" s="1"/>
  <c r="M59" i="4"/>
  <c r="F48" i="4"/>
  <c r="F57" i="4" s="1"/>
  <c r="F41" i="4"/>
  <c r="L34" i="4"/>
  <c r="M33" i="4"/>
  <c r="L36" i="4"/>
  <c r="M30" i="4"/>
  <c r="M31" i="4" s="1"/>
  <c r="E68" i="4"/>
  <c r="E70" i="4" s="1"/>
  <c r="L6" i="4"/>
  <c r="J60" i="4"/>
  <c r="F69" i="8" l="1"/>
  <c r="F70" i="8" s="1"/>
  <c r="G51" i="8"/>
  <c r="H13" i="7"/>
  <c r="H15" i="7" s="1"/>
  <c r="D69" i="7"/>
  <c r="D70" i="7" s="1"/>
  <c r="E51" i="7"/>
  <c r="E52" i="7" s="1"/>
  <c r="K38" i="7"/>
  <c r="D42" i="7"/>
  <c r="D43" i="7" s="1"/>
  <c r="E24" i="7"/>
  <c r="M40" i="7"/>
  <c r="M67" i="7"/>
  <c r="M21" i="7"/>
  <c r="M23" i="7" s="1"/>
  <c r="N20" i="7"/>
  <c r="K65" i="7"/>
  <c r="E62" i="4"/>
  <c r="E63" i="4" s="1"/>
  <c r="E64" i="4" s="1"/>
  <c r="F47" i="4"/>
  <c r="M6" i="4" s="1"/>
  <c r="K60" i="4"/>
  <c r="L39" i="4"/>
  <c r="L50" i="7" s="1"/>
  <c r="L37" i="4"/>
  <c r="F21" i="4"/>
  <c r="M34" i="4"/>
  <c r="N33" i="4"/>
  <c r="F42" i="4"/>
  <c r="F43" i="4" s="1"/>
  <c r="L13" i="4"/>
  <c r="L15" i="4" s="1"/>
  <c r="L8" i="4"/>
  <c r="M36" i="4"/>
  <c r="N30" i="4"/>
  <c r="N31" i="4" s="1"/>
  <c r="F68" i="4"/>
  <c r="F70" i="4" s="1"/>
  <c r="G40" i="4"/>
  <c r="N59" i="4"/>
  <c r="G52" i="8" l="1"/>
  <c r="G53" i="8" s="1"/>
  <c r="L65" i="7"/>
  <c r="N21" i="7"/>
  <c r="N23" i="7" s="1"/>
  <c r="O20" i="7"/>
  <c r="E25" i="7"/>
  <c r="E26" i="7" s="1"/>
  <c r="E53" i="7"/>
  <c r="N67" i="7"/>
  <c r="N40" i="7"/>
  <c r="L38" i="7"/>
  <c r="M37" i="4"/>
  <c r="M39" i="4"/>
  <c r="M50" i="7" s="1"/>
  <c r="N34" i="4"/>
  <c r="O33" i="4"/>
  <c r="O59" i="4"/>
  <c r="G48" i="4"/>
  <c r="G57" i="4" s="1"/>
  <c r="G41" i="4"/>
  <c r="M13" i="4"/>
  <c r="M15" i="4" s="1"/>
  <c r="M8" i="4"/>
  <c r="N36" i="4"/>
  <c r="O30" i="4"/>
  <c r="O31" i="4" s="1"/>
  <c r="F46" i="4"/>
  <c r="F53" i="4" s="1"/>
  <c r="F56" i="4"/>
  <c r="L60" i="4"/>
  <c r="G56" i="8" l="1"/>
  <c r="G61" i="8" s="1"/>
  <c r="G64" i="8"/>
  <c r="M38" i="7"/>
  <c r="E56" i="7"/>
  <c r="E61" i="7" s="1"/>
  <c r="E64" i="7"/>
  <c r="E29" i="7"/>
  <c r="E34" i="7" s="1"/>
  <c r="E37" i="7"/>
  <c r="O40" i="7"/>
  <c r="O67" i="7"/>
  <c r="P20" i="7"/>
  <c r="O21" i="7"/>
  <c r="O23" i="7" s="1"/>
  <c r="M65" i="7"/>
  <c r="N39" i="4"/>
  <c r="N50" i="7" s="1"/>
  <c r="N37" i="4"/>
  <c r="H40" i="4"/>
  <c r="P59" i="4"/>
  <c r="M60" i="4"/>
  <c r="F62" i="4"/>
  <c r="F63" i="4" s="1"/>
  <c r="F64" i="4" s="1"/>
  <c r="G52" i="4"/>
  <c r="G47" i="4"/>
  <c r="O36" i="4"/>
  <c r="P30" i="4"/>
  <c r="P31" i="4" s="1"/>
  <c r="G42" i="4"/>
  <c r="G43" i="4" s="1"/>
  <c r="O34" i="4"/>
  <c r="P33" i="4"/>
  <c r="G68" i="8" l="1"/>
  <c r="H60" i="8"/>
  <c r="H57" i="8"/>
  <c r="K13" i="8" s="1"/>
  <c r="K15" i="8" s="1"/>
  <c r="N65" i="7"/>
  <c r="P21" i="7"/>
  <c r="P23" i="7" s="1"/>
  <c r="Q20" i="7"/>
  <c r="P67" i="7"/>
  <c r="P40" i="7"/>
  <c r="E41" i="7"/>
  <c r="F33" i="7"/>
  <c r="F30" i="7"/>
  <c r="I6" i="7" s="1"/>
  <c r="I8" i="7" s="1"/>
  <c r="E68" i="7"/>
  <c r="F60" i="7"/>
  <c r="F57" i="7"/>
  <c r="N38" i="7"/>
  <c r="G46" i="4"/>
  <c r="G53" i="4" s="1"/>
  <c r="G56" i="4"/>
  <c r="O37" i="4"/>
  <c r="O39" i="4"/>
  <c r="O50" i="7" s="1"/>
  <c r="P34" i="4"/>
  <c r="Q33" i="4"/>
  <c r="P36" i="4"/>
  <c r="Q30" i="4"/>
  <c r="G68" i="4"/>
  <c r="G70" i="4" s="1"/>
  <c r="N6" i="4"/>
  <c r="N60" i="4"/>
  <c r="Q59" i="4"/>
  <c r="H48" i="4"/>
  <c r="H57" i="4" s="1"/>
  <c r="H41" i="4"/>
  <c r="G69" i="8" l="1"/>
  <c r="G70" i="8" s="1"/>
  <c r="H51" i="8"/>
  <c r="I13" i="7"/>
  <c r="I15" i="7" s="1"/>
  <c r="Q31" i="4"/>
  <c r="Q36" i="4" s="1"/>
  <c r="O38" i="7"/>
  <c r="E42" i="7"/>
  <c r="E43" i="7" s="1"/>
  <c r="F24" i="7"/>
  <c r="E69" i="7"/>
  <c r="E70" i="7" s="1"/>
  <c r="F51" i="7"/>
  <c r="F52" i="7" s="1"/>
  <c r="Q40" i="7"/>
  <c r="Q67" i="7"/>
  <c r="Q21" i="7"/>
  <c r="Q23" i="7" s="1"/>
  <c r="O65" i="7"/>
  <c r="I40" i="4"/>
  <c r="O60" i="4"/>
  <c r="P39" i="4"/>
  <c r="P50" i="7" s="1"/>
  <c r="P37" i="4"/>
  <c r="H42" i="4"/>
  <c r="H43" i="4" s="1"/>
  <c r="N13" i="4"/>
  <c r="N15" i="4" s="1"/>
  <c r="N8" i="4"/>
  <c r="Q34" i="4"/>
  <c r="G62" i="4"/>
  <c r="G63" i="4" s="1"/>
  <c r="G64" i="4" s="1"/>
  <c r="H52" i="4"/>
  <c r="H47" i="4"/>
  <c r="H52" i="8" l="1"/>
  <c r="H53" i="8" s="1"/>
  <c r="Q39" i="4"/>
  <c r="Q50" i="7" s="1"/>
  <c r="G21" i="4"/>
  <c r="Q37" i="4"/>
  <c r="F25" i="7"/>
  <c r="F26" i="7" s="1"/>
  <c r="P65" i="7"/>
  <c r="F53" i="7"/>
  <c r="P38" i="7"/>
  <c r="H46" i="4"/>
  <c r="H53" i="4" s="1"/>
  <c r="H56" i="4"/>
  <c r="H68" i="4"/>
  <c r="H70" i="4" s="1"/>
  <c r="O6" i="4"/>
  <c r="P60" i="4"/>
  <c r="I48" i="4"/>
  <c r="I57" i="4" s="1"/>
  <c r="I41" i="4"/>
  <c r="H56" i="8" l="1"/>
  <c r="H61" i="8" s="1"/>
  <c r="H64" i="8"/>
  <c r="F29" i="7"/>
  <c r="F34" i="7" s="1"/>
  <c r="F37" i="7"/>
  <c r="Q38" i="7"/>
  <c r="R38" i="7" s="1"/>
  <c r="F56" i="7"/>
  <c r="F61" i="7" s="1"/>
  <c r="F64" i="7"/>
  <c r="Q65" i="7"/>
  <c r="R65" i="7" s="1"/>
  <c r="I42" i="4"/>
  <c r="I43" i="4" s="1"/>
  <c r="O13" i="4"/>
  <c r="O15" i="4" s="1"/>
  <c r="O8" i="4"/>
  <c r="J40" i="4"/>
  <c r="Q60" i="4"/>
  <c r="H62" i="4"/>
  <c r="H63" i="4" s="1"/>
  <c r="H64" i="4" s="1"/>
  <c r="I52" i="4"/>
  <c r="I47" i="4"/>
  <c r="H68" i="8" l="1"/>
  <c r="I60" i="8"/>
  <c r="I57" i="8"/>
  <c r="L13" i="8" s="1"/>
  <c r="L15" i="8" s="1"/>
  <c r="G60" i="7"/>
  <c r="G57" i="7"/>
  <c r="F68" i="7"/>
  <c r="F41" i="7"/>
  <c r="G33" i="7"/>
  <c r="G30" i="7"/>
  <c r="J6" i="7" s="1"/>
  <c r="J8" i="7" s="1"/>
  <c r="I46" i="4"/>
  <c r="I53" i="4" s="1"/>
  <c r="I56" i="4"/>
  <c r="I68" i="4"/>
  <c r="I70" i="4" s="1"/>
  <c r="P6" i="4"/>
  <c r="J48" i="4"/>
  <c r="J57" i="4" s="1"/>
  <c r="J41" i="4"/>
  <c r="H69" i="8" l="1"/>
  <c r="H70" i="8" s="1"/>
  <c r="I51" i="8"/>
  <c r="J13" i="7"/>
  <c r="J15" i="7" s="1"/>
  <c r="F42" i="7"/>
  <c r="F43" i="7" s="1"/>
  <c r="G24" i="7"/>
  <c r="F69" i="7"/>
  <c r="F70" i="7" s="1"/>
  <c r="G51" i="7"/>
  <c r="G52" i="7" s="1"/>
  <c r="J42" i="4"/>
  <c r="J43" i="4" s="1"/>
  <c r="K40" i="4"/>
  <c r="P13" i="4"/>
  <c r="P15" i="4" s="1"/>
  <c r="P8" i="4"/>
  <c r="I62" i="4"/>
  <c r="I63" i="4" s="1"/>
  <c r="I64" i="4" s="1"/>
  <c r="J52" i="4"/>
  <c r="J47" i="4"/>
  <c r="I52" i="8" l="1"/>
  <c r="I53" i="8" s="1"/>
  <c r="G25" i="7"/>
  <c r="G26" i="7" s="1"/>
  <c r="G53" i="7"/>
  <c r="J46" i="4"/>
  <c r="J53" i="4" s="1"/>
  <c r="J56" i="4"/>
  <c r="J68" i="4"/>
  <c r="J70" i="4" s="1"/>
  <c r="Q6" i="4"/>
  <c r="K48" i="4"/>
  <c r="K57" i="4" s="1"/>
  <c r="K41" i="4"/>
  <c r="I56" i="8" l="1"/>
  <c r="I61" i="8" s="1"/>
  <c r="I64" i="8"/>
  <c r="G29" i="7"/>
  <c r="G34" i="7" s="1"/>
  <c r="G37" i="7"/>
  <c r="G56" i="7"/>
  <c r="G61" i="7" s="1"/>
  <c r="G64" i="7"/>
  <c r="J62" i="4"/>
  <c r="J63" i="4" s="1"/>
  <c r="J64" i="4" s="1"/>
  <c r="K52" i="4"/>
  <c r="K47" i="4"/>
  <c r="K42" i="4"/>
  <c r="K43" i="4" s="1"/>
  <c r="Q13" i="4"/>
  <c r="Q15" i="4" s="1"/>
  <c r="Q8" i="4"/>
  <c r="L40" i="4"/>
  <c r="I68" i="8" l="1"/>
  <c r="J60" i="8"/>
  <c r="J57" i="8"/>
  <c r="M13" i="8" s="1"/>
  <c r="M15" i="8" s="1"/>
  <c r="G68" i="7"/>
  <c r="H60" i="7"/>
  <c r="H57" i="7"/>
  <c r="H33" i="7"/>
  <c r="G41" i="7"/>
  <c r="H30" i="7"/>
  <c r="K6" i="7" s="1"/>
  <c r="K8" i="7" s="1"/>
  <c r="K46" i="4"/>
  <c r="K53" i="4" s="1"/>
  <c r="K56" i="4"/>
  <c r="L48" i="4"/>
  <c r="L57" i="4" s="1"/>
  <c r="L41" i="4"/>
  <c r="K68" i="4"/>
  <c r="K70" i="4" s="1"/>
  <c r="R6" i="4"/>
  <c r="I69" i="8" l="1"/>
  <c r="I70" i="8" s="1"/>
  <c r="J51" i="8"/>
  <c r="K13" i="7"/>
  <c r="K15" i="7" s="1"/>
  <c r="G42" i="7"/>
  <c r="G43" i="7" s="1"/>
  <c r="H24" i="7"/>
  <c r="G69" i="7"/>
  <c r="G70" i="7" s="1"/>
  <c r="H51" i="7"/>
  <c r="H52" i="7" s="1"/>
  <c r="R13" i="4"/>
  <c r="R15" i="4" s="1"/>
  <c r="R8" i="4"/>
  <c r="L42" i="4"/>
  <c r="L43" i="4" s="1"/>
  <c r="L46" i="4" s="1"/>
  <c r="M40" i="4"/>
  <c r="K62" i="4"/>
  <c r="K63" i="4" s="1"/>
  <c r="K64" i="4" s="1"/>
  <c r="L52" i="4"/>
  <c r="L47" i="4"/>
  <c r="J52" i="8" l="1"/>
  <c r="J53" i="8" s="1"/>
  <c r="H53" i="7"/>
  <c r="H25" i="7"/>
  <c r="H26" i="7" s="1"/>
  <c r="L56" i="4"/>
  <c r="L68" i="4"/>
  <c r="L70" i="4" s="1"/>
  <c r="S6" i="4"/>
  <c r="M48" i="4"/>
  <c r="M57" i="4" s="1"/>
  <c r="M41" i="4"/>
  <c r="L53" i="4"/>
  <c r="J56" i="8" l="1"/>
  <c r="J61" i="8" s="1"/>
  <c r="J64" i="8"/>
  <c r="H64" i="7"/>
  <c r="H56" i="7"/>
  <c r="H61" i="7" s="1"/>
  <c r="H68" i="7" s="1"/>
  <c r="H29" i="7"/>
  <c r="H34" i="7" s="1"/>
  <c r="H37" i="7"/>
  <c r="L62" i="4"/>
  <c r="M52" i="4"/>
  <c r="M47" i="4"/>
  <c r="M42" i="4"/>
  <c r="M43" i="4" s="1"/>
  <c r="S13" i="4"/>
  <c r="S8" i="4"/>
  <c r="N40" i="4"/>
  <c r="J68" i="8" l="1"/>
  <c r="K60" i="8"/>
  <c r="K57" i="8"/>
  <c r="N13" i="8" s="1"/>
  <c r="N15" i="8" s="1"/>
  <c r="I60" i="7"/>
  <c r="I57" i="7"/>
  <c r="H69" i="7"/>
  <c r="H70" i="7" s="1"/>
  <c r="I51" i="7"/>
  <c r="I52" i="7" s="1"/>
  <c r="H41" i="7"/>
  <c r="I33" i="7"/>
  <c r="I30" i="7"/>
  <c r="L6" i="7" s="1"/>
  <c r="L8" i="7" s="1"/>
  <c r="N48" i="4"/>
  <c r="N57" i="4" s="1"/>
  <c r="N41" i="4"/>
  <c r="M46" i="4"/>
  <c r="M53" i="4" s="1"/>
  <c r="M56" i="4"/>
  <c r="M68" i="4"/>
  <c r="M70" i="4" s="1"/>
  <c r="T6" i="4"/>
  <c r="T8" i="4" s="1"/>
  <c r="F23" i="4"/>
  <c r="L63" i="4"/>
  <c r="L64" i="4" s="1"/>
  <c r="J69" i="8" l="1"/>
  <c r="J70" i="8" s="1"/>
  <c r="K51" i="8"/>
  <c r="L13" i="7"/>
  <c r="L15" i="7" s="1"/>
  <c r="I53" i="7"/>
  <c r="H42" i="7"/>
  <c r="H43" i="7" s="1"/>
  <c r="I24" i="7"/>
  <c r="F24" i="4"/>
  <c r="F26" i="4" s="1"/>
  <c r="S14" i="4" s="1"/>
  <c r="S15" i="4" s="1"/>
  <c r="I16" i="4" s="1"/>
  <c r="M62" i="4"/>
  <c r="M63" i="4" s="1"/>
  <c r="M64" i="4" s="1"/>
  <c r="N52" i="4"/>
  <c r="N47" i="4"/>
  <c r="O40" i="4"/>
  <c r="N42" i="4"/>
  <c r="N43" i="4" s="1"/>
  <c r="N46" i="4" s="1"/>
  <c r="K52" i="8" l="1"/>
  <c r="K53" i="8" s="1"/>
  <c r="I64" i="7"/>
  <c r="I56" i="7"/>
  <c r="I61" i="7" s="1"/>
  <c r="J60" i="7" s="1"/>
  <c r="I25" i="7"/>
  <c r="I26" i="7" s="1"/>
  <c r="N53" i="4"/>
  <c r="O52" i="4" s="1"/>
  <c r="N56" i="4"/>
  <c r="O48" i="4"/>
  <c r="O57" i="4" s="1"/>
  <c r="O41" i="4"/>
  <c r="N68" i="4"/>
  <c r="N70" i="4" s="1"/>
  <c r="U6" i="4"/>
  <c r="U8" i="4" s="1"/>
  <c r="K56" i="8" l="1"/>
  <c r="K61" i="8" s="1"/>
  <c r="K64" i="8"/>
  <c r="I68" i="7"/>
  <c r="J51" i="7" s="1"/>
  <c r="J52" i="7" s="1"/>
  <c r="J57" i="7"/>
  <c r="I29" i="7"/>
  <c r="I34" i="7" s="1"/>
  <c r="I37" i="7"/>
  <c r="O47" i="4"/>
  <c r="O68" i="4" s="1"/>
  <c r="O70" i="4" s="1"/>
  <c r="N62" i="4"/>
  <c r="N63" i="4" s="1"/>
  <c r="O42" i="4"/>
  <c r="O43" i="4" s="1"/>
  <c r="N64" i="4"/>
  <c r="P40" i="4"/>
  <c r="K68" i="8" l="1"/>
  <c r="L60" i="8"/>
  <c r="L57" i="8"/>
  <c r="O13" i="8" s="1"/>
  <c r="O15" i="8" s="1"/>
  <c r="M13" i="7"/>
  <c r="M15" i="7" s="1"/>
  <c r="I69" i="7"/>
  <c r="I70" i="7" s="1"/>
  <c r="J53" i="7"/>
  <c r="I41" i="7"/>
  <c r="J33" i="7"/>
  <c r="J30" i="7"/>
  <c r="M6" i="7" s="1"/>
  <c r="M8" i="7" s="1"/>
  <c r="V6" i="4"/>
  <c r="V8" i="4" s="1"/>
  <c r="O46" i="4"/>
  <c r="O53" i="4" s="1"/>
  <c r="O62" i="4" s="1"/>
  <c r="O63" i="4" s="1"/>
  <c r="O56" i="4"/>
  <c r="P48" i="4"/>
  <c r="P57" i="4" s="1"/>
  <c r="P41" i="4"/>
  <c r="K69" i="8" l="1"/>
  <c r="K70" i="8" s="1"/>
  <c r="L51" i="8"/>
  <c r="J56" i="7"/>
  <c r="J61" i="7" s="1"/>
  <c r="K57" i="7" s="1"/>
  <c r="J64" i="7"/>
  <c r="I42" i="7"/>
  <c r="I43" i="7" s="1"/>
  <c r="J24" i="7"/>
  <c r="O64" i="4"/>
  <c r="P52" i="4"/>
  <c r="P47" i="4"/>
  <c r="W6" i="4" s="1"/>
  <c r="W8" i="4" s="1"/>
  <c r="Q40" i="4"/>
  <c r="P42" i="4"/>
  <c r="P43" i="4" s="1"/>
  <c r="L52" i="8" l="1"/>
  <c r="L53" i="8" s="1"/>
  <c r="N13" i="7"/>
  <c r="N15" i="7" s="1"/>
  <c r="K60" i="7"/>
  <c r="J68" i="7"/>
  <c r="J69" i="7" s="1"/>
  <c r="J70" i="7" s="1"/>
  <c r="P68" i="4"/>
  <c r="P70" i="4" s="1"/>
  <c r="J25" i="7"/>
  <c r="J26" i="7" s="1"/>
  <c r="Q48" i="4"/>
  <c r="Q57" i="4" s="1"/>
  <c r="Q41" i="4"/>
  <c r="P46" i="4"/>
  <c r="P53" i="4" s="1"/>
  <c r="P56" i="4"/>
  <c r="L56" i="8" l="1"/>
  <c r="L61" i="8" s="1"/>
  <c r="L64" i="8"/>
  <c r="K51" i="7"/>
  <c r="J29" i="7"/>
  <c r="J34" i="7" s="1"/>
  <c r="J37" i="7"/>
  <c r="Q42" i="4"/>
  <c r="Q43" i="4" s="1"/>
  <c r="P62" i="4"/>
  <c r="P63" i="4" s="1"/>
  <c r="P64" i="4" s="1"/>
  <c r="Q52" i="4"/>
  <c r="Q47" i="4"/>
  <c r="L68" i="8" l="1"/>
  <c r="M60" i="8"/>
  <c r="M57" i="8"/>
  <c r="P13" i="8" s="1"/>
  <c r="P15" i="8" s="1"/>
  <c r="K52" i="7"/>
  <c r="K53" i="7" s="1"/>
  <c r="J41" i="7"/>
  <c r="K33" i="7"/>
  <c r="K30" i="7"/>
  <c r="N6" i="7" s="1"/>
  <c r="N8" i="7" s="1"/>
  <c r="Q46" i="4"/>
  <c r="Q53" i="4" s="1"/>
  <c r="Q62" i="4" s="1"/>
  <c r="Q56" i="4"/>
  <c r="Q68" i="4"/>
  <c r="X6" i="4"/>
  <c r="L69" i="8" l="1"/>
  <c r="L70" i="8" s="1"/>
  <c r="M51" i="8"/>
  <c r="K64" i="7"/>
  <c r="K56" i="7"/>
  <c r="K61" i="7" s="1"/>
  <c r="K68" i="7" s="1"/>
  <c r="L51" i="7" s="1"/>
  <c r="L52" i="7" s="1"/>
  <c r="J42" i="7"/>
  <c r="J43" i="7" s="1"/>
  <c r="K24" i="7"/>
  <c r="G23" i="4"/>
  <c r="Q63" i="4"/>
  <c r="Q64" i="4" s="1"/>
  <c r="M52" i="8" l="1"/>
  <c r="M53" i="8" s="1"/>
  <c r="K69" i="7"/>
  <c r="K70" i="7" s="1"/>
  <c r="L57" i="7"/>
  <c r="L60" i="7"/>
  <c r="L53" i="7"/>
  <c r="K25" i="7"/>
  <c r="K26" i="7" s="1"/>
  <c r="G24" i="4"/>
  <c r="G26" i="4" s="1"/>
  <c r="M56" i="8" l="1"/>
  <c r="M61" i="8" s="1"/>
  <c r="M64" i="8"/>
  <c r="O13" i="7"/>
  <c r="O15" i="7" s="1"/>
  <c r="L64" i="7"/>
  <c r="L56" i="7"/>
  <c r="L61" i="7" s="1"/>
  <c r="L68" i="7" s="1"/>
  <c r="K29" i="7"/>
  <c r="K34" i="7" s="1"/>
  <c r="K37" i="7"/>
  <c r="Q69" i="4"/>
  <c r="Q70" i="4" s="1"/>
  <c r="B71" i="4" s="1"/>
  <c r="X7" i="4"/>
  <c r="X8" i="4" s="1"/>
  <c r="I9" i="4" s="1"/>
  <c r="M68" i="8" l="1"/>
  <c r="N60" i="8"/>
  <c r="N57" i="8"/>
  <c r="Q13" i="8" s="1"/>
  <c r="Q15" i="8" s="1"/>
  <c r="M57" i="7"/>
  <c r="M60" i="7"/>
  <c r="L69" i="7"/>
  <c r="L70" i="7" s="1"/>
  <c r="M51" i="7"/>
  <c r="M52" i="7" s="1"/>
  <c r="L33" i="7"/>
  <c r="K41" i="7"/>
  <c r="L30" i="7"/>
  <c r="O6" i="7" s="1"/>
  <c r="O8" i="7" s="1"/>
  <c r="M69" i="8" l="1"/>
  <c r="M70" i="8" s="1"/>
  <c r="N51" i="8"/>
  <c r="P13" i="7"/>
  <c r="P15" i="7" s="1"/>
  <c r="M53" i="7"/>
  <c r="K42" i="7"/>
  <c r="K43" i="7" s="1"/>
  <c r="L24" i="7"/>
  <c r="N52" i="8" l="1"/>
  <c r="N53" i="8" s="1"/>
  <c r="M64" i="7"/>
  <c r="M56" i="7"/>
  <c r="M61" i="7" s="1"/>
  <c r="N60" i="7" s="1"/>
  <c r="L25" i="7"/>
  <c r="L26" i="7" s="1"/>
  <c r="N56" i="8" l="1"/>
  <c r="N61" i="8" s="1"/>
  <c r="N64" i="8"/>
  <c r="N57" i="7"/>
  <c r="M68" i="7"/>
  <c r="M69" i="7" s="1"/>
  <c r="M70" i="7" s="1"/>
  <c r="L29" i="7"/>
  <c r="L34" i="7" s="1"/>
  <c r="L37" i="7"/>
  <c r="N68" i="8" l="1"/>
  <c r="O57" i="8"/>
  <c r="R13" i="8" s="1"/>
  <c r="R15" i="8" s="1"/>
  <c r="O60" i="8"/>
  <c r="Q13" i="7"/>
  <c r="Q15" i="7" s="1"/>
  <c r="N51" i="7"/>
  <c r="L41" i="7"/>
  <c r="M33" i="7"/>
  <c r="M30" i="7"/>
  <c r="P6" i="7" s="1"/>
  <c r="P8" i="7" s="1"/>
  <c r="N69" i="8" l="1"/>
  <c r="N70" i="8" s="1"/>
  <c r="O51" i="8"/>
  <c r="N52" i="7"/>
  <c r="N53" i="7" s="1"/>
  <c r="L42" i="7"/>
  <c r="L43" i="7" s="1"/>
  <c r="M24" i="7"/>
  <c r="O52" i="8" l="1"/>
  <c r="O53" i="8" s="1"/>
  <c r="N56" i="7"/>
  <c r="N61" i="7" s="1"/>
  <c r="O57" i="7" s="1"/>
  <c r="N64" i="7"/>
  <c r="M25" i="7"/>
  <c r="M26" i="7" s="1"/>
  <c r="O60" i="7" l="1"/>
  <c r="O56" i="8"/>
  <c r="O61" i="8" s="1"/>
  <c r="O64" i="8"/>
  <c r="N68" i="7"/>
  <c r="R13" i="7"/>
  <c r="R15" i="7" s="1"/>
  <c r="M29" i="7"/>
  <c r="M34" i="7" s="1"/>
  <c r="M37" i="7"/>
  <c r="O68" i="8" l="1"/>
  <c r="P60" i="8"/>
  <c r="P57" i="8"/>
  <c r="S13" i="8" s="1"/>
  <c r="S15" i="8" s="1"/>
  <c r="O51" i="7"/>
  <c r="N69" i="7"/>
  <c r="N70" i="7" s="1"/>
  <c r="M41" i="7"/>
  <c r="N33" i="7"/>
  <c r="N30" i="7"/>
  <c r="Q6" i="7" s="1"/>
  <c r="Q8" i="7" s="1"/>
  <c r="O69" i="8" l="1"/>
  <c r="O70" i="8" s="1"/>
  <c r="P51" i="8"/>
  <c r="O52" i="7"/>
  <c r="O53" i="7" s="1"/>
  <c r="M42" i="7"/>
  <c r="M43" i="7" s="1"/>
  <c r="N24" i="7"/>
  <c r="P52" i="8" l="1"/>
  <c r="P53" i="8" s="1"/>
  <c r="O56" i="7"/>
  <c r="O61" i="7" s="1"/>
  <c r="O64" i="7"/>
  <c r="N25" i="7"/>
  <c r="N26" i="7" s="1"/>
  <c r="P56" i="8" l="1"/>
  <c r="P61" i="8" s="1"/>
  <c r="P64" i="8"/>
  <c r="P60" i="7"/>
  <c r="P57" i="7"/>
  <c r="O68" i="7"/>
  <c r="N29" i="7"/>
  <c r="N34" i="7" s="1"/>
  <c r="N37" i="7"/>
  <c r="P68" i="8" l="1"/>
  <c r="Q60" i="8"/>
  <c r="Q57" i="8"/>
  <c r="T13" i="8" s="1"/>
  <c r="S13" i="7"/>
  <c r="S15" i="7" s="1"/>
  <c r="O69" i="7"/>
  <c r="O70" i="7" s="1"/>
  <c r="P51" i="7"/>
  <c r="P52" i="7" s="1"/>
  <c r="P53" i="7" s="1"/>
  <c r="P64" i="7" s="1"/>
  <c r="N41" i="7"/>
  <c r="O33" i="7"/>
  <c r="O30" i="7"/>
  <c r="R6" i="7" s="1"/>
  <c r="R8" i="7" s="1"/>
  <c r="P69" i="8" l="1"/>
  <c r="P70" i="8" s="1"/>
  <c r="Q51" i="8"/>
  <c r="P56" i="7"/>
  <c r="P61" i="7" s="1"/>
  <c r="N42" i="7"/>
  <c r="N43" i="7" s="1"/>
  <c r="O24" i="7"/>
  <c r="Q52" i="8" l="1"/>
  <c r="Q53" i="8" s="1"/>
  <c r="P68" i="7"/>
  <c r="Q57" i="7"/>
  <c r="T13" i="7" s="1"/>
  <c r="Q60" i="7"/>
  <c r="O25" i="7"/>
  <c r="O26" i="7" s="1"/>
  <c r="Q56" i="8" l="1"/>
  <c r="Q61" i="8" s="1"/>
  <c r="Q68" i="8" s="1"/>
  <c r="Q64" i="8"/>
  <c r="Q51" i="7"/>
  <c r="P69" i="7"/>
  <c r="P70" i="7" s="1"/>
  <c r="O29" i="7"/>
  <c r="O34" i="7" s="1"/>
  <c r="O37" i="7"/>
  <c r="R68" i="8" l="1"/>
  <c r="Q69" i="8"/>
  <c r="R67" i="8"/>
  <c r="R69" i="8" s="1"/>
  <c r="R64" i="8" s="1"/>
  <c r="Q70" i="8"/>
  <c r="Q52" i="7"/>
  <c r="Q53" i="7" s="1"/>
  <c r="P33" i="7"/>
  <c r="P30" i="7"/>
  <c r="S6" i="7" s="1"/>
  <c r="S8" i="7" s="1"/>
  <c r="O41" i="7"/>
  <c r="R70" i="8" l="1"/>
  <c r="S64" i="8"/>
  <c r="T14" i="8"/>
  <c r="T15" i="8" s="1"/>
  <c r="Q56" i="7"/>
  <c r="Q61" i="7" s="1"/>
  <c r="Q68" i="7" s="1"/>
  <c r="Q64" i="7"/>
  <c r="O42" i="7"/>
  <c r="O43" i="7" s="1"/>
  <c r="P24" i="7"/>
  <c r="I16" i="8" l="1"/>
  <c r="I17" i="8" s="1"/>
  <c r="M16" i="8"/>
  <c r="F16" i="8"/>
  <c r="R67" i="7"/>
  <c r="R68" i="7"/>
  <c r="Q69" i="7"/>
  <c r="Q70" i="7" s="1"/>
  <c r="P25" i="7"/>
  <c r="P26" i="7" s="1"/>
  <c r="R69" i="7" l="1"/>
  <c r="R64" i="7" s="1"/>
  <c r="T14" i="7" s="1"/>
  <c r="T15" i="7" s="1"/>
  <c r="R70" i="7"/>
  <c r="S64" i="7"/>
  <c r="P29" i="7"/>
  <c r="P34" i="7" s="1"/>
  <c r="P37" i="7"/>
  <c r="M16" i="7" l="1"/>
  <c r="F16" i="7"/>
  <c r="P41" i="7"/>
  <c r="Q33" i="7"/>
  <c r="Q30" i="7"/>
  <c r="T6" i="7" s="1"/>
  <c r="P42" i="7" l="1"/>
  <c r="P43" i="7" s="1"/>
  <c r="Q24" i="7"/>
  <c r="Q25" i="7" l="1"/>
  <c r="Q26" i="7" s="1"/>
  <c r="Q29" i="7" l="1"/>
  <c r="Q34" i="7" s="1"/>
  <c r="Q41" i="7" s="1"/>
  <c r="Q37" i="7"/>
  <c r="R41" i="7" l="1"/>
  <c r="R42" i="7" s="1"/>
  <c r="R37" i="7" s="1"/>
  <c r="Q42" i="7"/>
  <c r="Q43" i="7" s="1"/>
  <c r="R43" i="7" l="1"/>
  <c r="S37" i="7"/>
  <c r="T8" i="7"/>
  <c r="M9" i="7" s="1"/>
  <c r="F9" i="7" l="1"/>
</calcChain>
</file>

<file path=xl/comments1.xml><?xml version="1.0" encoding="utf-8"?>
<comments xmlns="http://schemas.openxmlformats.org/spreadsheetml/2006/main">
  <authors>
    <author>SAINTCRICQJ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Acquisition</t>
        </r>
      </text>
    </comment>
  </commentList>
</comments>
</file>

<file path=xl/sharedStrings.xml><?xml version="1.0" encoding="utf-8"?>
<sst xmlns="http://schemas.openxmlformats.org/spreadsheetml/2006/main" count="428" uniqueCount="159">
  <si>
    <t>Tronc commun :</t>
  </si>
  <si>
    <t>JSC 12 mars 2012</t>
  </si>
  <si>
    <t>Exploitation</t>
  </si>
  <si>
    <t>Loc</t>
  </si>
  <si>
    <t>Delta</t>
  </si>
  <si>
    <t>Bilan de départ</t>
  </si>
  <si>
    <t>15ans</t>
  </si>
  <si>
    <t>A0</t>
  </si>
  <si>
    <t>chiffre d'affaires</t>
  </si>
  <si>
    <t>Capital</t>
  </si>
  <si>
    <t>Invstmt</t>
  </si>
  <si>
    <t>marge brute</t>
  </si>
  <si>
    <t>Dette</t>
  </si>
  <si>
    <t>dividendes</t>
  </si>
  <si>
    <t xml:space="preserve">charges d'exploitation </t>
  </si>
  <si>
    <t>Immob</t>
  </si>
  <si>
    <t>VT</t>
  </si>
  <si>
    <t>loyer</t>
  </si>
  <si>
    <t>Fonds</t>
  </si>
  <si>
    <t>Flux</t>
  </si>
  <si>
    <t>loyer%CA</t>
  </si>
  <si>
    <t>BFR</t>
  </si>
  <si>
    <t>TRI</t>
  </si>
  <si>
    <t>taxe foncière</t>
  </si>
  <si>
    <t>Cash</t>
  </si>
  <si>
    <t>EBE</t>
  </si>
  <si>
    <t>total</t>
  </si>
  <si>
    <t>10ans</t>
  </si>
  <si>
    <t>EBE%CA</t>
  </si>
  <si>
    <t>Levier</t>
  </si>
  <si>
    <t>Amortissements</t>
  </si>
  <si>
    <t>Résultat exploitation</t>
  </si>
  <si>
    <t>An Fi</t>
  </si>
  <si>
    <t>Total</t>
  </si>
  <si>
    <t>Immobilier</t>
  </si>
  <si>
    <t>Ppal</t>
  </si>
  <si>
    <t>Int</t>
  </si>
  <si>
    <t>Taux de cap</t>
  </si>
  <si>
    <t>Valo multiple EBE</t>
  </si>
  <si>
    <t>Amrtsmt (durée)</t>
  </si>
  <si>
    <t xml:space="preserve"> </t>
  </si>
  <si>
    <t>VEA10</t>
  </si>
  <si>
    <t>VEA15</t>
  </si>
  <si>
    <t>Apport</t>
  </si>
  <si>
    <t>Prêt (durée)</t>
  </si>
  <si>
    <t>mult</t>
  </si>
  <si>
    <t>Taux d'intérêt</t>
  </si>
  <si>
    <t>V titres</t>
  </si>
  <si>
    <t>Multiple valor/EBE</t>
  </si>
  <si>
    <t>Taux IS</t>
  </si>
  <si>
    <t>I/+V</t>
  </si>
  <si>
    <t>Vnette</t>
  </si>
  <si>
    <t>Location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</si>
  <si>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</si>
  <si>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</si>
  <si>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</si>
  <si>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</si>
  <si>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</si>
  <si>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</si>
  <si>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</si>
  <si>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</si>
  <si>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</si>
  <si>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</si>
  <si>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</si>
  <si>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</si>
  <si>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</si>
  <si>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</si>
  <si>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</si>
  <si>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Frais financiers</t>
  </si>
  <si>
    <t>RCAI</t>
  </si>
  <si>
    <t>IS 30%</t>
  </si>
  <si>
    <t>RN</t>
  </si>
  <si>
    <t>MBA</t>
  </si>
  <si>
    <t>Delta BFR</t>
  </si>
  <si>
    <t>Dispo DP</t>
  </si>
  <si>
    <t>Dispo FP</t>
  </si>
  <si>
    <t>check</t>
  </si>
  <si>
    <t>TRI 15 ans</t>
  </si>
  <si>
    <t>Cash out</t>
  </si>
  <si>
    <t>Cash in</t>
  </si>
  <si>
    <t>Valeur sortie</t>
  </si>
  <si>
    <t>FONDS PHARMACIE LOUE LES MURS - SOIT A LA SCI DU PHARMACIEN - SOIT A MUR PHARMA - SI A MURS PHARMA, LE PHARMACIEN "PLACE" SES FONDS DANS LA/UNE PHARMACIE :</t>
  </si>
  <si>
    <t>Investissement</t>
  </si>
  <si>
    <t>Apport % invstmt</t>
  </si>
  <si>
    <t>Apport Keuros</t>
  </si>
  <si>
    <t>Taux intérêt</t>
  </si>
  <si>
    <t>Durée</t>
  </si>
  <si>
    <t>Tx cap</t>
  </si>
  <si>
    <t>IS</t>
  </si>
  <si>
    <t>Plcmt</t>
  </si>
  <si>
    <t>charges</t>
  </si>
  <si>
    <t>amrtsmt</t>
  </si>
  <si>
    <t>rééval bien</t>
  </si>
  <si>
    <t>tx plcmt</t>
  </si>
  <si>
    <t>Actualisation</t>
  </si>
  <si>
    <t>Loyer</t>
  </si>
  <si>
    <t>Amortissement</t>
  </si>
  <si>
    <t>EBIT</t>
  </si>
  <si>
    <t>Frais fi</t>
  </si>
  <si>
    <t>TDP</t>
  </si>
  <si>
    <t>TFP</t>
  </si>
  <si>
    <t>Réév</t>
  </si>
  <si>
    <t>+V</t>
  </si>
  <si>
    <t>Bien</t>
  </si>
  <si>
    <t>total bilan</t>
  </si>
  <si>
    <t>Placement</t>
  </si>
  <si>
    <t>Revenu</t>
  </si>
  <si>
    <t>Flux de trésorerie</t>
  </si>
  <si>
    <t>Mesures de renta</t>
  </si>
  <si>
    <t>Taux</t>
  </si>
  <si>
    <t>formule Excel = TRI</t>
  </si>
  <si>
    <t>formule manuelle = TRI</t>
  </si>
  <si>
    <t>∑</t>
  </si>
  <si>
    <t>Mode de calcul</t>
  </si>
  <si>
    <t>taux emprunteur</t>
  </si>
  <si>
    <t>taux prêteur(plcmt)</t>
  </si>
  <si>
    <t>Coefff emprunteur</t>
  </si>
  <si>
    <t>MIRR JSC</t>
  </si>
  <si>
    <t>Flux prêteurs</t>
  </si>
  <si>
    <t>Coeff prêteur</t>
  </si>
  <si>
    <t>Flux emprunteurs</t>
  </si>
  <si>
    <t>MIRR Excel</t>
  </si>
  <si>
    <t>Frwd val</t>
  </si>
  <si>
    <t>Pres val</t>
  </si>
  <si>
    <t>mirr</t>
  </si>
  <si>
    <t>Van Excel</t>
  </si>
  <si>
    <t>Van JSC2</t>
  </si>
  <si>
    <t>formule manuelle VAN</t>
  </si>
  <si>
    <t>Où l'on voit que + le taux d'actualisation est élevé, plus la Van est faible.</t>
  </si>
  <si>
    <t>Calcul du TRI/Excel - Van à la main et Excel</t>
  </si>
  <si>
    <t>itérations TRI pour mettre Van à 0</t>
  </si>
  <si>
    <t>Van du Mirr</t>
  </si>
  <si>
    <t>COMMENTAIRES</t>
  </si>
  <si>
    <t>VAN=-I+d1/(1+i)+d2/(1+i)²+VT/(1+i)^3</t>
  </si>
  <si>
    <t>Calcul du MIRR</t>
  </si>
  <si>
    <t>=puissance(-FV/PV;1/3)-1</t>
  </si>
  <si>
    <t>=TRIM(série;tx empr;tx prêt)</t>
  </si>
  <si>
    <t>Van 5%</t>
  </si>
  <si>
    <t>TRIM(5%,4%)</t>
  </si>
  <si>
    <t xml:space="preserve">Les différentes mesure de la rentabilité des projets d'investissement : </t>
  </si>
  <si>
    <t>JSC 17 mars 2012</t>
  </si>
  <si>
    <t>Van JSC1</t>
  </si>
  <si>
    <t>somme</t>
  </si>
  <si>
    <t>en forward value</t>
  </si>
  <si>
    <t>JSC 3 avril 2012</t>
  </si>
  <si>
    <t>+V/Titres</t>
  </si>
  <si>
    <t>même taux de revenu/Invstmt que tronc commun</t>
  </si>
  <si>
    <t>économies d'échelle</t>
  </si>
  <si>
    <t>pas d'I/+v</t>
  </si>
  <si>
    <t>même taux de revenu/Invstmt que tronc commun*coeff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</si>
  <si>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</si>
  <si>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Murs</t>
  </si>
  <si>
    <t>Somme</t>
  </si>
  <si>
    <t>Cap.Pr.</t>
  </si>
  <si>
    <t>Check</t>
  </si>
  <si>
    <t>taux</t>
  </si>
  <si>
    <t>Loz</t>
  </si>
  <si>
    <t>Van</t>
  </si>
  <si>
    <t>rbsmt dette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</si>
</sst>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0.0%"/>
    <numFmt numFmtId="165" formatCode="0.0"/>
    <numFmt numFmtId="166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0" fillId="0" borderId="0" xfId="0" applyFill="1"/>
    <xf numFmtId="9" fontId="2" fillId="0" borderId="1" xfId="0" applyNumberFormat="1" applyFont="1" applyBorder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164" fontId="0" fillId="2" borderId="1" xfId="0" applyNumberFormat="1" applyFill="1" applyBorder="1"/>
    <xf numFmtId="0" fontId="0" fillId="0" borderId="4" xfId="0" applyBorder="1"/>
    <xf numFmtId="1" fontId="0" fillId="0" borderId="5" xfId="0" applyNumberFormat="1" applyFill="1" applyBorder="1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Fill="1" applyBorder="1"/>
    <xf numFmtId="164" fontId="0" fillId="3" borderId="1" xfId="0" applyNumberFormat="1" applyFill="1" applyBorder="1"/>
    <xf numFmtId="0" fontId="0" fillId="0" borderId="6" xfId="0" applyBorder="1"/>
    <xf numFmtId="1" fontId="0" fillId="0" borderId="7" xfId="0" applyNumberFormat="1" applyBorder="1"/>
    <xf numFmtId="1" fontId="0" fillId="0" borderId="8" xfId="0" applyNumberFormat="1" applyBorder="1"/>
    <xf numFmtId="0" fontId="0" fillId="2" borderId="5" xfId="0" applyFill="1" applyBorder="1"/>
    <xf numFmtId="0" fontId="0" fillId="0" borderId="8" xfId="0" applyBorder="1"/>
    <xf numFmtId="10" fontId="0" fillId="2" borderId="1" xfId="0" applyNumberFormat="1" applyFill="1" applyBorder="1"/>
    <xf numFmtId="0" fontId="0" fillId="0" borderId="9" xfId="0" applyBorder="1"/>
    <xf numFmtId="1" fontId="0" fillId="0" borderId="10" xfId="0" applyNumberFormat="1" applyBorder="1"/>
    <xf numFmtId="1" fontId="0" fillId="0" borderId="0" xfId="0" applyNumberFormat="1"/>
    <xf numFmtId="164" fontId="0" fillId="0" borderId="1" xfId="1" applyNumberFormat="1" applyFont="1" applyBorder="1"/>
    <xf numFmtId="0" fontId="0" fillId="0" borderId="10" xfId="0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0" fillId="4" borderId="1" xfId="1" applyNumberFormat="1" applyFont="1" applyFill="1" applyBorder="1"/>
    <xf numFmtId="0" fontId="0" fillId="4" borderId="1" xfId="0" applyFill="1" applyBorder="1"/>
    <xf numFmtId="0" fontId="0" fillId="0" borderId="11" xfId="0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2" borderId="10" xfId="0" applyFill="1" applyBorder="1"/>
    <xf numFmtId="1" fontId="2" fillId="0" borderId="1" xfId="1" applyNumberFormat="1" applyFont="1" applyBorder="1"/>
    <xf numFmtId="0" fontId="2" fillId="0" borderId="9" xfId="0" applyFont="1" applyBorder="1"/>
    <xf numFmtId="1" fontId="0" fillId="0" borderId="10" xfId="0" applyNumberFormat="1" applyFill="1" applyBorder="1"/>
    <xf numFmtId="9" fontId="0" fillId="0" borderId="7" xfId="1" applyFont="1" applyBorder="1"/>
    <xf numFmtId="0" fontId="0" fillId="2" borderId="1" xfId="0" applyFill="1" applyBorder="1"/>
    <xf numFmtId="1" fontId="0" fillId="4" borderId="1" xfId="0" applyNumberFormat="1" applyFill="1" applyBorder="1"/>
    <xf numFmtId="1" fontId="2" fillId="0" borderId="1" xfId="0" applyNumberFormat="1" applyFont="1" applyBorder="1"/>
    <xf numFmtId="164" fontId="0" fillId="0" borderId="0" xfId="1" applyNumberFormat="1" applyFont="1"/>
    <xf numFmtId="164" fontId="0" fillId="0" borderId="0" xfId="0" applyNumberFormat="1"/>
    <xf numFmtId="0" fontId="0" fillId="0" borderId="14" xfId="0" applyBorder="1"/>
    <xf numFmtId="1" fontId="0" fillId="0" borderId="14" xfId="0" applyNumberFormat="1" applyBorder="1"/>
    <xf numFmtId="0" fontId="0" fillId="4" borderId="8" xfId="0" applyFill="1" applyBorder="1"/>
    <xf numFmtId="0" fontId="2" fillId="0" borderId="6" xfId="0" applyFont="1" applyBorder="1"/>
    <xf numFmtId="0" fontId="2" fillId="0" borderId="0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1" fontId="0" fillId="0" borderId="0" xfId="0" applyNumberFormat="1" applyFill="1" applyBorder="1"/>
    <xf numFmtId="0" fontId="2" fillId="0" borderId="1" xfId="0" applyFont="1" applyFill="1" applyBorder="1" applyAlignment="1">
      <alignment horizontal="right"/>
    </xf>
    <xf numFmtId="9" fontId="0" fillId="2" borderId="1" xfId="0" applyNumberFormat="1" applyFill="1" applyBorder="1"/>
    <xf numFmtId="164" fontId="2" fillId="0" borderId="0" xfId="0" applyNumberFormat="1" applyFont="1" applyFill="1" applyBorder="1"/>
    <xf numFmtId="1" fontId="2" fillId="0" borderId="1" xfId="0" quotePrefix="1" applyNumberFormat="1" applyFont="1" applyFill="1" applyBorder="1"/>
    <xf numFmtId="1" fontId="0" fillId="2" borderId="1" xfId="1" applyNumberFormat="1" applyFont="1" applyFill="1" applyBorder="1"/>
    <xf numFmtId="1" fontId="2" fillId="0" borderId="1" xfId="0" applyNumberFormat="1" applyFont="1" applyFill="1" applyBorder="1"/>
    <xf numFmtId="0" fontId="0" fillId="0" borderId="0" xfId="0" applyBorder="1"/>
    <xf numFmtId="1" fontId="0" fillId="0" borderId="0" xfId="0" applyNumberFormat="1" applyBorder="1"/>
    <xf numFmtId="0" fontId="2" fillId="0" borderId="0" xfId="0" applyFont="1" applyFill="1" applyBorder="1"/>
    <xf numFmtId="10" fontId="0" fillId="0" borderId="1" xfId="0" applyNumberFormat="1" applyBorder="1"/>
    <xf numFmtId="9" fontId="0" fillId="0" borderId="1" xfId="0" applyNumberFormat="1" applyFill="1" applyBorder="1"/>
    <xf numFmtId="164" fontId="0" fillId="0" borderId="1" xfId="0" applyNumberFormat="1" applyBorder="1"/>
    <xf numFmtId="0" fontId="0" fillId="0" borderId="15" xfId="0" applyBorder="1"/>
    <xf numFmtId="9" fontId="0" fillId="0" borderId="15" xfId="0" applyNumberFormat="1" applyBorder="1"/>
    <xf numFmtId="9" fontId="0" fillId="0" borderId="1" xfId="0" applyNumberFormat="1" applyBorder="1"/>
    <xf numFmtId="10" fontId="0" fillId="0" borderId="15" xfId="0" applyNumberFormat="1" applyBorder="1"/>
    <xf numFmtId="1" fontId="0" fillId="0" borderId="15" xfId="0" applyNumberFormat="1" applyBorder="1"/>
    <xf numFmtId="164" fontId="0" fillId="2" borderId="1" xfId="1" applyNumberFormat="1" applyFont="1" applyFill="1" applyBorder="1"/>
    <xf numFmtId="1" fontId="0" fillId="0" borderId="15" xfId="1" applyNumberFormat="1" applyFont="1" applyBorder="1"/>
    <xf numFmtId="9" fontId="0" fillId="0" borderId="15" xfId="1" applyFont="1" applyBorder="1"/>
    <xf numFmtId="1" fontId="0" fillId="0" borderId="1" xfId="1" applyNumberFormat="1" applyFont="1" applyBorder="1"/>
    <xf numFmtId="9" fontId="0" fillId="0" borderId="16" xfId="1" applyFont="1" applyBorder="1"/>
    <xf numFmtId="164" fontId="0" fillId="0" borderId="0" xfId="1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0" fillId="3" borderId="0" xfId="0" applyFill="1"/>
    <xf numFmtId="0" fontId="0" fillId="3" borderId="1" xfId="0" applyFill="1" applyBorder="1"/>
    <xf numFmtId="1" fontId="0" fillId="3" borderId="1" xfId="0" applyNumberFormat="1" applyFill="1" applyBorder="1"/>
    <xf numFmtId="1" fontId="0" fillId="3" borderId="0" xfId="0" applyNumberFormat="1" applyFill="1"/>
    <xf numFmtId="1" fontId="2" fillId="3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1" fontId="2" fillId="0" borderId="1" xfId="0" quotePrefix="1" applyNumberFormat="1" applyFont="1" applyFill="1" applyBorder="1" applyAlignment="1">
      <alignment horizontal="right"/>
    </xf>
    <xf numFmtId="164" fontId="0" fillId="0" borderId="15" xfId="1" applyNumberFormat="1" applyFont="1" applyBorder="1"/>
    <xf numFmtId="164" fontId="0" fillId="0" borderId="0" xfId="0" applyNumberFormat="1" applyFill="1" applyBorder="1"/>
    <xf numFmtId="165" fontId="0" fillId="0" borderId="1" xfId="0" applyNumberFormat="1" applyBorder="1"/>
    <xf numFmtId="2" fontId="0" fillId="0" borderId="1" xfId="0" applyNumberFormat="1" applyBorder="1"/>
    <xf numFmtId="1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0" fillId="0" borderId="0" xfId="0" applyNumberFormat="1"/>
    <xf numFmtId="10" fontId="0" fillId="0" borderId="0" xfId="0" applyNumberFormat="1"/>
    <xf numFmtId="8" fontId="0" fillId="0" borderId="0" xfId="0" applyNumberFormat="1"/>
    <xf numFmtId="0" fontId="0" fillId="0" borderId="0" xfId="0" applyAlignment="1">
      <alignment horizontal="right"/>
    </xf>
    <xf numFmtId="10" fontId="0" fillId="0" borderId="0" xfId="1" applyNumberFormat="1" applyFont="1"/>
    <xf numFmtId="0" fontId="2" fillId="0" borderId="0" xfId="0" applyFont="1" applyBorder="1" applyAlignment="1">
      <alignment horizontal="right"/>
    </xf>
    <xf numFmtId="10" fontId="0" fillId="0" borderId="0" xfId="0" applyNumberFormat="1" applyBorder="1"/>
    <xf numFmtId="8" fontId="0" fillId="0" borderId="0" xfId="0" applyNumberFormat="1" applyBorder="1"/>
    <xf numFmtId="2" fontId="0" fillId="0" borderId="15" xfId="0" applyNumberFormat="1" applyBorder="1"/>
    <xf numFmtId="0" fontId="0" fillId="0" borderId="0" xfId="0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0" fontId="0" fillId="0" borderId="0" xfId="0" applyNumberFormat="1" applyFill="1" applyBorder="1"/>
    <xf numFmtId="1" fontId="6" fillId="0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1" fontId="0" fillId="2" borderId="1" xfId="0" applyNumberFormat="1" applyFill="1" applyBorder="1" applyAlignment="1">
      <alignment horizontal="center"/>
    </xf>
    <xf numFmtId="0" fontId="2" fillId="0" borderId="0" xfId="0" applyFont="1" applyBorder="1" applyAlignment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2" fillId="0" borderId="1" xfId="1" applyNumberFormat="1" applyFont="1" applyBorder="1"/>
    <xf numFmtId="164" fontId="2" fillId="0" borderId="1" xfId="0" applyNumberFormat="1" applyFont="1" applyBorder="1"/>
    <xf numFmtId="1" fontId="2" fillId="3" borderId="1" xfId="0" applyNumberFormat="1" applyFont="1" applyFill="1" applyBorder="1" applyAlignment="1">
      <alignment horizontal="center"/>
    </xf>
    <xf numFmtId="166" fontId="0" fillId="2" borderId="1" xfId="0" applyNumberFormat="1" applyFill="1" applyBorder="1"/>
    <xf numFmtId="10" fontId="2" fillId="0" borderId="1" xfId="0" applyNumberFormat="1" applyFont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7" fillId="2" borderId="1" xfId="0" applyNumberFormat="1" applyFont="1" applyFill="1" applyBorder="1"/>
    <xf numFmtId="164" fontId="3" fillId="2" borderId="1" xfId="1" applyNumberFormat="1" applyFont="1" applyFill="1" applyBorder="1"/>
    <xf numFmtId="1" fontId="0" fillId="2" borderId="1" xfId="0" applyNumberFormat="1" applyFill="1" applyBorder="1"/>
    <xf numFmtId="10" fontId="0" fillId="0" borderId="1" xfId="0" applyNumberFormat="1" applyFill="1" applyBorder="1"/>
    <xf numFmtId="9" fontId="0" fillId="0" borderId="0" xfId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5507436570428"/>
          <c:y val="4.0949824978283832E-2"/>
          <c:w val="0.86176071741032367"/>
          <c:h val="0.86665125503624885"/>
        </c:manualLayout>
      </c:layout>
      <c:lineChart>
        <c:grouping val="standard"/>
        <c:varyColors val="0"/>
        <c:ser>
          <c:idx val="1"/>
          <c:order val="0"/>
          <c:tx>
            <c:v>Fonds</c:v>
          </c:tx>
          <c:marker>
            <c:symbol val="none"/>
          </c:marker>
          <c:cat>
            <c:numRef>
              <c:f>'graphiques 1'!$A$6:$A$21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1'!$B$6:$B$21</c:f>
              <c:numCache>
                <c:formatCode>0</c:formatCode>
                <c:ptCount val="16"/>
                <c:pt idx="0">
                  <c:v>900</c:v>
                </c:pt>
                <c:pt idx="1">
                  <c:v>945</c:v>
                </c:pt>
                <c:pt idx="2">
                  <c:v>992.25</c:v>
                </c:pt>
                <c:pt idx="3">
                  <c:v>1041.8625</c:v>
                </c:pt>
                <c:pt idx="4">
                  <c:v>1093.9556250000001</c:v>
                </c:pt>
                <c:pt idx="5">
                  <c:v>1148.6534062500002</c:v>
                </c:pt>
                <c:pt idx="6">
                  <c:v>1206.0860765625002</c:v>
                </c:pt>
                <c:pt idx="7">
                  <c:v>1266.3903803906253</c:v>
                </c:pt>
                <c:pt idx="8">
                  <c:v>1329.7098994101566</c:v>
                </c:pt>
                <c:pt idx="9">
                  <c:v>1396.1953943806645</c:v>
                </c:pt>
                <c:pt idx="10">
                  <c:v>1466.0051640996978</c:v>
                </c:pt>
                <c:pt idx="11">
                  <c:v>1539.3054223046827</c:v>
                </c:pt>
                <c:pt idx="12">
                  <c:v>1616.2706934199168</c:v>
                </c:pt>
                <c:pt idx="13">
                  <c:v>1697.0842280909128</c:v>
                </c:pt>
                <c:pt idx="14">
                  <c:v>1781.9384394954586</c:v>
                </c:pt>
                <c:pt idx="15">
                  <c:v>1871.0353614702317</c:v>
                </c:pt>
              </c:numCache>
            </c:numRef>
          </c:val>
          <c:smooth val="0"/>
        </c:ser>
        <c:ser>
          <c:idx val="2"/>
          <c:order val="1"/>
          <c:tx>
            <c:v>Murs</c:v>
          </c:tx>
          <c:marker>
            <c:symbol val="none"/>
          </c:marker>
          <c:cat>
            <c:numRef>
              <c:f>'graphiques 1'!$A$6:$A$21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1'!$C$6:$C$21</c:f>
              <c:numCache>
                <c:formatCode>0</c:formatCode>
                <c:ptCount val="16"/>
                <c:pt idx="0">
                  <c:v>200</c:v>
                </c:pt>
                <c:pt idx="1">
                  <c:v>202.99999999999997</c:v>
                </c:pt>
                <c:pt idx="2">
                  <c:v>206.04499999999996</c:v>
                </c:pt>
                <c:pt idx="3">
                  <c:v>209.13567499999994</c:v>
                </c:pt>
                <c:pt idx="4">
                  <c:v>212.27271012499992</c:v>
                </c:pt>
                <c:pt idx="5">
                  <c:v>215.4568007768749</c:v>
                </c:pt>
                <c:pt idx="6">
                  <c:v>218.688652788528</c:v>
                </c:pt>
                <c:pt idx="7">
                  <c:v>221.96898258035591</c:v>
                </c:pt>
                <c:pt idx="8">
                  <c:v>225.29851731906123</c:v>
                </c:pt>
                <c:pt idx="9">
                  <c:v>228.67799507884712</c:v>
                </c:pt>
                <c:pt idx="10">
                  <c:v>232.1081650050298</c:v>
                </c:pt>
                <c:pt idx="11">
                  <c:v>235.58978748010523</c:v>
                </c:pt>
                <c:pt idx="12">
                  <c:v>239.12363429230678</c:v>
                </c:pt>
                <c:pt idx="13">
                  <c:v>242.71048880669136</c:v>
                </c:pt>
                <c:pt idx="14">
                  <c:v>246.35114613879171</c:v>
                </c:pt>
                <c:pt idx="15">
                  <c:v>250.04641333087355</c:v>
                </c:pt>
              </c:numCache>
            </c:numRef>
          </c:val>
          <c:smooth val="0"/>
        </c:ser>
        <c:ser>
          <c:idx val="4"/>
          <c:order val="2"/>
          <c:tx>
            <c:v>Cap. Propres</c:v>
          </c:tx>
          <c:marker>
            <c:symbol val="none"/>
          </c:marker>
          <c:cat>
            <c:numRef>
              <c:f>'graphiques 1'!$A$6:$A$21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1'!$E$6:$E$21</c:f>
              <c:numCache>
                <c:formatCode>0</c:formatCode>
                <c:ptCount val="16"/>
                <c:pt idx="0">
                  <c:v>200</c:v>
                </c:pt>
                <c:pt idx="1">
                  <c:v>308</c:v>
                </c:pt>
                <c:pt idx="2">
                  <c:v>418.29500000000007</c:v>
                </c:pt>
                <c:pt idx="3">
                  <c:v>530.99817499999995</c:v>
                </c:pt>
                <c:pt idx="4">
                  <c:v>646.22833512500006</c:v>
                </c:pt>
                <c:pt idx="5">
                  <c:v>764.11020702687506</c:v>
                </c:pt>
                <c:pt idx="6">
                  <c:v>884.77472935102833</c:v>
                </c:pt>
                <c:pt idx="7">
                  <c:v>1008.3593629709812</c:v>
                </c:pt>
                <c:pt idx="8">
                  <c:v>1135.0084167292177</c:v>
                </c:pt>
                <c:pt idx="9">
                  <c:v>1264.8733894595116</c:v>
                </c:pt>
                <c:pt idx="10">
                  <c:v>1398.1133291047277</c:v>
                </c:pt>
                <c:pt idx="11">
                  <c:v>1534.895209784788</c:v>
                </c:pt>
                <c:pt idx="12">
                  <c:v>1675.3943277122237</c:v>
                </c:pt>
                <c:pt idx="13">
                  <c:v>1819.7947168976041</c:v>
                </c:pt>
                <c:pt idx="14">
                  <c:v>1968.2895856342502</c:v>
                </c:pt>
                <c:pt idx="15">
                  <c:v>2121.0817748011054</c:v>
                </c:pt>
              </c:numCache>
            </c:numRef>
          </c:val>
          <c:smooth val="0"/>
        </c:ser>
        <c:ser>
          <c:idx val="5"/>
          <c:order val="3"/>
          <c:tx>
            <c:v>Dette</c:v>
          </c:tx>
          <c:marker>
            <c:symbol val="none"/>
          </c:marker>
          <c:cat>
            <c:numRef>
              <c:f>'graphiques 1'!$A$6:$A$21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1'!$F$6:$F$21</c:f>
              <c:numCache>
                <c:formatCode>0</c:formatCode>
                <c:ptCount val="16"/>
                <c:pt idx="0">
                  <c:v>900</c:v>
                </c:pt>
                <c:pt idx="1">
                  <c:v>840</c:v>
                </c:pt>
                <c:pt idx="2">
                  <c:v>780</c:v>
                </c:pt>
                <c:pt idx="3">
                  <c:v>720</c:v>
                </c:pt>
                <c:pt idx="4">
                  <c:v>660</c:v>
                </c:pt>
                <c:pt idx="5">
                  <c:v>600</c:v>
                </c:pt>
                <c:pt idx="6">
                  <c:v>540</c:v>
                </c:pt>
                <c:pt idx="7">
                  <c:v>480</c:v>
                </c:pt>
                <c:pt idx="8">
                  <c:v>420</c:v>
                </c:pt>
                <c:pt idx="9">
                  <c:v>360</c:v>
                </c:pt>
                <c:pt idx="10">
                  <c:v>300</c:v>
                </c:pt>
                <c:pt idx="11">
                  <c:v>240</c:v>
                </c:pt>
                <c:pt idx="12">
                  <c:v>180</c:v>
                </c:pt>
                <c:pt idx="13">
                  <c:v>120</c:v>
                </c:pt>
                <c:pt idx="14">
                  <c:v>60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94944"/>
        <c:axId val="88996480"/>
      </c:lineChart>
      <c:catAx>
        <c:axId val="8899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996480"/>
        <c:crosses val="autoZero"/>
        <c:auto val="1"/>
        <c:lblAlgn val="ctr"/>
        <c:lblOffset val="100"/>
        <c:noMultiLvlLbl val="0"/>
      </c:catAx>
      <c:valAx>
        <c:axId val="889964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8994944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12580468066491685"/>
          <c:y val="5.6635128004142533E-2"/>
          <c:w val="0.24363976377952756"/>
          <c:h val="0.333479317872718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5507436570428"/>
          <c:y val="4.0949824978283832E-2"/>
          <c:w val="0.86176071741032367"/>
          <c:h val="0.86665125503624885"/>
        </c:manualLayout>
      </c:layout>
      <c:lineChart>
        <c:grouping val="standard"/>
        <c:varyColors val="0"/>
        <c:ser>
          <c:idx val="1"/>
          <c:order val="0"/>
          <c:tx>
            <c:v>Fonds</c:v>
          </c:tx>
          <c:marker>
            <c:symbol val="none"/>
          </c:marker>
          <c:cat>
            <c:numRef>
              <c:f>'graphiques 1'!$A$26:$A$41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1'!$B$26:$B$41</c:f>
              <c:numCache>
                <c:formatCode>0</c:formatCode>
                <c:ptCount val="16"/>
                <c:pt idx="0">
                  <c:v>1100</c:v>
                </c:pt>
                <c:pt idx="1">
                  <c:v>1160.5</c:v>
                </c:pt>
                <c:pt idx="2">
                  <c:v>1224.3274999999999</c:v>
                </c:pt>
                <c:pt idx="3">
                  <c:v>1291.6655124999997</c:v>
                </c:pt>
                <c:pt idx="4">
                  <c:v>1362.7071156874997</c:v>
                </c:pt>
                <c:pt idx="5">
                  <c:v>1437.6560070503122</c:v>
                </c:pt>
                <c:pt idx="6">
                  <c:v>1516.7270874380793</c:v>
                </c:pt>
                <c:pt idx="7">
                  <c:v>1600.1470772471735</c:v>
                </c:pt>
                <c:pt idx="8">
                  <c:v>1688.1551664957678</c:v>
                </c:pt>
                <c:pt idx="9">
                  <c:v>1781.0037006530349</c:v>
                </c:pt>
                <c:pt idx="10">
                  <c:v>1878.9589041889517</c:v>
                </c:pt>
                <c:pt idx="11">
                  <c:v>1982.3016439193439</c:v>
                </c:pt>
                <c:pt idx="12">
                  <c:v>2091.3282343349078</c:v>
                </c:pt>
                <c:pt idx="13">
                  <c:v>2206.3512872233277</c:v>
                </c:pt>
                <c:pt idx="14">
                  <c:v>2327.7006080206106</c:v>
                </c:pt>
                <c:pt idx="15">
                  <c:v>2455.7241414617442</c:v>
                </c:pt>
              </c:numCache>
            </c:numRef>
          </c:val>
          <c:smooth val="0"/>
        </c:ser>
        <c:ser>
          <c:idx val="2"/>
          <c:order val="1"/>
          <c:tx>
            <c:v>Murs</c:v>
          </c:tx>
          <c:marker>
            <c:symbol val="none"/>
          </c:marker>
          <c:cat>
            <c:numRef>
              <c:f>'graphiques 1'!$A$26:$A$41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1'!$C$26:$C$41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ser>
          <c:idx val="4"/>
          <c:order val="2"/>
          <c:tx>
            <c:v>Cap. Propres</c:v>
          </c:tx>
          <c:marker>
            <c:symbol val="none"/>
          </c:marker>
          <c:cat>
            <c:numRef>
              <c:f>'graphiques 1'!$A$26:$A$41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1'!$E$26:$E$41</c:f>
              <c:numCache>
                <c:formatCode>0</c:formatCode>
                <c:ptCount val="16"/>
                <c:pt idx="0">
                  <c:v>200</c:v>
                </c:pt>
                <c:pt idx="1">
                  <c:v>320.5</c:v>
                </c:pt>
                <c:pt idx="2">
                  <c:v>444.32749999999987</c:v>
                </c:pt>
                <c:pt idx="3">
                  <c:v>571.66551249999975</c:v>
                </c:pt>
                <c:pt idx="4">
                  <c:v>702.70711568749971</c:v>
                </c:pt>
                <c:pt idx="5">
                  <c:v>837.65600705031216</c:v>
                </c:pt>
                <c:pt idx="6">
                  <c:v>976.72708743807925</c:v>
                </c:pt>
                <c:pt idx="7">
                  <c:v>1120.1470772471735</c:v>
                </c:pt>
                <c:pt idx="8">
                  <c:v>1268.1551664957678</c:v>
                </c:pt>
                <c:pt idx="9">
                  <c:v>1421.0037006530349</c:v>
                </c:pt>
                <c:pt idx="10">
                  <c:v>1578.9589041889517</c:v>
                </c:pt>
                <c:pt idx="11">
                  <c:v>1742.3016439193439</c:v>
                </c:pt>
                <c:pt idx="12">
                  <c:v>1911.3282343349078</c:v>
                </c:pt>
                <c:pt idx="13">
                  <c:v>2086.3512872233277</c:v>
                </c:pt>
                <c:pt idx="14">
                  <c:v>2267.7006080206106</c:v>
                </c:pt>
                <c:pt idx="15">
                  <c:v>2455.7241414617442</c:v>
                </c:pt>
              </c:numCache>
            </c:numRef>
          </c:val>
          <c:smooth val="0"/>
        </c:ser>
        <c:ser>
          <c:idx val="5"/>
          <c:order val="3"/>
          <c:tx>
            <c:v>Dette</c:v>
          </c:tx>
          <c:marker>
            <c:symbol val="none"/>
          </c:marker>
          <c:cat>
            <c:numRef>
              <c:f>'graphiques 1'!$A$26:$A$41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1'!$F$26:$F$41</c:f>
              <c:numCache>
                <c:formatCode>0</c:formatCode>
                <c:ptCount val="16"/>
                <c:pt idx="0">
                  <c:v>900</c:v>
                </c:pt>
                <c:pt idx="1">
                  <c:v>840</c:v>
                </c:pt>
                <c:pt idx="2">
                  <c:v>780</c:v>
                </c:pt>
                <c:pt idx="3">
                  <c:v>720</c:v>
                </c:pt>
                <c:pt idx="4">
                  <c:v>660</c:v>
                </c:pt>
                <c:pt idx="5">
                  <c:v>600</c:v>
                </c:pt>
                <c:pt idx="6">
                  <c:v>540</c:v>
                </c:pt>
                <c:pt idx="7">
                  <c:v>480</c:v>
                </c:pt>
                <c:pt idx="8">
                  <c:v>420</c:v>
                </c:pt>
                <c:pt idx="9">
                  <c:v>360</c:v>
                </c:pt>
                <c:pt idx="10">
                  <c:v>300</c:v>
                </c:pt>
                <c:pt idx="11">
                  <c:v>240</c:v>
                </c:pt>
                <c:pt idx="12">
                  <c:v>180</c:v>
                </c:pt>
                <c:pt idx="13">
                  <c:v>120</c:v>
                </c:pt>
                <c:pt idx="14">
                  <c:v>60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21568"/>
        <c:axId val="136904704"/>
      </c:lineChart>
      <c:catAx>
        <c:axId val="13582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904704"/>
        <c:crosses val="autoZero"/>
        <c:auto val="1"/>
        <c:lblAlgn val="ctr"/>
        <c:lblOffset val="100"/>
        <c:noMultiLvlLbl val="0"/>
      </c:catAx>
      <c:valAx>
        <c:axId val="1369047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5821568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12580468066491685"/>
          <c:y val="5.6635128004142533E-2"/>
          <c:w val="0.24363976377952756"/>
          <c:h val="0.333479317872718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5507436570428"/>
          <c:y val="4.0949824978283832E-2"/>
          <c:w val="0.86176071741032367"/>
          <c:h val="0.86665125503624885"/>
        </c:manualLayout>
      </c:layout>
      <c:lineChart>
        <c:grouping val="standard"/>
        <c:varyColors val="0"/>
        <c:ser>
          <c:idx val="1"/>
          <c:order val="0"/>
          <c:tx>
            <c:v>Fonds</c:v>
          </c:tx>
          <c:marker>
            <c:symbol val="none"/>
          </c:marker>
          <c:cat>
            <c:numRef>
              <c:f>'graphiques 1'!$A$46:$A$61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1'!$B$46:$B$61</c:f>
              <c:numCache>
                <c:formatCode>0</c:formatCode>
                <c:ptCount val="16"/>
                <c:pt idx="0">
                  <c:v>600</c:v>
                </c:pt>
                <c:pt idx="1">
                  <c:v>618</c:v>
                </c:pt>
                <c:pt idx="2">
                  <c:v>636.54</c:v>
                </c:pt>
                <c:pt idx="3">
                  <c:v>655.63620000000003</c:v>
                </c:pt>
                <c:pt idx="4">
                  <c:v>675.30528600000002</c:v>
                </c:pt>
                <c:pt idx="5">
                  <c:v>695.56444457999999</c:v>
                </c:pt>
                <c:pt idx="6">
                  <c:v>716.43137791740003</c:v>
                </c:pt>
                <c:pt idx="7">
                  <c:v>737.92431925492201</c:v>
                </c:pt>
                <c:pt idx="8">
                  <c:v>760.06204883256964</c:v>
                </c:pt>
                <c:pt idx="9">
                  <c:v>782.86391029754679</c:v>
                </c:pt>
                <c:pt idx="10">
                  <c:v>806.34982760647324</c:v>
                </c:pt>
                <c:pt idx="11">
                  <c:v>830.54032243466747</c:v>
                </c:pt>
                <c:pt idx="12">
                  <c:v>855.45653210770752</c:v>
                </c:pt>
                <c:pt idx="13">
                  <c:v>881.12022807093877</c:v>
                </c:pt>
                <c:pt idx="14">
                  <c:v>907.55383491306691</c:v>
                </c:pt>
                <c:pt idx="15">
                  <c:v>934.7804499604589</c:v>
                </c:pt>
              </c:numCache>
            </c:numRef>
          </c:val>
          <c:smooth val="0"/>
        </c:ser>
        <c:ser>
          <c:idx val="2"/>
          <c:order val="1"/>
          <c:tx>
            <c:v>Murs</c:v>
          </c:tx>
          <c:marker>
            <c:symbol val="none"/>
          </c:marker>
          <c:cat>
            <c:numRef>
              <c:f>'graphiques 1'!$A$46:$A$61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1'!$C$46:$C$61</c:f>
              <c:numCache>
                <c:formatCode>0</c:formatCode>
                <c:ptCount val="16"/>
                <c:pt idx="0">
                  <c:v>100</c:v>
                </c:pt>
                <c:pt idx="1">
                  <c:v>101.49999999999999</c:v>
                </c:pt>
                <c:pt idx="2">
                  <c:v>103.02249999999998</c:v>
                </c:pt>
                <c:pt idx="3">
                  <c:v>104.56783749999997</c:v>
                </c:pt>
                <c:pt idx="4">
                  <c:v>106.13635506249996</c:v>
                </c:pt>
                <c:pt idx="5">
                  <c:v>107.72840038843745</c:v>
                </c:pt>
                <c:pt idx="6">
                  <c:v>109.344326394264</c:v>
                </c:pt>
                <c:pt idx="7">
                  <c:v>110.98449129017796</c:v>
                </c:pt>
                <c:pt idx="8">
                  <c:v>112.64925865953062</c:v>
                </c:pt>
                <c:pt idx="9">
                  <c:v>114.33899753942356</c:v>
                </c:pt>
                <c:pt idx="10">
                  <c:v>116.0540825025149</c:v>
                </c:pt>
                <c:pt idx="11">
                  <c:v>117.79489374005261</c:v>
                </c:pt>
                <c:pt idx="12">
                  <c:v>119.56181714615339</c:v>
                </c:pt>
                <c:pt idx="13">
                  <c:v>121.35524440334568</c:v>
                </c:pt>
                <c:pt idx="14">
                  <c:v>123.17557306939585</c:v>
                </c:pt>
                <c:pt idx="15">
                  <c:v>125.02320666543677</c:v>
                </c:pt>
              </c:numCache>
            </c:numRef>
          </c:val>
          <c:smooth val="0"/>
        </c:ser>
        <c:ser>
          <c:idx val="4"/>
          <c:order val="2"/>
          <c:tx>
            <c:v>Cap. Propres</c:v>
          </c:tx>
          <c:marker>
            <c:symbol val="none"/>
          </c:marker>
          <c:cat>
            <c:numRef>
              <c:f>'graphiques 1'!$A$46:$A$61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1'!$E$46:$E$61</c:f>
              <c:numCache>
                <c:formatCode>0</c:formatCode>
                <c:ptCount val="16"/>
                <c:pt idx="0">
                  <c:v>100</c:v>
                </c:pt>
                <c:pt idx="1">
                  <c:v>159.5</c:v>
                </c:pt>
                <c:pt idx="2">
                  <c:v>219.5625</c:v>
                </c:pt>
                <c:pt idx="3">
                  <c:v>280.20403750000003</c:v>
                </c:pt>
                <c:pt idx="4">
                  <c:v>341.44164106250003</c:v>
                </c:pt>
                <c:pt idx="5">
                  <c:v>403.29284496843741</c:v>
                </c:pt>
                <c:pt idx="6">
                  <c:v>465.77570431166407</c:v>
                </c:pt>
                <c:pt idx="7">
                  <c:v>528.90881054509998</c:v>
                </c:pt>
                <c:pt idx="8">
                  <c:v>592.71130749210022</c:v>
                </c:pt>
                <c:pt idx="9">
                  <c:v>657.20290783697033</c:v>
                </c:pt>
                <c:pt idx="10">
                  <c:v>722.40391010898816</c:v>
                </c:pt>
                <c:pt idx="11">
                  <c:v>788.33521617472013</c:v>
                </c:pt>
                <c:pt idx="12">
                  <c:v>855.01834925386095</c:v>
                </c:pt>
                <c:pt idx="13">
                  <c:v>922.4754724742844</c:v>
                </c:pt>
                <c:pt idx="14">
                  <c:v>990.72940798246282</c:v>
                </c:pt>
                <c:pt idx="15">
                  <c:v>1059.8036566258957</c:v>
                </c:pt>
              </c:numCache>
            </c:numRef>
          </c:val>
          <c:smooth val="0"/>
        </c:ser>
        <c:ser>
          <c:idx val="5"/>
          <c:order val="3"/>
          <c:tx>
            <c:v>Dette</c:v>
          </c:tx>
          <c:marker>
            <c:symbol val="none"/>
          </c:marker>
          <c:cat>
            <c:numRef>
              <c:f>'graphiques 1'!$A$46:$A$61</c:f>
              <c:numCache>
                <c:formatCode>General</c:formatCod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</c:numCache>
            </c:numRef>
          </c:cat>
          <c:val>
            <c:numRef>
              <c:f>'graphiques 1'!$F$46:$F$61</c:f>
              <c:numCache>
                <c:formatCode>0</c:formatCode>
                <c:ptCount val="16"/>
                <c:pt idx="0">
                  <c:v>600</c:v>
                </c:pt>
                <c:pt idx="1">
                  <c:v>560</c:v>
                </c:pt>
                <c:pt idx="2">
                  <c:v>520</c:v>
                </c:pt>
                <c:pt idx="3">
                  <c:v>480</c:v>
                </c:pt>
                <c:pt idx="4">
                  <c:v>440</c:v>
                </c:pt>
                <c:pt idx="5">
                  <c:v>400</c:v>
                </c:pt>
                <c:pt idx="6">
                  <c:v>360</c:v>
                </c:pt>
                <c:pt idx="7">
                  <c:v>320</c:v>
                </c:pt>
                <c:pt idx="8">
                  <c:v>280</c:v>
                </c:pt>
                <c:pt idx="9">
                  <c:v>240</c:v>
                </c:pt>
                <c:pt idx="10">
                  <c:v>200</c:v>
                </c:pt>
                <c:pt idx="11">
                  <c:v>160</c:v>
                </c:pt>
                <c:pt idx="12">
                  <c:v>120</c:v>
                </c:pt>
                <c:pt idx="13">
                  <c:v>80</c:v>
                </c:pt>
                <c:pt idx="14">
                  <c:v>40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67040"/>
        <c:axId val="72568832"/>
      </c:lineChart>
      <c:catAx>
        <c:axId val="725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568832"/>
        <c:crosses val="autoZero"/>
        <c:auto val="1"/>
        <c:lblAlgn val="ctr"/>
        <c:lblOffset val="100"/>
        <c:noMultiLvlLbl val="0"/>
      </c:catAx>
      <c:valAx>
        <c:axId val="725688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25670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12580468066491685"/>
          <c:y val="5.6635128004142533E-2"/>
          <c:w val="0.24363976377952756"/>
          <c:h val="0.333479317872718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55125282821794E-2"/>
          <c:y val="3.0400718912902962E-2"/>
          <c:w val="0.9093822090924274"/>
          <c:h val="0.90100329573615479"/>
        </c:manualLayout>
      </c:layout>
      <c:lineChart>
        <c:grouping val="standard"/>
        <c:varyColors val="0"/>
        <c:ser>
          <c:idx val="1"/>
          <c:order val="0"/>
          <c:tx>
            <c:v>Fonds</c:v>
          </c:tx>
          <c:marker>
            <c:symbol val="none"/>
          </c:marker>
          <c:cat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cat>
          <c:val>
            <c:numRef>
              <c:f>'graphiques 1 (2)'!$B$6:$B$37</c:f>
              <c:numCache>
                <c:formatCode>0</c:formatCode>
                <c:ptCount val="32"/>
                <c:pt idx="0">
                  <c:v>400</c:v>
                </c:pt>
                <c:pt idx="1">
                  <c:v>420</c:v>
                </c:pt>
                <c:pt idx="2">
                  <c:v>441</c:v>
                </c:pt>
                <c:pt idx="3">
                  <c:v>463.05</c:v>
                </c:pt>
                <c:pt idx="4">
                  <c:v>486.20250000000004</c:v>
                </c:pt>
                <c:pt idx="5">
                  <c:v>510.51262500000007</c:v>
                </c:pt>
                <c:pt idx="6">
                  <c:v>536.03825625000013</c:v>
                </c:pt>
                <c:pt idx="7">
                  <c:v>562.84016906250019</c:v>
                </c:pt>
                <c:pt idx="8">
                  <c:v>590.98217751562527</c:v>
                </c:pt>
                <c:pt idx="9">
                  <c:v>620.53128639140652</c:v>
                </c:pt>
                <c:pt idx="10">
                  <c:v>651.55785071097682</c:v>
                </c:pt>
                <c:pt idx="11">
                  <c:v>684.13574324652575</c:v>
                </c:pt>
                <c:pt idx="12">
                  <c:v>718.3425304088521</c:v>
                </c:pt>
                <c:pt idx="13">
                  <c:v>754.25965692929469</c:v>
                </c:pt>
                <c:pt idx="14">
                  <c:v>791.97263977575949</c:v>
                </c:pt>
                <c:pt idx="15">
                  <c:v>831.57127176454753</c:v>
                </c:pt>
                <c:pt idx="16" formatCode="General">
                  <c:v>2500</c:v>
                </c:pt>
                <c:pt idx="17">
                  <c:v>2625</c:v>
                </c:pt>
                <c:pt idx="18">
                  <c:v>2756.25</c:v>
                </c:pt>
                <c:pt idx="19">
                  <c:v>2894.0625</c:v>
                </c:pt>
                <c:pt idx="20">
                  <c:v>3038.765625</c:v>
                </c:pt>
                <c:pt idx="21">
                  <c:v>3190.7039062500003</c:v>
                </c:pt>
                <c:pt idx="22">
                  <c:v>3350.2391015625003</c:v>
                </c:pt>
                <c:pt idx="23">
                  <c:v>3517.7510566406254</c:v>
                </c:pt>
                <c:pt idx="24">
                  <c:v>3693.6386094726568</c:v>
                </c:pt>
                <c:pt idx="25">
                  <c:v>3878.32053994629</c:v>
                </c:pt>
                <c:pt idx="26">
                  <c:v>4072.2365669436044</c:v>
                </c:pt>
                <c:pt idx="27">
                  <c:v>4275.8483952907845</c:v>
                </c:pt>
                <c:pt idx="28">
                  <c:v>4489.6408150553243</c:v>
                </c:pt>
                <c:pt idx="29">
                  <c:v>4714.1228558080911</c:v>
                </c:pt>
                <c:pt idx="30">
                  <c:v>4949.8289985984957</c:v>
                </c:pt>
                <c:pt idx="31">
                  <c:v>5197.3204485284205</c:v>
                </c:pt>
              </c:numCache>
            </c:numRef>
          </c:val>
          <c:smooth val="0"/>
        </c:ser>
        <c:ser>
          <c:idx val="2"/>
          <c:order val="1"/>
          <c:tx>
            <c:v>Murs</c:v>
          </c:tx>
          <c:marker>
            <c:symbol val="none"/>
          </c:marker>
          <c:cat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cat>
          <c:val>
            <c:numRef>
              <c:f>'graphiques 1 (2)'!$C$6:$C$37</c:f>
              <c:numCache>
                <c:formatCode>0</c:formatCode>
                <c:ptCount val="32"/>
                <c:pt idx="0">
                  <c:v>200</c:v>
                </c:pt>
                <c:pt idx="1">
                  <c:v>202.99999999999997</c:v>
                </c:pt>
                <c:pt idx="2">
                  <c:v>206.04499999999996</c:v>
                </c:pt>
                <c:pt idx="3">
                  <c:v>209.13567499999994</c:v>
                </c:pt>
                <c:pt idx="4">
                  <c:v>212.27271012499992</c:v>
                </c:pt>
                <c:pt idx="5">
                  <c:v>215.4568007768749</c:v>
                </c:pt>
                <c:pt idx="6">
                  <c:v>218.688652788528</c:v>
                </c:pt>
                <c:pt idx="7">
                  <c:v>221.96898258035591</c:v>
                </c:pt>
                <c:pt idx="8">
                  <c:v>225.29851731906123</c:v>
                </c:pt>
                <c:pt idx="9">
                  <c:v>228.67799507884712</c:v>
                </c:pt>
                <c:pt idx="10">
                  <c:v>232.1081650050298</c:v>
                </c:pt>
                <c:pt idx="11">
                  <c:v>235.58978748010523</c:v>
                </c:pt>
                <c:pt idx="12">
                  <c:v>239.12363429230678</c:v>
                </c:pt>
                <c:pt idx="13">
                  <c:v>242.71048880669136</c:v>
                </c:pt>
                <c:pt idx="14">
                  <c:v>246.35114613879171</c:v>
                </c:pt>
                <c:pt idx="15">
                  <c:v>250.04641333087355</c:v>
                </c:pt>
                <c:pt idx="16" formatCode="General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2"/>
          <c:tx>
            <c:v>Cap. Propres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cat>
          <c:val>
            <c:numRef>
              <c:f>'graphiques 1 (2)'!$E$6:$E$37</c:f>
              <c:numCache>
                <c:formatCode>0</c:formatCode>
                <c:ptCount val="32"/>
                <c:pt idx="0">
                  <c:v>100</c:v>
                </c:pt>
                <c:pt idx="1">
                  <c:v>156.33333333333331</c:v>
                </c:pt>
                <c:pt idx="2">
                  <c:v>213.71166666666659</c:v>
                </c:pt>
                <c:pt idx="3">
                  <c:v>272.18567499999989</c:v>
                </c:pt>
                <c:pt idx="4">
                  <c:v>331.80854345833325</c:v>
                </c:pt>
                <c:pt idx="5">
                  <c:v>392.63609244354149</c:v>
                </c:pt>
                <c:pt idx="6">
                  <c:v>454.72690903852799</c:v>
                </c:pt>
                <c:pt idx="7">
                  <c:v>518.14248497618928</c:v>
                </c:pt>
                <c:pt idx="8">
                  <c:v>582.94736150135304</c:v>
                </c:pt>
                <c:pt idx="9">
                  <c:v>649.20928147025359</c:v>
                </c:pt>
                <c:pt idx="10">
                  <c:v>716.99934904933991</c:v>
                </c:pt>
                <c:pt idx="11">
                  <c:v>786.39219739329747</c:v>
                </c:pt>
                <c:pt idx="12">
                  <c:v>857.46616470115873</c:v>
                </c:pt>
                <c:pt idx="13">
                  <c:v>930.30347906931934</c:v>
                </c:pt>
                <c:pt idx="14">
                  <c:v>1004.9904525812177</c:v>
                </c:pt>
                <c:pt idx="15">
                  <c:v>1081.6176850954212</c:v>
                </c:pt>
                <c:pt idx="16">
                  <c:v>1100</c:v>
                </c:pt>
                <c:pt idx="17">
                  <c:v>1318.3333333333333</c:v>
                </c:pt>
                <c:pt idx="18">
                  <c:v>1542.9166666666665</c:v>
                </c:pt>
                <c:pt idx="19">
                  <c:v>1774.0624999999998</c:v>
                </c:pt>
                <c:pt idx="20">
                  <c:v>2012.098958333333</c:v>
                </c:pt>
                <c:pt idx="21">
                  <c:v>2257.3705729166668</c:v>
                </c:pt>
                <c:pt idx="22">
                  <c:v>2510.2391015624999</c:v>
                </c:pt>
                <c:pt idx="23">
                  <c:v>2771.0843899739584</c:v>
                </c:pt>
                <c:pt idx="24">
                  <c:v>3040.3052761393233</c:v>
                </c:pt>
                <c:pt idx="25">
                  <c:v>3318.32053994629</c:v>
                </c:pt>
                <c:pt idx="26">
                  <c:v>3605.5699002769375</c:v>
                </c:pt>
                <c:pt idx="27">
                  <c:v>3902.5150619574511</c:v>
                </c:pt>
                <c:pt idx="28">
                  <c:v>4209.6408150553243</c:v>
                </c:pt>
                <c:pt idx="29">
                  <c:v>4527.4561891414241</c:v>
                </c:pt>
                <c:pt idx="30">
                  <c:v>4856.4956652651617</c:v>
                </c:pt>
                <c:pt idx="31">
                  <c:v>5197.3204485284205</c:v>
                </c:pt>
              </c:numCache>
            </c:numRef>
          </c:val>
          <c:smooth val="0"/>
        </c:ser>
        <c:ser>
          <c:idx val="5"/>
          <c:order val="3"/>
          <c:tx>
            <c:v>Dette</c:v>
          </c:tx>
          <c:marker>
            <c:symbol val="none"/>
          </c:marker>
          <c:cat>
            <c:numRef>
              <c:f>'graphiques 1 (2)'!$A$6:$A$37</c:f>
              <c:numCache>
                <c:formatCode>General</c:formatCode>
                <c:ptCount val="3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</c:numCache>
            </c:numRef>
          </c:cat>
          <c:val>
            <c:numRef>
              <c:f>'graphiques 1 (2)'!$F$6:$F$37</c:f>
              <c:numCache>
                <c:formatCode>0</c:formatCode>
                <c:ptCount val="32"/>
                <c:pt idx="0">
                  <c:v>500</c:v>
                </c:pt>
                <c:pt idx="1">
                  <c:v>466.66666666666669</c:v>
                </c:pt>
                <c:pt idx="2">
                  <c:v>433.33333333333337</c:v>
                </c:pt>
                <c:pt idx="3">
                  <c:v>400.00000000000006</c:v>
                </c:pt>
                <c:pt idx="4">
                  <c:v>366.66666666666674</c:v>
                </c:pt>
                <c:pt idx="5">
                  <c:v>333.33333333333343</c:v>
                </c:pt>
                <c:pt idx="6">
                  <c:v>300.00000000000011</c:v>
                </c:pt>
                <c:pt idx="7">
                  <c:v>266.6666666666668</c:v>
                </c:pt>
                <c:pt idx="8">
                  <c:v>233.33333333333346</c:v>
                </c:pt>
                <c:pt idx="9">
                  <c:v>200.00000000000011</c:v>
                </c:pt>
                <c:pt idx="10">
                  <c:v>166.66666666666677</c:v>
                </c:pt>
                <c:pt idx="11">
                  <c:v>133.33333333333343</c:v>
                </c:pt>
                <c:pt idx="12">
                  <c:v>100.00000000000009</c:v>
                </c:pt>
                <c:pt idx="13">
                  <c:v>66.666666666666742</c:v>
                </c:pt>
                <c:pt idx="14">
                  <c:v>33.333333333333407</c:v>
                </c:pt>
                <c:pt idx="15">
                  <c:v>7.1054273576010019E-14</c:v>
                </c:pt>
                <c:pt idx="16">
                  <c:v>1400</c:v>
                </c:pt>
                <c:pt idx="17">
                  <c:v>1306.6666666666667</c:v>
                </c:pt>
                <c:pt idx="18">
                  <c:v>1213.3333333333335</c:v>
                </c:pt>
                <c:pt idx="19">
                  <c:v>1120.0000000000002</c:v>
                </c:pt>
                <c:pt idx="20">
                  <c:v>1026.666666666667</c:v>
                </c:pt>
                <c:pt idx="21">
                  <c:v>933.3333333333336</c:v>
                </c:pt>
                <c:pt idx="22">
                  <c:v>840.00000000000023</c:v>
                </c:pt>
                <c:pt idx="23">
                  <c:v>746.66666666666686</c:v>
                </c:pt>
                <c:pt idx="24">
                  <c:v>653.33333333333348</c:v>
                </c:pt>
                <c:pt idx="25">
                  <c:v>560.00000000000011</c:v>
                </c:pt>
                <c:pt idx="26">
                  <c:v>466.6666666666668</c:v>
                </c:pt>
                <c:pt idx="27">
                  <c:v>373.33333333333348</c:v>
                </c:pt>
                <c:pt idx="28">
                  <c:v>280.00000000000017</c:v>
                </c:pt>
                <c:pt idx="29">
                  <c:v>186.66666666666686</c:v>
                </c:pt>
                <c:pt idx="30">
                  <c:v>93.333333333333528</c:v>
                </c:pt>
                <c:pt idx="31">
                  <c:v>1.9895196601282805E-13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99808"/>
        <c:axId val="72605696"/>
      </c:lineChart>
      <c:catAx>
        <c:axId val="725998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2605696"/>
        <c:crosses val="autoZero"/>
        <c:auto val="1"/>
        <c:lblAlgn val="ctr"/>
        <c:lblOffset val="100"/>
        <c:noMultiLvlLbl val="0"/>
      </c:catAx>
      <c:valAx>
        <c:axId val="72605696"/>
        <c:scaling>
          <c:orientation val="minMax"/>
          <c:max val="6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2599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07244955646017"/>
          <c:y val="0.1435822836609881"/>
          <c:w val="0.16685589052725683"/>
          <c:h val="0.1980572275713792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3</xdr:row>
      <xdr:rowOff>28575</xdr:rowOff>
    </xdr:from>
    <xdr:to>
      <xdr:col>16</xdr:col>
      <xdr:colOff>85725</xdr:colOff>
      <xdr:row>21</xdr:row>
      <xdr:rowOff>42862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23</xdr:row>
      <xdr:rowOff>28575</xdr:rowOff>
    </xdr:from>
    <xdr:to>
      <xdr:col>16</xdr:col>
      <xdr:colOff>85725</xdr:colOff>
      <xdr:row>41</xdr:row>
      <xdr:rowOff>42862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485775</xdr:colOff>
      <xdr:row>43</xdr:row>
      <xdr:rowOff>28575</xdr:rowOff>
    </xdr:from>
    <xdr:to>
      <xdr:col>16</xdr:col>
      <xdr:colOff>85725</xdr:colOff>
      <xdr:row>61</xdr:row>
      <xdr:rowOff>42862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168088</xdr:colOff>
      <xdr:row>6</xdr:row>
      <xdr:rowOff>179294</xdr:rowOff>
    </xdr:from>
    <xdr:to>
      <xdr:col>19</xdr:col>
      <xdr:colOff>347382</xdr:colOff>
      <xdr:row>31</xdr:row>
      <xdr:rowOff>54908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2"/>
  <sheetViews>
    <sheetView topLeftCell="A8" zoomScale="76" zoomScaleNormal="76" workbookViewId="0">
      <selection activeCell="C37" sqref="C37"/>
    </sheetView>
  </sheetViews>
  <sheetFormatPr baseColWidth="10" defaultColWidth="8.42578125" defaultRowHeight="15" x14ac:dyDescent="0.25"/>
  <cols>
    <col min="1" max="1" width="20.5703125" customWidth="1"/>
    <col min="2" max="2" width="9.42578125" bestFit="1" customWidth="1"/>
    <col min="4" max="4" width="7.28515625" customWidth="1"/>
    <col min="6" max="6" width="10.28515625" customWidth="1"/>
    <col min="8" max="8" width="7.85546875" customWidth="1"/>
    <col min="9" max="9" width="10.42578125" customWidth="1"/>
    <col min="10" max="10" width="7.85546875" customWidth="1"/>
  </cols>
  <sheetData>
    <row r="1" spans="1:24" x14ac:dyDescent="0.25">
      <c r="A1" t="str">
        <f>REPT("-",600)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4" x14ac:dyDescent="0.25">
      <c r="A2" s="1" t="s">
        <v>0</v>
      </c>
      <c r="C2" s="2"/>
      <c r="D2" s="2"/>
      <c r="E2" t="s">
        <v>144</v>
      </c>
      <c r="I2" s="1"/>
    </row>
    <row r="3" spans="1:24" ht="15.75" thickBot="1" x14ac:dyDescent="0.3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4" ht="15.75" thickBot="1" x14ac:dyDescent="0.3">
      <c r="A4" s="3" t="s">
        <v>2</v>
      </c>
      <c r="B4" s="4" t="s">
        <v>3</v>
      </c>
      <c r="C4" s="5" t="s">
        <v>4</v>
      </c>
      <c r="E4" s="128" t="s">
        <v>5</v>
      </c>
      <c r="F4" s="129"/>
      <c r="H4" s="6" t="s">
        <v>6</v>
      </c>
      <c r="I4" s="5" t="s">
        <v>7</v>
      </c>
      <c r="J4" s="7" t="str">
        <f t="shared" ref="J4:X4" si="0">+C29</f>
        <v>A1</v>
      </c>
      <c r="K4" s="7" t="str">
        <f t="shared" si="0"/>
        <v>A2</v>
      </c>
      <c r="L4" s="7" t="str">
        <f t="shared" si="0"/>
        <v>A3</v>
      </c>
      <c r="M4" s="7" t="str">
        <f t="shared" si="0"/>
        <v>A4</v>
      </c>
      <c r="N4" s="7" t="str">
        <f t="shared" si="0"/>
        <v>A5</v>
      </c>
      <c r="O4" s="7" t="str">
        <f t="shared" si="0"/>
        <v>A6</v>
      </c>
      <c r="P4" s="7" t="str">
        <f t="shared" si="0"/>
        <v>A7</v>
      </c>
      <c r="Q4" s="7" t="str">
        <f t="shared" si="0"/>
        <v>A8</v>
      </c>
      <c r="R4" s="7" t="str">
        <f t="shared" si="0"/>
        <v>A9</v>
      </c>
      <c r="S4" s="7" t="str">
        <f t="shared" si="0"/>
        <v>A10</v>
      </c>
      <c r="T4" s="7" t="str">
        <f t="shared" si="0"/>
        <v>A11</v>
      </c>
      <c r="U4" s="7" t="str">
        <f t="shared" si="0"/>
        <v>A12</v>
      </c>
      <c r="V4" s="7" t="str">
        <f t="shared" si="0"/>
        <v>A13</v>
      </c>
      <c r="W4" s="7" t="str">
        <f t="shared" si="0"/>
        <v>A14</v>
      </c>
      <c r="X4" s="7" t="str">
        <f t="shared" si="0"/>
        <v>A15</v>
      </c>
    </row>
    <row r="5" spans="1:24" x14ac:dyDescent="0.25">
      <c r="A5" s="6" t="s">
        <v>8</v>
      </c>
      <c r="B5" s="8">
        <v>1500</v>
      </c>
      <c r="C5" s="9">
        <v>1.4999999999999999E-2</v>
      </c>
      <c r="E5" s="10" t="s">
        <v>9</v>
      </c>
      <c r="F5" s="11">
        <f>B21*(F7+F8+F9+F10)</f>
        <v>445.2</v>
      </c>
      <c r="H5" s="12" t="s">
        <v>10</v>
      </c>
      <c r="I5" s="13">
        <f>-F5</f>
        <v>-445.2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.75" thickBot="1" x14ac:dyDescent="0.3">
      <c r="A6" s="12" t="s">
        <v>11</v>
      </c>
      <c r="B6" s="14">
        <f>B5*B27</f>
        <v>439.5</v>
      </c>
      <c r="C6" s="15"/>
      <c r="E6" s="16" t="s">
        <v>12</v>
      </c>
      <c r="F6" s="17">
        <f>F11-F5</f>
        <v>1038.8</v>
      </c>
      <c r="H6" s="12" t="s">
        <v>13</v>
      </c>
      <c r="I6" s="12"/>
      <c r="J6" s="18"/>
      <c r="K6" s="13">
        <f t="shared" ref="K6:X6" si="1">-D47</f>
        <v>50.616026130378017</v>
      </c>
      <c r="L6" s="13">
        <f t="shared" si="1"/>
        <v>53.265453409991359</v>
      </c>
      <c r="M6" s="13">
        <f t="shared" si="1"/>
        <v>55.945446479687348</v>
      </c>
      <c r="N6" s="13">
        <f t="shared" si="1"/>
        <v>58.655699185175905</v>
      </c>
      <c r="O6" s="13">
        <f t="shared" si="1"/>
        <v>61.395863732964202</v>
      </c>
      <c r="P6" s="13">
        <f t="shared" si="1"/>
        <v>64.165548378873211</v>
      </c>
      <c r="Q6" s="13">
        <f t="shared" si="1"/>
        <v>66.964315005823678</v>
      </c>
      <c r="R6" s="13">
        <f t="shared" si="1"/>
        <v>69.79167658580603</v>
      </c>
      <c r="S6" s="13">
        <f t="shared" si="1"/>
        <v>72.647094520719989</v>
      </c>
      <c r="T6" s="13">
        <f t="shared" si="1"/>
        <v>75.529975856527329</v>
      </c>
      <c r="U6" s="13">
        <f t="shared" si="1"/>
        <v>78.439670364910967</v>
      </c>
      <c r="V6" s="13">
        <f t="shared" si="1"/>
        <v>81.375467486369644</v>
      </c>
      <c r="W6" s="13">
        <f t="shared" si="1"/>
        <v>84.336593128403464</v>
      </c>
      <c r="X6" s="13">
        <f t="shared" si="1"/>
        <v>87.32220631215759</v>
      </c>
    </row>
    <row r="7" spans="1:24" x14ac:dyDescent="0.25">
      <c r="A7" s="12" t="s">
        <v>14</v>
      </c>
      <c r="B7" s="12">
        <v>230</v>
      </c>
      <c r="C7" s="9">
        <f>C5/2</f>
        <v>7.4999999999999997E-3</v>
      </c>
      <c r="E7" s="10" t="s">
        <v>15</v>
      </c>
      <c r="F7" s="19">
        <v>0</v>
      </c>
      <c r="H7" s="12" t="s">
        <v>16</v>
      </c>
      <c r="I7" s="12"/>
      <c r="J7" s="20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>
        <f>G26</f>
        <v>2141.780473383074</v>
      </c>
    </row>
    <row r="8" spans="1:24" x14ac:dyDescent="0.25">
      <c r="A8" s="12" t="s">
        <v>17</v>
      </c>
      <c r="B8" s="12">
        <f>B19*B16</f>
        <v>24</v>
      </c>
      <c r="C8" s="21">
        <v>1.4999999999999999E-2</v>
      </c>
      <c r="E8" s="22" t="s">
        <v>18</v>
      </c>
      <c r="F8" s="23">
        <f>B17</f>
        <v>1484</v>
      </c>
      <c r="H8" s="12" t="s">
        <v>19</v>
      </c>
      <c r="I8" s="13">
        <f>I5+I6+I7</f>
        <v>-445.2</v>
      </c>
      <c r="J8" s="13">
        <f t="shared" ref="J8:X8" si="2">J5+J6+J7</f>
        <v>0</v>
      </c>
      <c r="K8" s="13">
        <f t="shared" si="2"/>
        <v>50.616026130378017</v>
      </c>
      <c r="L8" s="13">
        <f t="shared" si="2"/>
        <v>53.265453409991359</v>
      </c>
      <c r="M8" s="13">
        <f t="shared" si="2"/>
        <v>55.945446479687348</v>
      </c>
      <c r="N8" s="13">
        <f t="shared" si="2"/>
        <v>58.655699185175905</v>
      </c>
      <c r="O8" s="13">
        <f t="shared" si="2"/>
        <v>61.395863732964202</v>
      </c>
      <c r="P8" s="13">
        <f t="shared" si="2"/>
        <v>64.165548378873211</v>
      </c>
      <c r="Q8" s="13">
        <f t="shared" si="2"/>
        <v>66.964315005823678</v>
      </c>
      <c r="R8" s="13">
        <f t="shared" si="2"/>
        <v>69.79167658580603</v>
      </c>
      <c r="S8" s="13">
        <f t="shared" si="2"/>
        <v>72.647094520719989</v>
      </c>
      <c r="T8" s="13">
        <f t="shared" si="2"/>
        <v>75.529975856527329</v>
      </c>
      <c r="U8" s="13">
        <f t="shared" si="2"/>
        <v>78.439670364910967</v>
      </c>
      <c r="V8" s="13">
        <f t="shared" si="2"/>
        <v>81.375467486369644</v>
      </c>
      <c r="W8" s="13">
        <f t="shared" si="2"/>
        <v>84.336593128403464</v>
      </c>
      <c r="X8" s="13">
        <f t="shared" si="2"/>
        <v>2229.1026796952315</v>
      </c>
    </row>
    <row r="9" spans="1:24" x14ac:dyDescent="0.25">
      <c r="A9" s="12" t="s">
        <v>20</v>
      </c>
      <c r="B9" s="25">
        <f>B8/B5</f>
        <v>1.6E-2</v>
      </c>
      <c r="C9" s="12"/>
      <c r="E9" s="22" t="s">
        <v>21</v>
      </c>
      <c r="F9" s="26">
        <f>B18</f>
        <v>0</v>
      </c>
      <c r="H9" s="27" t="s">
        <v>22</v>
      </c>
      <c r="I9" s="28">
        <f>IRR(I8:X8)</f>
        <v>0.17875531024972813</v>
      </c>
      <c r="J9" s="29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x14ac:dyDescent="0.25">
      <c r="A10" s="31" t="s">
        <v>23</v>
      </c>
      <c r="B10" s="32"/>
      <c r="C10" s="33"/>
      <c r="E10" s="22" t="s">
        <v>24</v>
      </c>
      <c r="F10" s="34">
        <v>0</v>
      </c>
    </row>
    <row r="11" spans="1:24" x14ac:dyDescent="0.25">
      <c r="A11" s="6" t="s">
        <v>25</v>
      </c>
      <c r="B11" s="35">
        <f>B6-B7-B8-B10</f>
        <v>185.5</v>
      </c>
      <c r="C11" s="15"/>
      <c r="E11" s="36" t="s">
        <v>26</v>
      </c>
      <c r="F11" s="37">
        <f>SUM(F7:F10)</f>
        <v>1484</v>
      </c>
      <c r="H11" s="6" t="s">
        <v>27</v>
      </c>
      <c r="I11" s="5" t="str">
        <f>I4</f>
        <v>A0</v>
      </c>
      <c r="J11" s="7" t="str">
        <f>+J4</f>
        <v>A1</v>
      </c>
      <c r="K11" s="7" t="str">
        <f t="shared" ref="K11:X11" si="3">+K4</f>
        <v>A2</v>
      </c>
      <c r="L11" s="7" t="str">
        <f t="shared" si="3"/>
        <v>A3</v>
      </c>
      <c r="M11" s="7" t="str">
        <f t="shared" si="3"/>
        <v>A4</v>
      </c>
      <c r="N11" s="7" t="str">
        <f t="shared" si="3"/>
        <v>A5</v>
      </c>
      <c r="O11" s="7" t="str">
        <f t="shared" si="3"/>
        <v>A6</v>
      </c>
      <c r="P11" s="7" t="str">
        <f t="shared" si="3"/>
        <v>A7</v>
      </c>
      <c r="Q11" s="7" t="str">
        <f t="shared" si="3"/>
        <v>A8</v>
      </c>
      <c r="R11" s="7" t="str">
        <f t="shared" si="3"/>
        <v>A9</v>
      </c>
      <c r="S11" s="7" t="str">
        <f t="shared" si="3"/>
        <v>A10</v>
      </c>
      <c r="T11" s="7" t="str">
        <f t="shared" si="3"/>
        <v>A11</v>
      </c>
      <c r="U11" s="7" t="str">
        <f t="shared" si="3"/>
        <v>A12</v>
      </c>
      <c r="V11" s="7" t="str">
        <f t="shared" si="3"/>
        <v>A13</v>
      </c>
      <c r="W11" s="7" t="str">
        <f t="shared" si="3"/>
        <v>A14</v>
      </c>
      <c r="X11" s="7" t="str">
        <f t="shared" si="3"/>
        <v>A15</v>
      </c>
    </row>
    <row r="12" spans="1:24" ht="15.75" thickBot="1" x14ac:dyDescent="0.3">
      <c r="A12" s="12" t="s">
        <v>28</v>
      </c>
      <c r="B12" s="33">
        <f>B11/B5</f>
        <v>0.12366666666666666</v>
      </c>
      <c r="C12" s="15"/>
      <c r="E12" s="16" t="s">
        <v>29</v>
      </c>
      <c r="F12" s="38">
        <f>F6/F11</f>
        <v>0.7</v>
      </c>
      <c r="H12" s="12" t="s">
        <v>10</v>
      </c>
      <c r="I12" s="13">
        <f>I5</f>
        <v>-445.2</v>
      </c>
      <c r="J12" s="13"/>
      <c r="K12" s="12"/>
      <c r="L12" s="12"/>
      <c r="M12" s="12"/>
      <c r="N12" s="12"/>
      <c r="O12" s="12"/>
      <c r="P12" s="12"/>
      <c r="Q12" s="12"/>
      <c r="R12" s="12"/>
      <c r="S12" s="12"/>
      <c r="T12" s="30"/>
      <c r="U12" s="30"/>
      <c r="V12" s="30"/>
      <c r="W12" s="30"/>
      <c r="X12" s="30"/>
    </row>
    <row r="13" spans="1:24" ht="15.75" thickBot="1" x14ac:dyDescent="0.3">
      <c r="A13" s="32" t="s">
        <v>30</v>
      </c>
      <c r="B13" s="39"/>
      <c r="C13" s="15"/>
      <c r="H13" s="12" t="s">
        <v>13</v>
      </c>
      <c r="I13" s="12"/>
      <c r="J13" s="13"/>
      <c r="K13" s="13">
        <f>K6</f>
        <v>50.616026130378017</v>
      </c>
      <c r="L13" s="13">
        <f t="shared" ref="L13:S13" si="4">L6</f>
        <v>53.265453409991359</v>
      </c>
      <c r="M13" s="13">
        <f t="shared" si="4"/>
        <v>55.945446479687348</v>
      </c>
      <c r="N13" s="13">
        <f t="shared" si="4"/>
        <v>58.655699185175905</v>
      </c>
      <c r="O13" s="13">
        <f t="shared" si="4"/>
        <v>61.395863732964202</v>
      </c>
      <c r="P13" s="13">
        <f t="shared" si="4"/>
        <v>64.165548378873211</v>
      </c>
      <c r="Q13" s="13">
        <f t="shared" si="4"/>
        <v>66.964315005823678</v>
      </c>
      <c r="R13" s="13">
        <f t="shared" si="4"/>
        <v>69.79167658580603</v>
      </c>
      <c r="S13" s="13">
        <f t="shared" si="4"/>
        <v>72.647094520719989</v>
      </c>
      <c r="T13" s="40"/>
      <c r="U13" s="40"/>
      <c r="V13" s="40"/>
      <c r="W13" s="40"/>
      <c r="X13" s="40"/>
    </row>
    <row r="14" spans="1:24" x14ac:dyDescent="0.25">
      <c r="A14" s="27" t="s">
        <v>31</v>
      </c>
      <c r="B14" s="41">
        <f>B11-B13</f>
        <v>185.5</v>
      </c>
      <c r="C14" s="15"/>
      <c r="E14" s="130" t="s">
        <v>32</v>
      </c>
      <c r="F14" s="131"/>
      <c r="H14" s="12" t="s">
        <v>16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>
        <f>F26</f>
        <v>1483.5386806266524</v>
      </c>
      <c r="T14" s="30"/>
      <c r="U14" s="30"/>
      <c r="V14" s="30"/>
      <c r="W14" s="30"/>
      <c r="X14" s="40"/>
    </row>
    <row r="15" spans="1:24" x14ac:dyDescent="0.25">
      <c r="B15" s="42"/>
      <c r="C15" s="43"/>
      <c r="E15" s="36" t="s">
        <v>33</v>
      </c>
      <c r="F15" s="23">
        <f>F6*B23/(1-(1+B23)^-B22)</f>
        <v>96.726623869621989</v>
      </c>
      <c r="H15" s="44" t="s">
        <v>19</v>
      </c>
      <c r="I15" s="45">
        <f>I12+I13+I14</f>
        <v>-445.2</v>
      </c>
      <c r="J15" s="45">
        <f t="shared" ref="J15:S15" si="5">J12+J13+J14</f>
        <v>0</v>
      </c>
      <c r="K15" s="45">
        <f t="shared" si="5"/>
        <v>50.616026130378017</v>
      </c>
      <c r="L15" s="45">
        <f t="shared" si="5"/>
        <v>53.265453409991359</v>
      </c>
      <c r="M15" s="45">
        <f t="shared" si="5"/>
        <v>55.945446479687348</v>
      </c>
      <c r="N15" s="45">
        <f t="shared" si="5"/>
        <v>58.655699185175905</v>
      </c>
      <c r="O15" s="45">
        <f t="shared" si="5"/>
        <v>61.395863732964202</v>
      </c>
      <c r="P15" s="45">
        <f t="shared" si="5"/>
        <v>64.165548378873211</v>
      </c>
      <c r="Q15" s="45">
        <f t="shared" si="5"/>
        <v>66.964315005823678</v>
      </c>
      <c r="R15" s="45">
        <f t="shared" si="5"/>
        <v>69.79167658580603</v>
      </c>
      <c r="S15" s="45">
        <f t="shared" si="5"/>
        <v>1556.1857751473724</v>
      </c>
      <c r="T15" s="40"/>
      <c r="U15" s="40"/>
      <c r="V15" s="40"/>
      <c r="W15" s="40"/>
      <c r="X15" s="40"/>
    </row>
    <row r="16" spans="1:24" x14ac:dyDescent="0.25">
      <c r="A16" s="32" t="s">
        <v>34</v>
      </c>
      <c r="B16" s="39">
        <v>300</v>
      </c>
      <c r="C16" s="33"/>
      <c r="E16" s="36" t="s">
        <v>35</v>
      </c>
      <c r="F16" s="23">
        <f>F15-F17</f>
        <v>49.980623869621994</v>
      </c>
      <c r="H16" s="27" t="s">
        <v>22</v>
      </c>
      <c r="I16" s="28">
        <f>IRR(I15:S15)</f>
        <v>0.19659650019333008</v>
      </c>
      <c r="J16" s="46"/>
      <c r="K16" s="46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17" ht="15.75" thickBot="1" x14ac:dyDescent="0.3">
      <c r="A17" s="32" t="s">
        <v>18</v>
      </c>
      <c r="B17" s="14">
        <f>B24*B11</f>
        <v>1484</v>
      </c>
      <c r="C17" s="15"/>
      <c r="E17" s="47" t="s">
        <v>36</v>
      </c>
      <c r="F17" s="17">
        <f>B23*F6</f>
        <v>46.745999999999995</v>
      </c>
      <c r="H17" s="48"/>
      <c r="I17" s="48"/>
      <c r="J17" s="49"/>
    </row>
    <row r="18" spans="1:17" x14ac:dyDescent="0.25">
      <c r="A18" s="32" t="s">
        <v>21</v>
      </c>
      <c r="B18" s="39">
        <v>0</v>
      </c>
      <c r="C18" s="15"/>
      <c r="F18" s="50"/>
      <c r="G18" s="51"/>
      <c r="H18" s="51"/>
    </row>
    <row r="19" spans="1:17" x14ac:dyDescent="0.25">
      <c r="A19" s="32" t="s">
        <v>37</v>
      </c>
      <c r="B19" s="9">
        <v>0.08</v>
      </c>
      <c r="C19" s="15"/>
      <c r="E19" s="132" t="s">
        <v>38</v>
      </c>
      <c r="F19" s="133"/>
      <c r="G19" s="134"/>
      <c r="H19" s="52"/>
    </row>
    <row r="20" spans="1:17" x14ac:dyDescent="0.25">
      <c r="A20" s="32" t="s">
        <v>39</v>
      </c>
      <c r="B20" s="39"/>
      <c r="C20" s="15" t="s">
        <v>40</v>
      </c>
      <c r="E20" s="12"/>
      <c r="F20" s="53" t="s">
        <v>41</v>
      </c>
      <c r="G20" s="53" t="s">
        <v>42</v>
      </c>
      <c r="H20" s="52"/>
    </row>
    <row r="21" spans="1:17" x14ac:dyDescent="0.25">
      <c r="A21" s="32" t="s">
        <v>43</v>
      </c>
      <c r="B21" s="54">
        <v>0.3</v>
      </c>
      <c r="C21" s="15"/>
      <c r="E21" s="6" t="s">
        <v>25</v>
      </c>
      <c r="F21" s="13">
        <f>L36</f>
        <v>229.07954176561481</v>
      </c>
      <c r="G21" s="13">
        <f>Q36</f>
        <v>256.4311347153099</v>
      </c>
      <c r="H21" s="55"/>
    </row>
    <row r="22" spans="1:17" x14ac:dyDescent="0.25">
      <c r="A22" s="32" t="s">
        <v>44</v>
      </c>
      <c r="B22" s="39">
        <v>15</v>
      </c>
      <c r="C22" s="15"/>
      <c r="E22" s="6" t="s">
        <v>45</v>
      </c>
      <c r="F22" s="13">
        <f>B24</f>
        <v>8</v>
      </c>
      <c r="G22" s="13">
        <f>F22</f>
        <v>8</v>
      </c>
      <c r="H22" s="52"/>
    </row>
    <row r="23" spans="1:17" x14ac:dyDescent="0.25">
      <c r="A23" s="32" t="s">
        <v>46</v>
      </c>
      <c r="B23" s="21">
        <v>4.4999999999999998E-2</v>
      </c>
      <c r="C23" s="15"/>
      <c r="E23" s="56" t="s">
        <v>47</v>
      </c>
      <c r="F23" s="13">
        <f>F22*F21+L62-L57</f>
        <v>1483.5386806266524</v>
      </c>
      <c r="G23" s="13">
        <f>G22*G21+Q62-Q57</f>
        <v>2141.780473383074</v>
      </c>
      <c r="H23" s="52"/>
    </row>
    <row r="24" spans="1:17" x14ac:dyDescent="0.25">
      <c r="A24" s="32" t="s">
        <v>48</v>
      </c>
      <c r="B24" s="57">
        <v>8</v>
      </c>
      <c r="C24" s="15"/>
      <c r="E24" s="56" t="s">
        <v>145</v>
      </c>
      <c r="F24" s="13">
        <f>F23-F5</f>
        <v>1038.3386806266524</v>
      </c>
      <c r="G24" s="13">
        <f>G23-F5</f>
        <v>1696.5804733830739</v>
      </c>
      <c r="H24" s="52"/>
    </row>
    <row r="25" spans="1:17" x14ac:dyDescent="0.25">
      <c r="A25" s="32" t="s">
        <v>49</v>
      </c>
      <c r="B25" s="9">
        <v>0.27500000000000002</v>
      </c>
      <c r="C25" s="15"/>
      <c r="E25" s="58" t="s">
        <v>50</v>
      </c>
      <c r="F25" s="41"/>
      <c r="G25" s="41"/>
      <c r="H25" s="55"/>
    </row>
    <row r="26" spans="1:17" x14ac:dyDescent="0.25">
      <c r="A26" s="32" t="s">
        <v>50</v>
      </c>
      <c r="B26" s="54">
        <v>0.4</v>
      </c>
      <c r="C26" s="15"/>
      <c r="E26" s="12" t="s">
        <v>51</v>
      </c>
      <c r="F26" s="13">
        <f>F23+F25</f>
        <v>1483.5386806266524</v>
      </c>
      <c r="G26" s="13">
        <f>G23+G25</f>
        <v>2141.780473383074</v>
      </c>
      <c r="H26" s="55"/>
    </row>
    <row r="27" spans="1:17" x14ac:dyDescent="0.25">
      <c r="A27" s="12" t="s">
        <v>11</v>
      </c>
      <c r="B27" s="124">
        <v>0.29299999999999998</v>
      </c>
      <c r="C27" s="124">
        <v>0.29299999999999998</v>
      </c>
      <c r="H27" s="52"/>
    </row>
    <row r="28" spans="1:17" x14ac:dyDescent="0.25">
      <c r="A2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8" s="2"/>
      <c r="C28" s="2"/>
      <c r="J28" s="59"/>
      <c r="K28" s="60"/>
      <c r="L28" s="60"/>
      <c r="M28" s="60"/>
    </row>
    <row r="29" spans="1:17" x14ac:dyDescent="0.25">
      <c r="A29" s="61" t="s">
        <v>52</v>
      </c>
      <c r="C29" s="7" t="s">
        <v>53</v>
      </c>
      <c r="D29" s="5" t="s">
        <v>54</v>
      </c>
      <c r="E29" s="5" t="s">
        <v>55</v>
      </c>
      <c r="F29" s="53" t="s">
        <v>56</v>
      </c>
      <c r="G29" s="53" t="s">
        <v>57</v>
      </c>
      <c r="H29" s="53" t="s">
        <v>58</v>
      </c>
      <c r="I29" s="53" t="s">
        <v>59</v>
      </c>
      <c r="J29" s="53" t="s">
        <v>60</v>
      </c>
      <c r="K29" s="53" t="s">
        <v>61</v>
      </c>
      <c r="L29" s="53" t="s">
        <v>62</v>
      </c>
      <c r="M29" s="53" t="s">
        <v>63</v>
      </c>
      <c r="N29" s="53" t="s">
        <v>64</v>
      </c>
      <c r="O29" s="53" t="s">
        <v>65</v>
      </c>
      <c r="P29" s="53" t="s">
        <v>66</v>
      </c>
      <c r="Q29" s="53" t="s">
        <v>67</v>
      </c>
    </row>
    <row r="30" spans="1:17" x14ac:dyDescent="0.25">
      <c r="A30" s="6" t="s">
        <v>8</v>
      </c>
      <c r="B30" s="12"/>
      <c r="C30" s="13">
        <f>B5</f>
        <v>1500</v>
      </c>
      <c r="D30" s="13">
        <f t="shared" ref="D30:Q30" si="6">C30*(1+$C$5)</f>
        <v>1522.4999999999998</v>
      </c>
      <c r="E30" s="13">
        <f t="shared" si="6"/>
        <v>1545.3374999999996</v>
      </c>
      <c r="F30" s="13">
        <f t="shared" si="6"/>
        <v>1568.5175624999995</v>
      </c>
      <c r="G30" s="13">
        <f t="shared" si="6"/>
        <v>1592.0453259374992</v>
      </c>
      <c r="H30" s="13">
        <f t="shared" si="6"/>
        <v>1615.9260058265615</v>
      </c>
      <c r="I30" s="13">
        <f t="shared" si="6"/>
        <v>1640.1648959139598</v>
      </c>
      <c r="J30" s="13">
        <f t="shared" si="6"/>
        <v>1664.767369352669</v>
      </c>
      <c r="K30" s="13">
        <f t="shared" si="6"/>
        <v>1689.7388798929589</v>
      </c>
      <c r="L30" s="13">
        <f t="shared" si="6"/>
        <v>1715.0849630913531</v>
      </c>
      <c r="M30" s="13">
        <f t="shared" si="6"/>
        <v>1740.8112375377232</v>
      </c>
      <c r="N30" s="13">
        <f t="shared" si="6"/>
        <v>1766.923406100789</v>
      </c>
      <c r="O30" s="13">
        <f t="shared" si="6"/>
        <v>1793.4272571923007</v>
      </c>
      <c r="P30" s="13">
        <f t="shared" si="6"/>
        <v>1820.3286660501849</v>
      </c>
      <c r="Q30" s="13">
        <f t="shared" si="6"/>
        <v>1847.6335960409374</v>
      </c>
    </row>
    <row r="31" spans="1:17" x14ac:dyDescent="0.25">
      <c r="A31" s="12" t="s">
        <v>11</v>
      </c>
      <c r="B31" s="13"/>
      <c r="C31" s="13">
        <f>C30*$B$27</f>
        <v>439.5</v>
      </c>
      <c r="D31" s="13">
        <f>D30*($B$27+($C$27-$B$27)/14)</f>
        <v>446.09249999999992</v>
      </c>
      <c r="E31" s="13">
        <f t="shared" ref="E31:Q31" si="7">E30*($B$27+($C$27-$B$27)/14)</f>
        <v>452.78388749999988</v>
      </c>
      <c r="F31" s="13">
        <f t="shared" si="7"/>
        <v>459.57564581249983</v>
      </c>
      <c r="G31" s="13">
        <f t="shared" si="7"/>
        <v>466.46928049968727</v>
      </c>
      <c r="H31" s="13">
        <f t="shared" si="7"/>
        <v>473.46631970718249</v>
      </c>
      <c r="I31" s="13">
        <f t="shared" si="7"/>
        <v>480.5683145027902</v>
      </c>
      <c r="J31" s="13">
        <f t="shared" si="7"/>
        <v>487.77683922033196</v>
      </c>
      <c r="K31" s="13">
        <f t="shared" si="7"/>
        <v>495.09349180863694</v>
      </c>
      <c r="L31" s="13">
        <f t="shared" si="7"/>
        <v>502.51989418576642</v>
      </c>
      <c r="M31" s="13">
        <f t="shared" si="7"/>
        <v>510.05769259855288</v>
      </c>
      <c r="N31" s="13">
        <f t="shared" si="7"/>
        <v>517.70855798753109</v>
      </c>
      <c r="O31" s="13">
        <f t="shared" si="7"/>
        <v>525.47418635734402</v>
      </c>
      <c r="P31" s="13">
        <f t="shared" si="7"/>
        <v>533.3562991527042</v>
      </c>
      <c r="Q31" s="13">
        <f t="shared" si="7"/>
        <v>541.35664363999467</v>
      </c>
    </row>
    <row r="32" spans="1:17" x14ac:dyDescent="0.25">
      <c r="A32" s="12" t="s">
        <v>14</v>
      </c>
      <c r="B32" s="13"/>
      <c r="C32" s="13">
        <f>B7</f>
        <v>230</v>
      </c>
      <c r="D32" s="13">
        <f t="shared" ref="D32:Q32" si="8">C32*(1+$C$7)</f>
        <v>231.72500000000002</v>
      </c>
      <c r="E32" s="13">
        <f t="shared" si="8"/>
        <v>233.46293750000004</v>
      </c>
      <c r="F32" s="13">
        <f t="shared" si="8"/>
        <v>235.21390953125004</v>
      </c>
      <c r="G32" s="13">
        <f t="shared" si="8"/>
        <v>236.97801385273442</v>
      </c>
      <c r="H32" s="13">
        <f t="shared" si="8"/>
        <v>238.75534895662994</v>
      </c>
      <c r="I32" s="13">
        <f t="shared" si="8"/>
        <v>240.54601407380468</v>
      </c>
      <c r="J32" s="13">
        <f t="shared" si="8"/>
        <v>242.35010917935824</v>
      </c>
      <c r="K32" s="13">
        <f t="shared" si="8"/>
        <v>244.16773499820346</v>
      </c>
      <c r="L32" s="13">
        <f t="shared" si="8"/>
        <v>245.99899301068999</v>
      </c>
      <c r="M32" s="13">
        <f t="shared" si="8"/>
        <v>247.84398545827017</v>
      </c>
      <c r="N32" s="13">
        <f t="shared" si="8"/>
        <v>249.70281534920721</v>
      </c>
      <c r="O32" s="13">
        <f t="shared" si="8"/>
        <v>251.57558646432628</v>
      </c>
      <c r="P32" s="13">
        <f t="shared" si="8"/>
        <v>253.46240336280874</v>
      </c>
      <c r="Q32" s="13">
        <f t="shared" si="8"/>
        <v>255.36337138802983</v>
      </c>
    </row>
    <row r="33" spans="1:17" x14ac:dyDescent="0.25">
      <c r="A33" s="12" t="s">
        <v>17</v>
      </c>
      <c r="B33" s="12"/>
      <c r="C33" s="13">
        <f>B8</f>
        <v>24</v>
      </c>
      <c r="D33" s="13">
        <f>C33*(1+$C$8)</f>
        <v>24.36</v>
      </c>
      <c r="E33" s="13">
        <f t="shared" ref="E33:Q33" si="9">D33*(1+$C$8)</f>
        <v>24.725399999999997</v>
      </c>
      <c r="F33" s="13">
        <f t="shared" si="9"/>
        <v>25.096280999999994</v>
      </c>
      <c r="G33" s="13">
        <f t="shared" si="9"/>
        <v>25.47272521499999</v>
      </c>
      <c r="H33" s="13">
        <f t="shared" si="9"/>
        <v>25.854816093224986</v>
      </c>
      <c r="I33" s="13">
        <f t="shared" si="9"/>
        <v>26.242638334623358</v>
      </c>
      <c r="J33" s="13">
        <f t="shared" si="9"/>
        <v>26.636277909642704</v>
      </c>
      <c r="K33" s="13">
        <f t="shared" si="9"/>
        <v>27.035822078287342</v>
      </c>
      <c r="L33" s="13">
        <f t="shared" si="9"/>
        <v>27.441359409461651</v>
      </c>
      <c r="M33" s="13">
        <f t="shared" si="9"/>
        <v>27.852979800603574</v>
      </c>
      <c r="N33" s="13">
        <f t="shared" si="9"/>
        <v>28.270774497612624</v>
      </c>
      <c r="O33" s="13">
        <f t="shared" si="9"/>
        <v>28.694836115076811</v>
      </c>
      <c r="P33" s="13">
        <f t="shared" si="9"/>
        <v>29.125258656802959</v>
      </c>
      <c r="Q33" s="13">
        <f t="shared" si="9"/>
        <v>29.562137536655001</v>
      </c>
    </row>
    <row r="34" spans="1:17" x14ac:dyDescent="0.25">
      <c r="A34" s="12" t="s">
        <v>20</v>
      </c>
      <c r="B34" s="12"/>
      <c r="C34" s="25">
        <f>C33/C30</f>
        <v>1.6E-2</v>
      </c>
      <c r="D34" s="25">
        <f t="shared" ref="D34:Q34" si="10">D33/D30</f>
        <v>1.6E-2</v>
      </c>
      <c r="E34" s="25">
        <f t="shared" si="10"/>
        <v>1.6E-2</v>
      </c>
      <c r="F34" s="25">
        <f t="shared" si="10"/>
        <v>1.6E-2</v>
      </c>
      <c r="G34" s="25">
        <f t="shared" si="10"/>
        <v>1.6E-2</v>
      </c>
      <c r="H34" s="25">
        <f t="shared" si="10"/>
        <v>1.6E-2</v>
      </c>
      <c r="I34" s="25">
        <f t="shared" si="10"/>
        <v>1.6E-2</v>
      </c>
      <c r="J34" s="25">
        <f t="shared" si="10"/>
        <v>1.6E-2</v>
      </c>
      <c r="K34" s="25">
        <f t="shared" si="10"/>
        <v>1.6E-2</v>
      </c>
      <c r="L34" s="25">
        <f t="shared" si="10"/>
        <v>1.6E-2</v>
      </c>
      <c r="M34" s="25">
        <f t="shared" si="10"/>
        <v>1.6E-2</v>
      </c>
      <c r="N34" s="25">
        <f t="shared" si="10"/>
        <v>1.6E-2</v>
      </c>
      <c r="O34" s="25">
        <f t="shared" si="10"/>
        <v>1.6E-2</v>
      </c>
      <c r="P34" s="25">
        <f t="shared" si="10"/>
        <v>1.6E-2</v>
      </c>
      <c r="Q34" s="25">
        <f t="shared" si="10"/>
        <v>1.6E-2</v>
      </c>
    </row>
    <row r="35" spans="1:17" x14ac:dyDescent="0.25">
      <c r="A35" s="31" t="s">
        <v>23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25">
      <c r="A36" s="6" t="s">
        <v>25</v>
      </c>
      <c r="B36" s="12"/>
      <c r="C36" s="13">
        <f>C31-C32-C33-C35</f>
        <v>185.5</v>
      </c>
      <c r="D36" s="13">
        <f t="shared" ref="D36:Q36" si="11">D31-D32-D33-D35</f>
        <v>190.00749999999988</v>
      </c>
      <c r="E36" s="13">
        <f t="shared" si="11"/>
        <v>194.59554999999983</v>
      </c>
      <c r="F36" s="13">
        <f t="shared" si="11"/>
        <v>199.26545528124979</v>
      </c>
      <c r="G36" s="13">
        <f t="shared" si="11"/>
        <v>204.01854143195285</v>
      </c>
      <c r="H36" s="13">
        <f t="shared" si="11"/>
        <v>208.85615465732755</v>
      </c>
      <c r="I36" s="13">
        <f t="shared" si="11"/>
        <v>213.77966209436215</v>
      </c>
      <c r="J36" s="13">
        <f t="shared" si="11"/>
        <v>218.79045213133102</v>
      </c>
      <c r="K36" s="13">
        <f t="shared" si="11"/>
        <v>223.88993473214614</v>
      </c>
      <c r="L36" s="13">
        <f t="shared" si="11"/>
        <v>229.07954176561481</v>
      </c>
      <c r="M36" s="13">
        <f t="shared" si="11"/>
        <v>234.36072733967916</v>
      </c>
      <c r="N36" s="13">
        <f t="shared" si="11"/>
        <v>239.73496814071129</v>
      </c>
      <c r="O36" s="13">
        <f t="shared" si="11"/>
        <v>245.20376377794091</v>
      </c>
      <c r="P36" s="13">
        <f t="shared" si="11"/>
        <v>250.76863713309248</v>
      </c>
      <c r="Q36" s="13">
        <f t="shared" si="11"/>
        <v>256.4311347153099</v>
      </c>
    </row>
    <row r="37" spans="1:17" x14ac:dyDescent="0.25">
      <c r="A37" s="12" t="s">
        <v>28</v>
      </c>
      <c r="B37" s="12"/>
      <c r="C37" s="25">
        <f>C36/C30</f>
        <v>0.12366666666666666</v>
      </c>
      <c r="D37" s="25">
        <f t="shared" ref="D37:Q37" si="12">D36/D30</f>
        <v>0.12479967159277498</v>
      </c>
      <c r="E37" s="25">
        <f t="shared" si="12"/>
        <v>0.12592430456130124</v>
      </c>
      <c r="F37" s="25">
        <f t="shared" si="12"/>
        <v>0.12704062743400099</v>
      </c>
      <c r="G37" s="25">
        <f t="shared" si="12"/>
        <v>0.12814870161552314</v>
      </c>
      <c r="H37" s="25">
        <f t="shared" si="12"/>
        <v>0.12924858805678768</v>
      </c>
      <c r="I37" s="25">
        <f t="shared" si="12"/>
        <v>0.13034034725833851</v>
      </c>
      <c r="J37" s="25">
        <f t="shared" si="12"/>
        <v>0.13142403927367094</v>
      </c>
      <c r="K37" s="25">
        <f t="shared" si="12"/>
        <v>0.13249972371253543</v>
      </c>
      <c r="L37" s="25">
        <f t="shared" si="12"/>
        <v>0.13356745974421619</v>
      </c>
      <c r="M37" s="25">
        <f t="shared" si="12"/>
        <v>0.13462730610078602</v>
      </c>
      <c r="N37" s="25">
        <f t="shared" si="12"/>
        <v>0.13567932108033681</v>
      </c>
      <c r="O37" s="25">
        <f t="shared" si="12"/>
        <v>0.1367235625501865</v>
      </c>
      <c r="P37" s="25">
        <f t="shared" si="12"/>
        <v>0.13776008795006198</v>
      </c>
      <c r="Q37" s="25">
        <f t="shared" si="12"/>
        <v>0.13878895429525856</v>
      </c>
    </row>
    <row r="38" spans="1:17" x14ac:dyDescent="0.25">
      <c r="A38" s="32" t="s">
        <v>30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x14ac:dyDescent="0.25">
      <c r="A39" s="27" t="s">
        <v>31</v>
      </c>
      <c r="B39" s="12"/>
      <c r="C39" s="13">
        <f>C36-C38</f>
        <v>185.5</v>
      </c>
      <c r="D39" s="13">
        <f t="shared" ref="D39:Q39" si="13">D36-D38</f>
        <v>190.00749999999988</v>
      </c>
      <c r="E39" s="13">
        <f t="shared" si="13"/>
        <v>194.59554999999983</v>
      </c>
      <c r="F39" s="13">
        <f t="shared" si="13"/>
        <v>199.26545528124979</v>
      </c>
      <c r="G39" s="13">
        <f t="shared" si="13"/>
        <v>204.01854143195285</v>
      </c>
      <c r="H39" s="13">
        <f t="shared" si="13"/>
        <v>208.85615465732755</v>
      </c>
      <c r="I39" s="13">
        <f t="shared" si="13"/>
        <v>213.77966209436215</v>
      </c>
      <c r="J39" s="13">
        <f t="shared" si="13"/>
        <v>218.79045213133102</v>
      </c>
      <c r="K39" s="13">
        <f t="shared" si="13"/>
        <v>223.88993473214614</v>
      </c>
      <c r="L39" s="13">
        <f t="shared" si="13"/>
        <v>229.07954176561481</v>
      </c>
      <c r="M39" s="13">
        <f t="shared" si="13"/>
        <v>234.36072733967916</v>
      </c>
      <c r="N39" s="13">
        <f t="shared" si="13"/>
        <v>239.73496814071129</v>
      </c>
      <c r="O39" s="13">
        <f t="shared" si="13"/>
        <v>245.20376377794091</v>
      </c>
      <c r="P39" s="13">
        <f t="shared" si="13"/>
        <v>250.76863713309248</v>
      </c>
      <c r="Q39" s="13">
        <f t="shared" si="13"/>
        <v>256.4311347153099</v>
      </c>
    </row>
    <row r="40" spans="1:17" x14ac:dyDescent="0.25">
      <c r="A40" s="32" t="s">
        <v>68</v>
      </c>
      <c r="B40" s="62">
        <f>B23</f>
        <v>4.4999999999999998E-2</v>
      </c>
      <c r="C40" s="13">
        <f t="shared" ref="C40:Q40" si="14">-$B$40*(B57)</f>
        <v>-46.745999999999995</v>
      </c>
      <c r="D40" s="13">
        <f t="shared" si="14"/>
        <v>-44.496871925867005</v>
      </c>
      <c r="E40" s="13">
        <f t="shared" si="14"/>
        <v>-42.14653308839803</v>
      </c>
      <c r="F40" s="13">
        <f t="shared" si="14"/>
        <v>-39.690429003242954</v>
      </c>
      <c r="G40" s="13">
        <f t="shared" si="14"/>
        <v>-37.123800234255896</v>
      </c>
      <c r="H40" s="13">
        <f t="shared" si="14"/>
        <v>-34.441673170664423</v>
      </c>
      <c r="I40" s="13">
        <f t="shared" si="14"/>
        <v>-31.638850389211331</v>
      </c>
      <c r="J40" s="13">
        <f t="shared" si="14"/>
        <v>-28.709900582592855</v>
      </c>
      <c r="K40" s="13">
        <f t="shared" si="14"/>
        <v>-25.649148034676546</v>
      </c>
      <c r="L40" s="13">
        <f t="shared" si="14"/>
        <v>-22.450661622104001</v>
      </c>
      <c r="M40" s="13">
        <f t="shared" si="14"/>
        <v>-19.108243320965691</v>
      </c>
      <c r="N40" s="13">
        <f t="shared" si="14"/>
        <v>-15.615416196276158</v>
      </c>
      <c r="O40" s="13">
        <f t="shared" si="14"/>
        <v>-11.965411850975595</v>
      </c>
      <c r="P40" s="13">
        <f t="shared" si="14"/>
        <v>-8.151157310136508</v>
      </c>
      <c r="Q40" s="13">
        <f t="shared" si="14"/>
        <v>-4.165261314959662</v>
      </c>
    </row>
    <row r="41" spans="1:17" x14ac:dyDescent="0.25">
      <c r="A41" s="27" t="s">
        <v>69</v>
      </c>
      <c r="B41" s="12"/>
      <c r="C41" s="13">
        <f>C39+C40</f>
        <v>138.75400000000002</v>
      </c>
      <c r="D41" s="13">
        <f t="shared" ref="D41:Q41" si="15">D39+D40</f>
        <v>145.51062807413288</v>
      </c>
      <c r="E41" s="13">
        <f t="shared" si="15"/>
        <v>152.4490169116018</v>
      </c>
      <c r="F41" s="13">
        <f t="shared" si="15"/>
        <v>159.57502627800682</v>
      </c>
      <c r="G41" s="13">
        <f t="shared" si="15"/>
        <v>166.89474119769696</v>
      </c>
      <c r="H41" s="13">
        <f t="shared" si="15"/>
        <v>174.41448148666314</v>
      </c>
      <c r="I41" s="13">
        <f t="shared" si="15"/>
        <v>182.14081170515081</v>
      </c>
      <c r="J41" s="13">
        <f t="shared" si="15"/>
        <v>190.08055154873816</v>
      </c>
      <c r="K41" s="13">
        <f t="shared" si="15"/>
        <v>198.24078669746959</v>
      </c>
      <c r="L41" s="13">
        <f t="shared" si="15"/>
        <v>206.6288801435108</v>
      </c>
      <c r="M41" s="13">
        <f t="shared" si="15"/>
        <v>215.25248401871346</v>
      </c>
      <c r="N41" s="13">
        <f t="shared" si="15"/>
        <v>224.11955194443513</v>
      </c>
      <c r="O41" s="13">
        <f t="shared" si="15"/>
        <v>233.23835192696532</v>
      </c>
      <c r="P41" s="13">
        <f t="shared" si="15"/>
        <v>242.61747982295597</v>
      </c>
      <c r="Q41" s="13">
        <f t="shared" si="15"/>
        <v>252.26587340035024</v>
      </c>
    </row>
    <row r="42" spans="1:17" x14ac:dyDescent="0.25">
      <c r="A42" s="32" t="s">
        <v>70</v>
      </c>
      <c r="B42" s="63">
        <f>B25</f>
        <v>0.27500000000000002</v>
      </c>
      <c r="C42" s="13">
        <f t="shared" ref="C42:Q42" si="16">-$B$42*C41</f>
        <v>-38.157350000000008</v>
      </c>
      <c r="D42" s="13">
        <f t="shared" si="16"/>
        <v>-40.015422720386546</v>
      </c>
      <c r="E42" s="13">
        <f t="shared" si="16"/>
        <v>-41.923479650690496</v>
      </c>
      <c r="F42" s="13">
        <f t="shared" si="16"/>
        <v>-43.883132226451878</v>
      </c>
      <c r="G42" s="13">
        <f t="shared" si="16"/>
        <v>-45.896053829366664</v>
      </c>
      <c r="H42" s="13">
        <f t="shared" si="16"/>
        <v>-47.963982408832365</v>
      </c>
      <c r="I42" s="13">
        <f t="shared" si="16"/>
        <v>-50.088723218916478</v>
      </c>
      <c r="J42" s="13">
        <f t="shared" si="16"/>
        <v>-52.272151675902997</v>
      </c>
      <c r="K42" s="13">
        <f t="shared" si="16"/>
        <v>-54.516216341804139</v>
      </c>
      <c r="L42" s="13">
        <f t="shared" si="16"/>
        <v>-56.822942039465474</v>
      </c>
      <c r="M42" s="13">
        <f t="shared" si="16"/>
        <v>-59.194433105146203</v>
      </c>
      <c r="N42" s="13">
        <f t="shared" si="16"/>
        <v>-61.632876784719663</v>
      </c>
      <c r="O42" s="13">
        <f t="shared" si="16"/>
        <v>-64.140546779915468</v>
      </c>
      <c r="P42" s="13">
        <f t="shared" si="16"/>
        <v>-66.719806951312904</v>
      </c>
      <c r="Q42" s="13">
        <f t="shared" si="16"/>
        <v>-69.373115185096324</v>
      </c>
    </row>
    <row r="43" spans="1:17" x14ac:dyDescent="0.25">
      <c r="A43" s="27" t="s">
        <v>71</v>
      </c>
      <c r="B43" s="6"/>
      <c r="C43" s="41">
        <f>C41+C42</f>
        <v>100.59665000000001</v>
      </c>
      <c r="D43" s="41">
        <f t="shared" ref="D43:Q43" si="17">D41+D42</f>
        <v>105.49520535374634</v>
      </c>
      <c r="E43" s="41">
        <f t="shared" si="17"/>
        <v>110.52553726091131</v>
      </c>
      <c r="F43" s="41">
        <f t="shared" si="17"/>
        <v>115.69189405155494</v>
      </c>
      <c r="G43" s="41">
        <f t="shared" si="17"/>
        <v>120.99868736833029</v>
      </c>
      <c r="H43" s="41">
        <f t="shared" si="17"/>
        <v>126.45049907783077</v>
      </c>
      <c r="I43" s="41">
        <f t="shared" si="17"/>
        <v>132.05208848623434</v>
      </c>
      <c r="J43" s="41">
        <f t="shared" si="17"/>
        <v>137.80839987283517</v>
      </c>
      <c r="K43" s="41">
        <f t="shared" si="17"/>
        <v>143.72457035566543</v>
      </c>
      <c r="L43" s="41">
        <f t="shared" si="17"/>
        <v>149.80593810404531</v>
      </c>
      <c r="M43" s="41">
        <f t="shared" si="17"/>
        <v>156.05805091356726</v>
      </c>
      <c r="N43" s="41">
        <f t="shared" si="17"/>
        <v>162.48667515971547</v>
      </c>
      <c r="O43" s="41">
        <f t="shared" si="17"/>
        <v>169.09780514704985</v>
      </c>
      <c r="P43" s="41">
        <f t="shared" si="17"/>
        <v>175.89767287164307</v>
      </c>
      <c r="Q43" s="41">
        <f t="shared" si="17"/>
        <v>182.89275821525393</v>
      </c>
    </row>
    <row r="44" spans="1:17" x14ac:dyDescent="0.25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5" spans="1:17" x14ac:dyDescent="0.25">
      <c r="B45" s="12"/>
      <c r="C45" s="7" t="str">
        <f>C29</f>
        <v>A1</v>
      </c>
      <c r="D45" s="7" t="str">
        <f t="shared" ref="D45:Q45" si="18">D29</f>
        <v>A2</v>
      </c>
      <c r="E45" s="7" t="str">
        <f t="shared" si="18"/>
        <v>A3</v>
      </c>
      <c r="F45" s="7" t="str">
        <f t="shared" si="18"/>
        <v>A4</v>
      </c>
      <c r="G45" s="7" t="str">
        <f t="shared" si="18"/>
        <v>A5</v>
      </c>
      <c r="H45" s="7" t="str">
        <f t="shared" si="18"/>
        <v>A6</v>
      </c>
      <c r="I45" s="7" t="str">
        <f t="shared" si="18"/>
        <v>A7</v>
      </c>
      <c r="J45" s="7" t="str">
        <f t="shared" si="18"/>
        <v>A8</v>
      </c>
      <c r="K45" s="7" t="str">
        <f t="shared" si="18"/>
        <v>A9</v>
      </c>
      <c r="L45" s="7" t="str">
        <f t="shared" si="18"/>
        <v>A10</v>
      </c>
      <c r="M45" s="7" t="str">
        <f t="shared" si="18"/>
        <v>A11</v>
      </c>
      <c r="N45" s="7" t="str">
        <f t="shared" si="18"/>
        <v>A12</v>
      </c>
      <c r="O45" s="7" t="str">
        <f t="shared" si="18"/>
        <v>A13</v>
      </c>
      <c r="P45" s="7" t="str">
        <f t="shared" si="18"/>
        <v>A14</v>
      </c>
      <c r="Q45" s="7" t="str">
        <f t="shared" si="18"/>
        <v>A15</v>
      </c>
    </row>
    <row r="46" spans="1:17" x14ac:dyDescent="0.25">
      <c r="A46" s="12" t="s">
        <v>72</v>
      </c>
      <c r="B46" s="12"/>
      <c r="C46" s="13">
        <f>C43+C38</f>
        <v>100.59665000000001</v>
      </c>
      <c r="D46" s="13">
        <f>D43+D38</f>
        <v>105.49520535374634</v>
      </c>
      <c r="E46" s="13">
        <f t="shared" ref="E46:Q46" si="19">E43+E38</f>
        <v>110.52553726091131</v>
      </c>
      <c r="F46" s="13">
        <f t="shared" si="19"/>
        <v>115.69189405155494</v>
      </c>
      <c r="G46" s="13">
        <f t="shared" si="19"/>
        <v>120.99868736833029</v>
      </c>
      <c r="H46" s="13">
        <f t="shared" si="19"/>
        <v>126.45049907783077</v>
      </c>
      <c r="I46" s="13">
        <f t="shared" si="19"/>
        <v>132.05208848623434</v>
      </c>
      <c r="J46" s="13">
        <f t="shared" si="19"/>
        <v>137.80839987283517</v>
      </c>
      <c r="K46" s="13">
        <f t="shared" si="19"/>
        <v>143.72457035566543</v>
      </c>
      <c r="L46" s="13">
        <f t="shared" si="19"/>
        <v>149.80593810404531</v>
      </c>
      <c r="M46" s="13">
        <f t="shared" si="19"/>
        <v>156.05805091356726</v>
      </c>
      <c r="N46" s="13">
        <f t="shared" si="19"/>
        <v>162.48667515971547</v>
      </c>
      <c r="O46" s="13">
        <f t="shared" si="19"/>
        <v>169.09780514704985</v>
      </c>
      <c r="P46" s="13">
        <f t="shared" si="19"/>
        <v>175.89767287164307</v>
      </c>
      <c r="Q46" s="13">
        <f t="shared" si="19"/>
        <v>182.89275821525393</v>
      </c>
    </row>
    <row r="47" spans="1:17" x14ac:dyDescent="0.25">
      <c r="A47" s="12" t="s">
        <v>9</v>
      </c>
      <c r="B47" s="13">
        <f>F5</f>
        <v>445.2</v>
      </c>
      <c r="C47" s="13"/>
      <c r="D47" s="13">
        <f>-C53</f>
        <v>-50.616026130378017</v>
      </c>
      <c r="E47" s="13">
        <f t="shared" ref="E47:Q47" si="20">-D53</f>
        <v>-53.265453409991359</v>
      </c>
      <c r="F47" s="13">
        <f t="shared" si="20"/>
        <v>-55.945446479687348</v>
      </c>
      <c r="G47" s="13">
        <f t="shared" si="20"/>
        <v>-58.655699185175905</v>
      </c>
      <c r="H47" s="13">
        <f t="shared" si="20"/>
        <v>-61.395863732964202</v>
      </c>
      <c r="I47" s="13">
        <f t="shared" si="20"/>
        <v>-64.165548378873211</v>
      </c>
      <c r="J47" s="13">
        <f t="shared" si="20"/>
        <v>-66.964315005823678</v>
      </c>
      <c r="K47" s="13">
        <f t="shared" si="20"/>
        <v>-69.79167658580603</v>
      </c>
      <c r="L47" s="13">
        <f t="shared" si="20"/>
        <v>-72.647094520719989</v>
      </c>
      <c r="M47" s="13">
        <f t="shared" si="20"/>
        <v>-75.529975856527329</v>
      </c>
      <c r="N47" s="13">
        <f t="shared" si="20"/>
        <v>-78.439670364910967</v>
      </c>
      <c r="O47" s="13">
        <f t="shared" si="20"/>
        <v>-81.375467486369644</v>
      </c>
      <c r="P47" s="13">
        <f t="shared" si="20"/>
        <v>-84.336593128403464</v>
      </c>
      <c r="Q47" s="13">
        <f t="shared" si="20"/>
        <v>-87.32220631215759</v>
      </c>
    </row>
    <row r="48" spans="1:17" x14ac:dyDescent="0.25">
      <c r="A48" s="12" t="s">
        <v>12</v>
      </c>
      <c r="B48" s="13">
        <f>F6</f>
        <v>1038.8</v>
      </c>
      <c r="C48" s="13">
        <f t="shared" ref="C48:Q48" si="21">-$F$15-C40</f>
        <v>-49.980623869621994</v>
      </c>
      <c r="D48" s="13">
        <f t="shared" si="21"/>
        <v>-52.229751943754984</v>
      </c>
      <c r="E48" s="13">
        <f t="shared" si="21"/>
        <v>-54.580090781223959</v>
      </c>
      <c r="F48" s="13">
        <f t="shared" si="21"/>
        <v>-57.036194866379034</v>
      </c>
      <c r="G48" s="13">
        <f t="shared" si="21"/>
        <v>-59.602823635366093</v>
      </c>
      <c r="H48" s="13">
        <f t="shared" si="21"/>
        <v>-62.284950698957566</v>
      </c>
      <c r="I48" s="13">
        <f t="shared" si="21"/>
        <v>-65.087773480410661</v>
      </c>
      <c r="J48" s="13">
        <f t="shared" si="21"/>
        <v>-68.016723287029137</v>
      </c>
      <c r="K48" s="13">
        <f t="shared" si="21"/>
        <v>-71.077475834945446</v>
      </c>
      <c r="L48" s="13">
        <f t="shared" si="21"/>
        <v>-74.275962247517981</v>
      </c>
      <c r="M48" s="13">
        <f t="shared" si="21"/>
        <v>-77.61838054865629</v>
      </c>
      <c r="N48" s="13">
        <f t="shared" si="21"/>
        <v>-81.111207673345831</v>
      </c>
      <c r="O48" s="13">
        <f t="shared" si="21"/>
        <v>-84.76121201864639</v>
      </c>
      <c r="P48" s="13">
        <f t="shared" si="21"/>
        <v>-88.575466559485477</v>
      </c>
      <c r="Q48" s="13">
        <f t="shared" si="21"/>
        <v>-92.561362554662324</v>
      </c>
    </row>
    <row r="49" spans="1:23" x14ac:dyDescent="0.25">
      <c r="A49" s="12" t="s">
        <v>15</v>
      </c>
      <c r="B49" s="14">
        <f>-F7</f>
        <v>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23" x14ac:dyDescent="0.25">
      <c r="A50" s="12" t="s">
        <v>18</v>
      </c>
      <c r="B50" s="14">
        <f>-F8</f>
        <v>-1484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23" x14ac:dyDescent="0.25">
      <c r="A51" s="12" t="s">
        <v>73</v>
      </c>
      <c r="B51" s="14">
        <f>-F9</f>
        <v>0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23" x14ac:dyDescent="0.25">
      <c r="A52" s="12" t="s">
        <v>74</v>
      </c>
      <c r="B52" s="13">
        <v>0</v>
      </c>
      <c r="C52" s="13">
        <f>B53</f>
        <v>0</v>
      </c>
      <c r="D52" s="13">
        <f t="shared" ref="D52:Q52" si="22">C53</f>
        <v>50.616026130378017</v>
      </c>
      <c r="E52" s="13">
        <f t="shared" si="22"/>
        <v>53.265453409991359</v>
      </c>
      <c r="F52" s="13">
        <f t="shared" si="22"/>
        <v>55.945446479687348</v>
      </c>
      <c r="G52" s="13">
        <f t="shared" si="22"/>
        <v>58.655699185175905</v>
      </c>
      <c r="H52" s="13">
        <f t="shared" si="22"/>
        <v>61.395863732964202</v>
      </c>
      <c r="I52" s="13">
        <f t="shared" si="22"/>
        <v>64.165548378873211</v>
      </c>
      <c r="J52" s="13">
        <f t="shared" si="22"/>
        <v>66.964315005823678</v>
      </c>
      <c r="K52" s="13">
        <f t="shared" si="22"/>
        <v>69.79167658580603</v>
      </c>
      <c r="L52" s="13">
        <f t="shared" si="22"/>
        <v>72.647094520719989</v>
      </c>
      <c r="M52" s="13">
        <f t="shared" si="22"/>
        <v>75.529975856527329</v>
      </c>
      <c r="N52" s="13">
        <f t="shared" si="22"/>
        <v>78.439670364910967</v>
      </c>
      <c r="O52" s="13">
        <f t="shared" si="22"/>
        <v>81.375467486369644</v>
      </c>
      <c r="P52" s="13">
        <f t="shared" si="22"/>
        <v>84.336593128403464</v>
      </c>
      <c r="Q52" s="13">
        <f t="shared" si="22"/>
        <v>87.32220631215759</v>
      </c>
    </row>
    <row r="53" spans="1:23" x14ac:dyDescent="0.25">
      <c r="A53" s="12" t="s">
        <v>75</v>
      </c>
      <c r="B53" s="13">
        <f>SUM(B46:B52)</f>
        <v>0</v>
      </c>
      <c r="C53" s="13">
        <f>SUM(C46:C52)</f>
        <v>50.616026130378017</v>
      </c>
      <c r="D53" s="13">
        <f t="shared" ref="D53:Q53" si="23">SUM(D46:D52)</f>
        <v>53.265453409991359</v>
      </c>
      <c r="E53" s="13">
        <f t="shared" si="23"/>
        <v>55.945446479687348</v>
      </c>
      <c r="F53" s="13">
        <f t="shared" si="23"/>
        <v>58.655699185175905</v>
      </c>
      <c r="G53" s="13">
        <f t="shared" si="23"/>
        <v>61.395863732964202</v>
      </c>
      <c r="H53" s="13">
        <f t="shared" si="23"/>
        <v>64.165548378873211</v>
      </c>
      <c r="I53" s="13">
        <f t="shared" si="23"/>
        <v>66.964315005823678</v>
      </c>
      <c r="J53" s="13">
        <f t="shared" si="23"/>
        <v>69.79167658580603</v>
      </c>
      <c r="K53" s="13">
        <f t="shared" si="23"/>
        <v>72.647094520719989</v>
      </c>
      <c r="L53" s="13">
        <f t="shared" si="23"/>
        <v>75.529975856527329</v>
      </c>
      <c r="M53" s="13">
        <f t="shared" si="23"/>
        <v>78.439670364910967</v>
      </c>
      <c r="N53" s="13">
        <f t="shared" si="23"/>
        <v>81.375467486369644</v>
      </c>
      <c r="O53" s="13">
        <f t="shared" si="23"/>
        <v>84.336593128403464</v>
      </c>
      <c r="P53" s="13">
        <f t="shared" si="23"/>
        <v>87.32220631215759</v>
      </c>
      <c r="Q53" s="13">
        <f t="shared" si="23"/>
        <v>90.33139566059161</v>
      </c>
    </row>
    <row r="54" spans="1:23" x14ac:dyDescent="0.25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23" x14ac:dyDescent="0.25">
      <c r="B55" s="13"/>
      <c r="C55" s="7" t="str">
        <f>C45</f>
        <v>A1</v>
      </c>
      <c r="D55" s="7" t="str">
        <f t="shared" ref="D55:Q55" si="24">D45</f>
        <v>A2</v>
      </c>
      <c r="E55" s="7" t="str">
        <f t="shared" si="24"/>
        <v>A3</v>
      </c>
      <c r="F55" s="7" t="str">
        <f t="shared" si="24"/>
        <v>A4</v>
      </c>
      <c r="G55" s="7" t="str">
        <f t="shared" si="24"/>
        <v>A5</v>
      </c>
      <c r="H55" s="7" t="str">
        <f t="shared" si="24"/>
        <v>A6</v>
      </c>
      <c r="I55" s="7" t="str">
        <f t="shared" si="24"/>
        <v>A7</v>
      </c>
      <c r="J55" s="7" t="str">
        <f t="shared" si="24"/>
        <v>A8</v>
      </c>
      <c r="K55" s="7" t="str">
        <f t="shared" si="24"/>
        <v>A9</v>
      </c>
      <c r="L55" s="7" t="str">
        <f t="shared" si="24"/>
        <v>A10</v>
      </c>
      <c r="M55" s="7" t="str">
        <f t="shared" si="24"/>
        <v>A11</v>
      </c>
      <c r="N55" s="7" t="str">
        <f t="shared" si="24"/>
        <v>A12</v>
      </c>
      <c r="O55" s="7" t="str">
        <f t="shared" si="24"/>
        <v>A13</v>
      </c>
      <c r="P55" s="7" t="str">
        <f t="shared" si="24"/>
        <v>A14</v>
      </c>
      <c r="Q55" s="7" t="str">
        <f t="shared" si="24"/>
        <v>A15</v>
      </c>
    </row>
    <row r="56" spans="1:23" x14ac:dyDescent="0.25">
      <c r="A56" s="12" t="s">
        <v>9</v>
      </c>
      <c r="B56" s="13">
        <f>B47</f>
        <v>445.2</v>
      </c>
      <c r="C56" s="13">
        <f>B56+C43+C47</f>
        <v>545.79665</v>
      </c>
      <c r="D56" s="13">
        <f t="shared" ref="D56:Q56" si="25">C56+D43+D47</f>
        <v>600.67582922336828</v>
      </c>
      <c r="E56" s="13">
        <f t="shared" si="25"/>
        <v>657.93591307428824</v>
      </c>
      <c r="F56" s="13">
        <f t="shared" si="25"/>
        <v>717.68236064615587</v>
      </c>
      <c r="G56" s="13">
        <f t="shared" si="25"/>
        <v>780.02534882931025</v>
      </c>
      <c r="H56" s="13">
        <f t="shared" si="25"/>
        <v>845.07998417417673</v>
      </c>
      <c r="I56" s="13">
        <f t="shared" si="25"/>
        <v>912.96652428153789</v>
      </c>
      <c r="J56" s="13">
        <f t="shared" si="25"/>
        <v>983.81060914854947</v>
      </c>
      <c r="K56" s="13">
        <f t="shared" si="25"/>
        <v>1057.7435029184089</v>
      </c>
      <c r="L56" s="13">
        <f t="shared" si="25"/>
        <v>1134.9023465017342</v>
      </c>
      <c r="M56" s="13">
        <f t="shared" si="25"/>
        <v>1215.4304215587742</v>
      </c>
      <c r="N56" s="13">
        <f t="shared" si="25"/>
        <v>1299.4774263535787</v>
      </c>
      <c r="O56" s="13">
        <f t="shared" si="25"/>
        <v>1387.199764014259</v>
      </c>
      <c r="P56" s="13">
        <f t="shared" si="25"/>
        <v>1478.7608437574986</v>
      </c>
      <c r="Q56" s="13">
        <f t="shared" si="25"/>
        <v>1574.331395660595</v>
      </c>
    </row>
    <row r="57" spans="1:23" x14ac:dyDescent="0.25">
      <c r="A57" s="12" t="s">
        <v>12</v>
      </c>
      <c r="B57" s="13">
        <f>B48</f>
        <v>1038.8</v>
      </c>
      <c r="C57" s="13">
        <f>B57+C48</f>
        <v>988.81937613037792</v>
      </c>
      <c r="D57" s="13">
        <f t="shared" ref="D57:Q57" si="26">C57+D48</f>
        <v>936.58962418662293</v>
      </c>
      <c r="E57" s="13">
        <f t="shared" si="26"/>
        <v>882.009533405399</v>
      </c>
      <c r="F57" s="13">
        <f t="shared" si="26"/>
        <v>824.97333853902001</v>
      </c>
      <c r="G57" s="13">
        <f t="shared" si="26"/>
        <v>765.37051490365388</v>
      </c>
      <c r="H57" s="13">
        <f t="shared" si="26"/>
        <v>703.08556420469631</v>
      </c>
      <c r="I57" s="13">
        <f t="shared" si="26"/>
        <v>637.99779072428566</v>
      </c>
      <c r="J57" s="13">
        <f t="shared" si="26"/>
        <v>569.98106743725657</v>
      </c>
      <c r="K57" s="13">
        <f t="shared" si="26"/>
        <v>498.90359160231111</v>
      </c>
      <c r="L57" s="13">
        <f t="shared" si="26"/>
        <v>424.62762935479316</v>
      </c>
      <c r="M57" s="13">
        <f t="shared" si="26"/>
        <v>347.00924880613684</v>
      </c>
      <c r="N57" s="13">
        <f t="shared" si="26"/>
        <v>265.89804113279104</v>
      </c>
      <c r="O57" s="13">
        <f t="shared" si="26"/>
        <v>181.13682911414463</v>
      </c>
      <c r="P57" s="13">
        <f t="shared" si="26"/>
        <v>92.561362554659155</v>
      </c>
      <c r="Q57" s="13">
        <f t="shared" si="26"/>
        <v>-3.1690206014900468E-12</v>
      </c>
      <c r="S57" s="24"/>
      <c r="T57" s="24"/>
      <c r="U57" s="24"/>
      <c r="V57" s="24"/>
      <c r="W57" s="24"/>
    </row>
    <row r="58" spans="1:23" x14ac:dyDescent="0.2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23" x14ac:dyDescent="0.25">
      <c r="A59" s="12" t="s">
        <v>15</v>
      </c>
      <c r="B59" s="13">
        <f>-B49</f>
        <v>0</v>
      </c>
      <c r="C59" s="12">
        <f>B59-C38</f>
        <v>0</v>
      </c>
      <c r="D59" s="12">
        <f t="shared" ref="D59:Q59" si="27">C59-D38</f>
        <v>0</v>
      </c>
      <c r="E59" s="12">
        <f t="shared" si="27"/>
        <v>0</v>
      </c>
      <c r="F59" s="12">
        <f t="shared" si="27"/>
        <v>0</v>
      </c>
      <c r="G59" s="12">
        <f t="shared" si="27"/>
        <v>0</v>
      </c>
      <c r="H59" s="12">
        <f t="shared" si="27"/>
        <v>0</v>
      </c>
      <c r="I59" s="12">
        <f t="shared" si="27"/>
        <v>0</v>
      </c>
      <c r="J59" s="12">
        <f t="shared" si="27"/>
        <v>0</v>
      </c>
      <c r="K59" s="12">
        <f t="shared" si="27"/>
        <v>0</v>
      </c>
      <c r="L59" s="12">
        <f t="shared" si="27"/>
        <v>0</v>
      </c>
      <c r="M59" s="12">
        <f t="shared" si="27"/>
        <v>0</v>
      </c>
      <c r="N59" s="12">
        <f t="shared" si="27"/>
        <v>0</v>
      </c>
      <c r="O59" s="12">
        <f t="shared" si="27"/>
        <v>0</v>
      </c>
      <c r="P59" s="12">
        <f t="shared" si="27"/>
        <v>0</v>
      </c>
      <c r="Q59" s="12">
        <f t="shared" si="27"/>
        <v>0</v>
      </c>
    </row>
    <row r="60" spans="1:23" x14ac:dyDescent="0.25">
      <c r="A60" s="12" t="s">
        <v>18</v>
      </c>
      <c r="B60" s="13">
        <f>-B50</f>
        <v>1484</v>
      </c>
      <c r="C60" s="13">
        <f>B60</f>
        <v>1484</v>
      </c>
      <c r="D60" s="13">
        <f t="shared" ref="D60:Q60" si="28">C60</f>
        <v>1484</v>
      </c>
      <c r="E60" s="13">
        <f t="shared" si="28"/>
        <v>1484</v>
      </c>
      <c r="F60" s="13">
        <f t="shared" si="28"/>
        <v>1484</v>
      </c>
      <c r="G60" s="13">
        <f t="shared" si="28"/>
        <v>1484</v>
      </c>
      <c r="H60" s="13">
        <f t="shared" si="28"/>
        <v>1484</v>
      </c>
      <c r="I60" s="13">
        <f t="shared" si="28"/>
        <v>1484</v>
      </c>
      <c r="J60" s="13">
        <f t="shared" si="28"/>
        <v>1484</v>
      </c>
      <c r="K60" s="13">
        <f t="shared" si="28"/>
        <v>1484</v>
      </c>
      <c r="L60" s="13">
        <f t="shared" si="28"/>
        <v>1484</v>
      </c>
      <c r="M60" s="13">
        <f t="shared" si="28"/>
        <v>1484</v>
      </c>
      <c r="N60" s="13">
        <f t="shared" si="28"/>
        <v>1484</v>
      </c>
      <c r="O60" s="13">
        <f t="shared" si="28"/>
        <v>1484</v>
      </c>
      <c r="P60" s="13">
        <f t="shared" si="28"/>
        <v>1484</v>
      </c>
      <c r="Q60" s="13">
        <f t="shared" si="28"/>
        <v>1484</v>
      </c>
    </row>
    <row r="61" spans="1:23" x14ac:dyDescent="0.25">
      <c r="A61" s="12" t="s">
        <v>21</v>
      </c>
      <c r="B61" s="13">
        <f>-B51</f>
        <v>0</v>
      </c>
      <c r="C61" s="13">
        <f>B61-C51</f>
        <v>0</v>
      </c>
      <c r="D61" s="13">
        <f t="shared" ref="D61:Q61" si="29">C61-D51</f>
        <v>0</v>
      </c>
      <c r="E61" s="13">
        <f t="shared" si="29"/>
        <v>0</v>
      </c>
      <c r="F61" s="13">
        <f t="shared" si="29"/>
        <v>0</v>
      </c>
      <c r="G61" s="13">
        <f t="shared" si="29"/>
        <v>0</v>
      </c>
      <c r="H61" s="13">
        <f t="shared" si="29"/>
        <v>0</v>
      </c>
      <c r="I61" s="13">
        <f t="shared" si="29"/>
        <v>0</v>
      </c>
      <c r="J61" s="13">
        <f t="shared" si="29"/>
        <v>0</v>
      </c>
      <c r="K61" s="13">
        <f t="shared" si="29"/>
        <v>0</v>
      </c>
      <c r="L61" s="13">
        <f t="shared" si="29"/>
        <v>0</v>
      </c>
      <c r="M61" s="13">
        <f t="shared" si="29"/>
        <v>0</v>
      </c>
      <c r="N61" s="13">
        <f t="shared" si="29"/>
        <v>0</v>
      </c>
      <c r="O61" s="13">
        <f t="shared" si="29"/>
        <v>0</v>
      </c>
      <c r="P61" s="13">
        <f t="shared" si="29"/>
        <v>0</v>
      </c>
      <c r="Q61" s="13">
        <f t="shared" si="29"/>
        <v>0</v>
      </c>
    </row>
    <row r="62" spans="1:23" x14ac:dyDescent="0.25">
      <c r="A62" s="12" t="s">
        <v>24</v>
      </c>
      <c r="B62" s="13">
        <f>B53</f>
        <v>0</v>
      </c>
      <c r="C62" s="13">
        <f>C53</f>
        <v>50.616026130378017</v>
      </c>
      <c r="D62" s="13">
        <f t="shared" ref="D62:Q62" si="30">D53</f>
        <v>53.265453409991359</v>
      </c>
      <c r="E62" s="13">
        <f t="shared" si="30"/>
        <v>55.945446479687348</v>
      </c>
      <c r="F62" s="13">
        <f t="shared" si="30"/>
        <v>58.655699185175905</v>
      </c>
      <c r="G62" s="13">
        <f t="shared" si="30"/>
        <v>61.395863732964202</v>
      </c>
      <c r="H62" s="13">
        <f t="shared" si="30"/>
        <v>64.165548378873211</v>
      </c>
      <c r="I62" s="13">
        <f t="shared" si="30"/>
        <v>66.964315005823678</v>
      </c>
      <c r="J62" s="13">
        <f t="shared" si="30"/>
        <v>69.79167658580603</v>
      </c>
      <c r="K62" s="13">
        <f t="shared" si="30"/>
        <v>72.647094520719989</v>
      </c>
      <c r="L62" s="13">
        <f t="shared" si="30"/>
        <v>75.529975856527329</v>
      </c>
      <c r="M62" s="13">
        <f t="shared" si="30"/>
        <v>78.439670364910967</v>
      </c>
      <c r="N62" s="13">
        <f t="shared" si="30"/>
        <v>81.375467486369644</v>
      </c>
      <c r="O62" s="13">
        <f t="shared" si="30"/>
        <v>84.336593128403464</v>
      </c>
      <c r="P62" s="13">
        <f t="shared" si="30"/>
        <v>87.32220631215759</v>
      </c>
      <c r="Q62" s="13">
        <f t="shared" si="30"/>
        <v>90.33139566059161</v>
      </c>
    </row>
    <row r="63" spans="1:23" x14ac:dyDescent="0.25">
      <c r="A63" s="6" t="s">
        <v>26</v>
      </c>
      <c r="B63" s="41">
        <f>SUM(B59:B62)</f>
        <v>1484</v>
      </c>
      <c r="C63" s="41">
        <f>SUM(C59:C62)</f>
        <v>1534.616026130378</v>
      </c>
      <c r="D63" s="41">
        <f t="shared" ref="D63:Q63" si="31">SUM(D59:D62)</f>
        <v>1537.2654534099913</v>
      </c>
      <c r="E63" s="41">
        <f t="shared" si="31"/>
        <v>1539.9454464796872</v>
      </c>
      <c r="F63" s="41">
        <f t="shared" si="31"/>
        <v>1542.655699185176</v>
      </c>
      <c r="G63" s="41">
        <f t="shared" si="31"/>
        <v>1545.3958637329642</v>
      </c>
      <c r="H63" s="41">
        <f t="shared" si="31"/>
        <v>1548.1655483788732</v>
      </c>
      <c r="I63" s="41">
        <f t="shared" si="31"/>
        <v>1550.9643150058237</v>
      </c>
      <c r="J63" s="41">
        <f t="shared" si="31"/>
        <v>1553.791676585806</v>
      </c>
      <c r="K63" s="41">
        <f t="shared" si="31"/>
        <v>1556.64709452072</v>
      </c>
      <c r="L63" s="41">
        <f t="shared" si="31"/>
        <v>1559.5299758565272</v>
      </c>
      <c r="M63" s="41">
        <f t="shared" si="31"/>
        <v>1562.4396703649109</v>
      </c>
      <c r="N63" s="41">
        <f t="shared" si="31"/>
        <v>1565.3754674863696</v>
      </c>
      <c r="O63" s="41">
        <f t="shared" si="31"/>
        <v>1568.3365931284034</v>
      </c>
      <c r="P63" s="41">
        <f t="shared" si="31"/>
        <v>1571.3222063121575</v>
      </c>
      <c r="Q63" s="41">
        <f t="shared" si="31"/>
        <v>1574.3313956605916</v>
      </c>
    </row>
    <row r="64" spans="1:23" x14ac:dyDescent="0.25">
      <c r="A64" s="12" t="s">
        <v>76</v>
      </c>
      <c r="B64" s="13">
        <f>B63-B56-B57</f>
        <v>0</v>
      </c>
      <c r="C64" s="13">
        <f>C63-C56-C57</f>
        <v>0</v>
      </c>
      <c r="D64" s="13">
        <f t="shared" ref="D64:Q64" si="32">D63-D56-D57</f>
        <v>0</v>
      </c>
      <c r="E64" s="13">
        <f t="shared" si="32"/>
        <v>0</v>
      </c>
      <c r="F64" s="13">
        <f t="shared" si="32"/>
        <v>0</v>
      </c>
      <c r="G64" s="13">
        <f t="shared" si="32"/>
        <v>0</v>
      </c>
      <c r="H64" s="13">
        <f t="shared" si="32"/>
        <v>0</v>
      </c>
      <c r="I64" s="13">
        <f t="shared" si="32"/>
        <v>0</v>
      </c>
      <c r="J64" s="13">
        <f t="shared" si="32"/>
        <v>0</v>
      </c>
      <c r="K64" s="13">
        <f t="shared" si="32"/>
        <v>0</v>
      </c>
      <c r="L64" s="13">
        <f t="shared" si="32"/>
        <v>0</v>
      </c>
      <c r="M64" s="13">
        <f t="shared" si="32"/>
        <v>0</v>
      </c>
      <c r="N64" s="13">
        <f t="shared" si="32"/>
        <v>0</v>
      </c>
      <c r="O64" s="13">
        <f t="shared" si="32"/>
        <v>-2.8421709430404007E-13</v>
      </c>
      <c r="P64" s="13">
        <f t="shared" si="32"/>
        <v>-2.5579538487363607E-13</v>
      </c>
      <c r="Q64" s="13">
        <f t="shared" si="32"/>
        <v>-2.4158453015843406E-13</v>
      </c>
    </row>
    <row r="65" spans="1:17" x14ac:dyDescent="0.25">
      <c r="A6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x14ac:dyDescent="0.25">
      <c r="A66" s="6" t="s">
        <v>77</v>
      </c>
      <c r="B66" s="13"/>
      <c r="C66" s="7" t="str">
        <f>C55</f>
        <v>A1</v>
      </c>
      <c r="D66" s="7" t="str">
        <f t="shared" ref="D66:Q66" si="33">D55</f>
        <v>A2</v>
      </c>
      <c r="E66" s="7" t="str">
        <f t="shared" si="33"/>
        <v>A3</v>
      </c>
      <c r="F66" s="7" t="str">
        <f t="shared" si="33"/>
        <v>A4</v>
      </c>
      <c r="G66" s="7" t="str">
        <f t="shared" si="33"/>
        <v>A5</v>
      </c>
      <c r="H66" s="7" t="str">
        <f t="shared" si="33"/>
        <v>A6</v>
      </c>
      <c r="I66" s="7" t="str">
        <f t="shared" si="33"/>
        <v>A7</v>
      </c>
      <c r="J66" s="7" t="str">
        <f t="shared" si="33"/>
        <v>A8</v>
      </c>
      <c r="K66" s="7" t="str">
        <f t="shared" si="33"/>
        <v>A9</v>
      </c>
      <c r="L66" s="7" t="str">
        <f t="shared" si="33"/>
        <v>A10</v>
      </c>
      <c r="M66" s="7" t="str">
        <f t="shared" si="33"/>
        <v>A11</v>
      </c>
      <c r="N66" s="7" t="str">
        <f t="shared" si="33"/>
        <v>A12</v>
      </c>
      <c r="O66" s="7" t="str">
        <f t="shared" si="33"/>
        <v>A13</v>
      </c>
      <c r="P66" s="7" t="str">
        <f t="shared" si="33"/>
        <v>A14</v>
      </c>
      <c r="Q66" s="7" t="str">
        <f t="shared" si="33"/>
        <v>A15</v>
      </c>
    </row>
    <row r="67" spans="1:17" x14ac:dyDescent="0.25">
      <c r="A67" s="12" t="s">
        <v>78</v>
      </c>
      <c r="B67" s="13">
        <f>-B47</f>
        <v>-445.2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x14ac:dyDescent="0.25">
      <c r="A68" s="12" t="s">
        <v>79</v>
      </c>
      <c r="B68" s="13"/>
      <c r="C68" s="12"/>
      <c r="D68" s="13">
        <f>-D47</f>
        <v>50.616026130378017</v>
      </c>
      <c r="E68" s="13">
        <f t="shared" ref="E68:Q68" si="34">-E47</f>
        <v>53.265453409991359</v>
      </c>
      <c r="F68" s="13">
        <f t="shared" si="34"/>
        <v>55.945446479687348</v>
      </c>
      <c r="G68" s="13">
        <f t="shared" si="34"/>
        <v>58.655699185175905</v>
      </c>
      <c r="H68" s="13">
        <f t="shared" si="34"/>
        <v>61.395863732964202</v>
      </c>
      <c r="I68" s="13">
        <f t="shared" si="34"/>
        <v>64.165548378873211</v>
      </c>
      <c r="J68" s="13">
        <f t="shared" si="34"/>
        <v>66.964315005823678</v>
      </c>
      <c r="K68" s="13">
        <f t="shared" si="34"/>
        <v>69.79167658580603</v>
      </c>
      <c r="L68" s="13">
        <f t="shared" si="34"/>
        <v>72.647094520719989</v>
      </c>
      <c r="M68" s="13">
        <f t="shared" si="34"/>
        <v>75.529975856527329</v>
      </c>
      <c r="N68" s="13">
        <f t="shared" si="34"/>
        <v>78.439670364910967</v>
      </c>
      <c r="O68" s="13">
        <f t="shared" si="34"/>
        <v>81.375467486369644</v>
      </c>
      <c r="P68" s="13">
        <f t="shared" si="34"/>
        <v>84.336593128403464</v>
      </c>
      <c r="Q68" s="13">
        <f t="shared" si="34"/>
        <v>87.32220631215759</v>
      </c>
    </row>
    <row r="69" spans="1:17" x14ac:dyDescent="0.25">
      <c r="A69" s="12" t="s">
        <v>80</v>
      </c>
      <c r="B69" s="13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>
        <f>G26</f>
        <v>2141.780473383074</v>
      </c>
    </row>
    <row r="70" spans="1:17" x14ac:dyDescent="0.25">
      <c r="A70" s="12" t="s">
        <v>19</v>
      </c>
      <c r="B70" s="13">
        <f>SUM(B67:B69)</f>
        <v>-445.2</v>
      </c>
      <c r="C70" s="12">
        <f t="shared" ref="C70:Q70" si="35">SUM(C67:C69)</f>
        <v>0</v>
      </c>
      <c r="D70" s="13">
        <f t="shared" si="35"/>
        <v>50.616026130378017</v>
      </c>
      <c r="E70" s="13">
        <f t="shared" si="35"/>
        <v>53.265453409991359</v>
      </c>
      <c r="F70" s="13">
        <f t="shared" si="35"/>
        <v>55.945446479687348</v>
      </c>
      <c r="G70" s="13">
        <f t="shared" si="35"/>
        <v>58.655699185175905</v>
      </c>
      <c r="H70" s="13">
        <f t="shared" si="35"/>
        <v>61.395863732964202</v>
      </c>
      <c r="I70" s="13">
        <f t="shared" si="35"/>
        <v>64.165548378873211</v>
      </c>
      <c r="J70" s="13">
        <f t="shared" si="35"/>
        <v>66.964315005823678</v>
      </c>
      <c r="K70" s="13">
        <f t="shared" si="35"/>
        <v>69.79167658580603</v>
      </c>
      <c r="L70" s="13">
        <f t="shared" si="35"/>
        <v>72.647094520719989</v>
      </c>
      <c r="M70" s="13">
        <f t="shared" si="35"/>
        <v>75.529975856527329</v>
      </c>
      <c r="N70" s="13">
        <f t="shared" si="35"/>
        <v>78.439670364910967</v>
      </c>
      <c r="O70" s="13">
        <f t="shared" si="35"/>
        <v>81.375467486369644</v>
      </c>
      <c r="P70" s="13">
        <f t="shared" si="35"/>
        <v>84.336593128403464</v>
      </c>
      <c r="Q70" s="13">
        <f t="shared" si="35"/>
        <v>2229.1026796952315</v>
      </c>
    </row>
    <row r="71" spans="1:17" x14ac:dyDescent="0.25">
      <c r="A71" s="12" t="s">
        <v>22</v>
      </c>
      <c r="B71" s="64">
        <f>IRR(B70:Q70)</f>
        <v>0.17875531024972813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x14ac:dyDescent="0.25">
      <c r="A7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3">
    <mergeCell ref="E4:F4"/>
    <mergeCell ref="E14:F14"/>
    <mergeCell ref="E19:G19"/>
  </mergeCells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zoomScale="85" zoomScaleNormal="85" workbookViewId="0">
      <selection activeCell="H17" sqref="H17"/>
    </sheetView>
  </sheetViews>
  <sheetFormatPr baseColWidth="10" defaultColWidth="8.7109375" defaultRowHeight="15" x14ac:dyDescent="0.25"/>
  <cols>
    <col min="1" max="1" width="16.5703125" customWidth="1"/>
    <col min="2" max="3" width="7.85546875" customWidth="1"/>
    <col min="4" max="4" width="9.5703125" customWidth="1"/>
    <col min="5" max="5" width="9.7109375" customWidth="1"/>
  </cols>
  <sheetData>
    <row r="1" spans="1:21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1" x14ac:dyDescent="0.25">
      <c r="A2" s="1" t="s">
        <v>81</v>
      </c>
      <c r="R2" t="s">
        <v>1</v>
      </c>
    </row>
    <row r="3" spans="1:21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1" x14ac:dyDescent="0.25">
      <c r="A4" s="12" t="s">
        <v>82</v>
      </c>
      <c r="B4" s="65">
        <f>'tronc commun'!B16</f>
        <v>300</v>
      </c>
      <c r="C4" s="12" t="s">
        <v>4</v>
      </c>
      <c r="E4" s="6" t="s">
        <v>15</v>
      </c>
      <c r="F4" s="5" t="s">
        <v>53</v>
      </c>
      <c r="G4" s="5" t="s">
        <v>54</v>
      </c>
      <c r="H4" s="5" t="s">
        <v>55</v>
      </c>
      <c r="I4" s="5" t="s">
        <v>56</v>
      </c>
      <c r="J4" s="5" t="s">
        <v>57</v>
      </c>
      <c r="K4" s="5" t="s">
        <v>58</v>
      </c>
      <c r="L4" s="5" t="s">
        <v>59</v>
      </c>
      <c r="M4" s="5" t="s">
        <v>60</v>
      </c>
      <c r="N4" s="5" t="s">
        <v>61</v>
      </c>
      <c r="O4" s="5" t="s">
        <v>62</v>
      </c>
      <c r="P4" s="5" t="s">
        <v>63</v>
      </c>
      <c r="Q4" s="5" t="s">
        <v>64</v>
      </c>
      <c r="R4" s="5" t="s">
        <v>65</v>
      </c>
      <c r="S4" s="5" t="s">
        <v>66</v>
      </c>
      <c r="T4" s="5" t="s">
        <v>67</v>
      </c>
    </row>
    <row r="5" spans="1:21" x14ac:dyDescent="0.25">
      <c r="A5" s="12" t="s">
        <v>83</v>
      </c>
      <c r="B5" s="66">
        <f>'tronc commun'!B21</f>
        <v>0.3</v>
      </c>
      <c r="C5" s="67"/>
      <c r="E5" s="12" t="s">
        <v>10</v>
      </c>
      <c r="F5" s="12">
        <f>-B6</f>
        <v>-90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1" x14ac:dyDescent="0.25">
      <c r="A6" s="12" t="s">
        <v>84</v>
      </c>
      <c r="B6" s="65">
        <f>B5*B4</f>
        <v>90</v>
      </c>
      <c r="C6" s="12"/>
      <c r="E6" s="12" t="s">
        <v>13</v>
      </c>
      <c r="F6" s="13">
        <f t="shared" ref="F6:T6" si="0">-C30</f>
        <v>0</v>
      </c>
      <c r="G6" s="13">
        <f t="shared" si="0"/>
        <v>-0.81124999999999936</v>
      </c>
      <c r="H6" s="13">
        <f t="shared" si="0"/>
        <v>-0.11996703124999897</v>
      </c>
      <c r="I6" s="13">
        <f t="shared" si="0"/>
        <v>0.62425107560546778</v>
      </c>
      <c r="J6" s="13">
        <f t="shared" si="0"/>
        <v>1.374169916341625</v>
      </c>
      <c r="K6" s="13">
        <f t="shared" si="0"/>
        <v>2.1283080743956404</v>
      </c>
      <c r="L6" s="13">
        <f t="shared" si="0"/>
        <v>2.8866777185152728</v>
      </c>
      <c r="M6" s="13">
        <f t="shared" si="0"/>
        <v>3.649340653168494</v>
      </c>
      <c r="N6" s="13">
        <f t="shared" si="0"/>
        <v>4.4163612233005836</v>
      </c>
      <c r="O6" s="13">
        <f t="shared" si="0"/>
        <v>5.1878047916685048</v>
      </c>
      <c r="P6" s="13">
        <f t="shared" si="0"/>
        <v>5.9637377031878813</v>
      </c>
      <c r="Q6" s="13">
        <f t="shared" si="0"/>
        <v>6.7442272980040983</v>
      </c>
      <c r="R6" s="13">
        <f t="shared" si="0"/>
        <v>7.5293419263665342</v>
      </c>
      <c r="S6" s="13">
        <f t="shared" si="0"/>
        <v>8.319150963778398</v>
      </c>
      <c r="T6" s="13">
        <f t="shared" si="0"/>
        <v>9.1137248263754174</v>
      </c>
    </row>
    <row r="7" spans="1:21" x14ac:dyDescent="0.25">
      <c r="A7" s="12" t="s">
        <v>12</v>
      </c>
      <c r="B7" s="65">
        <f>B4-B6</f>
        <v>210</v>
      </c>
      <c r="C7" s="12"/>
      <c r="E7" s="12" t="s">
        <v>16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>
        <f>R37-S37*B16</f>
        <v>284.20418189026441</v>
      </c>
    </row>
    <row r="8" spans="1:21" x14ac:dyDescent="0.25">
      <c r="A8" s="12" t="s">
        <v>85</v>
      </c>
      <c r="B8" s="68">
        <v>4.4999999999999998E-2</v>
      </c>
      <c r="C8" s="62"/>
      <c r="E8" s="12" t="s">
        <v>19</v>
      </c>
      <c r="F8" s="91">
        <f>F5+F6+F7</f>
        <v>-90</v>
      </c>
      <c r="G8" s="92">
        <f t="shared" ref="G8:T8" si="1">G5+G6+G7</f>
        <v>-0.81124999999999936</v>
      </c>
      <c r="H8" s="91">
        <f t="shared" si="1"/>
        <v>-0.11996703124999897</v>
      </c>
      <c r="I8" s="91">
        <f t="shared" si="1"/>
        <v>0.62425107560546778</v>
      </c>
      <c r="J8" s="91">
        <f t="shared" si="1"/>
        <v>1.374169916341625</v>
      </c>
      <c r="K8" s="91">
        <f t="shared" si="1"/>
        <v>2.1283080743956404</v>
      </c>
      <c r="L8" s="91">
        <f t="shared" si="1"/>
        <v>2.8866777185152728</v>
      </c>
      <c r="M8" s="91">
        <f t="shared" si="1"/>
        <v>3.649340653168494</v>
      </c>
      <c r="N8" s="91">
        <f t="shared" si="1"/>
        <v>4.4163612233005836</v>
      </c>
      <c r="O8" s="91">
        <f t="shared" si="1"/>
        <v>5.1878047916685048</v>
      </c>
      <c r="P8" s="91">
        <f t="shared" si="1"/>
        <v>5.9637377031878813</v>
      </c>
      <c r="Q8" s="91">
        <f t="shared" si="1"/>
        <v>6.7442272980040983</v>
      </c>
      <c r="R8" s="91">
        <f t="shared" si="1"/>
        <v>7.5293419263665342</v>
      </c>
      <c r="S8" s="91">
        <f t="shared" si="1"/>
        <v>8.319150963778398</v>
      </c>
      <c r="T8" s="91">
        <f t="shared" si="1"/>
        <v>293.31790671663981</v>
      </c>
    </row>
    <row r="9" spans="1:21" x14ac:dyDescent="0.25">
      <c r="A9" s="12" t="s">
        <v>86</v>
      </c>
      <c r="B9" s="69">
        <v>15</v>
      </c>
      <c r="C9" s="13"/>
      <c r="E9" s="39" t="s">
        <v>22</v>
      </c>
      <c r="F9" s="70">
        <f>IRR(F8:T8)</f>
        <v>0.10576848118245996</v>
      </c>
      <c r="G9" s="30"/>
      <c r="H9" s="39" t="s">
        <v>157</v>
      </c>
      <c r="I9" s="118">
        <f>NPV(H17,F8:T8)</f>
        <v>186.68390775583882</v>
      </c>
      <c r="J9" s="30"/>
      <c r="K9" s="135" t="s">
        <v>138</v>
      </c>
      <c r="L9" s="136"/>
      <c r="M9" s="9">
        <f>MIRR(F8:T8,5%,4%)</f>
        <v>0.1014069598169518</v>
      </c>
      <c r="N9" s="30"/>
      <c r="O9" s="30"/>
      <c r="P9" s="30"/>
      <c r="Q9" s="30"/>
      <c r="R9" s="30"/>
      <c r="S9" s="30"/>
      <c r="T9" s="30"/>
    </row>
    <row r="10" spans="1:21" x14ac:dyDescent="0.25">
      <c r="A10" s="12" t="s">
        <v>87</v>
      </c>
      <c r="B10" s="66">
        <f>'tronc commun'!B19</f>
        <v>0.08</v>
      </c>
      <c r="C10" s="64">
        <f>'tronc commun'!C8</f>
        <v>1.4999999999999999E-2</v>
      </c>
      <c r="E10" s="75"/>
    </row>
    <row r="11" spans="1:21" x14ac:dyDescent="0.25">
      <c r="A11" s="12" t="s">
        <v>88</v>
      </c>
      <c r="B11" s="66">
        <f>'tronc commun'!B25</f>
        <v>0.27500000000000002</v>
      </c>
      <c r="C11" s="12"/>
      <c r="E11" s="6" t="s">
        <v>89</v>
      </c>
      <c r="F11" s="5" t="str">
        <f>F4</f>
        <v>A1</v>
      </c>
      <c r="G11" s="5" t="str">
        <f t="shared" ref="G11:T11" si="2">G4</f>
        <v>A2</v>
      </c>
      <c r="H11" s="5" t="str">
        <f t="shared" si="2"/>
        <v>A3</v>
      </c>
      <c r="I11" s="5" t="str">
        <f t="shared" si="2"/>
        <v>A4</v>
      </c>
      <c r="J11" s="5" t="str">
        <f t="shared" si="2"/>
        <v>A5</v>
      </c>
      <c r="K11" s="5" t="str">
        <f t="shared" si="2"/>
        <v>A6</v>
      </c>
      <c r="L11" s="5" t="str">
        <f t="shared" si="2"/>
        <v>A7</v>
      </c>
      <c r="M11" s="5" t="str">
        <f t="shared" si="2"/>
        <v>A8</v>
      </c>
      <c r="N11" s="5" t="str">
        <f t="shared" si="2"/>
        <v>A9</v>
      </c>
      <c r="O11" s="5" t="str">
        <f t="shared" si="2"/>
        <v>A10</v>
      </c>
      <c r="P11" s="5" t="str">
        <f t="shared" si="2"/>
        <v>A11</v>
      </c>
      <c r="Q11" s="5" t="str">
        <f t="shared" si="2"/>
        <v>A12</v>
      </c>
      <c r="R11" s="5" t="str">
        <f t="shared" si="2"/>
        <v>A13</v>
      </c>
      <c r="S11" s="5" t="str">
        <f t="shared" si="2"/>
        <v>A14</v>
      </c>
      <c r="T11" s="5" t="str">
        <f t="shared" si="2"/>
        <v>A15</v>
      </c>
    </row>
    <row r="12" spans="1:21" x14ac:dyDescent="0.25">
      <c r="A12" s="12" t="s">
        <v>90</v>
      </c>
      <c r="B12" s="66">
        <v>0</v>
      </c>
      <c r="C12" s="67"/>
      <c r="E12" s="12" t="s">
        <v>10</v>
      </c>
      <c r="F12" s="12">
        <f>-B6</f>
        <v>-90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2"/>
    </row>
    <row r="13" spans="1:21" x14ac:dyDescent="0.25">
      <c r="A13" s="12" t="s">
        <v>91</v>
      </c>
      <c r="B13" s="71">
        <v>25</v>
      </c>
      <c r="C13" s="67"/>
      <c r="E13" s="12" t="s">
        <v>13</v>
      </c>
      <c r="F13" s="13"/>
      <c r="G13" s="13">
        <f>-D57</f>
        <v>4.7935000000000016</v>
      </c>
      <c r="H13" s="13">
        <f t="shared" ref="H13:T13" si="3">-E57</f>
        <v>5.9706412082883915</v>
      </c>
      <c r="I13" s="13">
        <f t="shared" si="3"/>
        <v>7.0496592731306826</v>
      </c>
      <c r="J13" s="13">
        <f t="shared" si="3"/>
        <v>8.1368057928067259</v>
      </c>
      <c r="K13" s="13">
        <f t="shared" si="3"/>
        <v>9.235463796959408</v>
      </c>
      <c r="L13" s="13">
        <f t="shared" si="3"/>
        <v>10.345917620353553</v>
      </c>
      <c r="M13" s="13">
        <f t="shared" si="3"/>
        <v>11.468361007201629</v>
      </c>
      <c r="N13" s="13">
        <f t="shared" si="3"/>
        <v>12.602987848785951</v>
      </c>
      <c r="O13" s="13">
        <f t="shared" si="3"/>
        <v>13.749994963129694</v>
      </c>
      <c r="P13" s="13">
        <f t="shared" si="3"/>
        <v>14.909582223400204</v>
      </c>
      <c r="Q13" s="13">
        <f t="shared" si="3"/>
        <v>16.081952607051356</v>
      </c>
      <c r="R13" s="13">
        <f t="shared" si="3"/>
        <v>17.267312243260935</v>
      </c>
      <c r="S13" s="13">
        <f t="shared" si="3"/>
        <v>18.465870461011761</v>
      </c>
      <c r="T13" s="13">
        <f t="shared" si="3"/>
        <v>19.677839837897878</v>
      </c>
    </row>
    <row r="14" spans="1:21" x14ac:dyDescent="0.25">
      <c r="A14" s="32" t="s">
        <v>92</v>
      </c>
      <c r="B14" s="72">
        <v>0.02</v>
      </c>
      <c r="C14" s="73"/>
      <c r="E14" s="12" t="s">
        <v>16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3">
        <f>R64</f>
        <v>456.520297914933</v>
      </c>
      <c r="U14" t="s">
        <v>148</v>
      </c>
    </row>
    <row r="15" spans="1:21" x14ac:dyDescent="0.25">
      <c r="A15" s="32" t="s">
        <v>93</v>
      </c>
      <c r="B15" s="89"/>
      <c r="C15" s="73"/>
      <c r="E15" s="12" t="s">
        <v>19</v>
      </c>
      <c r="F15" s="13">
        <f t="shared" ref="F15:T15" si="4">F12+F13+F14</f>
        <v>-90</v>
      </c>
      <c r="G15" s="13">
        <f t="shared" si="4"/>
        <v>4.7935000000000016</v>
      </c>
      <c r="H15" s="13">
        <f t="shared" si="4"/>
        <v>5.9706412082883915</v>
      </c>
      <c r="I15" s="13">
        <f t="shared" si="4"/>
        <v>7.0496592731306826</v>
      </c>
      <c r="J15" s="13">
        <f t="shared" si="4"/>
        <v>8.1368057928067259</v>
      </c>
      <c r="K15" s="13">
        <f t="shared" si="4"/>
        <v>9.235463796959408</v>
      </c>
      <c r="L15" s="13">
        <f t="shared" si="4"/>
        <v>10.345917620353553</v>
      </c>
      <c r="M15" s="13">
        <f t="shared" si="4"/>
        <v>11.468361007201629</v>
      </c>
      <c r="N15" s="13">
        <f t="shared" si="4"/>
        <v>12.602987848785951</v>
      </c>
      <c r="O15" s="13">
        <f t="shared" si="4"/>
        <v>13.749994963129694</v>
      </c>
      <c r="P15" s="13">
        <f t="shared" si="4"/>
        <v>14.909582223400204</v>
      </c>
      <c r="Q15" s="13">
        <f t="shared" si="4"/>
        <v>16.081952607051356</v>
      </c>
      <c r="R15" s="13">
        <f t="shared" si="4"/>
        <v>17.267312243260935</v>
      </c>
      <c r="S15" s="13">
        <f t="shared" si="4"/>
        <v>18.465870461011761</v>
      </c>
      <c r="T15" s="13">
        <f t="shared" si="4"/>
        <v>476.19813775283086</v>
      </c>
    </row>
    <row r="16" spans="1:21" x14ac:dyDescent="0.25">
      <c r="A16" s="32" t="s">
        <v>50</v>
      </c>
      <c r="B16" s="72">
        <v>0.4</v>
      </c>
      <c r="C16" s="73"/>
      <c r="E16" s="39" t="s">
        <v>22</v>
      </c>
      <c r="F16" s="70">
        <f>IRR(F15:T15)</f>
        <v>0.18211615328396169</v>
      </c>
      <c r="G16" s="30"/>
      <c r="H16" s="39" t="s">
        <v>157</v>
      </c>
      <c r="I16" s="118">
        <f>NPV($H$17,F15:T15)</f>
        <v>422.9230663877471</v>
      </c>
      <c r="J16" s="30"/>
      <c r="K16" s="135" t="str">
        <f>K9</f>
        <v>TRIM(5%,4%)</v>
      </c>
      <c r="L16" s="136"/>
      <c r="M16" s="9">
        <f>MIRR(F15:T15,5%,4%)</f>
        <v>0.15357803303778672</v>
      </c>
      <c r="N16" s="30"/>
      <c r="O16" s="30"/>
      <c r="P16" s="30"/>
      <c r="Q16" s="30"/>
      <c r="R16" s="30"/>
      <c r="S16" s="30"/>
      <c r="T16" s="30"/>
    </row>
    <row r="17" spans="1:20" x14ac:dyDescent="0.25">
      <c r="A17" s="32" t="s">
        <v>94</v>
      </c>
      <c r="B17" s="74">
        <v>0.05</v>
      </c>
      <c r="C17" s="73"/>
      <c r="D17" s="50"/>
      <c r="E17" s="75"/>
      <c r="F17" s="90"/>
      <c r="G17" s="50"/>
      <c r="H17" s="54">
        <v>1.4999999999999999E-2</v>
      </c>
      <c r="I17" s="123">
        <f>(I16-I9)/15</f>
        <v>15.749277242127219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2"/>
    </row>
    <row r="18" spans="1:20" x14ac:dyDescent="0.25">
      <c r="A1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9" spans="1:20" x14ac:dyDescent="0.25">
      <c r="A19" s="76" t="s">
        <v>34</v>
      </c>
      <c r="B19" s="77" t="s">
        <v>7</v>
      </c>
      <c r="C19" s="77" t="str">
        <f>F4</f>
        <v>A1</v>
      </c>
      <c r="D19" s="77" t="str">
        <f t="shared" ref="D19:Q19" si="5">G4</f>
        <v>A2</v>
      </c>
      <c r="E19" s="77" t="str">
        <f t="shared" si="5"/>
        <v>A3</v>
      </c>
      <c r="F19" s="77" t="str">
        <f t="shared" si="5"/>
        <v>A4</v>
      </c>
      <c r="G19" s="77" t="str">
        <f t="shared" si="5"/>
        <v>A5</v>
      </c>
      <c r="H19" s="77" t="str">
        <f t="shared" si="5"/>
        <v>A6</v>
      </c>
      <c r="I19" s="77" t="str">
        <f t="shared" si="5"/>
        <v>A7</v>
      </c>
      <c r="J19" s="77" t="str">
        <f t="shared" si="5"/>
        <v>A8</v>
      </c>
      <c r="K19" s="77" t="str">
        <f t="shared" si="5"/>
        <v>A9</v>
      </c>
      <c r="L19" s="77" t="str">
        <f t="shared" si="5"/>
        <v>A10</v>
      </c>
      <c r="M19" s="77" t="str">
        <f t="shared" si="5"/>
        <v>A11</v>
      </c>
      <c r="N19" s="77" t="str">
        <f t="shared" si="5"/>
        <v>A12</v>
      </c>
      <c r="O19" s="77" t="str">
        <f t="shared" si="5"/>
        <v>A13</v>
      </c>
      <c r="P19" s="77" t="str">
        <f t="shared" si="5"/>
        <v>A14</v>
      </c>
      <c r="Q19" s="77" t="str">
        <f t="shared" si="5"/>
        <v>A15</v>
      </c>
      <c r="R19" s="78"/>
    </row>
    <row r="20" spans="1:20" x14ac:dyDescent="0.25">
      <c r="A20" s="79" t="s">
        <v>95</v>
      </c>
      <c r="B20" s="79"/>
      <c r="C20" s="80">
        <f>B10*B4</f>
        <v>24</v>
      </c>
      <c r="D20" s="80">
        <f>C20*(1+$C$10)</f>
        <v>24.36</v>
      </c>
      <c r="E20" s="80">
        <f t="shared" ref="E20:Q20" si="6">D20*(1+$C$10)</f>
        <v>24.725399999999997</v>
      </c>
      <c r="F20" s="80">
        <f t="shared" si="6"/>
        <v>25.096280999999994</v>
      </c>
      <c r="G20" s="80">
        <f t="shared" si="6"/>
        <v>25.47272521499999</v>
      </c>
      <c r="H20" s="80">
        <f t="shared" si="6"/>
        <v>25.854816093224986</v>
      </c>
      <c r="I20" s="80">
        <f t="shared" si="6"/>
        <v>26.242638334623358</v>
      </c>
      <c r="J20" s="80">
        <f t="shared" si="6"/>
        <v>26.636277909642704</v>
      </c>
      <c r="K20" s="80">
        <f t="shared" si="6"/>
        <v>27.035822078287342</v>
      </c>
      <c r="L20" s="80">
        <f t="shared" si="6"/>
        <v>27.441359409461651</v>
      </c>
      <c r="M20" s="80">
        <f t="shared" si="6"/>
        <v>27.852979800603574</v>
      </c>
      <c r="N20" s="80">
        <f t="shared" si="6"/>
        <v>28.270774497612624</v>
      </c>
      <c r="O20" s="80">
        <f t="shared" si="6"/>
        <v>28.694836115076811</v>
      </c>
      <c r="P20" s="80">
        <f t="shared" si="6"/>
        <v>29.125258656802959</v>
      </c>
      <c r="Q20" s="80">
        <f t="shared" si="6"/>
        <v>29.562137536655001</v>
      </c>
      <c r="R20" s="78"/>
    </row>
    <row r="21" spans="1:20" x14ac:dyDescent="0.25">
      <c r="A21" s="79" t="s">
        <v>90</v>
      </c>
      <c r="B21" s="79"/>
      <c r="C21" s="80">
        <f t="shared" ref="C21:Q21" si="7">$B$12*C20</f>
        <v>0</v>
      </c>
      <c r="D21" s="80">
        <f t="shared" si="7"/>
        <v>0</v>
      </c>
      <c r="E21" s="80">
        <f t="shared" si="7"/>
        <v>0</v>
      </c>
      <c r="F21" s="80">
        <f t="shared" si="7"/>
        <v>0</v>
      </c>
      <c r="G21" s="80">
        <f t="shared" si="7"/>
        <v>0</v>
      </c>
      <c r="H21" s="80">
        <f t="shared" si="7"/>
        <v>0</v>
      </c>
      <c r="I21" s="80">
        <f t="shared" si="7"/>
        <v>0</v>
      </c>
      <c r="J21" s="80">
        <f t="shared" si="7"/>
        <v>0</v>
      </c>
      <c r="K21" s="80">
        <f t="shared" si="7"/>
        <v>0</v>
      </c>
      <c r="L21" s="80">
        <f t="shared" si="7"/>
        <v>0</v>
      </c>
      <c r="M21" s="80">
        <f t="shared" si="7"/>
        <v>0</v>
      </c>
      <c r="N21" s="80">
        <f t="shared" si="7"/>
        <v>0</v>
      </c>
      <c r="O21" s="80">
        <f t="shared" si="7"/>
        <v>0</v>
      </c>
      <c r="P21" s="80">
        <f t="shared" si="7"/>
        <v>0</v>
      </c>
      <c r="Q21" s="80">
        <f t="shared" si="7"/>
        <v>0</v>
      </c>
      <c r="R21" s="78"/>
    </row>
    <row r="22" spans="1:20" x14ac:dyDescent="0.25">
      <c r="A22" s="79" t="s">
        <v>96</v>
      </c>
      <c r="B22" s="79"/>
      <c r="C22" s="80">
        <f>B4*80%/B13</f>
        <v>9.6</v>
      </c>
      <c r="D22" s="80">
        <f>C22</f>
        <v>9.6</v>
      </c>
      <c r="E22" s="80">
        <f t="shared" ref="E22:Q22" si="8">D22</f>
        <v>9.6</v>
      </c>
      <c r="F22" s="80">
        <f t="shared" si="8"/>
        <v>9.6</v>
      </c>
      <c r="G22" s="80">
        <f t="shared" si="8"/>
        <v>9.6</v>
      </c>
      <c r="H22" s="80">
        <f t="shared" si="8"/>
        <v>9.6</v>
      </c>
      <c r="I22" s="80">
        <f t="shared" si="8"/>
        <v>9.6</v>
      </c>
      <c r="J22" s="80">
        <f t="shared" si="8"/>
        <v>9.6</v>
      </c>
      <c r="K22" s="80">
        <f t="shared" si="8"/>
        <v>9.6</v>
      </c>
      <c r="L22" s="80">
        <f t="shared" si="8"/>
        <v>9.6</v>
      </c>
      <c r="M22" s="80">
        <f t="shared" si="8"/>
        <v>9.6</v>
      </c>
      <c r="N22" s="80">
        <f t="shared" si="8"/>
        <v>9.6</v>
      </c>
      <c r="O22" s="80">
        <f t="shared" si="8"/>
        <v>9.6</v>
      </c>
      <c r="P22" s="80">
        <f t="shared" si="8"/>
        <v>9.6</v>
      </c>
      <c r="Q22" s="80">
        <f t="shared" si="8"/>
        <v>9.6</v>
      </c>
      <c r="R22" s="78"/>
    </row>
    <row r="23" spans="1:20" x14ac:dyDescent="0.25">
      <c r="A23" s="79" t="s">
        <v>97</v>
      </c>
      <c r="B23" s="79"/>
      <c r="C23" s="80">
        <f>C20-C21-C22</f>
        <v>14.4</v>
      </c>
      <c r="D23" s="80">
        <f t="shared" ref="D23:Q23" si="9">D20-D21-D22</f>
        <v>14.76</v>
      </c>
      <c r="E23" s="80">
        <f t="shared" si="9"/>
        <v>15.125399999999997</v>
      </c>
      <c r="F23" s="80">
        <f t="shared" si="9"/>
        <v>15.496280999999994</v>
      </c>
      <c r="G23" s="80">
        <f t="shared" si="9"/>
        <v>15.87272521499999</v>
      </c>
      <c r="H23" s="80">
        <f t="shared" si="9"/>
        <v>16.254816093224989</v>
      </c>
      <c r="I23" s="80">
        <f t="shared" si="9"/>
        <v>16.642638334623356</v>
      </c>
      <c r="J23" s="80">
        <f t="shared" si="9"/>
        <v>17.036277909642706</v>
      </c>
      <c r="K23" s="80">
        <f t="shared" si="9"/>
        <v>17.435822078287345</v>
      </c>
      <c r="L23" s="80">
        <f t="shared" si="9"/>
        <v>17.841359409461653</v>
      </c>
      <c r="M23" s="80">
        <f t="shared" si="9"/>
        <v>18.252979800603576</v>
      </c>
      <c r="N23" s="80">
        <f t="shared" si="9"/>
        <v>18.670774497612626</v>
      </c>
      <c r="O23" s="80">
        <f t="shared" si="9"/>
        <v>19.094836115076809</v>
      </c>
      <c r="P23" s="80">
        <f t="shared" si="9"/>
        <v>19.525258656802961</v>
      </c>
      <c r="Q23" s="80">
        <f t="shared" si="9"/>
        <v>19.962137536655</v>
      </c>
      <c r="R23" s="78"/>
    </row>
    <row r="24" spans="1:20" x14ac:dyDescent="0.25">
      <c r="A24" s="79" t="s">
        <v>98</v>
      </c>
      <c r="B24" s="79"/>
      <c r="C24" s="80">
        <f>-(B38-B41)*$B$8</f>
        <v>-9.4499999999999993</v>
      </c>
      <c r="D24" s="80">
        <f t="shared" ref="D24:Q24" si="10">-(C38-C41)*$B$8</f>
        <v>-8.8565062499999989</v>
      </c>
      <c r="E24" s="80">
        <f t="shared" si="10"/>
        <v>-8.1953985164062484</v>
      </c>
      <c r="F24" s="80">
        <f t="shared" si="10"/>
        <v>-7.5319087015977537</v>
      </c>
      <c r="G24" s="80">
        <f t="shared" si="10"/>
        <v>-6.8681623537646264</v>
      </c>
      <c r="H24" s="80">
        <f t="shared" si="10"/>
        <v>-6.2042261366521956</v>
      </c>
      <c r="I24" s="80">
        <f t="shared" si="10"/>
        <v>-5.5400995026668127</v>
      </c>
      <c r="J24" s="80">
        <f t="shared" si="10"/>
        <v>-4.8757796706074172</v>
      </c>
      <c r="K24" s="80">
        <f t="shared" si="10"/>
        <v>-4.2112637449514736</v>
      </c>
      <c r="L24" s="80">
        <f t="shared" si="10"/>
        <v>-3.5465487843749175</v>
      </c>
      <c r="M24" s="80">
        <f t="shared" si="10"/>
        <v>-2.8816318033565449</v>
      </c>
      <c r="N24" s="80">
        <f t="shared" si="10"/>
        <v>-2.2165097715898154</v>
      </c>
      <c r="O24" s="80">
        <f t="shared" si="10"/>
        <v>-1.5511796133135058</v>
      </c>
      <c r="P24" s="80">
        <f t="shared" si="10"/>
        <v>-0.88563820662997206</v>
      </c>
      <c r="Q24" s="80">
        <f t="shared" si="10"/>
        <v>-0.21988238281310621</v>
      </c>
      <c r="R24" s="78"/>
    </row>
    <row r="25" spans="1:20" x14ac:dyDescent="0.25">
      <c r="A25" s="79" t="s">
        <v>88</v>
      </c>
      <c r="B25" s="79"/>
      <c r="C25" s="80">
        <f t="shared" ref="C25:Q25" si="11">-(C23+C24)*$B$11</f>
        <v>-1.3612500000000003</v>
      </c>
      <c r="D25" s="80">
        <f t="shared" si="11"/>
        <v>-1.6234607812500004</v>
      </c>
      <c r="E25" s="80">
        <f t="shared" si="11"/>
        <v>-1.905750407988281</v>
      </c>
      <c r="F25" s="80">
        <f t="shared" si="11"/>
        <v>-2.1902023820606162</v>
      </c>
      <c r="G25" s="80">
        <f t="shared" si="11"/>
        <v>-2.4762547868397253</v>
      </c>
      <c r="H25" s="80">
        <f t="shared" si="11"/>
        <v>-2.7639122380575185</v>
      </c>
      <c r="I25" s="80">
        <f t="shared" si="11"/>
        <v>-3.0531981787880498</v>
      </c>
      <c r="J25" s="80">
        <f t="shared" si="11"/>
        <v>-3.3441370157347046</v>
      </c>
      <c r="K25" s="80">
        <f t="shared" si="11"/>
        <v>-3.6367535416673649</v>
      </c>
      <c r="L25" s="80">
        <f t="shared" si="11"/>
        <v>-3.9310729218988527</v>
      </c>
      <c r="M25" s="80">
        <f t="shared" si="11"/>
        <v>-4.227120699242934</v>
      </c>
      <c r="N25" s="80">
        <f t="shared" si="11"/>
        <v>-4.5249227996562729</v>
      </c>
      <c r="O25" s="80">
        <f t="shared" si="11"/>
        <v>-4.8245055379849093</v>
      </c>
      <c r="P25" s="80">
        <f t="shared" si="11"/>
        <v>-5.1258956237975717</v>
      </c>
      <c r="Q25" s="80">
        <f t="shared" si="11"/>
        <v>-5.4291201673065208</v>
      </c>
      <c r="R25" s="78"/>
    </row>
    <row r="26" spans="1:20" x14ac:dyDescent="0.25">
      <c r="A26" s="79" t="s">
        <v>71</v>
      </c>
      <c r="B26" s="79"/>
      <c r="C26" s="80">
        <f>C23+C24+C25</f>
        <v>3.588750000000001</v>
      </c>
      <c r="D26" s="80">
        <f t="shared" ref="D26:Q26" si="12">D23+D24+D25</f>
        <v>4.2800329687500005</v>
      </c>
      <c r="E26" s="80">
        <f t="shared" si="12"/>
        <v>5.0242510756054681</v>
      </c>
      <c r="F26" s="80">
        <f t="shared" si="12"/>
        <v>5.7741699163416245</v>
      </c>
      <c r="G26" s="80">
        <f t="shared" si="12"/>
        <v>6.528308074395639</v>
      </c>
      <c r="H26" s="80">
        <f t="shared" si="12"/>
        <v>7.2866777185152749</v>
      </c>
      <c r="I26" s="80">
        <f t="shared" si="12"/>
        <v>8.0493406531684943</v>
      </c>
      <c r="J26" s="80">
        <f t="shared" si="12"/>
        <v>8.8163612233005839</v>
      </c>
      <c r="K26" s="80">
        <f t="shared" si="12"/>
        <v>9.587804791668507</v>
      </c>
      <c r="L26" s="80">
        <f t="shared" si="12"/>
        <v>10.363737703187883</v>
      </c>
      <c r="M26" s="80">
        <f t="shared" si="12"/>
        <v>11.144227298004097</v>
      </c>
      <c r="N26" s="80">
        <f t="shared" si="12"/>
        <v>11.929341926366536</v>
      </c>
      <c r="O26" s="80">
        <f t="shared" si="12"/>
        <v>12.719150963778397</v>
      </c>
      <c r="P26" s="80">
        <f t="shared" si="12"/>
        <v>13.513724826375416</v>
      </c>
      <c r="Q26" s="80">
        <f t="shared" si="12"/>
        <v>14.313134986535371</v>
      </c>
      <c r="R26" s="78"/>
    </row>
    <row r="27" spans="1:20" x14ac:dyDescent="0.25">
      <c r="A27" s="7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7" s="78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78"/>
    </row>
    <row r="28" spans="1:20" x14ac:dyDescent="0.25">
      <c r="A28" s="76"/>
      <c r="B28" s="77" t="str">
        <f>B19</f>
        <v>A0</v>
      </c>
      <c r="C28" s="82" t="str">
        <f t="shared" ref="C28:Q28" si="13">C19</f>
        <v>A1</v>
      </c>
      <c r="D28" s="82" t="str">
        <f t="shared" si="13"/>
        <v>A2</v>
      </c>
      <c r="E28" s="82" t="str">
        <f t="shared" si="13"/>
        <v>A3</v>
      </c>
      <c r="F28" s="82" t="str">
        <f t="shared" si="13"/>
        <v>A4</v>
      </c>
      <c r="G28" s="82" t="str">
        <f t="shared" si="13"/>
        <v>A5</v>
      </c>
      <c r="H28" s="82" t="str">
        <f t="shared" si="13"/>
        <v>A6</v>
      </c>
      <c r="I28" s="82" t="str">
        <f t="shared" si="13"/>
        <v>A7</v>
      </c>
      <c r="J28" s="82" t="str">
        <f t="shared" si="13"/>
        <v>A8</v>
      </c>
      <c r="K28" s="82" t="str">
        <f t="shared" si="13"/>
        <v>A9</v>
      </c>
      <c r="L28" s="82" t="str">
        <f t="shared" si="13"/>
        <v>A10</v>
      </c>
      <c r="M28" s="82" t="str">
        <f t="shared" si="13"/>
        <v>A11</v>
      </c>
      <c r="N28" s="82" t="str">
        <f t="shared" si="13"/>
        <v>A12</v>
      </c>
      <c r="O28" s="82" t="str">
        <f t="shared" si="13"/>
        <v>A13</v>
      </c>
      <c r="P28" s="82" t="str">
        <f t="shared" si="13"/>
        <v>A14</v>
      </c>
      <c r="Q28" s="82" t="str">
        <f t="shared" si="13"/>
        <v>A15</v>
      </c>
      <c r="R28" s="78"/>
    </row>
    <row r="29" spans="1:20" x14ac:dyDescent="0.25">
      <c r="A29" s="79" t="s">
        <v>72</v>
      </c>
      <c r="B29" s="79"/>
      <c r="C29" s="80">
        <f>C26+C22</f>
        <v>13.188750000000001</v>
      </c>
      <c r="D29" s="80">
        <f t="shared" ref="D29:Q29" si="14">D26+D22</f>
        <v>13.880032968750001</v>
      </c>
      <c r="E29" s="80">
        <f t="shared" si="14"/>
        <v>14.624251075605468</v>
      </c>
      <c r="F29" s="80">
        <f t="shared" si="14"/>
        <v>15.374169916341625</v>
      </c>
      <c r="G29" s="80">
        <f t="shared" si="14"/>
        <v>16.12830807439564</v>
      </c>
      <c r="H29" s="80">
        <f t="shared" si="14"/>
        <v>16.886677718515273</v>
      </c>
      <c r="I29" s="80">
        <f t="shared" si="14"/>
        <v>17.649340653168494</v>
      </c>
      <c r="J29" s="80">
        <f t="shared" si="14"/>
        <v>18.416361223300584</v>
      </c>
      <c r="K29" s="80">
        <f t="shared" si="14"/>
        <v>19.187804791668505</v>
      </c>
      <c r="L29" s="80">
        <f t="shared" si="14"/>
        <v>19.963737703187881</v>
      </c>
      <c r="M29" s="80">
        <f t="shared" si="14"/>
        <v>20.744227298004098</v>
      </c>
      <c r="N29" s="80">
        <f t="shared" si="14"/>
        <v>21.529341926366534</v>
      </c>
      <c r="O29" s="80">
        <f t="shared" si="14"/>
        <v>22.319150963778398</v>
      </c>
      <c r="P29" s="80">
        <f t="shared" si="14"/>
        <v>23.113724826375417</v>
      </c>
      <c r="Q29" s="80">
        <f t="shared" si="14"/>
        <v>23.913134986535368</v>
      </c>
      <c r="R29" s="78"/>
    </row>
    <row r="30" spans="1:20" x14ac:dyDescent="0.25">
      <c r="A30" s="79" t="s">
        <v>9</v>
      </c>
      <c r="B30" s="79"/>
      <c r="C30" s="80"/>
      <c r="D30" s="80">
        <f>-C34</f>
        <v>0.81124999999999936</v>
      </c>
      <c r="E30" s="80">
        <f t="shared" ref="E30:Q30" si="15">-D34</f>
        <v>0.11996703124999897</v>
      </c>
      <c r="F30" s="80">
        <f t="shared" si="15"/>
        <v>-0.62425107560546778</v>
      </c>
      <c r="G30" s="80">
        <f t="shared" si="15"/>
        <v>-1.374169916341625</v>
      </c>
      <c r="H30" s="80">
        <f t="shared" si="15"/>
        <v>-2.1283080743956404</v>
      </c>
      <c r="I30" s="80">
        <f t="shared" si="15"/>
        <v>-2.8866777185152728</v>
      </c>
      <c r="J30" s="80">
        <f t="shared" si="15"/>
        <v>-3.649340653168494</v>
      </c>
      <c r="K30" s="80">
        <f t="shared" si="15"/>
        <v>-4.4163612233005836</v>
      </c>
      <c r="L30" s="80">
        <f t="shared" si="15"/>
        <v>-5.1878047916685048</v>
      </c>
      <c r="M30" s="80">
        <f t="shared" si="15"/>
        <v>-5.9637377031878813</v>
      </c>
      <c r="N30" s="80">
        <f t="shared" si="15"/>
        <v>-6.7442272980040983</v>
      </c>
      <c r="O30" s="80">
        <f t="shared" si="15"/>
        <v>-7.5293419263665342</v>
      </c>
      <c r="P30" s="80">
        <f t="shared" si="15"/>
        <v>-8.319150963778398</v>
      </c>
      <c r="Q30" s="80">
        <f t="shared" si="15"/>
        <v>-9.1137248263754174</v>
      </c>
      <c r="R30" s="78"/>
    </row>
    <row r="31" spans="1:20" x14ac:dyDescent="0.25">
      <c r="A31" s="79" t="s">
        <v>12</v>
      </c>
      <c r="B31" s="79"/>
      <c r="C31" s="80">
        <f>-B7/$B$9</f>
        <v>-14</v>
      </c>
      <c r="D31" s="80">
        <f>C31</f>
        <v>-14</v>
      </c>
      <c r="E31" s="80">
        <f t="shared" ref="E31:Q31" si="16">D31</f>
        <v>-14</v>
      </c>
      <c r="F31" s="80">
        <f t="shared" si="16"/>
        <v>-14</v>
      </c>
      <c r="G31" s="80">
        <f t="shared" si="16"/>
        <v>-14</v>
      </c>
      <c r="H31" s="80">
        <f t="shared" si="16"/>
        <v>-14</v>
      </c>
      <c r="I31" s="80">
        <f t="shared" si="16"/>
        <v>-14</v>
      </c>
      <c r="J31" s="80">
        <f t="shared" si="16"/>
        <v>-14</v>
      </c>
      <c r="K31" s="80">
        <f t="shared" si="16"/>
        <v>-14</v>
      </c>
      <c r="L31" s="80">
        <f t="shared" si="16"/>
        <v>-14</v>
      </c>
      <c r="M31" s="80">
        <f t="shared" si="16"/>
        <v>-14</v>
      </c>
      <c r="N31" s="80">
        <f t="shared" si="16"/>
        <v>-14</v>
      </c>
      <c r="O31" s="80">
        <f t="shared" si="16"/>
        <v>-14</v>
      </c>
      <c r="P31" s="80">
        <f t="shared" si="16"/>
        <v>-14</v>
      </c>
      <c r="Q31" s="80">
        <f t="shared" si="16"/>
        <v>-14</v>
      </c>
      <c r="R31" s="78"/>
    </row>
    <row r="32" spans="1:20" x14ac:dyDescent="0.25">
      <c r="A32" s="79" t="s">
        <v>10</v>
      </c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78"/>
    </row>
    <row r="33" spans="1:19" x14ac:dyDescent="0.25">
      <c r="A33" s="79" t="s">
        <v>99</v>
      </c>
      <c r="B33" s="79"/>
      <c r="C33" s="80">
        <f>B34</f>
        <v>0</v>
      </c>
      <c r="D33" s="80">
        <f t="shared" ref="D33:Q33" si="17">C34</f>
        <v>-0.81124999999999936</v>
      </c>
      <c r="E33" s="80">
        <f t="shared" si="17"/>
        <v>-0.11996703124999897</v>
      </c>
      <c r="F33" s="80">
        <f t="shared" si="17"/>
        <v>0.62425107560546778</v>
      </c>
      <c r="G33" s="80">
        <f t="shared" si="17"/>
        <v>1.374169916341625</v>
      </c>
      <c r="H33" s="80">
        <f t="shared" si="17"/>
        <v>2.1283080743956404</v>
      </c>
      <c r="I33" s="80">
        <f t="shared" si="17"/>
        <v>2.8866777185152728</v>
      </c>
      <c r="J33" s="80">
        <f t="shared" si="17"/>
        <v>3.649340653168494</v>
      </c>
      <c r="K33" s="80">
        <f t="shared" si="17"/>
        <v>4.4163612233005836</v>
      </c>
      <c r="L33" s="80">
        <f t="shared" si="17"/>
        <v>5.1878047916685048</v>
      </c>
      <c r="M33" s="80">
        <f t="shared" si="17"/>
        <v>5.9637377031878813</v>
      </c>
      <c r="N33" s="80">
        <f t="shared" si="17"/>
        <v>6.7442272980040983</v>
      </c>
      <c r="O33" s="80">
        <f t="shared" si="17"/>
        <v>7.5293419263665342</v>
      </c>
      <c r="P33" s="80">
        <f t="shared" si="17"/>
        <v>8.319150963778398</v>
      </c>
      <c r="Q33" s="80">
        <f t="shared" si="17"/>
        <v>9.1137248263754174</v>
      </c>
      <c r="R33" s="78"/>
    </row>
    <row r="34" spans="1:19" x14ac:dyDescent="0.25">
      <c r="A34" s="79" t="s">
        <v>100</v>
      </c>
      <c r="B34" s="79"/>
      <c r="C34" s="80">
        <f>SUM(C29:C33)</f>
        <v>-0.81124999999999936</v>
      </c>
      <c r="D34" s="80">
        <f t="shared" ref="D34:Q34" si="18">SUM(D29:D33)</f>
        <v>-0.11996703124999897</v>
      </c>
      <c r="E34" s="80">
        <f t="shared" si="18"/>
        <v>0.62425107560546778</v>
      </c>
      <c r="F34" s="80">
        <f t="shared" si="18"/>
        <v>1.374169916341625</v>
      </c>
      <c r="G34" s="80">
        <f t="shared" si="18"/>
        <v>2.1283080743956404</v>
      </c>
      <c r="H34" s="80">
        <f t="shared" si="18"/>
        <v>2.8866777185152728</v>
      </c>
      <c r="I34" s="80">
        <f t="shared" si="18"/>
        <v>3.649340653168494</v>
      </c>
      <c r="J34" s="80">
        <f t="shared" si="18"/>
        <v>4.4163612233005836</v>
      </c>
      <c r="K34" s="80">
        <f t="shared" si="18"/>
        <v>5.1878047916685048</v>
      </c>
      <c r="L34" s="80">
        <f t="shared" si="18"/>
        <v>5.9637377031878813</v>
      </c>
      <c r="M34" s="80">
        <f t="shared" si="18"/>
        <v>6.7442272980040983</v>
      </c>
      <c r="N34" s="80">
        <f t="shared" si="18"/>
        <v>7.5293419263665342</v>
      </c>
      <c r="O34" s="80">
        <f t="shared" si="18"/>
        <v>8.319150963778398</v>
      </c>
      <c r="P34" s="80">
        <f t="shared" si="18"/>
        <v>9.1137248263754174</v>
      </c>
      <c r="Q34" s="80">
        <f t="shared" si="18"/>
        <v>9.9131349865353684</v>
      </c>
      <c r="R34" s="78"/>
    </row>
    <row r="35" spans="1:19" x14ac:dyDescent="0.25">
      <c r="A35" s="7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5" s="78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78"/>
    </row>
    <row r="36" spans="1:19" x14ac:dyDescent="0.25">
      <c r="A36" s="76"/>
      <c r="B36" s="77" t="str">
        <f>B28</f>
        <v>A0</v>
      </c>
      <c r="C36" s="82" t="str">
        <f t="shared" ref="C36:Q36" si="19">C28</f>
        <v>A1</v>
      </c>
      <c r="D36" s="82" t="str">
        <f t="shared" si="19"/>
        <v>A2</v>
      </c>
      <c r="E36" s="82" t="str">
        <f t="shared" si="19"/>
        <v>A3</v>
      </c>
      <c r="F36" s="82" t="str">
        <f t="shared" si="19"/>
        <v>A4</v>
      </c>
      <c r="G36" s="82" t="str">
        <f t="shared" si="19"/>
        <v>A5</v>
      </c>
      <c r="H36" s="82" t="str">
        <f t="shared" si="19"/>
        <v>A6</v>
      </c>
      <c r="I36" s="82" t="str">
        <f t="shared" si="19"/>
        <v>A7</v>
      </c>
      <c r="J36" s="82" t="str">
        <f t="shared" si="19"/>
        <v>A8</v>
      </c>
      <c r="K36" s="82" t="str">
        <f t="shared" si="19"/>
        <v>A9</v>
      </c>
      <c r="L36" s="82" t="str">
        <f t="shared" si="19"/>
        <v>A10</v>
      </c>
      <c r="M36" s="82" t="str">
        <f t="shared" si="19"/>
        <v>A11</v>
      </c>
      <c r="N36" s="82" t="str">
        <f t="shared" si="19"/>
        <v>A12</v>
      </c>
      <c r="O36" s="82" t="str">
        <f t="shared" si="19"/>
        <v>A13</v>
      </c>
      <c r="P36" s="82" t="str">
        <f t="shared" si="19"/>
        <v>A14</v>
      </c>
      <c r="Q36" s="82" t="str">
        <f t="shared" si="19"/>
        <v>A15</v>
      </c>
      <c r="R36" s="83" t="s">
        <v>101</v>
      </c>
      <c r="S36" s="84" t="s">
        <v>102</v>
      </c>
    </row>
    <row r="37" spans="1:19" x14ac:dyDescent="0.25">
      <c r="A37" s="79" t="s">
        <v>9</v>
      </c>
      <c r="B37" s="79">
        <f>$B$6</f>
        <v>90</v>
      </c>
      <c r="C37" s="80">
        <f>B37+C26+C30</f>
        <v>93.588750000000005</v>
      </c>
      <c r="D37" s="80">
        <f t="shared" ref="D37:Q37" si="20">C37+D26+D30</f>
        <v>98.680032968750012</v>
      </c>
      <c r="E37" s="80">
        <f t="shared" si="20"/>
        <v>103.82425107560547</v>
      </c>
      <c r="F37" s="80">
        <f t="shared" si="20"/>
        <v>108.97416991634162</v>
      </c>
      <c r="G37" s="80">
        <f t="shared" si="20"/>
        <v>114.12830807439563</v>
      </c>
      <c r="H37" s="80">
        <f t="shared" si="20"/>
        <v>119.28667771851528</v>
      </c>
      <c r="I37" s="80">
        <f t="shared" si="20"/>
        <v>124.44934065316851</v>
      </c>
      <c r="J37" s="80">
        <f t="shared" si="20"/>
        <v>129.6163612233006</v>
      </c>
      <c r="K37" s="80">
        <f t="shared" si="20"/>
        <v>134.78780479166852</v>
      </c>
      <c r="L37" s="80">
        <f t="shared" si="20"/>
        <v>139.96373770318792</v>
      </c>
      <c r="M37" s="80">
        <f t="shared" si="20"/>
        <v>145.14422729800413</v>
      </c>
      <c r="N37" s="80">
        <f t="shared" si="20"/>
        <v>150.32934192636657</v>
      </c>
      <c r="O37" s="80">
        <f t="shared" si="20"/>
        <v>155.51915096377843</v>
      </c>
      <c r="P37" s="80">
        <f t="shared" si="20"/>
        <v>160.71372482637543</v>
      </c>
      <c r="Q37" s="80">
        <f t="shared" si="20"/>
        <v>165.9131349865354</v>
      </c>
      <c r="R37" s="80">
        <f>R42-R38</f>
        <v>413.67363648377409</v>
      </c>
      <c r="S37" s="85">
        <f>R37-B37</f>
        <v>323.67363648377409</v>
      </c>
    </row>
    <row r="38" spans="1:19" x14ac:dyDescent="0.25">
      <c r="A38" s="79" t="s">
        <v>12</v>
      </c>
      <c r="B38" s="79">
        <f>$B$7</f>
        <v>210</v>
      </c>
      <c r="C38" s="80">
        <f>B38+C31</f>
        <v>196</v>
      </c>
      <c r="D38" s="80">
        <f t="shared" ref="D38:Q38" si="21">C38+D31</f>
        <v>182</v>
      </c>
      <c r="E38" s="80">
        <f t="shared" si="21"/>
        <v>168</v>
      </c>
      <c r="F38" s="80">
        <f t="shared" si="21"/>
        <v>154</v>
      </c>
      <c r="G38" s="80">
        <f t="shared" si="21"/>
        <v>140</v>
      </c>
      <c r="H38" s="80">
        <f t="shared" si="21"/>
        <v>126</v>
      </c>
      <c r="I38" s="80">
        <f t="shared" si="21"/>
        <v>112</v>
      </c>
      <c r="J38" s="80">
        <f t="shared" si="21"/>
        <v>98</v>
      </c>
      <c r="K38" s="80">
        <f t="shared" si="21"/>
        <v>84</v>
      </c>
      <c r="L38" s="80">
        <f t="shared" si="21"/>
        <v>70</v>
      </c>
      <c r="M38" s="80">
        <f t="shared" si="21"/>
        <v>56</v>
      </c>
      <c r="N38" s="80">
        <f t="shared" si="21"/>
        <v>42</v>
      </c>
      <c r="O38" s="80">
        <f t="shared" si="21"/>
        <v>28</v>
      </c>
      <c r="P38" s="80">
        <f t="shared" si="21"/>
        <v>14</v>
      </c>
      <c r="Q38" s="80">
        <f t="shared" si="21"/>
        <v>0</v>
      </c>
      <c r="R38" s="80">
        <f>Q38</f>
        <v>0</v>
      </c>
    </row>
    <row r="39" spans="1:19" x14ac:dyDescent="0.25">
      <c r="A39" s="79"/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79"/>
    </row>
    <row r="40" spans="1:19" x14ac:dyDescent="0.25">
      <c r="A40" s="79" t="s">
        <v>103</v>
      </c>
      <c r="B40" s="79">
        <f>$B$4</f>
        <v>300</v>
      </c>
      <c r="C40" s="80">
        <f>B40-C22</f>
        <v>290.39999999999998</v>
      </c>
      <c r="D40" s="80">
        <f t="shared" ref="D40:Q40" si="22">C40-D22</f>
        <v>280.79999999999995</v>
      </c>
      <c r="E40" s="80">
        <f t="shared" si="22"/>
        <v>271.19999999999993</v>
      </c>
      <c r="F40" s="80">
        <f t="shared" si="22"/>
        <v>261.59999999999991</v>
      </c>
      <c r="G40" s="80">
        <f t="shared" si="22"/>
        <v>251.99999999999991</v>
      </c>
      <c r="H40" s="80">
        <f t="shared" si="22"/>
        <v>242.39999999999992</v>
      </c>
      <c r="I40" s="80">
        <f t="shared" si="22"/>
        <v>232.79999999999993</v>
      </c>
      <c r="J40" s="80">
        <f t="shared" si="22"/>
        <v>223.19999999999993</v>
      </c>
      <c r="K40" s="80">
        <f t="shared" si="22"/>
        <v>213.59999999999994</v>
      </c>
      <c r="L40" s="80">
        <f t="shared" si="22"/>
        <v>203.99999999999994</v>
      </c>
      <c r="M40" s="80">
        <f t="shared" si="22"/>
        <v>194.39999999999995</v>
      </c>
      <c r="N40" s="80">
        <f t="shared" si="22"/>
        <v>184.79999999999995</v>
      </c>
      <c r="O40" s="80">
        <f t="shared" si="22"/>
        <v>175.19999999999996</v>
      </c>
      <c r="P40" s="80">
        <f t="shared" si="22"/>
        <v>165.59999999999997</v>
      </c>
      <c r="Q40" s="80">
        <f t="shared" si="22"/>
        <v>155.99999999999997</v>
      </c>
      <c r="R40" s="80">
        <f>B4*POWER((1+B14),15)</f>
        <v>403.76050149723875</v>
      </c>
    </row>
    <row r="41" spans="1:19" x14ac:dyDescent="0.25">
      <c r="A41" s="79" t="s">
        <v>24</v>
      </c>
      <c r="B41" s="79"/>
      <c r="C41" s="80">
        <f>C34</f>
        <v>-0.81124999999999936</v>
      </c>
      <c r="D41" s="80">
        <f t="shared" ref="D41:Q41" si="23">D34</f>
        <v>-0.11996703124999897</v>
      </c>
      <c r="E41" s="80">
        <f t="shared" si="23"/>
        <v>0.62425107560546778</v>
      </c>
      <c r="F41" s="80">
        <f t="shared" si="23"/>
        <v>1.374169916341625</v>
      </c>
      <c r="G41" s="80">
        <f t="shared" si="23"/>
        <v>2.1283080743956404</v>
      </c>
      <c r="H41" s="80">
        <f t="shared" si="23"/>
        <v>2.8866777185152728</v>
      </c>
      <c r="I41" s="80">
        <f t="shared" si="23"/>
        <v>3.649340653168494</v>
      </c>
      <c r="J41" s="80">
        <f t="shared" si="23"/>
        <v>4.4163612233005836</v>
      </c>
      <c r="K41" s="80">
        <f t="shared" si="23"/>
        <v>5.1878047916685048</v>
      </c>
      <c r="L41" s="80">
        <f t="shared" si="23"/>
        <v>5.9637377031878813</v>
      </c>
      <c r="M41" s="80">
        <f t="shared" si="23"/>
        <v>6.7442272980040983</v>
      </c>
      <c r="N41" s="80">
        <f t="shared" si="23"/>
        <v>7.5293419263665342</v>
      </c>
      <c r="O41" s="80">
        <f t="shared" si="23"/>
        <v>8.319150963778398</v>
      </c>
      <c r="P41" s="80">
        <f t="shared" si="23"/>
        <v>9.1137248263754174</v>
      </c>
      <c r="Q41" s="80">
        <f t="shared" si="23"/>
        <v>9.9131349865353684</v>
      </c>
      <c r="R41" s="80">
        <f>Q41</f>
        <v>9.9131349865353684</v>
      </c>
    </row>
    <row r="42" spans="1:19" x14ac:dyDescent="0.25">
      <c r="A42" s="79" t="s">
        <v>104</v>
      </c>
      <c r="B42" s="79">
        <f>SUM(B40:B41)</f>
        <v>300</v>
      </c>
      <c r="C42" s="80">
        <f>SUM(C40:C41)</f>
        <v>289.58875</v>
      </c>
      <c r="D42" s="80">
        <f t="shared" ref="D42:Q42" si="24">SUM(D40:D41)</f>
        <v>280.68003296874997</v>
      </c>
      <c r="E42" s="80">
        <f t="shared" si="24"/>
        <v>271.82425107560539</v>
      </c>
      <c r="F42" s="80">
        <f t="shared" si="24"/>
        <v>262.97416991634151</v>
      </c>
      <c r="G42" s="80">
        <f t="shared" si="24"/>
        <v>254.12830807439556</v>
      </c>
      <c r="H42" s="80">
        <f t="shared" si="24"/>
        <v>245.28667771851519</v>
      </c>
      <c r="I42" s="80">
        <f t="shared" si="24"/>
        <v>236.44934065316841</v>
      </c>
      <c r="J42" s="80">
        <f t="shared" si="24"/>
        <v>227.61636122330052</v>
      </c>
      <c r="K42" s="80">
        <f t="shared" si="24"/>
        <v>218.78780479166844</v>
      </c>
      <c r="L42" s="80">
        <f t="shared" si="24"/>
        <v>209.96373770318783</v>
      </c>
      <c r="M42" s="80">
        <f t="shared" si="24"/>
        <v>201.14422729800404</v>
      </c>
      <c r="N42" s="80">
        <f t="shared" si="24"/>
        <v>192.32934192636648</v>
      </c>
      <c r="O42" s="80">
        <f t="shared" si="24"/>
        <v>183.51915096377837</v>
      </c>
      <c r="P42" s="80">
        <f t="shared" si="24"/>
        <v>174.71372482637537</v>
      </c>
      <c r="Q42" s="80">
        <f t="shared" si="24"/>
        <v>165.91313498653534</v>
      </c>
      <c r="R42" s="80">
        <f>SUM(R40:R41)</f>
        <v>413.67363648377409</v>
      </c>
    </row>
    <row r="43" spans="1:19" x14ac:dyDescent="0.25">
      <c r="A43" s="79" t="s">
        <v>76</v>
      </c>
      <c r="B43" s="79">
        <f>B37+B38-B42</f>
        <v>0</v>
      </c>
      <c r="C43" s="80">
        <f>C37+C38-C42</f>
        <v>0</v>
      </c>
      <c r="D43" s="80">
        <f t="shared" ref="D43:R43" si="25">D37+D38-D42</f>
        <v>0</v>
      </c>
      <c r="E43" s="80">
        <f t="shared" si="25"/>
        <v>0</v>
      </c>
      <c r="F43" s="80">
        <f t="shared" si="25"/>
        <v>0</v>
      </c>
      <c r="G43" s="80">
        <f t="shared" si="25"/>
        <v>0</v>
      </c>
      <c r="H43" s="80">
        <f t="shared" si="25"/>
        <v>0</v>
      </c>
      <c r="I43" s="80">
        <f t="shared" si="25"/>
        <v>0</v>
      </c>
      <c r="J43" s="80">
        <f t="shared" si="25"/>
        <v>0</v>
      </c>
      <c r="K43" s="80">
        <f t="shared" si="25"/>
        <v>0</v>
      </c>
      <c r="L43" s="80">
        <f t="shared" si="25"/>
        <v>0</v>
      </c>
      <c r="M43" s="80">
        <f t="shared" si="25"/>
        <v>0</v>
      </c>
      <c r="N43" s="80">
        <f t="shared" si="25"/>
        <v>0</v>
      </c>
      <c r="O43" s="80">
        <f t="shared" si="25"/>
        <v>0</v>
      </c>
      <c r="P43" s="80">
        <f t="shared" si="25"/>
        <v>0</v>
      </c>
      <c r="Q43" s="80">
        <f t="shared" si="25"/>
        <v>0</v>
      </c>
      <c r="R43" s="80">
        <f t="shared" si="25"/>
        <v>0</v>
      </c>
    </row>
    <row r="44" spans="1:19" x14ac:dyDescent="0.25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5" spans="1:19" x14ac:dyDescent="0.25">
      <c r="A4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6" spans="1:19" x14ac:dyDescent="0.25">
      <c r="A46" s="6" t="s">
        <v>105</v>
      </c>
      <c r="B46" s="5" t="str">
        <f>B36</f>
        <v>A0</v>
      </c>
      <c r="C46" s="5" t="str">
        <f t="shared" ref="C46:Q46" si="26">C36</f>
        <v>A1</v>
      </c>
      <c r="D46" s="5" t="str">
        <f t="shared" si="26"/>
        <v>A2</v>
      </c>
      <c r="E46" s="5" t="str">
        <f t="shared" si="26"/>
        <v>A3</v>
      </c>
      <c r="F46" s="5" t="str">
        <f t="shared" si="26"/>
        <v>A4</v>
      </c>
      <c r="G46" s="5" t="str">
        <f t="shared" si="26"/>
        <v>A5</v>
      </c>
      <c r="H46" s="5" t="str">
        <f t="shared" si="26"/>
        <v>A6</v>
      </c>
      <c r="I46" s="5" t="str">
        <f t="shared" si="26"/>
        <v>A7</v>
      </c>
      <c r="J46" s="5" t="str">
        <f t="shared" si="26"/>
        <v>A8</v>
      </c>
      <c r="K46" s="5" t="str">
        <f t="shared" si="26"/>
        <v>A9</v>
      </c>
      <c r="L46" s="5" t="str">
        <f t="shared" si="26"/>
        <v>A10</v>
      </c>
      <c r="M46" s="5" t="str">
        <f t="shared" si="26"/>
        <v>A11</v>
      </c>
      <c r="N46" s="5" t="str">
        <f t="shared" si="26"/>
        <v>A12</v>
      </c>
      <c r="O46" s="5" t="str">
        <f t="shared" si="26"/>
        <v>A13</v>
      </c>
      <c r="P46" s="5" t="str">
        <f t="shared" si="26"/>
        <v>A14</v>
      </c>
      <c r="Q46" s="5" t="str">
        <f t="shared" si="26"/>
        <v>A15</v>
      </c>
    </row>
    <row r="47" spans="1:19" x14ac:dyDescent="0.25">
      <c r="A47" s="12" t="s">
        <v>106</v>
      </c>
      <c r="B47" s="39">
        <v>1</v>
      </c>
      <c r="C47" s="13">
        <f>$B$4/'tronc commun'!$B$17*'tronc commun'!C39*$B$47</f>
        <v>37.5</v>
      </c>
      <c r="D47" s="13">
        <f>$B$4/'tronc commun'!$B$17*'tronc commun'!D39*$B$47</f>
        <v>38.411219676549841</v>
      </c>
      <c r="E47" s="13">
        <f>$B$4/'tronc commun'!$B$17*'tronc commun'!E39*$B$47</f>
        <v>39.338723045822071</v>
      </c>
      <c r="F47" s="13">
        <f>$B$4/'tronc commun'!$B$17*'tronc commun'!F39*$B$47</f>
        <v>40.282773978689306</v>
      </c>
      <c r="G47" s="13">
        <f>$B$4/'tronc commun'!$B$17*'tronc commun'!G39*$B$47</f>
        <v>41.243640451203404</v>
      </c>
      <c r="H47" s="13">
        <f>$B$4/'tronc commun'!$B$17*'tronc commun'!H39*$B$47</f>
        <v>42.221594607276458</v>
      </c>
      <c r="I47" s="13">
        <f>$B$4/'tronc commun'!$B$17*'tronc commun'!I39*$B$47</f>
        <v>43.216912822310405</v>
      </c>
      <c r="J47" s="13">
        <f>$B$4/'tronc commun'!$B$17*'tronc commun'!J39*$B$47</f>
        <v>44.229875767789288</v>
      </c>
      <c r="K47" s="13">
        <f>$B$4/'tronc commun'!$B$17*'tronc commun'!K39*$B$47</f>
        <v>45.260768476848952</v>
      </c>
      <c r="L47" s="13">
        <f>$B$4/'tronc commun'!$B$17*'tronc commun'!L39*$B$47</f>
        <v>46.309880410838574</v>
      </c>
      <c r="M47" s="13">
        <f>$B$4/'tronc commun'!$B$17*'tronc commun'!M39*$B$47</f>
        <v>47.377505526889315</v>
      </c>
      <c r="N47" s="13">
        <f>$B$4/'tronc commun'!$B$17*'tronc commun'!N39*$B$47</f>
        <v>48.463942346504979</v>
      </c>
      <c r="O47" s="13">
        <f>$B$4/'tronc commun'!$B$17*'tronc commun'!O39*$B$47</f>
        <v>49.56949402519021</v>
      </c>
      <c r="P47" s="13">
        <f>$B$4/'tronc commun'!$B$17*'tronc commun'!P39*$B$47</f>
        <v>50.694468423131902</v>
      </c>
      <c r="Q47" s="13">
        <f>$B$4/'tronc commun'!$B$17*'tronc commun'!Q39*$B$47</f>
        <v>51.839178176949439</v>
      </c>
      <c r="R47" t="s">
        <v>149</v>
      </c>
    </row>
    <row r="48" spans="1:19" x14ac:dyDescent="0.25">
      <c r="A48" s="12" t="s">
        <v>90</v>
      </c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9" x14ac:dyDescent="0.25">
      <c r="A49" s="12" t="s">
        <v>96</v>
      </c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9" x14ac:dyDescent="0.25">
      <c r="A50" s="12" t="s">
        <v>97</v>
      </c>
      <c r="B50" s="12"/>
      <c r="C50" s="13">
        <f>C47-C48-C49</f>
        <v>37.5</v>
      </c>
      <c r="D50" s="13">
        <f t="shared" ref="D50:Q50" si="27">D47-D48-D49</f>
        <v>38.411219676549841</v>
      </c>
      <c r="E50" s="13">
        <f t="shared" si="27"/>
        <v>39.338723045822071</v>
      </c>
      <c r="F50" s="13">
        <f t="shared" si="27"/>
        <v>40.282773978689306</v>
      </c>
      <c r="G50" s="13">
        <f t="shared" si="27"/>
        <v>41.243640451203404</v>
      </c>
      <c r="H50" s="13">
        <f t="shared" si="27"/>
        <v>42.221594607276458</v>
      </c>
      <c r="I50" s="13">
        <f t="shared" si="27"/>
        <v>43.216912822310405</v>
      </c>
      <c r="J50" s="13">
        <f t="shared" si="27"/>
        <v>44.229875767789288</v>
      </c>
      <c r="K50" s="13">
        <f t="shared" si="27"/>
        <v>45.260768476848952</v>
      </c>
      <c r="L50" s="13">
        <f t="shared" si="27"/>
        <v>46.309880410838574</v>
      </c>
      <c r="M50" s="13">
        <f t="shared" si="27"/>
        <v>47.377505526889315</v>
      </c>
      <c r="N50" s="13">
        <f t="shared" si="27"/>
        <v>48.463942346504979</v>
      </c>
      <c r="O50" s="13">
        <f t="shared" si="27"/>
        <v>49.56949402519021</v>
      </c>
      <c r="P50" s="13">
        <f t="shared" si="27"/>
        <v>50.694468423131902</v>
      </c>
      <c r="Q50" s="13">
        <f t="shared" si="27"/>
        <v>51.839178176949439</v>
      </c>
      <c r="R50" s="86"/>
    </row>
    <row r="51" spans="1:19" x14ac:dyDescent="0.25">
      <c r="A51" s="12" t="s">
        <v>98</v>
      </c>
      <c r="B51" s="12"/>
      <c r="C51" s="13">
        <f>-(B65-B68)*$B$8</f>
        <v>-9.4499999999999993</v>
      </c>
      <c r="D51" s="13">
        <f t="shared" ref="D51:Q51" si="28">-(C65-C68)*$B$8</f>
        <v>-8.6042924999999997</v>
      </c>
      <c r="E51" s="13">
        <f t="shared" si="28"/>
        <v>-7.9213211456270223</v>
      </c>
      <c r="F51" s="13">
        <f t="shared" si="28"/>
        <v>-7.2427653327091193</v>
      </c>
      <c r="G51" s="13">
        <f t="shared" si="28"/>
        <v>-6.5638437393236968</v>
      </c>
      <c r="H51" s="13">
        <f t="shared" si="28"/>
        <v>-5.8844041291368265</v>
      </c>
      <c r="I51" s="13">
        <f t="shared" si="28"/>
        <v>-5.2044337070840898</v>
      </c>
      <c r="J51" s="13">
        <f t="shared" si="28"/>
        <v>-4.523923754675927</v>
      </c>
      <c r="K51" s="13">
        <f t="shared" si="28"/>
        <v>-3.8428655468046324</v>
      </c>
      <c r="L51" s="13">
        <f t="shared" si="28"/>
        <v>-3.1612502266591638</v>
      </c>
      <c r="M51" s="13">
        <f t="shared" si="28"/>
        <v>-2.4790687999469907</v>
      </c>
      <c r="N51" s="13">
        <f t="shared" si="28"/>
        <v>-1.796312132682689</v>
      </c>
      <c r="O51" s="13">
        <f t="shared" si="28"/>
        <v>-1.1129709490532578</v>
      </c>
      <c r="P51" s="13">
        <f t="shared" si="28"/>
        <v>-0.42903582925447076</v>
      </c>
      <c r="Q51" s="13">
        <f t="shared" si="28"/>
        <v>0.25550279270540449</v>
      </c>
      <c r="R51" s="85"/>
    </row>
    <row r="52" spans="1:19" x14ac:dyDescent="0.25">
      <c r="A52" s="12" t="s">
        <v>88</v>
      </c>
      <c r="B52" s="67">
        <v>0.33</v>
      </c>
      <c r="C52" s="125">
        <f>-$B$52*(C50+C51)</f>
        <v>-9.2565000000000008</v>
      </c>
      <c r="D52" s="125">
        <f t="shared" ref="D52:Q52" si="29">-$B$52*(D50+D51)</f>
        <v>-9.8362859682614481</v>
      </c>
      <c r="E52" s="125">
        <f t="shared" si="29"/>
        <v>-10.367742627064366</v>
      </c>
      <c r="F52" s="125">
        <f t="shared" si="29"/>
        <v>-10.903202853173463</v>
      </c>
      <c r="G52" s="125">
        <f t="shared" si="29"/>
        <v>-11.444332914920304</v>
      </c>
      <c r="H52" s="125">
        <f t="shared" si="29"/>
        <v>-11.991272857786079</v>
      </c>
      <c r="I52" s="125">
        <f t="shared" si="29"/>
        <v>-12.544118108024684</v>
      </c>
      <c r="J52" s="125">
        <f t="shared" si="29"/>
        <v>-13.10296416432741</v>
      </c>
      <c r="K52" s="125">
        <f t="shared" si="29"/>
        <v>-13.667907966914626</v>
      </c>
      <c r="L52" s="125">
        <f t="shared" si="29"/>
        <v>-14.239047960779207</v>
      </c>
      <c r="M52" s="125">
        <f t="shared" si="29"/>
        <v>-14.816484119890967</v>
      </c>
      <c r="N52" s="125">
        <f t="shared" si="29"/>
        <v>-15.400317970561357</v>
      </c>
      <c r="O52" s="125">
        <f t="shared" si="29"/>
        <v>-15.990652615125196</v>
      </c>
      <c r="P52" s="125">
        <f t="shared" si="29"/>
        <v>-16.587592755979554</v>
      </c>
      <c r="Q52" s="125">
        <f t="shared" si="29"/>
        <v>-17.191244719986098</v>
      </c>
    </row>
    <row r="53" spans="1:19" x14ac:dyDescent="0.25">
      <c r="A53" s="12" t="s">
        <v>71</v>
      </c>
      <c r="B53" s="12"/>
      <c r="C53" s="13">
        <f>C50+C51+C52</f>
        <v>18.793500000000002</v>
      </c>
      <c r="D53" s="13">
        <f t="shared" ref="D53:Q53" si="30">D50+D51+D52</f>
        <v>19.970641208288392</v>
      </c>
      <c r="E53" s="13">
        <f t="shared" si="30"/>
        <v>21.049659273130683</v>
      </c>
      <c r="F53" s="13">
        <f t="shared" si="30"/>
        <v>22.136805792806726</v>
      </c>
      <c r="G53" s="13">
        <f t="shared" si="30"/>
        <v>23.235463796959408</v>
      </c>
      <c r="H53" s="13">
        <f t="shared" si="30"/>
        <v>24.345917620353553</v>
      </c>
      <c r="I53" s="13">
        <f t="shared" si="30"/>
        <v>25.468361007201629</v>
      </c>
      <c r="J53" s="13">
        <f t="shared" si="30"/>
        <v>26.602987848785951</v>
      </c>
      <c r="K53" s="13">
        <f t="shared" si="30"/>
        <v>27.749994963129694</v>
      </c>
      <c r="L53" s="13">
        <f t="shared" si="30"/>
        <v>28.909582223400204</v>
      </c>
      <c r="M53" s="13">
        <f t="shared" si="30"/>
        <v>30.081952607051356</v>
      </c>
      <c r="N53" s="13">
        <f t="shared" si="30"/>
        <v>31.267312243260935</v>
      </c>
      <c r="O53" s="13">
        <f t="shared" si="30"/>
        <v>32.465870461011761</v>
      </c>
      <c r="P53" s="13">
        <f t="shared" si="30"/>
        <v>33.677839837897878</v>
      </c>
      <c r="Q53" s="13">
        <f t="shared" si="30"/>
        <v>34.903436249668744</v>
      </c>
    </row>
    <row r="54" spans="1:19" x14ac:dyDescent="0.25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9" x14ac:dyDescent="0.25">
      <c r="A55" s="6"/>
      <c r="B55" s="5" t="str">
        <f>B46</f>
        <v>A0</v>
      </c>
      <c r="C55" s="7" t="str">
        <f t="shared" ref="C55:Q55" si="31">C46</f>
        <v>A1</v>
      </c>
      <c r="D55" s="7" t="str">
        <f t="shared" si="31"/>
        <v>A2</v>
      </c>
      <c r="E55" s="7" t="str">
        <f t="shared" si="31"/>
        <v>A3</v>
      </c>
      <c r="F55" s="7" t="str">
        <f t="shared" si="31"/>
        <v>A4</v>
      </c>
      <c r="G55" s="7" t="str">
        <f t="shared" si="31"/>
        <v>A5</v>
      </c>
      <c r="H55" s="7" t="str">
        <f t="shared" si="31"/>
        <v>A6</v>
      </c>
      <c r="I55" s="7" t="str">
        <f t="shared" si="31"/>
        <v>A7</v>
      </c>
      <c r="J55" s="7" t="str">
        <f t="shared" si="31"/>
        <v>A8</v>
      </c>
      <c r="K55" s="7" t="str">
        <f t="shared" si="31"/>
        <v>A9</v>
      </c>
      <c r="L55" s="7" t="str">
        <f t="shared" si="31"/>
        <v>A10</v>
      </c>
      <c r="M55" s="7" t="str">
        <f t="shared" si="31"/>
        <v>A11</v>
      </c>
      <c r="N55" s="7" t="str">
        <f t="shared" si="31"/>
        <v>A12</v>
      </c>
      <c r="O55" s="7" t="str">
        <f t="shared" si="31"/>
        <v>A13</v>
      </c>
      <c r="P55" s="7" t="str">
        <f t="shared" si="31"/>
        <v>A14</v>
      </c>
      <c r="Q55" s="7" t="str">
        <f t="shared" si="31"/>
        <v>A15</v>
      </c>
    </row>
    <row r="56" spans="1:19" x14ac:dyDescent="0.25">
      <c r="A56" s="12" t="s">
        <v>72</v>
      </c>
      <c r="B56" s="12"/>
      <c r="C56" s="13">
        <f>C53+C49</f>
        <v>18.793500000000002</v>
      </c>
      <c r="D56" s="13">
        <f t="shared" ref="D56:Q56" si="32">D53+D49</f>
        <v>19.970641208288392</v>
      </c>
      <c r="E56" s="13">
        <f t="shared" si="32"/>
        <v>21.049659273130683</v>
      </c>
      <c r="F56" s="13">
        <f t="shared" si="32"/>
        <v>22.136805792806726</v>
      </c>
      <c r="G56" s="13">
        <f t="shared" si="32"/>
        <v>23.235463796959408</v>
      </c>
      <c r="H56" s="13">
        <f t="shared" si="32"/>
        <v>24.345917620353553</v>
      </c>
      <c r="I56" s="13">
        <f t="shared" si="32"/>
        <v>25.468361007201629</v>
      </c>
      <c r="J56" s="13">
        <f t="shared" si="32"/>
        <v>26.602987848785951</v>
      </c>
      <c r="K56" s="13">
        <f t="shared" si="32"/>
        <v>27.749994963129694</v>
      </c>
      <c r="L56" s="13">
        <f t="shared" si="32"/>
        <v>28.909582223400204</v>
      </c>
      <c r="M56" s="13">
        <f t="shared" si="32"/>
        <v>30.081952607051356</v>
      </c>
      <c r="N56" s="13">
        <f t="shared" si="32"/>
        <v>31.267312243260935</v>
      </c>
      <c r="O56" s="13">
        <f t="shared" si="32"/>
        <v>32.465870461011761</v>
      </c>
      <c r="P56" s="13">
        <f t="shared" si="32"/>
        <v>33.677839837897878</v>
      </c>
      <c r="Q56" s="13">
        <f t="shared" si="32"/>
        <v>34.903436249668744</v>
      </c>
    </row>
    <row r="57" spans="1:19" x14ac:dyDescent="0.25">
      <c r="A57" s="12" t="s">
        <v>9</v>
      </c>
      <c r="B57" s="12"/>
      <c r="C57" s="13"/>
      <c r="D57" s="13">
        <f>-C61</f>
        <v>-4.7935000000000016</v>
      </c>
      <c r="E57" s="13">
        <f t="shared" ref="E57:Q57" si="33">-D61</f>
        <v>-5.9706412082883915</v>
      </c>
      <c r="F57" s="13">
        <f t="shared" si="33"/>
        <v>-7.0496592731306826</v>
      </c>
      <c r="G57" s="13">
        <f t="shared" si="33"/>
        <v>-8.1368057928067259</v>
      </c>
      <c r="H57" s="13">
        <f t="shared" si="33"/>
        <v>-9.235463796959408</v>
      </c>
      <c r="I57" s="13">
        <f t="shared" si="33"/>
        <v>-10.345917620353553</v>
      </c>
      <c r="J57" s="13">
        <f t="shared" si="33"/>
        <v>-11.468361007201629</v>
      </c>
      <c r="K57" s="13">
        <f t="shared" si="33"/>
        <v>-12.602987848785951</v>
      </c>
      <c r="L57" s="13">
        <f t="shared" si="33"/>
        <v>-13.749994963129694</v>
      </c>
      <c r="M57" s="13">
        <f t="shared" si="33"/>
        <v>-14.909582223400204</v>
      </c>
      <c r="N57" s="13">
        <f t="shared" si="33"/>
        <v>-16.081952607051356</v>
      </c>
      <c r="O57" s="13">
        <f t="shared" si="33"/>
        <v>-17.267312243260935</v>
      </c>
      <c r="P57" s="13">
        <f t="shared" si="33"/>
        <v>-18.465870461011761</v>
      </c>
      <c r="Q57" s="13">
        <f t="shared" si="33"/>
        <v>-19.677839837897878</v>
      </c>
    </row>
    <row r="58" spans="1:19" x14ac:dyDescent="0.25">
      <c r="A58" s="12" t="s">
        <v>12</v>
      </c>
      <c r="B58" s="12"/>
      <c r="C58" s="13">
        <f>-B7/$B$9</f>
        <v>-14</v>
      </c>
      <c r="D58" s="13">
        <f>C58</f>
        <v>-14</v>
      </c>
      <c r="E58" s="13">
        <f t="shared" ref="E58:Q58" si="34">D58</f>
        <v>-14</v>
      </c>
      <c r="F58" s="13">
        <f t="shared" si="34"/>
        <v>-14</v>
      </c>
      <c r="G58" s="13">
        <f t="shared" si="34"/>
        <v>-14</v>
      </c>
      <c r="H58" s="13">
        <f t="shared" si="34"/>
        <v>-14</v>
      </c>
      <c r="I58" s="13">
        <f t="shared" si="34"/>
        <v>-14</v>
      </c>
      <c r="J58" s="13">
        <f t="shared" si="34"/>
        <v>-14</v>
      </c>
      <c r="K58" s="13">
        <f t="shared" si="34"/>
        <v>-14</v>
      </c>
      <c r="L58" s="13">
        <f t="shared" si="34"/>
        <v>-14</v>
      </c>
      <c r="M58" s="13">
        <f t="shared" si="34"/>
        <v>-14</v>
      </c>
      <c r="N58" s="13">
        <f t="shared" si="34"/>
        <v>-14</v>
      </c>
      <c r="O58" s="13">
        <f t="shared" si="34"/>
        <v>-14</v>
      </c>
      <c r="P58" s="13">
        <f t="shared" si="34"/>
        <v>-14</v>
      </c>
      <c r="Q58" s="13">
        <f t="shared" si="34"/>
        <v>-14</v>
      </c>
    </row>
    <row r="59" spans="1:19" x14ac:dyDescent="0.25">
      <c r="A59" s="12" t="s">
        <v>10</v>
      </c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9" x14ac:dyDescent="0.25">
      <c r="A60" s="12" t="s">
        <v>99</v>
      </c>
      <c r="B60" s="12"/>
      <c r="C60" s="13">
        <f>B61</f>
        <v>0</v>
      </c>
      <c r="D60" s="13">
        <f t="shared" ref="D60:Q60" si="35">C61</f>
        <v>4.7935000000000016</v>
      </c>
      <c r="E60" s="13">
        <f t="shared" si="35"/>
        <v>5.9706412082883915</v>
      </c>
      <c r="F60" s="13">
        <f t="shared" si="35"/>
        <v>7.0496592731306826</v>
      </c>
      <c r="G60" s="13">
        <f t="shared" si="35"/>
        <v>8.1368057928067259</v>
      </c>
      <c r="H60" s="13">
        <f t="shared" si="35"/>
        <v>9.235463796959408</v>
      </c>
      <c r="I60" s="13">
        <f t="shared" si="35"/>
        <v>10.345917620353553</v>
      </c>
      <c r="J60" s="13">
        <f t="shared" si="35"/>
        <v>11.468361007201629</v>
      </c>
      <c r="K60" s="13">
        <f t="shared" si="35"/>
        <v>12.602987848785951</v>
      </c>
      <c r="L60" s="13">
        <f t="shared" si="35"/>
        <v>13.749994963129694</v>
      </c>
      <c r="M60" s="13">
        <f t="shared" si="35"/>
        <v>14.909582223400204</v>
      </c>
      <c r="N60" s="13">
        <f t="shared" si="35"/>
        <v>16.081952607051356</v>
      </c>
      <c r="O60" s="13">
        <f t="shared" si="35"/>
        <v>17.267312243260935</v>
      </c>
      <c r="P60" s="13">
        <f t="shared" si="35"/>
        <v>18.465870461011761</v>
      </c>
      <c r="Q60" s="13">
        <f t="shared" si="35"/>
        <v>19.677839837897878</v>
      </c>
    </row>
    <row r="61" spans="1:19" x14ac:dyDescent="0.25">
      <c r="A61" s="12" t="s">
        <v>100</v>
      </c>
      <c r="B61" s="12"/>
      <c r="C61" s="13">
        <f>SUM(C56:C60)</f>
        <v>4.7935000000000016</v>
      </c>
      <c r="D61" s="13">
        <f t="shared" ref="D61:Q61" si="36">SUM(D56:D60)</f>
        <v>5.9706412082883915</v>
      </c>
      <c r="E61" s="13">
        <f t="shared" si="36"/>
        <v>7.0496592731306826</v>
      </c>
      <c r="F61" s="13">
        <f t="shared" si="36"/>
        <v>8.1368057928067259</v>
      </c>
      <c r="G61" s="13">
        <f t="shared" si="36"/>
        <v>9.235463796959408</v>
      </c>
      <c r="H61" s="13">
        <f t="shared" si="36"/>
        <v>10.345917620353553</v>
      </c>
      <c r="I61" s="13">
        <f t="shared" si="36"/>
        <v>11.468361007201629</v>
      </c>
      <c r="J61" s="13">
        <f t="shared" si="36"/>
        <v>12.602987848785951</v>
      </c>
      <c r="K61" s="13">
        <f t="shared" si="36"/>
        <v>13.749994963129694</v>
      </c>
      <c r="L61" s="13">
        <f t="shared" si="36"/>
        <v>14.909582223400204</v>
      </c>
      <c r="M61" s="13">
        <f t="shared" si="36"/>
        <v>16.081952607051356</v>
      </c>
      <c r="N61" s="13">
        <f t="shared" si="36"/>
        <v>17.267312243260935</v>
      </c>
      <c r="O61" s="13">
        <f t="shared" si="36"/>
        <v>18.465870461011761</v>
      </c>
      <c r="P61" s="13">
        <f t="shared" si="36"/>
        <v>19.677839837897878</v>
      </c>
      <c r="Q61" s="13">
        <f t="shared" si="36"/>
        <v>20.903436249668744</v>
      </c>
    </row>
    <row r="62" spans="1:19" x14ac:dyDescent="0.25">
      <c r="A6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9" x14ac:dyDescent="0.25">
      <c r="A63" s="6"/>
      <c r="B63" s="5" t="str">
        <f>B55</f>
        <v>A0</v>
      </c>
      <c r="C63" s="7" t="str">
        <f t="shared" ref="C63:Q63" si="37">C55</f>
        <v>A1</v>
      </c>
      <c r="D63" s="7" t="str">
        <f t="shared" si="37"/>
        <v>A2</v>
      </c>
      <c r="E63" s="7" t="str">
        <f t="shared" si="37"/>
        <v>A3</v>
      </c>
      <c r="F63" s="7" t="str">
        <f t="shared" si="37"/>
        <v>A4</v>
      </c>
      <c r="G63" s="7" t="str">
        <f t="shared" si="37"/>
        <v>A5</v>
      </c>
      <c r="H63" s="7" t="str">
        <f t="shared" si="37"/>
        <v>A6</v>
      </c>
      <c r="I63" s="7" t="str">
        <f t="shared" si="37"/>
        <v>A7</v>
      </c>
      <c r="J63" s="7" t="str">
        <f t="shared" si="37"/>
        <v>A8</v>
      </c>
      <c r="K63" s="7" t="str">
        <f t="shared" si="37"/>
        <v>A9</v>
      </c>
      <c r="L63" s="7" t="str">
        <f t="shared" si="37"/>
        <v>A10</v>
      </c>
      <c r="M63" s="7" t="str">
        <f t="shared" si="37"/>
        <v>A11</v>
      </c>
      <c r="N63" s="7" t="str">
        <f t="shared" si="37"/>
        <v>A12</v>
      </c>
      <c r="O63" s="7" t="str">
        <f t="shared" si="37"/>
        <v>A13</v>
      </c>
      <c r="P63" s="7" t="str">
        <f t="shared" si="37"/>
        <v>A14</v>
      </c>
      <c r="Q63" s="7" t="str">
        <f t="shared" si="37"/>
        <v>A15</v>
      </c>
      <c r="R63" s="87" t="s">
        <v>101</v>
      </c>
      <c r="S63" s="88" t="s">
        <v>102</v>
      </c>
    </row>
    <row r="64" spans="1:19" x14ac:dyDescent="0.25">
      <c r="A64" s="12" t="s">
        <v>9</v>
      </c>
      <c r="B64" s="12">
        <f>$B$6</f>
        <v>90</v>
      </c>
      <c r="C64" s="13">
        <f>B64+C53+C57</f>
        <v>108.79349999999999</v>
      </c>
      <c r="D64" s="13">
        <f t="shared" ref="D64:Q64" si="38">C64+D53+D57</f>
        <v>123.97064120828838</v>
      </c>
      <c r="E64" s="13">
        <f t="shared" si="38"/>
        <v>139.04965927313069</v>
      </c>
      <c r="F64" s="13">
        <f t="shared" si="38"/>
        <v>154.13680579280671</v>
      </c>
      <c r="G64" s="13">
        <f t="shared" si="38"/>
        <v>169.23546379695938</v>
      </c>
      <c r="H64" s="13">
        <f t="shared" si="38"/>
        <v>184.34591762035353</v>
      </c>
      <c r="I64" s="13">
        <f t="shared" si="38"/>
        <v>199.46836100720159</v>
      </c>
      <c r="J64" s="13">
        <f t="shared" si="38"/>
        <v>214.60298784878592</v>
      </c>
      <c r="K64" s="13">
        <f t="shared" si="38"/>
        <v>229.74999496312967</v>
      </c>
      <c r="L64" s="13">
        <f t="shared" si="38"/>
        <v>244.90958222340018</v>
      </c>
      <c r="M64" s="13">
        <f t="shared" si="38"/>
        <v>260.08195260705133</v>
      </c>
      <c r="N64" s="13">
        <f t="shared" si="38"/>
        <v>275.26731224326096</v>
      </c>
      <c r="O64" s="13">
        <f t="shared" si="38"/>
        <v>290.46587046101178</v>
      </c>
      <c r="P64" s="13">
        <f t="shared" si="38"/>
        <v>305.67783983789786</v>
      </c>
      <c r="Q64" s="13">
        <f t="shared" si="38"/>
        <v>320.90343624966874</v>
      </c>
      <c r="R64" s="13">
        <f>R69-R65</f>
        <v>456.520297914933</v>
      </c>
      <c r="S64" s="14">
        <f>R64-B64</f>
        <v>366.520297914933</v>
      </c>
    </row>
    <row r="65" spans="1:18" x14ac:dyDescent="0.25">
      <c r="A65" s="12" t="s">
        <v>12</v>
      </c>
      <c r="B65" s="12">
        <f>$B$7</f>
        <v>210</v>
      </c>
      <c r="C65" s="13">
        <f>B65+C58</f>
        <v>196</v>
      </c>
      <c r="D65" s="13">
        <f t="shared" ref="D65:Q65" si="39">C65+D58</f>
        <v>182</v>
      </c>
      <c r="E65" s="13">
        <f t="shared" si="39"/>
        <v>168</v>
      </c>
      <c r="F65" s="13">
        <f t="shared" si="39"/>
        <v>154</v>
      </c>
      <c r="G65" s="13">
        <f t="shared" si="39"/>
        <v>140</v>
      </c>
      <c r="H65" s="13">
        <f t="shared" si="39"/>
        <v>126</v>
      </c>
      <c r="I65" s="13">
        <f t="shared" si="39"/>
        <v>112</v>
      </c>
      <c r="J65" s="13">
        <f t="shared" si="39"/>
        <v>98</v>
      </c>
      <c r="K65" s="13">
        <f t="shared" si="39"/>
        <v>84</v>
      </c>
      <c r="L65" s="13">
        <f t="shared" si="39"/>
        <v>70</v>
      </c>
      <c r="M65" s="13">
        <f t="shared" si="39"/>
        <v>56</v>
      </c>
      <c r="N65" s="13">
        <f t="shared" si="39"/>
        <v>42</v>
      </c>
      <c r="O65" s="13">
        <f t="shared" si="39"/>
        <v>28</v>
      </c>
      <c r="P65" s="13">
        <f t="shared" si="39"/>
        <v>14</v>
      </c>
      <c r="Q65" s="13">
        <f t="shared" si="39"/>
        <v>0</v>
      </c>
      <c r="R65" s="13">
        <f>Q65</f>
        <v>0</v>
      </c>
    </row>
    <row r="66" spans="1:18" x14ac:dyDescent="0.25">
      <c r="A66" s="12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2"/>
    </row>
    <row r="67" spans="1:18" x14ac:dyDescent="0.25">
      <c r="A67" s="12" t="s">
        <v>103</v>
      </c>
      <c r="B67" s="12">
        <f>$B$4</f>
        <v>300</v>
      </c>
      <c r="C67" s="13">
        <f>B67-C49</f>
        <v>300</v>
      </c>
      <c r="D67" s="13">
        <f t="shared" ref="D67:Q67" si="40">C67-D49</f>
        <v>300</v>
      </c>
      <c r="E67" s="13">
        <f t="shared" si="40"/>
        <v>300</v>
      </c>
      <c r="F67" s="13">
        <f t="shared" si="40"/>
        <v>300</v>
      </c>
      <c r="G67" s="13">
        <f t="shared" si="40"/>
        <v>300</v>
      </c>
      <c r="H67" s="13">
        <f t="shared" si="40"/>
        <v>300</v>
      </c>
      <c r="I67" s="13">
        <f t="shared" si="40"/>
        <v>300</v>
      </c>
      <c r="J67" s="13">
        <f t="shared" si="40"/>
        <v>300</v>
      </c>
      <c r="K67" s="13">
        <f t="shared" si="40"/>
        <v>300</v>
      </c>
      <c r="L67" s="13">
        <f t="shared" si="40"/>
        <v>300</v>
      </c>
      <c r="M67" s="13">
        <f t="shared" si="40"/>
        <v>300</v>
      </c>
      <c r="N67" s="13">
        <f t="shared" si="40"/>
        <v>300</v>
      </c>
      <c r="O67" s="13">
        <f t="shared" si="40"/>
        <v>300</v>
      </c>
      <c r="P67" s="13">
        <f t="shared" si="40"/>
        <v>300</v>
      </c>
      <c r="Q67" s="13">
        <f t="shared" si="40"/>
        <v>300</v>
      </c>
      <c r="R67" s="125">
        <f>'tronc commun'!B24*'Immob vs plcmt'!Q50-'Immob vs plcmt'!Q65+'Immob vs plcmt'!Q68</f>
        <v>435.61686166526425</v>
      </c>
    </row>
    <row r="68" spans="1:18" x14ac:dyDescent="0.25">
      <c r="A68" s="12" t="s">
        <v>24</v>
      </c>
      <c r="B68" s="12"/>
      <c r="C68" s="13">
        <f>C61</f>
        <v>4.7935000000000016</v>
      </c>
      <c r="D68" s="13">
        <f t="shared" ref="D68:Q68" si="41">D61</f>
        <v>5.9706412082883915</v>
      </c>
      <c r="E68" s="13">
        <f t="shared" si="41"/>
        <v>7.0496592731306826</v>
      </c>
      <c r="F68" s="13">
        <f t="shared" si="41"/>
        <v>8.1368057928067259</v>
      </c>
      <c r="G68" s="13">
        <f t="shared" si="41"/>
        <v>9.235463796959408</v>
      </c>
      <c r="H68" s="13">
        <f t="shared" si="41"/>
        <v>10.345917620353553</v>
      </c>
      <c r="I68" s="13">
        <f t="shared" si="41"/>
        <v>11.468361007201629</v>
      </c>
      <c r="J68" s="13">
        <f t="shared" si="41"/>
        <v>12.602987848785951</v>
      </c>
      <c r="K68" s="13">
        <f t="shared" si="41"/>
        <v>13.749994963129694</v>
      </c>
      <c r="L68" s="13">
        <f t="shared" si="41"/>
        <v>14.909582223400204</v>
      </c>
      <c r="M68" s="13">
        <f t="shared" si="41"/>
        <v>16.081952607051356</v>
      </c>
      <c r="N68" s="13">
        <f t="shared" si="41"/>
        <v>17.267312243260935</v>
      </c>
      <c r="O68" s="13">
        <f t="shared" si="41"/>
        <v>18.465870461011761</v>
      </c>
      <c r="P68" s="13">
        <f t="shared" si="41"/>
        <v>19.677839837897878</v>
      </c>
      <c r="Q68" s="13">
        <f t="shared" si="41"/>
        <v>20.903436249668744</v>
      </c>
      <c r="R68" s="13">
        <f>Q68</f>
        <v>20.903436249668744</v>
      </c>
    </row>
    <row r="69" spans="1:18" x14ac:dyDescent="0.25">
      <c r="A69" s="12" t="s">
        <v>104</v>
      </c>
      <c r="B69" s="12">
        <f>SUM(B67:B68)</f>
        <v>300</v>
      </c>
      <c r="C69" s="13">
        <f>SUM(C67:C68)</f>
        <v>304.79349999999999</v>
      </c>
      <c r="D69" s="13">
        <f t="shared" ref="D69:Q69" si="42">SUM(D67:D68)</f>
        <v>305.97064120828838</v>
      </c>
      <c r="E69" s="13">
        <f t="shared" si="42"/>
        <v>307.04965927313066</v>
      </c>
      <c r="F69" s="13">
        <f t="shared" si="42"/>
        <v>308.13680579280674</v>
      </c>
      <c r="G69" s="13">
        <f t="shared" si="42"/>
        <v>309.23546379695938</v>
      </c>
      <c r="H69" s="13">
        <f t="shared" si="42"/>
        <v>310.34591762035353</v>
      </c>
      <c r="I69" s="13">
        <f t="shared" si="42"/>
        <v>311.46836100720162</v>
      </c>
      <c r="J69" s="13">
        <f t="shared" si="42"/>
        <v>312.60298784878597</v>
      </c>
      <c r="K69" s="13">
        <f t="shared" si="42"/>
        <v>313.74999496312967</v>
      </c>
      <c r="L69" s="13">
        <f t="shared" si="42"/>
        <v>314.90958222340021</v>
      </c>
      <c r="M69" s="13">
        <f t="shared" si="42"/>
        <v>316.08195260705133</v>
      </c>
      <c r="N69" s="13">
        <f t="shared" si="42"/>
        <v>317.26731224326096</v>
      </c>
      <c r="O69" s="13">
        <f t="shared" si="42"/>
        <v>318.46587046101178</v>
      </c>
      <c r="P69" s="13">
        <f t="shared" si="42"/>
        <v>319.67783983789786</v>
      </c>
      <c r="Q69" s="13">
        <f t="shared" si="42"/>
        <v>320.90343624966874</v>
      </c>
      <c r="R69" s="13">
        <f>SUM(R67:R68)</f>
        <v>456.520297914933</v>
      </c>
    </row>
    <row r="70" spans="1:18" x14ac:dyDescent="0.25">
      <c r="A70" s="12" t="s">
        <v>76</v>
      </c>
      <c r="B70" s="12">
        <f>B64+B65-B69</f>
        <v>0</v>
      </c>
      <c r="C70" s="13">
        <f>C64+C65-C69</f>
        <v>0</v>
      </c>
      <c r="D70" s="13">
        <f t="shared" ref="D70:R70" si="43">D64+D65-D69</f>
        <v>0</v>
      </c>
      <c r="E70" s="13">
        <f t="shared" si="43"/>
        <v>0</v>
      </c>
      <c r="F70" s="13">
        <f t="shared" si="43"/>
        <v>0</v>
      </c>
      <c r="G70" s="13">
        <f t="shared" si="43"/>
        <v>0</v>
      </c>
      <c r="H70" s="13">
        <f t="shared" si="43"/>
        <v>0</v>
      </c>
      <c r="I70" s="13">
        <f t="shared" si="43"/>
        <v>0</v>
      </c>
      <c r="J70" s="13">
        <f t="shared" si="43"/>
        <v>0</v>
      </c>
      <c r="K70" s="13">
        <f t="shared" si="43"/>
        <v>0</v>
      </c>
      <c r="L70" s="13">
        <f t="shared" si="43"/>
        <v>0</v>
      </c>
      <c r="M70" s="13">
        <f t="shared" si="43"/>
        <v>0</v>
      </c>
      <c r="N70" s="13">
        <f t="shared" si="43"/>
        <v>0</v>
      </c>
      <c r="O70" s="13">
        <f t="shared" si="43"/>
        <v>0</v>
      </c>
      <c r="P70" s="13">
        <f t="shared" si="43"/>
        <v>0</v>
      </c>
      <c r="Q70" s="13">
        <f t="shared" si="43"/>
        <v>0</v>
      </c>
      <c r="R70" s="13">
        <f t="shared" si="43"/>
        <v>0</v>
      </c>
    </row>
    <row r="71" spans="1:18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2">
    <mergeCell ref="K9:L9"/>
    <mergeCell ref="K16:L16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zoomScale="85" zoomScaleNormal="85" workbookViewId="0">
      <selection activeCell="B6" sqref="B6"/>
    </sheetView>
  </sheetViews>
  <sheetFormatPr baseColWidth="10" defaultColWidth="8.7109375" defaultRowHeight="15" x14ac:dyDescent="0.25"/>
  <cols>
    <col min="1" max="1" width="16.5703125" customWidth="1"/>
    <col min="2" max="3" width="7.85546875" customWidth="1"/>
    <col min="4" max="4" width="9.5703125" customWidth="1"/>
    <col min="5" max="5" width="9.7109375" customWidth="1"/>
  </cols>
  <sheetData>
    <row r="1" spans="1:21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1" x14ac:dyDescent="0.25">
      <c r="A2" s="1" t="s">
        <v>81</v>
      </c>
      <c r="R2" t="s">
        <v>1</v>
      </c>
    </row>
    <row r="3" spans="1:21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1" x14ac:dyDescent="0.25">
      <c r="A4" s="12" t="s">
        <v>82</v>
      </c>
      <c r="B4" s="65">
        <v>700</v>
      </c>
      <c r="C4" s="12" t="s">
        <v>4</v>
      </c>
      <c r="E4" s="6" t="s">
        <v>15</v>
      </c>
      <c r="F4" s="5" t="s">
        <v>53</v>
      </c>
      <c r="G4" s="5" t="s">
        <v>54</v>
      </c>
      <c r="H4" s="5" t="s">
        <v>55</v>
      </c>
      <c r="I4" s="5" t="s">
        <v>56</v>
      </c>
      <c r="J4" s="5" t="s">
        <v>57</v>
      </c>
      <c r="K4" s="5" t="s">
        <v>58</v>
      </c>
      <c r="L4" s="5" t="s">
        <v>59</v>
      </c>
      <c r="M4" s="5" t="s">
        <v>60</v>
      </c>
      <c r="N4" s="5" t="s">
        <v>61</v>
      </c>
      <c r="O4" s="5" t="s">
        <v>62</v>
      </c>
      <c r="P4" s="5" t="s">
        <v>63</v>
      </c>
      <c r="Q4" s="5" t="s">
        <v>64</v>
      </c>
      <c r="R4" s="5" t="s">
        <v>65</v>
      </c>
      <c r="S4" s="5" t="s">
        <v>66</v>
      </c>
      <c r="T4" s="5" t="s">
        <v>67</v>
      </c>
    </row>
    <row r="5" spans="1:21" x14ac:dyDescent="0.25">
      <c r="A5" s="12" t="s">
        <v>83</v>
      </c>
      <c r="B5" s="66">
        <f>'tronc commun'!B21</f>
        <v>0.3</v>
      </c>
      <c r="C5" s="67"/>
      <c r="E5" s="12" t="s">
        <v>10</v>
      </c>
      <c r="F5" s="12">
        <v>-90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1" x14ac:dyDescent="0.25">
      <c r="A6" s="12" t="s">
        <v>84</v>
      </c>
      <c r="B6" s="65">
        <f>B5*B4</f>
        <v>210</v>
      </c>
      <c r="C6" s="12"/>
      <c r="E6" s="12" t="s">
        <v>13</v>
      </c>
      <c r="F6" s="13">
        <v>0</v>
      </c>
      <c r="G6" s="13">
        <v>-0.81124999999999936</v>
      </c>
      <c r="H6" s="13">
        <v>-0.11996703124999897</v>
      </c>
      <c r="I6" s="13">
        <v>0.62425107560546778</v>
      </c>
      <c r="J6" s="13">
        <v>1.374169916341625</v>
      </c>
      <c r="K6" s="13">
        <v>2.1283080743956404</v>
      </c>
      <c r="L6" s="13">
        <v>2.8866777185152728</v>
      </c>
      <c r="M6" s="13">
        <v>3.649340653168494</v>
      </c>
      <c r="N6" s="13">
        <v>4.4163612233005836</v>
      </c>
      <c r="O6" s="13">
        <v>5.1878047916685048</v>
      </c>
      <c r="P6" s="13">
        <v>5.9637377031878813</v>
      </c>
      <c r="Q6" s="13">
        <v>6.7442272980040983</v>
      </c>
      <c r="R6" s="13">
        <v>7.5293419263665342</v>
      </c>
      <c r="S6" s="13">
        <v>8.319150963778398</v>
      </c>
      <c r="T6" s="13">
        <v>9.1137248263754174</v>
      </c>
    </row>
    <row r="7" spans="1:21" x14ac:dyDescent="0.25">
      <c r="A7" s="12" t="s">
        <v>12</v>
      </c>
      <c r="B7" s="65">
        <f>B4-B6</f>
        <v>490</v>
      </c>
      <c r="C7" s="12"/>
      <c r="E7" s="12" t="s">
        <v>16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>
        <v>284.20418189026441</v>
      </c>
    </row>
    <row r="8" spans="1:21" x14ac:dyDescent="0.25">
      <c r="A8" s="12" t="s">
        <v>85</v>
      </c>
      <c r="B8" s="68">
        <v>4.4999999999999998E-2</v>
      </c>
      <c r="C8" s="62"/>
      <c r="E8" s="12" t="s">
        <v>19</v>
      </c>
      <c r="F8" s="91">
        <v>-90</v>
      </c>
      <c r="G8" s="92">
        <v>-0.81124999999999936</v>
      </c>
      <c r="H8" s="91">
        <v>-0.11996703124999897</v>
      </c>
      <c r="I8" s="91">
        <v>0.62425107560546778</v>
      </c>
      <c r="J8" s="91">
        <v>1.374169916341625</v>
      </c>
      <c r="K8" s="91">
        <v>2.1283080743956404</v>
      </c>
      <c r="L8" s="91">
        <v>2.8866777185152728</v>
      </c>
      <c r="M8" s="91">
        <v>3.649340653168494</v>
      </c>
      <c r="N8" s="91">
        <v>4.4163612233005836</v>
      </c>
      <c r="O8" s="91">
        <v>5.1878047916685048</v>
      </c>
      <c r="P8" s="91">
        <v>5.9637377031878813</v>
      </c>
      <c r="Q8" s="91">
        <v>6.7442272980040983</v>
      </c>
      <c r="R8" s="91">
        <v>7.5293419263665342</v>
      </c>
      <c r="S8" s="91">
        <v>8.319150963778398</v>
      </c>
      <c r="T8" s="91">
        <v>293.31790671663981</v>
      </c>
    </row>
    <row r="9" spans="1:21" x14ac:dyDescent="0.25">
      <c r="A9" s="12" t="s">
        <v>86</v>
      </c>
      <c r="B9" s="69">
        <v>15</v>
      </c>
      <c r="C9" s="13"/>
      <c r="E9" s="39" t="s">
        <v>22</v>
      </c>
      <c r="F9" s="70">
        <v>0.10576848118245996</v>
      </c>
      <c r="G9" s="30"/>
      <c r="H9" s="39" t="s">
        <v>137</v>
      </c>
      <c r="I9" s="118">
        <v>83.705862806364053</v>
      </c>
      <c r="J9" s="30"/>
      <c r="K9" s="120" t="s">
        <v>138</v>
      </c>
      <c r="L9" s="121"/>
      <c r="M9" s="9">
        <v>0.1014069598169518</v>
      </c>
      <c r="N9" s="30"/>
      <c r="O9" s="30"/>
      <c r="P9" s="30"/>
      <c r="Q9" s="30"/>
      <c r="R9" s="30"/>
      <c r="S9" s="30"/>
      <c r="T9" s="30"/>
    </row>
    <row r="10" spans="1:21" x14ac:dyDescent="0.25">
      <c r="A10" s="12" t="s">
        <v>87</v>
      </c>
      <c r="B10" s="66">
        <f>'tronc commun'!B19</f>
        <v>0.08</v>
      </c>
      <c r="C10" s="64">
        <f>'tronc commun'!C8</f>
        <v>1.4999999999999999E-2</v>
      </c>
      <c r="E10" s="75"/>
    </row>
    <row r="11" spans="1:21" x14ac:dyDescent="0.25">
      <c r="A11" s="12" t="s">
        <v>88</v>
      </c>
      <c r="B11" s="66">
        <f>'tronc commun'!B25</f>
        <v>0.27500000000000002</v>
      </c>
      <c r="C11" s="12"/>
      <c r="E11" s="6" t="s">
        <v>89</v>
      </c>
      <c r="F11" s="5" t="str">
        <f>F4</f>
        <v>A1</v>
      </c>
      <c r="G11" s="5" t="str">
        <f t="shared" ref="G11:T11" si="0">G4</f>
        <v>A2</v>
      </c>
      <c r="H11" s="5" t="str">
        <f t="shared" si="0"/>
        <v>A3</v>
      </c>
      <c r="I11" s="5" t="str">
        <f t="shared" si="0"/>
        <v>A4</v>
      </c>
      <c r="J11" s="5" t="str">
        <f t="shared" si="0"/>
        <v>A5</v>
      </c>
      <c r="K11" s="5" t="str">
        <f t="shared" si="0"/>
        <v>A6</v>
      </c>
      <c r="L11" s="5" t="str">
        <f t="shared" si="0"/>
        <v>A7</v>
      </c>
      <c r="M11" s="5" t="str">
        <f t="shared" si="0"/>
        <v>A8</v>
      </c>
      <c r="N11" s="5" t="str">
        <f t="shared" si="0"/>
        <v>A9</v>
      </c>
      <c r="O11" s="5" t="str">
        <f t="shared" si="0"/>
        <v>A10</v>
      </c>
      <c r="P11" s="5" t="str">
        <f t="shared" si="0"/>
        <v>A11</v>
      </c>
      <c r="Q11" s="5" t="str">
        <f t="shared" si="0"/>
        <v>A12</v>
      </c>
      <c r="R11" s="5" t="str">
        <f t="shared" si="0"/>
        <v>A13</v>
      </c>
      <c r="S11" s="5" t="str">
        <f t="shared" si="0"/>
        <v>A14</v>
      </c>
      <c r="T11" s="5" t="str">
        <f t="shared" si="0"/>
        <v>A15</v>
      </c>
    </row>
    <row r="12" spans="1:21" x14ac:dyDescent="0.25">
      <c r="A12" s="12" t="s">
        <v>90</v>
      </c>
      <c r="B12" s="66">
        <v>0</v>
      </c>
      <c r="C12" s="67"/>
      <c r="E12" s="12" t="s">
        <v>10</v>
      </c>
      <c r="F12" s="12">
        <f>-B6</f>
        <v>-210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2"/>
    </row>
    <row r="13" spans="1:21" x14ac:dyDescent="0.25">
      <c r="A13" s="12" t="s">
        <v>91</v>
      </c>
      <c r="B13" s="71">
        <v>25</v>
      </c>
      <c r="C13" s="67"/>
      <c r="E13" s="12" t="s">
        <v>13</v>
      </c>
      <c r="F13" s="13"/>
      <c r="G13" s="13">
        <f>-D57</f>
        <v>11.184833333333337</v>
      </c>
      <c r="H13" s="13">
        <f t="shared" ref="H13:T13" si="1">-E57</f>
        <v>13.931496152672921</v>
      </c>
      <c r="I13" s="13">
        <f t="shared" si="1"/>
        <v>16.449204970638256</v>
      </c>
      <c r="J13" s="13">
        <f t="shared" si="1"/>
        <v>18.985880183215691</v>
      </c>
      <c r="K13" s="13">
        <f t="shared" si="1"/>
        <v>21.549415526238612</v>
      </c>
      <c r="L13" s="13">
        <f t="shared" si="1"/>
        <v>24.140474447491634</v>
      </c>
      <c r="M13" s="13">
        <f t="shared" si="1"/>
        <v>26.759509016803811</v>
      </c>
      <c r="N13" s="13">
        <f t="shared" si="1"/>
        <v>29.406971647167232</v>
      </c>
      <c r="O13" s="13">
        <f t="shared" si="1"/>
        <v>32.08332158063596</v>
      </c>
      <c r="P13" s="13">
        <f t="shared" si="1"/>
        <v>34.789025187933809</v>
      </c>
      <c r="Q13" s="13">
        <f t="shared" si="1"/>
        <v>37.52455608311984</v>
      </c>
      <c r="R13" s="13">
        <f t="shared" si="1"/>
        <v>40.290395234275515</v>
      </c>
      <c r="S13" s="13">
        <f t="shared" si="1"/>
        <v>43.087031075694107</v>
      </c>
      <c r="T13" s="13">
        <f t="shared" si="1"/>
        <v>45.914959621761717</v>
      </c>
    </row>
    <row r="14" spans="1:21" x14ac:dyDescent="0.25">
      <c r="A14" s="32" t="s">
        <v>92</v>
      </c>
      <c r="B14" s="72">
        <v>0.02</v>
      </c>
      <c r="C14" s="73"/>
      <c r="E14" s="12" t="s">
        <v>16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3">
        <f>R64</f>
        <v>1065.214028468177</v>
      </c>
      <c r="U14" t="s">
        <v>148</v>
      </c>
    </row>
    <row r="15" spans="1:21" x14ac:dyDescent="0.25">
      <c r="A15" s="32" t="s">
        <v>93</v>
      </c>
      <c r="B15" s="89"/>
      <c r="C15" s="73"/>
      <c r="E15" s="12" t="s">
        <v>19</v>
      </c>
      <c r="F15" s="13">
        <f t="shared" ref="F15:T15" si="2">F12+F13+F14</f>
        <v>-210</v>
      </c>
      <c r="G15" s="13">
        <f t="shared" si="2"/>
        <v>11.184833333333337</v>
      </c>
      <c r="H15" s="13">
        <f t="shared" si="2"/>
        <v>13.931496152672921</v>
      </c>
      <c r="I15" s="13">
        <f t="shared" si="2"/>
        <v>16.449204970638256</v>
      </c>
      <c r="J15" s="13">
        <f t="shared" si="2"/>
        <v>18.985880183215691</v>
      </c>
      <c r="K15" s="13">
        <f t="shared" si="2"/>
        <v>21.549415526238612</v>
      </c>
      <c r="L15" s="13">
        <f t="shared" si="2"/>
        <v>24.140474447491634</v>
      </c>
      <c r="M15" s="13">
        <f t="shared" si="2"/>
        <v>26.759509016803811</v>
      </c>
      <c r="N15" s="13">
        <f t="shared" si="2"/>
        <v>29.406971647167232</v>
      </c>
      <c r="O15" s="13">
        <f t="shared" si="2"/>
        <v>32.08332158063596</v>
      </c>
      <c r="P15" s="13">
        <f t="shared" si="2"/>
        <v>34.789025187933809</v>
      </c>
      <c r="Q15" s="13">
        <f t="shared" si="2"/>
        <v>37.52455608311984</v>
      </c>
      <c r="R15" s="13">
        <f t="shared" si="2"/>
        <v>40.290395234275515</v>
      </c>
      <c r="S15" s="13">
        <f t="shared" si="2"/>
        <v>43.087031075694107</v>
      </c>
      <c r="T15" s="13">
        <f t="shared" si="2"/>
        <v>1111.1289880899387</v>
      </c>
    </row>
    <row r="16" spans="1:21" x14ac:dyDescent="0.25">
      <c r="A16" s="32" t="s">
        <v>50</v>
      </c>
      <c r="B16" s="72">
        <v>0.4</v>
      </c>
      <c r="C16" s="73"/>
      <c r="E16" s="39" t="s">
        <v>22</v>
      </c>
      <c r="F16" s="70">
        <f>IRR(F15:T15)</f>
        <v>0.18211615328396169</v>
      </c>
      <c r="G16" s="30"/>
      <c r="H16" s="39" t="s">
        <v>137</v>
      </c>
      <c r="I16" s="118">
        <f>NPV(5%,F15:T15)</f>
        <v>559.42548719745866</v>
      </c>
      <c r="J16" s="30"/>
      <c r="K16" s="135" t="str">
        <f>K9</f>
        <v>TRIM(5%,4%)</v>
      </c>
      <c r="L16" s="136"/>
      <c r="M16" s="9">
        <f>MIRR(F15:T15,5%,4%)</f>
        <v>0.15357803303778672</v>
      </c>
      <c r="N16" s="30"/>
      <c r="O16" s="30"/>
      <c r="P16" s="30"/>
      <c r="Q16" s="30"/>
      <c r="R16" s="30"/>
      <c r="S16" s="30"/>
      <c r="T16" s="30"/>
    </row>
    <row r="17" spans="1:20" x14ac:dyDescent="0.25">
      <c r="A17" s="32" t="s">
        <v>94</v>
      </c>
      <c r="B17" s="74">
        <v>0.05</v>
      </c>
      <c r="C17" s="73"/>
      <c r="D17" s="50"/>
      <c r="E17" s="75"/>
      <c r="F17" s="90"/>
      <c r="G17" s="50"/>
      <c r="H17" s="50"/>
      <c r="I17" s="123">
        <f>(I16-I9)/15</f>
        <v>31.714641626072975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2"/>
    </row>
    <row r="18" spans="1:20" x14ac:dyDescent="0.25">
      <c r="A1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9" spans="1:20" x14ac:dyDescent="0.25">
      <c r="A19" s="76" t="s">
        <v>34</v>
      </c>
      <c r="B19" s="77" t="s">
        <v>7</v>
      </c>
      <c r="C19" s="77" t="s">
        <v>53</v>
      </c>
      <c r="D19" s="77" t="s">
        <v>54</v>
      </c>
      <c r="E19" s="77" t="s">
        <v>55</v>
      </c>
      <c r="F19" s="77" t="s">
        <v>56</v>
      </c>
      <c r="G19" s="77" t="s">
        <v>57</v>
      </c>
      <c r="H19" s="77" t="s">
        <v>58</v>
      </c>
      <c r="I19" s="77" t="s">
        <v>59</v>
      </c>
      <c r="J19" s="77" t="s">
        <v>60</v>
      </c>
      <c r="K19" s="77" t="s">
        <v>61</v>
      </c>
      <c r="L19" s="77" t="s">
        <v>62</v>
      </c>
      <c r="M19" s="77" t="s">
        <v>63</v>
      </c>
      <c r="N19" s="77" t="s">
        <v>64</v>
      </c>
      <c r="O19" s="77" t="s">
        <v>65</v>
      </c>
      <c r="P19" s="77" t="s">
        <v>66</v>
      </c>
      <c r="Q19" s="77" t="s">
        <v>67</v>
      </c>
      <c r="R19" s="78"/>
    </row>
    <row r="20" spans="1:20" x14ac:dyDescent="0.25">
      <c r="A20" s="79" t="s">
        <v>95</v>
      </c>
      <c r="B20" s="79"/>
      <c r="C20" s="80">
        <v>24</v>
      </c>
      <c r="D20" s="80">
        <v>24.36</v>
      </c>
      <c r="E20" s="80">
        <v>24.725399999999997</v>
      </c>
      <c r="F20" s="80">
        <v>25.096280999999994</v>
      </c>
      <c r="G20" s="80">
        <v>25.47272521499999</v>
      </c>
      <c r="H20" s="80">
        <v>25.854816093224986</v>
      </c>
      <c r="I20" s="80">
        <v>26.242638334623358</v>
      </c>
      <c r="J20" s="80">
        <v>26.636277909642704</v>
      </c>
      <c r="K20" s="80">
        <v>27.035822078287342</v>
      </c>
      <c r="L20" s="80">
        <v>27.441359409461651</v>
      </c>
      <c r="M20" s="80">
        <v>27.852979800603574</v>
      </c>
      <c r="N20" s="80">
        <v>28.270774497612624</v>
      </c>
      <c r="O20" s="80">
        <v>28.694836115076811</v>
      </c>
      <c r="P20" s="80">
        <v>29.125258656802959</v>
      </c>
      <c r="Q20" s="80">
        <v>29.562137536655001</v>
      </c>
      <c r="R20" s="78"/>
    </row>
    <row r="21" spans="1:20" x14ac:dyDescent="0.25">
      <c r="A21" s="79" t="s">
        <v>90</v>
      </c>
      <c r="B21" s="79"/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78"/>
    </row>
    <row r="22" spans="1:20" x14ac:dyDescent="0.25">
      <c r="A22" s="79" t="s">
        <v>96</v>
      </c>
      <c r="B22" s="79"/>
      <c r="C22" s="80">
        <v>9.6</v>
      </c>
      <c r="D22" s="80">
        <v>9.6</v>
      </c>
      <c r="E22" s="80">
        <v>9.6</v>
      </c>
      <c r="F22" s="80">
        <v>9.6</v>
      </c>
      <c r="G22" s="80">
        <v>9.6</v>
      </c>
      <c r="H22" s="80">
        <v>9.6</v>
      </c>
      <c r="I22" s="80">
        <v>9.6</v>
      </c>
      <c r="J22" s="80">
        <v>9.6</v>
      </c>
      <c r="K22" s="80">
        <v>9.6</v>
      </c>
      <c r="L22" s="80">
        <v>9.6</v>
      </c>
      <c r="M22" s="80">
        <v>9.6</v>
      </c>
      <c r="N22" s="80">
        <v>9.6</v>
      </c>
      <c r="O22" s="80">
        <v>9.6</v>
      </c>
      <c r="P22" s="80">
        <v>9.6</v>
      </c>
      <c r="Q22" s="80">
        <v>9.6</v>
      </c>
      <c r="R22" s="78"/>
    </row>
    <row r="23" spans="1:20" x14ac:dyDescent="0.25">
      <c r="A23" s="79" t="s">
        <v>97</v>
      </c>
      <c r="B23" s="79"/>
      <c r="C23" s="80">
        <v>14.4</v>
      </c>
      <c r="D23" s="80">
        <v>14.76</v>
      </c>
      <c r="E23" s="80">
        <v>15.125399999999997</v>
      </c>
      <c r="F23" s="80">
        <v>15.496280999999994</v>
      </c>
      <c r="G23" s="80">
        <v>15.87272521499999</v>
      </c>
      <c r="H23" s="80">
        <v>16.254816093224989</v>
      </c>
      <c r="I23" s="80">
        <v>16.642638334623356</v>
      </c>
      <c r="J23" s="80">
        <v>17.036277909642706</v>
      </c>
      <c r="K23" s="80">
        <v>17.435822078287345</v>
      </c>
      <c r="L23" s="80">
        <v>17.841359409461653</v>
      </c>
      <c r="M23" s="80">
        <v>18.252979800603576</v>
      </c>
      <c r="N23" s="80">
        <v>18.670774497612626</v>
      </c>
      <c r="O23" s="80">
        <v>19.094836115076809</v>
      </c>
      <c r="P23" s="80">
        <v>19.525258656802961</v>
      </c>
      <c r="Q23" s="80">
        <v>19.962137536655</v>
      </c>
      <c r="R23" s="78"/>
    </row>
    <row r="24" spans="1:20" x14ac:dyDescent="0.25">
      <c r="A24" s="79" t="s">
        <v>98</v>
      </c>
      <c r="B24" s="79"/>
      <c r="C24" s="80">
        <v>-9.4499999999999993</v>
      </c>
      <c r="D24" s="80">
        <v>-8.8565062499999989</v>
      </c>
      <c r="E24" s="80">
        <v>-8.1953985164062484</v>
      </c>
      <c r="F24" s="80">
        <v>-7.5319087015977537</v>
      </c>
      <c r="G24" s="80">
        <v>-6.8681623537646264</v>
      </c>
      <c r="H24" s="80">
        <v>-6.2042261366521956</v>
      </c>
      <c r="I24" s="80">
        <v>-5.5400995026668127</v>
      </c>
      <c r="J24" s="80">
        <v>-4.8757796706074172</v>
      </c>
      <c r="K24" s="80">
        <v>-4.2112637449514736</v>
      </c>
      <c r="L24" s="80">
        <v>-3.5465487843749175</v>
      </c>
      <c r="M24" s="80">
        <v>-2.8816318033565449</v>
      </c>
      <c r="N24" s="80">
        <v>-2.2165097715898154</v>
      </c>
      <c r="O24" s="80">
        <v>-1.5511796133135058</v>
      </c>
      <c r="P24" s="80">
        <v>-0.88563820662997206</v>
      </c>
      <c r="Q24" s="80">
        <v>-0.21988238281310621</v>
      </c>
      <c r="R24" s="78"/>
    </row>
    <row r="25" spans="1:20" x14ac:dyDescent="0.25">
      <c r="A25" s="79" t="s">
        <v>88</v>
      </c>
      <c r="B25" s="79"/>
      <c r="C25" s="80">
        <v>-1.3612500000000003</v>
      </c>
      <c r="D25" s="80">
        <v>-1.6234607812500004</v>
      </c>
      <c r="E25" s="80">
        <v>-1.905750407988281</v>
      </c>
      <c r="F25" s="80">
        <v>-2.1902023820606162</v>
      </c>
      <c r="G25" s="80">
        <v>-2.4762547868397253</v>
      </c>
      <c r="H25" s="80">
        <v>-2.7639122380575185</v>
      </c>
      <c r="I25" s="80">
        <v>-3.0531981787880498</v>
      </c>
      <c r="J25" s="80">
        <v>-3.3441370157347046</v>
      </c>
      <c r="K25" s="80">
        <v>-3.6367535416673649</v>
      </c>
      <c r="L25" s="80">
        <v>-3.9310729218988527</v>
      </c>
      <c r="M25" s="80">
        <v>-4.227120699242934</v>
      </c>
      <c r="N25" s="80">
        <v>-4.5249227996562729</v>
      </c>
      <c r="O25" s="80">
        <v>-4.8245055379849093</v>
      </c>
      <c r="P25" s="80">
        <v>-5.1258956237975717</v>
      </c>
      <c r="Q25" s="80">
        <v>-5.4291201673065208</v>
      </c>
      <c r="R25" s="78"/>
    </row>
    <row r="26" spans="1:20" x14ac:dyDescent="0.25">
      <c r="A26" s="79" t="s">
        <v>71</v>
      </c>
      <c r="B26" s="79"/>
      <c r="C26" s="80">
        <v>3.588750000000001</v>
      </c>
      <c r="D26" s="80">
        <v>4.2800329687500005</v>
      </c>
      <c r="E26" s="80">
        <v>5.0242510756054681</v>
      </c>
      <c r="F26" s="80">
        <v>5.7741699163416245</v>
      </c>
      <c r="G26" s="80">
        <v>6.528308074395639</v>
      </c>
      <c r="H26" s="80">
        <v>7.2866777185152749</v>
      </c>
      <c r="I26" s="80">
        <v>8.0493406531684943</v>
      </c>
      <c r="J26" s="80">
        <v>8.8163612233005839</v>
      </c>
      <c r="K26" s="80">
        <v>9.587804791668507</v>
      </c>
      <c r="L26" s="80">
        <v>10.363737703187883</v>
      </c>
      <c r="M26" s="80">
        <v>11.144227298004097</v>
      </c>
      <c r="N26" s="80">
        <v>11.929341926366536</v>
      </c>
      <c r="O26" s="80">
        <v>12.719150963778397</v>
      </c>
      <c r="P26" s="80">
        <v>13.513724826375416</v>
      </c>
      <c r="Q26" s="80">
        <v>14.313134986535371</v>
      </c>
      <c r="R26" s="78"/>
    </row>
    <row r="27" spans="1:20" x14ac:dyDescent="0.25">
      <c r="A27" s="78" t="s">
        <v>150</v>
      </c>
      <c r="B27" s="78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78"/>
    </row>
    <row r="28" spans="1:20" x14ac:dyDescent="0.25">
      <c r="A28" s="76"/>
      <c r="B28" s="77" t="s">
        <v>7</v>
      </c>
      <c r="C28" s="82" t="s">
        <v>53</v>
      </c>
      <c r="D28" s="82" t="s">
        <v>54</v>
      </c>
      <c r="E28" s="82" t="s">
        <v>55</v>
      </c>
      <c r="F28" s="82" t="s">
        <v>56</v>
      </c>
      <c r="G28" s="82" t="s">
        <v>57</v>
      </c>
      <c r="H28" s="82" t="s">
        <v>58</v>
      </c>
      <c r="I28" s="82" t="s">
        <v>59</v>
      </c>
      <c r="J28" s="82" t="s">
        <v>60</v>
      </c>
      <c r="K28" s="82" t="s">
        <v>61</v>
      </c>
      <c r="L28" s="82" t="s">
        <v>62</v>
      </c>
      <c r="M28" s="82" t="s">
        <v>63</v>
      </c>
      <c r="N28" s="82" t="s">
        <v>64</v>
      </c>
      <c r="O28" s="82" t="s">
        <v>65</v>
      </c>
      <c r="P28" s="82" t="s">
        <v>66</v>
      </c>
      <c r="Q28" s="82" t="s">
        <v>67</v>
      </c>
      <c r="R28" s="78"/>
    </row>
    <row r="29" spans="1:20" x14ac:dyDescent="0.25">
      <c r="A29" s="79" t="s">
        <v>72</v>
      </c>
      <c r="B29" s="79"/>
      <c r="C29" s="80">
        <v>13.188750000000001</v>
      </c>
      <c r="D29" s="80">
        <v>13.880032968750001</v>
      </c>
      <c r="E29" s="80">
        <v>14.624251075605468</v>
      </c>
      <c r="F29" s="80">
        <v>15.374169916341625</v>
      </c>
      <c r="G29" s="80">
        <v>16.12830807439564</v>
      </c>
      <c r="H29" s="80">
        <v>16.886677718515273</v>
      </c>
      <c r="I29" s="80">
        <v>17.649340653168494</v>
      </c>
      <c r="J29" s="80">
        <v>18.416361223300584</v>
      </c>
      <c r="K29" s="80">
        <v>19.187804791668505</v>
      </c>
      <c r="L29" s="80">
        <v>19.963737703187881</v>
      </c>
      <c r="M29" s="80">
        <v>20.744227298004098</v>
      </c>
      <c r="N29" s="80">
        <v>21.529341926366534</v>
      </c>
      <c r="O29" s="80">
        <v>22.319150963778398</v>
      </c>
      <c r="P29" s="80">
        <v>23.113724826375417</v>
      </c>
      <c r="Q29" s="80">
        <v>23.913134986535368</v>
      </c>
      <c r="R29" s="78"/>
    </row>
    <row r="30" spans="1:20" x14ac:dyDescent="0.25">
      <c r="A30" s="79" t="s">
        <v>9</v>
      </c>
      <c r="B30" s="79"/>
      <c r="C30" s="80"/>
      <c r="D30" s="80">
        <v>0.81124999999999936</v>
      </c>
      <c r="E30" s="80">
        <v>0.11996703124999897</v>
      </c>
      <c r="F30" s="80">
        <v>-0.62425107560546778</v>
      </c>
      <c r="G30" s="80">
        <v>-1.374169916341625</v>
      </c>
      <c r="H30" s="80">
        <v>-2.1283080743956404</v>
      </c>
      <c r="I30" s="80">
        <v>-2.8866777185152728</v>
      </c>
      <c r="J30" s="80">
        <v>-3.649340653168494</v>
      </c>
      <c r="K30" s="80">
        <v>-4.4163612233005836</v>
      </c>
      <c r="L30" s="80">
        <v>-5.1878047916685048</v>
      </c>
      <c r="M30" s="80">
        <v>-5.9637377031878813</v>
      </c>
      <c r="N30" s="80">
        <v>-6.7442272980040983</v>
      </c>
      <c r="O30" s="80">
        <v>-7.5293419263665342</v>
      </c>
      <c r="P30" s="80">
        <v>-8.319150963778398</v>
      </c>
      <c r="Q30" s="80">
        <v>-9.1137248263754174</v>
      </c>
      <c r="R30" s="78"/>
    </row>
    <row r="31" spans="1:20" x14ac:dyDescent="0.25">
      <c r="A31" s="79" t="s">
        <v>12</v>
      </c>
      <c r="B31" s="79"/>
      <c r="C31" s="80">
        <v>-14</v>
      </c>
      <c r="D31" s="80">
        <v>-14</v>
      </c>
      <c r="E31" s="80">
        <v>-14</v>
      </c>
      <c r="F31" s="80">
        <v>-14</v>
      </c>
      <c r="G31" s="80">
        <v>-14</v>
      </c>
      <c r="H31" s="80">
        <v>-14</v>
      </c>
      <c r="I31" s="80">
        <v>-14</v>
      </c>
      <c r="J31" s="80">
        <v>-14</v>
      </c>
      <c r="K31" s="80">
        <v>-14</v>
      </c>
      <c r="L31" s="80">
        <v>-14</v>
      </c>
      <c r="M31" s="80">
        <v>-14</v>
      </c>
      <c r="N31" s="80">
        <v>-14</v>
      </c>
      <c r="O31" s="80">
        <v>-14</v>
      </c>
      <c r="P31" s="80">
        <v>-14</v>
      </c>
      <c r="Q31" s="80">
        <v>-14</v>
      </c>
      <c r="R31" s="78"/>
    </row>
    <row r="32" spans="1:20" x14ac:dyDescent="0.25">
      <c r="A32" s="79" t="s">
        <v>10</v>
      </c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78"/>
    </row>
    <row r="33" spans="1:19" x14ac:dyDescent="0.25">
      <c r="A33" s="79" t="s">
        <v>99</v>
      </c>
      <c r="B33" s="79"/>
      <c r="C33" s="80">
        <v>0</v>
      </c>
      <c r="D33" s="80">
        <v>-0.81124999999999936</v>
      </c>
      <c r="E33" s="80">
        <v>-0.11996703124999897</v>
      </c>
      <c r="F33" s="80">
        <v>0.62425107560546778</v>
      </c>
      <c r="G33" s="80">
        <v>1.374169916341625</v>
      </c>
      <c r="H33" s="80">
        <v>2.1283080743956404</v>
      </c>
      <c r="I33" s="80">
        <v>2.8866777185152728</v>
      </c>
      <c r="J33" s="80">
        <v>3.649340653168494</v>
      </c>
      <c r="K33" s="80">
        <v>4.4163612233005836</v>
      </c>
      <c r="L33" s="80">
        <v>5.1878047916685048</v>
      </c>
      <c r="M33" s="80">
        <v>5.9637377031878813</v>
      </c>
      <c r="N33" s="80">
        <v>6.7442272980040983</v>
      </c>
      <c r="O33" s="80">
        <v>7.5293419263665342</v>
      </c>
      <c r="P33" s="80">
        <v>8.319150963778398</v>
      </c>
      <c r="Q33" s="80">
        <v>9.1137248263754174</v>
      </c>
      <c r="R33" s="78"/>
    </row>
    <row r="34" spans="1:19" x14ac:dyDescent="0.25">
      <c r="A34" s="79" t="s">
        <v>100</v>
      </c>
      <c r="B34" s="79"/>
      <c r="C34" s="80">
        <v>-0.81124999999999936</v>
      </c>
      <c r="D34" s="80">
        <v>-0.11996703124999897</v>
      </c>
      <c r="E34" s="80">
        <v>0.62425107560546778</v>
      </c>
      <c r="F34" s="80">
        <v>1.374169916341625</v>
      </c>
      <c r="G34" s="80">
        <v>2.1283080743956404</v>
      </c>
      <c r="H34" s="80">
        <v>2.8866777185152728</v>
      </c>
      <c r="I34" s="80">
        <v>3.649340653168494</v>
      </c>
      <c r="J34" s="80">
        <v>4.4163612233005836</v>
      </c>
      <c r="K34" s="80">
        <v>5.1878047916685048</v>
      </c>
      <c r="L34" s="80">
        <v>5.9637377031878813</v>
      </c>
      <c r="M34" s="80">
        <v>6.7442272980040983</v>
      </c>
      <c r="N34" s="80">
        <v>7.5293419263665342</v>
      </c>
      <c r="O34" s="80">
        <v>8.319150963778398</v>
      </c>
      <c r="P34" s="80">
        <v>9.1137248263754174</v>
      </c>
      <c r="Q34" s="80">
        <v>9.9131349865353684</v>
      </c>
      <c r="R34" s="78"/>
    </row>
    <row r="35" spans="1:19" x14ac:dyDescent="0.25">
      <c r="A35" s="78" t="s">
        <v>150</v>
      </c>
      <c r="B35" s="78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78"/>
    </row>
    <row r="36" spans="1:19" x14ac:dyDescent="0.25">
      <c r="A36" s="76"/>
      <c r="B36" s="77" t="s">
        <v>7</v>
      </c>
      <c r="C36" s="82" t="s">
        <v>53</v>
      </c>
      <c r="D36" s="82" t="s">
        <v>54</v>
      </c>
      <c r="E36" s="82" t="s">
        <v>55</v>
      </c>
      <c r="F36" s="82" t="s">
        <v>56</v>
      </c>
      <c r="G36" s="82" t="s">
        <v>57</v>
      </c>
      <c r="H36" s="82" t="s">
        <v>58</v>
      </c>
      <c r="I36" s="82" t="s">
        <v>59</v>
      </c>
      <c r="J36" s="82" t="s">
        <v>60</v>
      </c>
      <c r="K36" s="82" t="s">
        <v>61</v>
      </c>
      <c r="L36" s="82" t="s">
        <v>62</v>
      </c>
      <c r="M36" s="82" t="s">
        <v>63</v>
      </c>
      <c r="N36" s="82" t="s">
        <v>64</v>
      </c>
      <c r="O36" s="82" t="s">
        <v>65</v>
      </c>
      <c r="P36" s="82" t="s">
        <v>66</v>
      </c>
      <c r="Q36" s="82" t="s">
        <v>67</v>
      </c>
      <c r="R36" s="83" t="s">
        <v>101</v>
      </c>
      <c r="S36" s="84" t="s">
        <v>102</v>
      </c>
    </row>
    <row r="37" spans="1:19" x14ac:dyDescent="0.25">
      <c r="A37" s="79" t="s">
        <v>9</v>
      </c>
      <c r="B37" s="79">
        <v>90</v>
      </c>
      <c r="C37" s="80">
        <v>93.588750000000005</v>
      </c>
      <c r="D37" s="80">
        <v>98.680032968750012</v>
      </c>
      <c r="E37" s="80">
        <v>103.82425107560547</v>
      </c>
      <c r="F37" s="80">
        <v>108.97416991634162</v>
      </c>
      <c r="G37" s="80">
        <v>114.12830807439563</v>
      </c>
      <c r="H37" s="80">
        <v>119.28667771851528</v>
      </c>
      <c r="I37" s="80">
        <v>124.44934065316851</v>
      </c>
      <c r="J37" s="80">
        <v>129.6163612233006</v>
      </c>
      <c r="K37" s="80">
        <v>134.78780479166852</v>
      </c>
      <c r="L37" s="80">
        <v>139.96373770318792</v>
      </c>
      <c r="M37" s="80">
        <v>145.14422729800413</v>
      </c>
      <c r="N37" s="80">
        <v>150.32934192636657</v>
      </c>
      <c r="O37" s="80">
        <v>155.51915096377843</v>
      </c>
      <c r="P37" s="80">
        <v>160.71372482637543</v>
      </c>
      <c r="Q37" s="80">
        <v>165.9131349865354</v>
      </c>
      <c r="R37" s="80">
        <v>413.67363648377409</v>
      </c>
      <c r="S37" s="85">
        <v>323.67363648377409</v>
      </c>
    </row>
    <row r="38" spans="1:19" x14ac:dyDescent="0.25">
      <c r="A38" s="79" t="s">
        <v>12</v>
      </c>
      <c r="B38" s="79">
        <v>210</v>
      </c>
      <c r="C38" s="80">
        <v>196</v>
      </c>
      <c r="D38" s="80">
        <v>182</v>
      </c>
      <c r="E38" s="80">
        <v>168</v>
      </c>
      <c r="F38" s="80">
        <v>154</v>
      </c>
      <c r="G38" s="80">
        <v>140</v>
      </c>
      <c r="H38" s="80">
        <v>126</v>
      </c>
      <c r="I38" s="80">
        <v>112</v>
      </c>
      <c r="J38" s="80">
        <v>98</v>
      </c>
      <c r="K38" s="80">
        <v>84</v>
      </c>
      <c r="L38" s="80">
        <v>70</v>
      </c>
      <c r="M38" s="80">
        <v>56</v>
      </c>
      <c r="N38" s="80">
        <v>42</v>
      </c>
      <c r="O38" s="80">
        <v>28</v>
      </c>
      <c r="P38" s="80">
        <v>14</v>
      </c>
      <c r="Q38" s="80">
        <v>0</v>
      </c>
      <c r="R38" s="80">
        <v>0</v>
      </c>
    </row>
    <row r="39" spans="1:19" x14ac:dyDescent="0.25">
      <c r="A39" s="79"/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79"/>
    </row>
    <row r="40" spans="1:19" x14ac:dyDescent="0.25">
      <c r="A40" s="79" t="s">
        <v>103</v>
      </c>
      <c r="B40" s="79">
        <v>300</v>
      </c>
      <c r="C40" s="80">
        <v>290.39999999999998</v>
      </c>
      <c r="D40" s="80">
        <v>280.79999999999995</v>
      </c>
      <c r="E40" s="80">
        <v>271.19999999999993</v>
      </c>
      <c r="F40" s="80">
        <v>261.59999999999991</v>
      </c>
      <c r="G40" s="80">
        <v>251.99999999999991</v>
      </c>
      <c r="H40" s="80">
        <v>242.39999999999992</v>
      </c>
      <c r="I40" s="80">
        <v>232.79999999999993</v>
      </c>
      <c r="J40" s="80">
        <v>223.19999999999993</v>
      </c>
      <c r="K40" s="80">
        <v>213.59999999999994</v>
      </c>
      <c r="L40" s="80">
        <v>203.99999999999994</v>
      </c>
      <c r="M40" s="80">
        <v>194.39999999999995</v>
      </c>
      <c r="N40" s="80">
        <v>184.79999999999995</v>
      </c>
      <c r="O40" s="80">
        <v>175.19999999999996</v>
      </c>
      <c r="P40" s="80">
        <v>165.59999999999997</v>
      </c>
      <c r="Q40" s="80">
        <v>155.99999999999997</v>
      </c>
      <c r="R40" s="80">
        <v>403.76050149723875</v>
      </c>
    </row>
    <row r="41" spans="1:19" x14ac:dyDescent="0.25">
      <c r="A41" s="79" t="s">
        <v>24</v>
      </c>
      <c r="B41" s="79"/>
      <c r="C41" s="80">
        <v>-0.81124999999999936</v>
      </c>
      <c r="D41" s="80">
        <v>-0.11996703124999897</v>
      </c>
      <c r="E41" s="80">
        <v>0.62425107560546778</v>
      </c>
      <c r="F41" s="80">
        <v>1.374169916341625</v>
      </c>
      <c r="G41" s="80">
        <v>2.1283080743956404</v>
      </c>
      <c r="H41" s="80">
        <v>2.8866777185152728</v>
      </c>
      <c r="I41" s="80">
        <v>3.649340653168494</v>
      </c>
      <c r="J41" s="80">
        <v>4.4163612233005836</v>
      </c>
      <c r="K41" s="80">
        <v>5.1878047916685048</v>
      </c>
      <c r="L41" s="80">
        <v>5.9637377031878813</v>
      </c>
      <c r="M41" s="80">
        <v>6.7442272980040983</v>
      </c>
      <c r="N41" s="80">
        <v>7.5293419263665342</v>
      </c>
      <c r="O41" s="80">
        <v>8.319150963778398</v>
      </c>
      <c r="P41" s="80">
        <v>9.1137248263754174</v>
      </c>
      <c r="Q41" s="80">
        <v>9.9131349865353684</v>
      </c>
      <c r="R41" s="80">
        <v>9.9131349865353684</v>
      </c>
    </row>
    <row r="42" spans="1:19" x14ac:dyDescent="0.25">
      <c r="A42" s="79" t="s">
        <v>104</v>
      </c>
      <c r="B42" s="79">
        <v>300</v>
      </c>
      <c r="C42" s="80">
        <v>289.58875</v>
      </c>
      <c r="D42" s="80">
        <v>280.68003296874997</v>
      </c>
      <c r="E42" s="80">
        <v>271.82425107560539</v>
      </c>
      <c r="F42" s="80">
        <v>262.97416991634151</v>
      </c>
      <c r="G42" s="80">
        <v>254.12830807439556</v>
      </c>
      <c r="H42" s="80">
        <v>245.28667771851519</v>
      </c>
      <c r="I42" s="80">
        <v>236.44934065316841</v>
      </c>
      <c r="J42" s="80">
        <v>227.61636122330052</v>
      </c>
      <c r="K42" s="80">
        <v>218.78780479166844</v>
      </c>
      <c r="L42" s="80">
        <v>209.96373770318783</v>
      </c>
      <c r="M42" s="80">
        <v>201.14422729800404</v>
      </c>
      <c r="N42" s="80">
        <v>192.32934192636648</v>
      </c>
      <c r="O42" s="80">
        <v>183.51915096377837</v>
      </c>
      <c r="P42" s="80">
        <v>174.71372482637537</v>
      </c>
      <c r="Q42" s="80">
        <v>165.91313498653534</v>
      </c>
      <c r="R42" s="80">
        <v>413.67363648377409</v>
      </c>
    </row>
    <row r="43" spans="1:19" x14ac:dyDescent="0.25">
      <c r="A43" s="79" t="s">
        <v>76</v>
      </c>
      <c r="B43" s="79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</row>
    <row r="44" spans="1:19" x14ac:dyDescent="0.25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5" spans="1:19" x14ac:dyDescent="0.25">
      <c r="A4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6" spans="1:19" x14ac:dyDescent="0.25">
      <c r="A46" s="6" t="s">
        <v>105</v>
      </c>
      <c r="B46" s="5" t="str">
        <f>B36</f>
        <v>A0</v>
      </c>
      <c r="C46" s="5" t="str">
        <f t="shared" ref="C46:Q46" si="3">C36</f>
        <v>A1</v>
      </c>
      <c r="D46" s="5" t="str">
        <f t="shared" si="3"/>
        <v>A2</v>
      </c>
      <c r="E46" s="5" t="str">
        <f t="shared" si="3"/>
        <v>A3</v>
      </c>
      <c r="F46" s="5" t="str">
        <f t="shared" si="3"/>
        <v>A4</v>
      </c>
      <c r="G46" s="5" t="str">
        <f t="shared" si="3"/>
        <v>A5</v>
      </c>
      <c r="H46" s="5" t="str">
        <f t="shared" si="3"/>
        <v>A6</v>
      </c>
      <c r="I46" s="5" t="str">
        <f t="shared" si="3"/>
        <v>A7</v>
      </c>
      <c r="J46" s="5" t="str">
        <f t="shared" si="3"/>
        <v>A8</v>
      </c>
      <c r="K46" s="5" t="str">
        <f t="shared" si="3"/>
        <v>A9</v>
      </c>
      <c r="L46" s="5" t="str">
        <f t="shared" si="3"/>
        <v>A10</v>
      </c>
      <c r="M46" s="5" t="str">
        <f t="shared" si="3"/>
        <v>A11</v>
      </c>
      <c r="N46" s="5" t="str">
        <f t="shared" si="3"/>
        <v>A12</v>
      </c>
      <c r="O46" s="5" t="str">
        <f t="shared" si="3"/>
        <v>A13</v>
      </c>
      <c r="P46" s="5" t="str">
        <f t="shared" si="3"/>
        <v>A14</v>
      </c>
      <c r="Q46" s="5" t="str">
        <f t="shared" si="3"/>
        <v>A15</v>
      </c>
    </row>
    <row r="47" spans="1:19" x14ac:dyDescent="0.25">
      <c r="A47" s="12" t="s">
        <v>106</v>
      </c>
      <c r="B47" s="12"/>
      <c r="C47" s="13">
        <f>$B$4/'tronc commun'!$B$17*'tronc commun'!C39</f>
        <v>87.5</v>
      </c>
      <c r="D47" s="13">
        <f>$B$4/'tronc commun'!$B$17*'tronc commun'!D39</f>
        <v>89.62617924528297</v>
      </c>
      <c r="E47" s="13">
        <f>$B$4/'tronc commun'!$B$17*'tronc commun'!E39</f>
        <v>91.790353773584826</v>
      </c>
      <c r="F47" s="13">
        <f>$B$4/'tronc commun'!$B$17*'tronc commun'!F39</f>
        <v>93.993139283608386</v>
      </c>
      <c r="G47" s="13">
        <f>$B$4/'tronc commun'!$B$17*'tronc commun'!G39</f>
        <v>96.235161052807953</v>
      </c>
      <c r="H47" s="13">
        <f>$B$4/'tronc commun'!$B$17*'tronc commun'!H39</f>
        <v>98.517054083645078</v>
      </c>
      <c r="I47" s="13">
        <f>$B$4/'tronc commun'!$B$17*'tronc commun'!I39</f>
        <v>100.83946325205763</v>
      </c>
      <c r="J47" s="13">
        <f>$B$4/'tronc commun'!$B$17*'tronc commun'!J39</f>
        <v>103.20304345817502</v>
      </c>
      <c r="K47" s="13">
        <f>$B$4/'tronc commun'!$B$17*'tronc commun'!K39</f>
        <v>105.60845977931422</v>
      </c>
      <c r="L47" s="13">
        <f>$B$4/'tronc commun'!$B$17*'tronc commun'!L39</f>
        <v>108.05638762529</v>
      </c>
      <c r="M47" s="13">
        <f>$B$4/'tronc commun'!$B$17*'tronc commun'!M39</f>
        <v>110.54751289607508</v>
      </c>
      <c r="N47" s="13">
        <f>$B$4/'tronc commun'!$B$17*'tronc commun'!N39</f>
        <v>113.08253214184495</v>
      </c>
      <c r="O47" s="13">
        <f>$B$4/'tronc commun'!$B$17*'tronc commun'!O39</f>
        <v>115.66215272544383</v>
      </c>
      <c r="P47" s="13">
        <f>$B$4/'tronc commun'!$B$17*'tronc commun'!P39</f>
        <v>118.28709298730777</v>
      </c>
      <c r="Q47" s="13">
        <f>$B$4/'tronc commun'!$B$17*'tronc commun'!Q39</f>
        <v>120.95808241288202</v>
      </c>
      <c r="R47" t="s">
        <v>146</v>
      </c>
    </row>
    <row r="48" spans="1:19" x14ac:dyDescent="0.25">
      <c r="A48" s="12" t="s">
        <v>90</v>
      </c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t="s">
        <v>147</v>
      </c>
    </row>
    <row r="49" spans="1:19" x14ac:dyDescent="0.25">
      <c r="A49" s="12" t="s">
        <v>96</v>
      </c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9" x14ac:dyDescent="0.25">
      <c r="A50" s="12" t="s">
        <v>97</v>
      </c>
      <c r="B50" s="12"/>
      <c r="C50" s="13">
        <f>C47-C48-C49</f>
        <v>87.5</v>
      </c>
      <c r="D50" s="13">
        <f t="shared" ref="D50:Q50" si="4">D47-D48-D49</f>
        <v>89.62617924528297</v>
      </c>
      <c r="E50" s="13">
        <f t="shared" si="4"/>
        <v>91.790353773584826</v>
      </c>
      <c r="F50" s="13">
        <f t="shared" si="4"/>
        <v>93.993139283608386</v>
      </c>
      <c r="G50" s="13">
        <f t="shared" si="4"/>
        <v>96.235161052807953</v>
      </c>
      <c r="H50" s="13">
        <f t="shared" si="4"/>
        <v>98.517054083645078</v>
      </c>
      <c r="I50" s="13">
        <f t="shared" si="4"/>
        <v>100.83946325205763</v>
      </c>
      <c r="J50" s="13">
        <f t="shared" si="4"/>
        <v>103.20304345817502</v>
      </c>
      <c r="K50" s="13">
        <f t="shared" si="4"/>
        <v>105.60845977931422</v>
      </c>
      <c r="L50" s="13">
        <f t="shared" si="4"/>
        <v>108.05638762529</v>
      </c>
      <c r="M50" s="13">
        <f t="shared" si="4"/>
        <v>110.54751289607508</v>
      </c>
      <c r="N50" s="13">
        <f t="shared" si="4"/>
        <v>113.08253214184495</v>
      </c>
      <c r="O50" s="13">
        <f t="shared" si="4"/>
        <v>115.66215272544383</v>
      </c>
      <c r="P50" s="13">
        <f t="shared" si="4"/>
        <v>118.28709298730777</v>
      </c>
      <c r="Q50" s="13">
        <f t="shared" si="4"/>
        <v>120.95808241288202</v>
      </c>
      <c r="R50" s="122"/>
    </row>
    <row r="51" spans="1:19" x14ac:dyDescent="0.25">
      <c r="A51" s="12" t="s">
        <v>98</v>
      </c>
      <c r="B51" s="12"/>
      <c r="C51" s="13">
        <f>-(B65-B68)*$B$8</f>
        <v>-22.05</v>
      </c>
      <c r="D51" s="13">
        <f t="shared" ref="D51:Q51" si="5">-(C65-C68)*$B$8</f>
        <v>-20.076682499999997</v>
      </c>
      <c r="E51" s="13">
        <f t="shared" si="5"/>
        <v>-18.483082673129715</v>
      </c>
      <c r="F51" s="13">
        <f t="shared" si="5"/>
        <v>-16.899785776321274</v>
      </c>
      <c r="G51" s="13">
        <f t="shared" si="5"/>
        <v>-15.315635391755292</v>
      </c>
      <c r="H51" s="13">
        <f t="shared" si="5"/>
        <v>-13.730276301319259</v>
      </c>
      <c r="I51" s="13">
        <f t="shared" si="5"/>
        <v>-12.143678649862872</v>
      </c>
      <c r="J51" s="13">
        <f t="shared" si="5"/>
        <v>-10.555822094243823</v>
      </c>
      <c r="K51" s="13">
        <f t="shared" si="5"/>
        <v>-8.9666862758774677</v>
      </c>
      <c r="L51" s="13">
        <f t="shared" si="5"/>
        <v>-7.3762505288713767</v>
      </c>
      <c r="M51" s="13">
        <f t="shared" si="5"/>
        <v>-5.7844938665429737</v>
      </c>
      <c r="N51" s="13">
        <f t="shared" si="5"/>
        <v>-4.1913949762596028</v>
      </c>
      <c r="O51" s="13">
        <f t="shared" si="5"/>
        <v>-2.5969322144575977</v>
      </c>
      <c r="P51" s="13">
        <f t="shared" si="5"/>
        <v>-1.0010836015937619</v>
      </c>
      <c r="Q51" s="13">
        <f t="shared" si="5"/>
        <v>0.59617318297928057</v>
      </c>
      <c r="R51" s="85"/>
    </row>
    <row r="52" spans="1:19" x14ac:dyDescent="0.25">
      <c r="A52" s="12" t="s">
        <v>88</v>
      </c>
      <c r="B52" s="67">
        <v>0.33</v>
      </c>
      <c r="C52" s="125">
        <f>-$B$52*(C50+C51)</f>
        <v>-21.598500000000001</v>
      </c>
      <c r="D52" s="125">
        <f t="shared" ref="D52:Q52" si="6">-$B$52*(D50+D51)</f>
        <v>-22.951333925943381</v>
      </c>
      <c r="E52" s="125">
        <f t="shared" si="6"/>
        <v>-24.191399463150187</v>
      </c>
      <c r="F52" s="125">
        <f t="shared" si="6"/>
        <v>-25.440806657404746</v>
      </c>
      <c r="G52" s="125">
        <f t="shared" si="6"/>
        <v>-26.70344346814738</v>
      </c>
      <c r="H52" s="125">
        <f t="shared" si="6"/>
        <v>-27.979636668167519</v>
      </c>
      <c r="I52" s="125">
        <f t="shared" si="6"/>
        <v>-29.26960891872427</v>
      </c>
      <c r="J52" s="125">
        <f t="shared" si="6"/>
        <v>-30.573583050097294</v>
      </c>
      <c r="K52" s="125">
        <f t="shared" si="6"/>
        <v>-31.891785256134131</v>
      </c>
      <c r="L52" s="125">
        <f t="shared" si="6"/>
        <v>-33.224445241818145</v>
      </c>
      <c r="M52" s="125">
        <f t="shared" si="6"/>
        <v>-34.571796279745598</v>
      </c>
      <c r="N52" s="125">
        <f t="shared" si="6"/>
        <v>-35.93407526464317</v>
      </c>
      <c r="O52" s="125">
        <f t="shared" si="6"/>
        <v>-37.311522768625458</v>
      </c>
      <c r="P52" s="125">
        <f t="shared" si="6"/>
        <v>-38.704383097285628</v>
      </c>
      <c r="Q52" s="125">
        <f t="shared" si="6"/>
        <v>-40.112904346634231</v>
      </c>
    </row>
    <row r="53" spans="1:19" x14ac:dyDescent="0.25">
      <c r="A53" s="12" t="s">
        <v>71</v>
      </c>
      <c r="B53" s="12"/>
      <c r="C53" s="13">
        <f>C50+C51+C52</f>
        <v>43.851500000000001</v>
      </c>
      <c r="D53" s="13">
        <f t="shared" ref="D53:Q53" si="7">D50+D51+D52</f>
        <v>46.598162819339585</v>
      </c>
      <c r="E53" s="13">
        <f t="shared" si="7"/>
        <v>49.11587163730492</v>
      </c>
      <c r="F53" s="13">
        <f t="shared" si="7"/>
        <v>51.652546849882356</v>
      </c>
      <c r="G53" s="13">
        <f t="shared" si="7"/>
        <v>54.216082192905276</v>
      </c>
      <c r="H53" s="13">
        <f t="shared" si="7"/>
        <v>56.807141114158298</v>
      </c>
      <c r="I53" s="13">
        <f t="shared" si="7"/>
        <v>59.426175683470476</v>
      </c>
      <c r="J53" s="13">
        <f t="shared" si="7"/>
        <v>62.073638313833897</v>
      </c>
      <c r="K53" s="13">
        <f t="shared" si="7"/>
        <v>64.749988247302625</v>
      </c>
      <c r="L53" s="13">
        <f t="shared" si="7"/>
        <v>67.455691854600474</v>
      </c>
      <c r="M53" s="13">
        <f t="shared" si="7"/>
        <v>70.191222749786505</v>
      </c>
      <c r="N53" s="13">
        <f t="shared" si="7"/>
        <v>72.957061900942179</v>
      </c>
      <c r="O53" s="13">
        <f t="shared" si="7"/>
        <v>75.753697742360771</v>
      </c>
      <c r="P53" s="13">
        <f t="shared" si="7"/>
        <v>78.581626288428382</v>
      </c>
      <c r="Q53" s="13">
        <f t="shared" si="7"/>
        <v>81.441351249227068</v>
      </c>
    </row>
    <row r="54" spans="1:19" x14ac:dyDescent="0.25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9" x14ac:dyDescent="0.25">
      <c r="A55" s="6"/>
      <c r="B55" s="5" t="str">
        <f>B46</f>
        <v>A0</v>
      </c>
      <c r="C55" s="7" t="str">
        <f t="shared" ref="C55:Q55" si="8">C46</f>
        <v>A1</v>
      </c>
      <c r="D55" s="7" t="str">
        <f t="shared" si="8"/>
        <v>A2</v>
      </c>
      <c r="E55" s="7" t="str">
        <f t="shared" si="8"/>
        <v>A3</v>
      </c>
      <c r="F55" s="7" t="str">
        <f t="shared" si="8"/>
        <v>A4</v>
      </c>
      <c r="G55" s="7" t="str">
        <f t="shared" si="8"/>
        <v>A5</v>
      </c>
      <c r="H55" s="7" t="str">
        <f t="shared" si="8"/>
        <v>A6</v>
      </c>
      <c r="I55" s="7" t="str">
        <f t="shared" si="8"/>
        <v>A7</v>
      </c>
      <c r="J55" s="7" t="str">
        <f t="shared" si="8"/>
        <v>A8</v>
      </c>
      <c r="K55" s="7" t="str">
        <f t="shared" si="8"/>
        <v>A9</v>
      </c>
      <c r="L55" s="7" t="str">
        <f t="shared" si="8"/>
        <v>A10</v>
      </c>
      <c r="M55" s="7" t="str">
        <f t="shared" si="8"/>
        <v>A11</v>
      </c>
      <c r="N55" s="7" t="str">
        <f t="shared" si="8"/>
        <v>A12</v>
      </c>
      <c r="O55" s="7" t="str">
        <f t="shared" si="8"/>
        <v>A13</v>
      </c>
      <c r="P55" s="7" t="str">
        <f t="shared" si="8"/>
        <v>A14</v>
      </c>
      <c r="Q55" s="7" t="str">
        <f t="shared" si="8"/>
        <v>A15</v>
      </c>
    </row>
    <row r="56" spans="1:19" x14ac:dyDescent="0.25">
      <c r="A56" s="12" t="s">
        <v>72</v>
      </c>
      <c r="B56" s="12"/>
      <c r="C56" s="13">
        <f>C53+C49</f>
        <v>43.851500000000001</v>
      </c>
      <c r="D56" s="13">
        <f t="shared" ref="D56:Q56" si="9">D53+D49</f>
        <v>46.598162819339585</v>
      </c>
      <c r="E56" s="13">
        <f t="shared" si="9"/>
        <v>49.11587163730492</v>
      </c>
      <c r="F56" s="13">
        <f t="shared" si="9"/>
        <v>51.652546849882356</v>
      </c>
      <c r="G56" s="13">
        <f t="shared" si="9"/>
        <v>54.216082192905276</v>
      </c>
      <c r="H56" s="13">
        <f t="shared" si="9"/>
        <v>56.807141114158298</v>
      </c>
      <c r="I56" s="13">
        <f t="shared" si="9"/>
        <v>59.426175683470476</v>
      </c>
      <c r="J56" s="13">
        <f t="shared" si="9"/>
        <v>62.073638313833897</v>
      </c>
      <c r="K56" s="13">
        <f t="shared" si="9"/>
        <v>64.749988247302625</v>
      </c>
      <c r="L56" s="13">
        <f t="shared" si="9"/>
        <v>67.455691854600474</v>
      </c>
      <c r="M56" s="13">
        <f t="shared" si="9"/>
        <v>70.191222749786505</v>
      </c>
      <c r="N56" s="13">
        <f t="shared" si="9"/>
        <v>72.957061900942179</v>
      </c>
      <c r="O56" s="13">
        <f t="shared" si="9"/>
        <v>75.753697742360771</v>
      </c>
      <c r="P56" s="13">
        <f t="shared" si="9"/>
        <v>78.581626288428382</v>
      </c>
      <c r="Q56" s="13">
        <f t="shared" si="9"/>
        <v>81.441351249227068</v>
      </c>
    </row>
    <row r="57" spans="1:19" x14ac:dyDescent="0.25">
      <c r="A57" s="12" t="s">
        <v>9</v>
      </c>
      <c r="B57" s="12"/>
      <c r="C57" s="13"/>
      <c r="D57" s="13">
        <f>-C61</f>
        <v>-11.184833333333337</v>
      </c>
      <c r="E57" s="13">
        <f t="shared" ref="E57:Q57" si="10">-D61</f>
        <v>-13.931496152672921</v>
      </c>
      <c r="F57" s="13">
        <f t="shared" si="10"/>
        <v>-16.449204970638256</v>
      </c>
      <c r="G57" s="13">
        <f t="shared" si="10"/>
        <v>-18.985880183215691</v>
      </c>
      <c r="H57" s="13">
        <f t="shared" si="10"/>
        <v>-21.549415526238612</v>
      </c>
      <c r="I57" s="13">
        <f t="shared" si="10"/>
        <v>-24.140474447491634</v>
      </c>
      <c r="J57" s="13">
        <f t="shared" si="10"/>
        <v>-26.759509016803811</v>
      </c>
      <c r="K57" s="13">
        <f t="shared" si="10"/>
        <v>-29.406971647167232</v>
      </c>
      <c r="L57" s="13">
        <f t="shared" si="10"/>
        <v>-32.08332158063596</v>
      </c>
      <c r="M57" s="13">
        <f t="shared" si="10"/>
        <v>-34.789025187933809</v>
      </c>
      <c r="N57" s="13">
        <f t="shared" si="10"/>
        <v>-37.52455608311984</v>
      </c>
      <c r="O57" s="13">
        <f t="shared" si="10"/>
        <v>-40.290395234275515</v>
      </c>
      <c r="P57" s="13">
        <f t="shared" si="10"/>
        <v>-43.087031075694107</v>
      </c>
      <c r="Q57" s="13">
        <f t="shared" si="10"/>
        <v>-45.914959621761717</v>
      </c>
    </row>
    <row r="58" spans="1:19" x14ac:dyDescent="0.25">
      <c r="A58" s="12" t="s">
        <v>12</v>
      </c>
      <c r="B58" s="12"/>
      <c r="C58" s="13">
        <f>-B7/$B$9</f>
        <v>-32.666666666666664</v>
      </c>
      <c r="D58" s="13">
        <f>C58</f>
        <v>-32.666666666666664</v>
      </c>
      <c r="E58" s="13">
        <f t="shared" ref="E58:Q58" si="11">D58</f>
        <v>-32.666666666666664</v>
      </c>
      <c r="F58" s="13">
        <f t="shared" si="11"/>
        <v>-32.666666666666664</v>
      </c>
      <c r="G58" s="13">
        <f t="shared" si="11"/>
        <v>-32.666666666666664</v>
      </c>
      <c r="H58" s="13">
        <f t="shared" si="11"/>
        <v>-32.666666666666664</v>
      </c>
      <c r="I58" s="13">
        <f t="shared" si="11"/>
        <v>-32.666666666666664</v>
      </c>
      <c r="J58" s="13">
        <f t="shared" si="11"/>
        <v>-32.666666666666664</v>
      </c>
      <c r="K58" s="13">
        <f t="shared" si="11"/>
        <v>-32.666666666666664</v>
      </c>
      <c r="L58" s="13">
        <f t="shared" si="11"/>
        <v>-32.666666666666664</v>
      </c>
      <c r="M58" s="13">
        <f t="shared" si="11"/>
        <v>-32.666666666666664</v>
      </c>
      <c r="N58" s="13">
        <f t="shared" si="11"/>
        <v>-32.666666666666664</v>
      </c>
      <c r="O58" s="13">
        <f t="shared" si="11"/>
        <v>-32.666666666666664</v>
      </c>
      <c r="P58" s="13">
        <f t="shared" si="11"/>
        <v>-32.666666666666664</v>
      </c>
      <c r="Q58" s="13">
        <f t="shared" si="11"/>
        <v>-32.666666666666664</v>
      </c>
    </row>
    <row r="59" spans="1:19" x14ac:dyDescent="0.25">
      <c r="A59" s="12" t="s">
        <v>10</v>
      </c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9" x14ac:dyDescent="0.25">
      <c r="A60" s="12" t="s">
        <v>99</v>
      </c>
      <c r="B60" s="12"/>
      <c r="C60" s="13">
        <f>B61</f>
        <v>0</v>
      </c>
      <c r="D60" s="13">
        <f t="shared" ref="D60:Q60" si="12">C61</f>
        <v>11.184833333333337</v>
      </c>
      <c r="E60" s="13">
        <f t="shared" si="12"/>
        <v>13.931496152672921</v>
      </c>
      <c r="F60" s="13">
        <f t="shared" si="12"/>
        <v>16.449204970638256</v>
      </c>
      <c r="G60" s="13">
        <f t="shared" si="12"/>
        <v>18.985880183215691</v>
      </c>
      <c r="H60" s="13">
        <f t="shared" si="12"/>
        <v>21.549415526238612</v>
      </c>
      <c r="I60" s="13">
        <f t="shared" si="12"/>
        <v>24.140474447491634</v>
      </c>
      <c r="J60" s="13">
        <f t="shared" si="12"/>
        <v>26.759509016803811</v>
      </c>
      <c r="K60" s="13">
        <f t="shared" si="12"/>
        <v>29.406971647167232</v>
      </c>
      <c r="L60" s="13">
        <f t="shared" si="12"/>
        <v>32.08332158063596</v>
      </c>
      <c r="M60" s="13">
        <f t="shared" si="12"/>
        <v>34.789025187933809</v>
      </c>
      <c r="N60" s="13">
        <f t="shared" si="12"/>
        <v>37.52455608311984</v>
      </c>
      <c r="O60" s="13">
        <f t="shared" si="12"/>
        <v>40.290395234275515</v>
      </c>
      <c r="P60" s="13">
        <f t="shared" si="12"/>
        <v>43.087031075694107</v>
      </c>
      <c r="Q60" s="13">
        <f t="shared" si="12"/>
        <v>45.914959621761717</v>
      </c>
    </row>
    <row r="61" spans="1:19" x14ac:dyDescent="0.25">
      <c r="A61" s="12" t="s">
        <v>100</v>
      </c>
      <c r="B61" s="12"/>
      <c r="C61" s="13">
        <f>SUM(C56:C60)</f>
        <v>11.184833333333337</v>
      </c>
      <c r="D61" s="13">
        <f t="shared" ref="D61:Q61" si="13">SUM(D56:D60)</f>
        <v>13.931496152672921</v>
      </c>
      <c r="E61" s="13">
        <f t="shared" si="13"/>
        <v>16.449204970638256</v>
      </c>
      <c r="F61" s="13">
        <f t="shared" si="13"/>
        <v>18.985880183215691</v>
      </c>
      <c r="G61" s="13">
        <f t="shared" si="13"/>
        <v>21.549415526238612</v>
      </c>
      <c r="H61" s="13">
        <f t="shared" si="13"/>
        <v>24.140474447491634</v>
      </c>
      <c r="I61" s="13">
        <f t="shared" si="13"/>
        <v>26.759509016803811</v>
      </c>
      <c r="J61" s="13">
        <f t="shared" si="13"/>
        <v>29.406971647167232</v>
      </c>
      <c r="K61" s="13">
        <f t="shared" si="13"/>
        <v>32.08332158063596</v>
      </c>
      <c r="L61" s="13">
        <f t="shared" si="13"/>
        <v>34.789025187933809</v>
      </c>
      <c r="M61" s="13">
        <f t="shared" si="13"/>
        <v>37.52455608311984</v>
      </c>
      <c r="N61" s="13">
        <f t="shared" si="13"/>
        <v>40.290395234275515</v>
      </c>
      <c r="O61" s="13">
        <f t="shared" si="13"/>
        <v>43.087031075694107</v>
      </c>
      <c r="P61" s="13">
        <f t="shared" si="13"/>
        <v>45.914959621761717</v>
      </c>
      <c r="Q61" s="13">
        <f t="shared" si="13"/>
        <v>48.774684582560404</v>
      </c>
    </row>
    <row r="62" spans="1:19" x14ac:dyDescent="0.25">
      <c r="A6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9" x14ac:dyDescent="0.25">
      <c r="A63" s="6"/>
      <c r="B63" s="5" t="str">
        <f>B55</f>
        <v>A0</v>
      </c>
      <c r="C63" s="7" t="str">
        <f t="shared" ref="C63:Q63" si="14">C55</f>
        <v>A1</v>
      </c>
      <c r="D63" s="7" t="str">
        <f t="shared" si="14"/>
        <v>A2</v>
      </c>
      <c r="E63" s="7" t="str">
        <f t="shared" si="14"/>
        <v>A3</v>
      </c>
      <c r="F63" s="7" t="str">
        <f t="shared" si="14"/>
        <v>A4</v>
      </c>
      <c r="G63" s="7" t="str">
        <f t="shared" si="14"/>
        <v>A5</v>
      </c>
      <c r="H63" s="7" t="str">
        <f t="shared" si="14"/>
        <v>A6</v>
      </c>
      <c r="I63" s="7" t="str">
        <f t="shared" si="14"/>
        <v>A7</v>
      </c>
      <c r="J63" s="7" t="str">
        <f t="shared" si="14"/>
        <v>A8</v>
      </c>
      <c r="K63" s="7" t="str">
        <f t="shared" si="14"/>
        <v>A9</v>
      </c>
      <c r="L63" s="7" t="str">
        <f t="shared" si="14"/>
        <v>A10</v>
      </c>
      <c r="M63" s="7" t="str">
        <f t="shared" si="14"/>
        <v>A11</v>
      </c>
      <c r="N63" s="7" t="str">
        <f t="shared" si="14"/>
        <v>A12</v>
      </c>
      <c r="O63" s="7" t="str">
        <f t="shared" si="14"/>
        <v>A13</v>
      </c>
      <c r="P63" s="7" t="str">
        <f t="shared" si="14"/>
        <v>A14</v>
      </c>
      <c r="Q63" s="7" t="str">
        <f t="shared" si="14"/>
        <v>A15</v>
      </c>
      <c r="R63" s="87" t="s">
        <v>101</v>
      </c>
      <c r="S63" s="88" t="s">
        <v>102</v>
      </c>
    </row>
    <row r="64" spans="1:19" x14ac:dyDescent="0.25">
      <c r="A64" s="12" t="s">
        <v>9</v>
      </c>
      <c r="B64" s="12">
        <f>$B$6</f>
        <v>210</v>
      </c>
      <c r="C64" s="13">
        <f>B64+C53+C57</f>
        <v>253.85149999999999</v>
      </c>
      <c r="D64" s="13">
        <f t="shared" ref="D64:Q64" si="15">C64+D53+D57</f>
        <v>289.26482948600619</v>
      </c>
      <c r="E64" s="13">
        <f t="shared" si="15"/>
        <v>324.44920497063816</v>
      </c>
      <c r="F64" s="13">
        <f t="shared" si="15"/>
        <v>359.65254684988224</v>
      </c>
      <c r="G64" s="13">
        <f t="shared" si="15"/>
        <v>394.88274885957185</v>
      </c>
      <c r="H64" s="13">
        <f t="shared" si="15"/>
        <v>430.14047444749156</v>
      </c>
      <c r="I64" s="13">
        <f t="shared" si="15"/>
        <v>465.42617568347043</v>
      </c>
      <c r="J64" s="13">
        <f t="shared" si="15"/>
        <v>500.74030498050047</v>
      </c>
      <c r="K64" s="13">
        <f t="shared" si="15"/>
        <v>536.08332158063592</v>
      </c>
      <c r="L64" s="13">
        <f t="shared" si="15"/>
        <v>571.45569185460045</v>
      </c>
      <c r="M64" s="13">
        <f t="shared" si="15"/>
        <v>606.85788941645308</v>
      </c>
      <c r="N64" s="13">
        <f t="shared" si="15"/>
        <v>642.29039523427548</v>
      </c>
      <c r="O64" s="13">
        <f t="shared" si="15"/>
        <v>677.75369774236071</v>
      </c>
      <c r="P64" s="13">
        <f t="shared" si="15"/>
        <v>713.24829295509505</v>
      </c>
      <c r="Q64" s="13">
        <f t="shared" si="15"/>
        <v>748.77468458256044</v>
      </c>
      <c r="R64" s="13">
        <f>R69-R65</f>
        <v>1065.214028468177</v>
      </c>
      <c r="S64" s="14">
        <f>R64-B64</f>
        <v>855.21402846817705</v>
      </c>
    </row>
    <row r="65" spans="1:18" x14ac:dyDescent="0.25">
      <c r="A65" s="12" t="s">
        <v>12</v>
      </c>
      <c r="B65" s="12">
        <f>$B$7</f>
        <v>490</v>
      </c>
      <c r="C65" s="13">
        <f>B65+C58</f>
        <v>457.33333333333331</v>
      </c>
      <c r="D65" s="13">
        <f t="shared" ref="D65:Q65" si="16">C65+D58</f>
        <v>424.66666666666663</v>
      </c>
      <c r="E65" s="13">
        <f t="shared" si="16"/>
        <v>391.99999999999994</v>
      </c>
      <c r="F65" s="13">
        <f t="shared" si="16"/>
        <v>359.33333333333326</v>
      </c>
      <c r="G65" s="13">
        <f t="shared" si="16"/>
        <v>326.66666666666657</v>
      </c>
      <c r="H65" s="13">
        <f t="shared" si="16"/>
        <v>293.99999999999989</v>
      </c>
      <c r="I65" s="13">
        <f t="shared" si="16"/>
        <v>261.3333333333332</v>
      </c>
      <c r="J65" s="13">
        <f t="shared" si="16"/>
        <v>228.66666666666654</v>
      </c>
      <c r="K65" s="13">
        <f t="shared" si="16"/>
        <v>195.99999999999989</v>
      </c>
      <c r="L65" s="13">
        <f t="shared" si="16"/>
        <v>163.33333333333323</v>
      </c>
      <c r="M65" s="13">
        <f t="shared" si="16"/>
        <v>130.66666666666657</v>
      </c>
      <c r="N65" s="13">
        <f t="shared" si="16"/>
        <v>97.999999999999915</v>
      </c>
      <c r="O65" s="13">
        <f t="shared" si="16"/>
        <v>65.333333333333258</v>
      </c>
      <c r="P65" s="13">
        <f t="shared" si="16"/>
        <v>32.666666666666593</v>
      </c>
      <c r="Q65" s="13">
        <f t="shared" si="16"/>
        <v>-7.1054273576010019E-14</v>
      </c>
      <c r="R65" s="13">
        <f>Q65</f>
        <v>-7.1054273576010019E-14</v>
      </c>
    </row>
    <row r="66" spans="1:18" x14ac:dyDescent="0.25">
      <c r="A66" s="12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2"/>
    </row>
    <row r="67" spans="1:18" x14ac:dyDescent="0.25">
      <c r="A67" s="12" t="s">
        <v>103</v>
      </c>
      <c r="B67" s="12">
        <f>$B$4</f>
        <v>700</v>
      </c>
      <c r="C67" s="13">
        <f>B67-C49</f>
        <v>700</v>
      </c>
      <c r="D67" s="13">
        <f t="shared" ref="D67:Q67" si="17">C67-D49</f>
        <v>700</v>
      </c>
      <c r="E67" s="13">
        <f t="shared" si="17"/>
        <v>700</v>
      </c>
      <c r="F67" s="13">
        <f t="shared" si="17"/>
        <v>700</v>
      </c>
      <c r="G67" s="13">
        <f t="shared" si="17"/>
        <v>700</v>
      </c>
      <c r="H67" s="13">
        <f t="shared" si="17"/>
        <v>700</v>
      </c>
      <c r="I67" s="13">
        <f t="shared" si="17"/>
        <v>700</v>
      </c>
      <c r="J67" s="13">
        <f t="shared" si="17"/>
        <v>700</v>
      </c>
      <c r="K67" s="13">
        <f t="shared" si="17"/>
        <v>700</v>
      </c>
      <c r="L67" s="13">
        <f t="shared" si="17"/>
        <v>700</v>
      </c>
      <c r="M67" s="13">
        <f t="shared" si="17"/>
        <v>700</v>
      </c>
      <c r="N67" s="13">
        <f t="shared" si="17"/>
        <v>700</v>
      </c>
      <c r="O67" s="13">
        <f t="shared" si="17"/>
        <v>700</v>
      </c>
      <c r="P67" s="13">
        <f t="shared" si="17"/>
        <v>700</v>
      </c>
      <c r="Q67" s="13">
        <f t="shared" si="17"/>
        <v>700</v>
      </c>
      <c r="R67" s="125">
        <f>'tronc commun'!B24*'Immob vs plcmt (2)'!Q50-'Immob vs plcmt (2)'!Q65+'Immob vs plcmt (2)'!Q68</f>
        <v>1016.4393438856167</v>
      </c>
    </row>
    <row r="68" spans="1:18" x14ac:dyDescent="0.25">
      <c r="A68" s="12" t="s">
        <v>24</v>
      </c>
      <c r="B68" s="12"/>
      <c r="C68" s="13">
        <f>C61</f>
        <v>11.184833333333337</v>
      </c>
      <c r="D68" s="13">
        <f t="shared" ref="D68:Q68" si="18">D61</f>
        <v>13.931496152672921</v>
      </c>
      <c r="E68" s="13">
        <f t="shared" si="18"/>
        <v>16.449204970638256</v>
      </c>
      <c r="F68" s="13">
        <f t="shared" si="18"/>
        <v>18.985880183215691</v>
      </c>
      <c r="G68" s="13">
        <f t="shared" si="18"/>
        <v>21.549415526238612</v>
      </c>
      <c r="H68" s="13">
        <f t="shared" si="18"/>
        <v>24.140474447491634</v>
      </c>
      <c r="I68" s="13">
        <f t="shared" si="18"/>
        <v>26.759509016803811</v>
      </c>
      <c r="J68" s="13">
        <f t="shared" si="18"/>
        <v>29.406971647167232</v>
      </c>
      <c r="K68" s="13">
        <f t="shared" si="18"/>
        <v>32.08332158063596</v>
      </c>
      <c r="L68" s="13">
        <f t="shared" si="18"/>
        <v>34.789025187933809</v>
      </c>
      <c r="M68" s="13">
        <f t="shared" si="18"/>
        <v>37.52455608311984</v>
      </c>
      <c r="N68" s="13">
        <f t="shared" si="18"/>
        <v>40.290395234275515</v>
      </c>
      <c r="O68" s="13">
        <f t="shared" si="18"/>
        <v>43.087031075694107</v>
      </c>
      <c r="P68" s="13">
        <f t="shared" si="18"/>
        <v>45.914959621761717</v>
      </c>
      <c r="Q68" s="13">
        <f t="shared" si="18"/>
        <v>48.774684582560404</v>
      </c>
      <c r="R68" s="13">
        <f>Q68</f>
        <v>48.774684582560404</v>
      </c>
    </row>
    <row r="69" spans="1:18" x14ac:dyDescent="0.25">
      <c r="A69" s="12" t="s">
        <v>104</v>
      </c>
      <c r="B69" s="12">
        <f>SUM(B67:B68)</f>
        <v>700</v>
      </c>
      <c r="C69" s="13">
        <f>SUM(C67:C68)</f>
        <v>711.18483333333336</v>
      </c>
      <c r="D69" s="13">
        <f t="shared" ref="D69:Q69" si="19">SUM(D67:D68)</f>
        <v>713.93149615267293</v>
      </c>
      <c r="E69" s="13">
        <f t="shared" si="19"/>
        <v>716.44920497063822</v>
      </c>
      <c r="F69" s="13">
        <f t="shared" si="19"/>
        <v>718.98588018321573</v>
      </c>
      <c r="G69" s="13">
        <f t="shared" si="19"/>
        <v>721.54941552623859</v>
      </c>
      <c r="H69" s="13">
        <f t="shared" si="19"/>
        <v>724.14047444749167</v>
      </c>
      <c r="I69" s="13">
        <f t="shared" si="19"/>
        <v>726.7595090168038</v>
      </c>
      <c r="J69" s="13">
        <f t="shared" si="19"/>
        <v>729.40697164716721</v>
      </c>
      <c r="K69" s="13">
        <f t="shared" si="19"/>
        <v>732.08332158063592</v>
      </c>
      <c r="L69" s="13">
        <f t="shared" si="19"/>
        <v>734.78902518793382</v>
      </c>
      <c r="M69" s="13">
        <f t="shared" si="19"/>
        <v>737.52455608311982</v>
      </c>
      <c r="N69" s="13">
        <f t="shared" si="19"/>
        <v>740.29039523427548</v>
      </c>
      <c r="O69" s="13">
        <f t="shared" si="19"/>
        <v>743.08703107569409</v>
      </c>
      <c r="P69" s="13">
        <f t="shared" si="19"/>
        <v>745.91495962176168</v>
      </c>
      <c r="Q69" s="13">
        <f t="shared" si="19"/>
        <v>748.77468458256044</v>
      </c>
      <c r="R69" s="13">
        <f>SUM(R67:R68)</f>
        <v>1065.214028468177</v>
      </c>
    </row>
    <row r="70" spans="1:18" x14ac:dyDescent="0.25">
      <c r="A70" s="12" t="s">
        <v>76</v>
      </c>
      <c r="B70" s="12">
        <f>B64+B65-B69</f>
        <v>0</v>
      </c>
      <c r="C70" s="13">
        <f>C64+C65-C69</f>
        <v>0</v>
      </c>
      <c r="D70" s="13">
        <f t="shared" ref="D70:R70" si="20">D64+D65-D69</f>
        <v>0</v>
      </c>
      <c r="E70" s="13">
        <f t="shared" si="20"/>
        <v>0</v>
      </c>
      <c r="F70" s="13">
        <f t="shared" si="20"/>
        <v>0</v>
      </c>
      <c r="G70" s="13">
        <f t="shared" si="20"/>
        <v>0</v>
      </c>
      <c r="H70" s="13">
        <f t="shared" si="20"/>
        <v>0</v>
      </c>
      <c r="I70" s="13">
        <f t="shared" si="20"/>
        <v>0</v>
      </c>
      <c r="J70" s="13">
        <f t="shared" si="20"/>
        <v>0</v>
      </c>
      <c r="K70" s="13">
        <f t="shared" si="20"/>
        <v>0</v>
      </c>
      <c r="L70" s="13">
        <f t="shared" si="20"/>
        <v>0</v>
      </c>
      <c r="M70" s="13">
        <f t="shared" si="20"/>
        <v>0</v>
      </c>
      <c r="N70" s="13">
        <f t="shared" si="20"/>
        <v>0</v>
      </c>
      <c r="O70" s="13">
        <f t="shared" si="20"/>
        <v>0</v>
      </c>
      <c r="P70" s="13">
        <f t="shared" si="20"/>
        <v>0</v>
      </c>
      <c r="Q70" s="13">
        <f t="shared" si="20"/>
        <v>0</v>
      </c>
      <c r="R70" s="13">
        <f t="shared" si="20"/>
        <v>0</v>
      </c>
    </row>
    <row r="71" spans="1:18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1">
    <mergeCell ref="K16:L16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23" workbookViewId="0">
      <selection activeCell="V36" sqref="V36"/>
    </sheetView>
  </sheetViews>
  <sheetFormatPr baseColWidth="10" defaultColWidth="8.28515625" defaultRowHeight="15" x14ac:dyDescent="0.25"/>
  <cols>
    <col min="1" max="1" width="6" customWidth="1"/>
  </cols>
  <sheetData>
    <row r="1" spans="1:7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7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7" x14ac:dyDescent="0.25">
      <c r="A4" s="12"/>
      <c r="B4" s="12" t="s">
        <v>18</v>
      </c>
      <c r="C4" s="12" t="s">
        <v>151</v>
      </c>
      <c r="D4" s="12" t="s">
        <v>152</v>
      </c>
      <c r="E4" s="12" t="s">
        <v>153</v>
      </c>
      <c r="F4" s="12" t="s">
        <v>12</v>
      </c>
      <c r="G4" s="12" t="s">
        <v>154</v>
      </c>
    </row>
    <row r="5" spans="1:7" x14ac:dyDescent="0.25">
      <c r="A5" s="12" t="s">
        <v>155</v>
      </c>
      <c r="B5" s="54">
        <v>0.05</v>
      </c>
      <c r="C5" s="21">
        <v>1.4999999999999999E-2</v>
      </c>
      <c r="D5" s="12"/>
      <c r="E5" s="25">
        <f>POWER(E21/E6,1/15)-1</f>
        <v>0.17049212044480133</v>
      </c>
      <c r="F5" s="12">
        <f>F6/15</f>
        <v>60</v>
      </c>
      <c r="G5" s="12"/>
    </row>
    <row r="6" spans="1:7" x14ac:dyDescent="0.25">
      <c r="A6" s="12">
        <v>35</v>
      </c>
      <c r="B6" s="13">
        <v>900</v>
      </c>
      <c r="C6" s="13">
        <v>200</v>
      </c>
      <c r="D6" s="13">
        <f>C6+B6</f>
        <v>1100</v>
      </c>
      <c r="E6" s="125">
        <v>200</v>
      </c>
      <c r="F6" s="14">
        <f>D6-E6</f>
        <v>900</v>
      </c>
      <c r="G6" s="13">
        <f>D6-E6-F6</f>
        <v>0</v>
      </c>
    </row>
    <row r="7" spans="1:7" x14ac:dyDescent="0.25">
      <c r="A7" s="12">
        <f>+A6+1</f>
        <v>36</v>
      </c>
      <c r="B7" s="13">
        <f>B6*(1+$B$5)</f>
        <v>945</v>
      </c>
      <c r="C7" s="13">
        <f>C6*(1+$C$5)</f>
        <v>202.99999999999997</v>
      </c>
      <c r="D7" s="13">
        <f>B7+C7</f>
        <v>1148</v>
      </c>
      <c r="E7" s="13">
        <f>D7-F7</f>
        <v>308</v>
      </c>
      <c r="F7" s="13">
        <f>F6-$F$5</f>
        <v>840</v>
      </c>
      <c r="G7" s="13">
        <f>D7-E7-F7</f>
        <v>0</v>
      </c>
    </row>
    <row r="8" spans="1:7" x14ac:dyDescent="0.25">
      <c r="A8" s="12">
        <f t="shared" ref="A8:A22" si="0">+A7+1</f>
        <v>37</v>
      </c>
      <c r="B8" s="13">
        <f t="shared" ref="B8:B21" si="1">B7*(1+$B$5)</f>
        <v>992.25</v>
      </c>
      <c r="C8" s="13">
        <f t="shared" ref="C8:C21" si="2">C7*(1+$C$5)</f>
        <v>206.04499999999996</v>
      </c>
      <c r="D8" s="13">
        <f t="shared" ref="D8:D21" si="3">B8+C8</f>
        <v>1198.2950000000001</v>
      </c>
      <c r="E8" s="13">
        <f t="shared" ref="E8:E21" si="4">D8-F8</f>
        <v>418.29500000000007</v>
      </c>
      <c r="F8" s="13">
        <f t="shared" ref="F8:F21" si="5">F7-$F$5</f>
        <v>780</v>
      </c>
      <c r="G8" s="13">
        <f t="shared" ref="G8:G21" si="6">D8-E8-F8</f>
        <v>0</v>
      </c>
    </row>
    <row r="9" spans="1:7" x14ac:dyDescent="0.25">
      <c r="A9" s="12">
        <f t="shared" si="0"/>
        <v>38</v>
      </c>
      <c r="B9" s="13">
        <f t="shared" si="1"/>
        <v>1041.8625</v>
      </c>
      <c r="C9" s="13">
        <f t="shared" si="2"/>
        <v>209.13567499999994</v>
      </c>
      <c r="D9" s="13">
        <f t="shared" si="3"/>
        <v>1250.9981749999999</v>
      </c>
      <c r="E9" s="13">
        <f t="shared" si="4"/>
        <v>530.99817499999995</v>
      </c>
      <c r="F9" s="13">
        <f t="shared" si="5"/>
        <v>720</v>
      </c>
      <c r="G9" s="13">
        <f t="shared" si="6"/>
        <v>0</v>
      </c>
    </row>
    <row r="10" spans="1:7" x14ac:dyDescent="0.25">
      <c r="A10" s="12">
        <f t="shared" si="0"/>
        <v>39</v>
      </c>
      <c r="B10" s="13">
        <f t="shared" si="1"/>
        <v>1093.9556250000001</v>
      </c>
      <c r="C10" s="13">
        <f t="shared" si="2"/>
        <v>212.27271012499992</v>
      </c>
      <c r="D10" s="13">
        <f t="shared" si="3"/>
        <v>1306.2283351250001</v>
      </c>
      <c r="E10" s="13">
        <f t="shared" si="4"/>
        <v>646.22833512500006</v>
      </c>
      <c r="F10" s="13">
        <f t="shared" si="5"/>
        <v>660</v>
      </c>
      <c r="G10" s="13">
        <f t="shared" si="6"/>
        <v>0</v>
      </c>
    </row>
    <row r="11" spans="1:7" x14ac:dyDescent="0.25">
      <c r="A11" s="12">
        <f t="shared" si="0"/>
        <v>40</v>
      </c>
      <c r="B11" s="13">
        <f t="shared" si="1"/>
        <v>1148.6534062500002</v>
      </c>
      <c r="C11" s="13">
        <f t="shared" si="2"/>
        <v>215.4568007768749</v>
      </c>
      <c r="D11" s="13">
        <f t="shared" si="3"/>
        <v>1364.1102070268751</v>
      </c>
      <c r="E11" s="13">
        <f t="shared" si="4"/>
        <v>764.11020702687506</v>
      </c>
      <c r="F11" s="13">
        <f t="shared" si="5"/>
        <v>600</v>
      </c>
      <c r="G11" s="13">
        <f t="shared" si="6"/>
        <v>0</v>
      </c>
    </row>
    <row r="12" spans="1:7" x14ac:dyDescent="0.25">
      <c r="A12" s="12">
        <f t="shared" si="0"/>
        <v>41</v>
      </c>
      <c r="B12" s="13">
        <f t="shared" si="1"/>
        <v>1206.0860765625002</v>
      </c>
      <c r="C12" s="13">
        <f t="shared" si="2"/>
        <v>218.688652788528</v>
      </c>
      <c r="D12" s="13">
        <f t="shared" si="3"/>
        <v>1424.7747293510283</v>
      </c>
      <c r="E12" s="13">
        <f t="shared" si="4"/>
        <v>884.77472935102833</v>
      </c>
      <c r="F12" s="13">
        <f t="shared" si="5"/>
        <v>540</v>
      </c>
      <c r="G12" s="13">
        <f t="shared" si="6"/>
        <v>0</v>
      </c>
    </row>
    <row r="13" spans="1:7" x14ac:dyDescent="0.25">
      <c r="A13" s="12">
        <f t="shared" si="0"/>
        <v>42</v>
      </c>
      <c r="B13" s="13">
        <f t="shared" si="1"/>
        <v>1266.3903803906253</v>
      </c>
      <c r="C13" s="13">
        <f t="shared" si="2"/>
        <v>221.96898258035591</v>
      </c>
      <c r="D13" s="13">
        <f t="shared" si="3"/>
        <v>1488.3593629709812</v>
      </c>
      <c r="E13" s="13">
        <f t="shared" si="4"/>
        <v>1008.3593629709812</v>
      </c>
      <c r="F13" s="13">
        <f t="shared" si="5"/>
        <v>480</v>
      </c>
      <c r="G13" s="13">
        <f t="shared" si="6"/>
        <v>0</v>
      </c>
    </row>
    <row r="14" spans="1:7" x14ac:dyDescent="0.25">
      <c r="A14" s="12">
        <f t="shared" si="0"/>
        <v>43</v>
      </c>
      <c r="B14" s="13">
        <f t="shared" si="1"/>
        <v>1329.7098994101566</v>
      </c>
      <c r="C14" s="13">
        <f t="shared" si="2"/>
        <v>225.29851731906123</v>
      </c>
      <c r="D14" s="13">
        <f t="shared" si="3"/>
        <v>1555.0084167292177</v>
      </c>
      <c r="E14" s="13">
        <f t="shared" si="4"/>
        <v>1135.0084167292177</v>
      </c>
      <c r="F14" s="13">
        <f t="shared" si="5"/>
        <v>420</v>
      </c>
      <c r="G14" s="13">
        <f t="shared" si="6"/>
        <v>0</v>
      </c>
    </row>
    <row r="15" spans="1:7" x14ac:dyDescent="0.25">
      <c r="A15" s="12">
        <f t="shared" si="0"/>
        <v>44</v>
      </c>
      <c r="B15" s="13">
        <f t="shared" si="1"/>
        <v>1396.1953943806645</v>
      </c>
      <c r="C15" s="13">
        <f t="shared" si="2"/>
        <v>228.67799507884712</v>
      </c>
      <c r="D15" s="13">
        <f t="shared" si="3"/>
        <v>1624.8733894595116</v>
      </c>
      <c r="E15" s="13">
        <f t="shared" si="4"/>
        <v>1264.8733894595116</v>
      </c>
      <c r="F15" s="13">
        <f t="shared" si="5"/>
        <v>360</v>
      </c>
      <c r="G15" s="13">
        <f t="shared" si="6"/>
        <v>0</v>
      </c>
    </row>
    <row r="16" spans="1:7" x14ac:dyDescent="0.25">
      <c r="A16" s="12">
        <f t="shared" si="0"/>
        <v>45</v>
      </c>
      <c r="B16" s="13">
        <f t="shared" si="1"/>
        <v>1466.0051640996978</v>
      </c>
      <c r="C16" s="13">
        <f t="shared" si="2"/>
        <v>232.1081650050298</v>
      </c>
      <c r="D16" s="13">
        <f t="shared" si="3"/>
        <v>1698.1133291047277</v>
      </c>
      <c r="E16" s="13">
        <f t="shared" si="4"/>
        <v>1398.1133291047277</v>
      </c>
      <c r="F16" s="13">
        <f t="shared" si="5"/>
        <v>300</v>
      </c>
      <c r="G16" s="13">
        <f t="shared" si="6"/>
        <v>0</v>
      </c>
    </row>
    <row r="17" spans="1:7" x14ac:dyDescent="0.25">
      <c r="A17" s="12">
        <f t="shared" si="0"/>
        <v>46</v>
      </c>
      <c r="B17" s="13">
        <f t="shared" si="1"/>
        <v>1539.3054223046827</v>
      </c>
      <c r="C17" s="13">
        <f t="shared" si="2"/>
        <v>235.58978748010523</v>
      </c>
      <c r="D17" s="13">
        <f t="shared" si="3"/>
        <v>1774.895209784788</v>
      </c>
      <c r="E17" s="13">
        <f t="shared" si="4"/>
        <v>1534.895209784788</v>
      </c>
      <c r="F17" s="13">
        <f t="shared" si="5"/>
        <v>240</v>
      </c>
      <c r="G17" s="13">
        <f t="shared" si="6"/>
        <v>0</v>
      </c>
    </row>
    <row r="18" spans="1:7" x14ac:dyDescent="0.25">
      <c r="A18" s="12">
        <f t="shared" si="0"/>
        <v>47</v>
      </c>
      <c r="B18" s="13">
        <f t="shared" si="1"/>
        <v>1616.2706934199168</v>
      </c>
      <c r="C18" s="13">
        <f t="shared" si="2"/>
        <v>239.12363429230678</v>
      </c>
      <c r="D18" s="13">
        <f t="shared" si="3"/>
        <v>1855.3943277122237</v>
      </c>
      <c r="E18" s="13">
        <f t="shared" si="4"/>
        <v>1675.3943277122237</v>
      </c>
      <c r="F18" s="13">
        <f t="shared" si="5"/>
        <v>180</v>
      </c>
      <c r="G18" s="13">
        <f t="shared" si="6"/>
        <v>0</v>
      </c>
    </row>
    <row r="19" spans="1:7" x14ac:dyDescent="0.25">
      <c r="A19" s="12">
        <f t="shared" si="0"/>
        <v>48</v>
      </c>
      <c r="B19" s="13">
        <f t="shared" si="1"/>
        <v>1697.0842280909128</v>
      </c>
      <c r="C19" s="13">
        <f t="shared" si="2"/>
        <v>242.71048880669136</v>
      </c>
      <c r="D19" s="13">
        <f t="shared" si="3"/>
        <v>1939.7947168976041</v>
      </c>
      <c r="E19" s="13">
        <f t="shared" si="4"/>
        <v>1819.7947168976041</v>
      </c>
      <c r="F19" s="13">
        <f t="shared" si="5"/>
        <v>120</v>
      </c>
      <c r="G19" s="13">
        <f t="shared" si="6"/>
        <v>0</v>
      </c>
    </row>
    <row r="20" spans="1:7" x14ac:dyDescent="0.25">
      <c r="A20" s="12">
        <f t="shared" si="0"/>
        <v>49</v>
      </c>
      <c r="B20" s="13">
        <f t="shared" si="1"/>
        <v>1781.9384394954586</v>
      </c>
      <c r="C20" s="13">
        <f t="shared" si="2"/>
        <v>246.35114613879171</v>
      </c>
      <c r="D20" s="13">
        <f t="shared" si="3"/>
        <v>2028.2895856342502</v>
      </c>
      <c r="E20" s="13">
        <f t="shared" si="4"/>
        <v>1968.2895856342502</v>
      </c>
      <c r="F20" s="13">
        <f t="shared" si="5"/>
        <v>60</v>
      </c>
      <c r="G20" s="13">
        <f t="shared" si="6"/>
        <v>0</v>
      </c>
    </row>
    <row r="21" spans="1:7" x14ac:dyDescent="0.25">
      <c r="A21" s="12">
        <f t="shared" si="0"/>
        <v>50</v>
      </c>
      <c r="B21" s="13">
        <f t="shared" si="1"/>
        <v>1871.0353614702317</v>
      </c>
      <c r="C21" s="13">
        <f t="shared" si="2"/>
        <v>250.04641333087355</v>
      </c>
      <c r="D21" s="13">
        <f t="shared" si="3"/>
        <v>2121.0817748011054</v>
      </c>
      <c r="E21" s="13">
        <f t="shared" si="4"/>
        <v>2121.0817748011054</v>
      </c>
      <c r="F21" s="13">
        <f t="shared" si="5"/>
        <v>0</v>
      </c>
      <c r="G21" s="13">
        <f t="shared" si="6"/>
        <v>0</v>
      </c>
    </row>
    <row r="22" spans="1:7" x14ac:dyDescent="0.25">
      <c r="A22">
        <f t="shared" si="0"/>
        <v>51</v>
      </c>
    </row>
    <row r="24" spans="1:7" x14ac:dyDescent="0.25">
      <c r="A24" s="12"/>
      <c r="B24" s="12" t="s">
        <v>18</v>
      </c>
      <c r="C24" s="12" t="s">
        <v>151</v>
      </c>
      <c r="D24" s="12" t="s">
        <v>152</v>
      </c>
      <c r="E24" s="12" t="s">
        <v>153</v>
      </c>
      <c r="F24" s="12" t="s">
        <v>12</v>
      </c>
      <c r="G24" s="12" t="s">
        <v>154</v>
      </c>
    </row>
    <row r="25" spans="1:7" x14ac:dyDescent="0.25">
      <c r="A25" s="12" t="s">
        <v>155</v>
      </c>
      <c r="B25" s="9">
        <v>5.5E-2</v>
      </c>
      <c r="C25" s="21">
        <v>1.4999999999999999E-2</v>
      </c>
      <c r="D25" s="12"/>
      <c r="E25" s="25">
        <f>POWER(E41/E26,1/15)-1</f>
        <v>0.18197957611479687</v>
      </c>
      <c r="F25" s="12">
        <f>F26/15</f>
        <v>60</v>
      </c>
      <c r="G25" s="12"/>
    </row>
    <row r="26" spans="1:7" x14ac:dyDescent="0.25">
      <c r="A26" s="12">
        <v>35</v>
      </c>
      <c r="B26" s="13">
        <v>1100</v>
      </c>
      <c r="C26" s="13">
        <v>0</v>
      </c>
      <c r="D26" s="13">
        <f>C26+B26</f>
        <v>1100</v>
      </c>
      <c r="E26" s="125">
        <v>200</v>
      </c>
      <c r="F26" s="14">
        <f>D26-E26</f>
        <v>900</v>
      </c>
      <c r="G26" s="13">
        <f>D26-E26-F26</f>
        <v>0</v>
      </c>
    </row>
    <row r="27" spans="1:7" x14ac:dyDescent="0.25">
      <c r="A27" s="12">
        <f>+A26+1</f>
        <v>36</v>
      </c>
      <c r="B27" s="13">
        <f>B26*(1+$B$25)</f>
        <v>1160.5</v>
      </c>
      <c r="C27" s="13">
        <f>C26*(1+$C$25)</f>
        <v>0</v>
      </c>
      <c r="D27" s="13">
        <f>B27+C27</f>
        <v>1160.5</v>
      </c>
      <c r="E27" s="13">
        <f>D27-F27</f>
        <v>320.5</v>
      </c>
      <c r="F27" s="13">
        <f>F26-$F$25</f>
        <v>840</v>
      </c>
      <c r="G27" s="13">
        <f>D27-E27-F27</f>
        <v>0</v>
      </c>
    </row>
    <row r="28" spans="1:7" x14ac:dyDescent="0.25">
      <c r="A28" s="12">
        <f t="shared" ref="A28:A42" si="7">+A27+1</f>
        <v>37</v>
      </c>
      <c r="B28" s="13">
        <f t="shared" ref="B28:B41" si="8">B27*(1+$B$25)</f>
        <v>1224.3274999999999</v>
      </c>
      <c r="C28" s="13">
        <f t="shared" ref="C28:C41" si="9">C27*(1+$C$25)</f>
        <v>0</v>
      </c>
      <c r="D28" s="13">
        <f t="shared" ref="D28:D41" si="10">B28+C28</f>
        <v>1224.3274999999999</v>
      </c>
      <c r="E28" s="13">
        <f t="shared" ref="E28:E41" si="11">D28-F28</f>
        <v>444.32749999999987</v>
      </c>
      <c r="F28" s="13">
        <f t="shared" ref="F28:F41" si="12">F27-$F$25</f>
        <v>780</v>
      </c>
      <c r="G28" s="13">
        <f t="shared" ref="G28:G41" si="13">D28-E28-F28</f>
        <v>0</v>
      </c>
    </row>
    <row r="29" spans="1:7" x14ac:dyDescent="0.25">
      <c r="A29" s="12">
        <f t="shared" si="7"/>
        <v>38</v>
      </c>
      <c r="B29" s="13">
        <f t="shared" si="8"/>
        <v>1291.6655124999997</v>
      </c>
      <c r="C29" s="13">
        <f t="shared" si="9"/>
        <v>0</v>
      </c>
      <c r="D29" s="13">
        <f t="shared" si="10"/>
        <v>1291.6655124999997</v>
      </c>
      <c r="E29" s="13">
        <f t="shared" si="11"/>
        <v>571.66551249999975</v>
      </c>
      <c r="F29" s="13">
        <f t="shared" si="12"/>
        <v>720</v>
      </c>
      <c r="G29" s="13">
        <f t="shared" si="13"/>
        <v>0</v>
      </c>
    </row>
    <row r="30" spans="1:7" x14ac:dyDescent="0.25">
      <c r="A30" s="12">
        <f t="shared" si="7"/>
        <v>39</v>
      </c>
      <c r="B30" s="13">
        <f t="shared" si="8"/>
        <v>1362.7071156874997</v>
      </c>
      <c r="C30" s="13">
        <f t="shared" si="9"/>
        <v>0</v>
      </c>
      <c r="D30" s="13">
        <f t="shared" si="10"/>
        <v>1362.7071156874997</v>
      </c>
      <c r="E30" s="13">
        <f t="shared" si="11"/>
        <v>702.70711568749971</v>
      </c>
      <c r="F30" s="13">
        <f t="shared" si="12"/>
        <v>660</v>
      </c>
      <c r="G30" s="13">
        <f t="shared" si="13"/>
        <v>0</v>
      </c>
    </row>
    <row r="31" spans="1:7" x14ac:dyDescent="0.25">
      <c r="A31" s="12">
        <f t="shared" si="7"/>
        <v>40</v>
      </c>
      <c r="B31" s="13">
        <f t="shared" si="8"/>
        <v>1437.6560070503122</v>
      </c>
      <c r="C31" s="13">
        <f t="shared" si="9"/>
        <v>0</v>
      </c>
      <c r="D31" s="13">
        <f t="shared" si="10"/>
        <v>1437.6560070503122</v>
      </c>
      <c r="E31" s="13">
        <f t="shared" si="11"/>
        <v>837.65600705031216</v>
      </c>
      <c r="F31" s="13">
        <f t="shared" si="12"/>
        <v>600</v>
      </c>
      <c r="G31" s="13">
        <f t="shared" si="13"/>
        <v>0</v>
      </c>
    </row>
    <row r="32" spans="1:7" x14ac:dyDescent="0.25">
      <c r="A32" s="12">
        <f t="shared" si="7"/>
        <v>41</v>
      </c>
      <c r="B32" s="13">
        <f t="shared" si="8"/>
        <v>1516.7270874380793</v>
      </c>
      <c r="C32" s="13">
        <f t="shared" si="9"/>
        <v>0</v>
      </c>
      <c r="D32" s="13">
        <f t="shared" si="10"/>
        <v>1516.7270874380793</v>
      </c>
      <c r="E32" s="13">
        <f t="shared" si="11"/>
        <v>976.72708743807925</v>
      </c>
      <c r="F32" s="13">
        <f t="shared" si="12"/>
        <v>540</v>
      </c>
      <c r="G32" s="13">
        <f t="shared" si="13"/>
        <v>0</v>
      </c>
    </row>
    <row r="33" spans="1:7" x14ac:dyDescent="0.25">
      <c r="A33" s="12">
        <f t="shared" si="7"/>
        <v>42</v>
      </c>
      <c r="B33" s="13">
        <f t="shared" si="8"/>
        <v>1600.1470772471735</v>
      </c>
      <c r="C33" s="13">
        <f t="shared" si="9"/>
        <v>0</v>
      </c>
      <c r="D33" s="13">
        <f t="shared" si="10"/>
        <v>1600.1470772471735</v>
      </c>
      <c r="E33" s="13">
        <f t="shared" si="11"/>
        <v>1120.1470772471735</v>
      </c>
      <c r="F33" s="13">
        <f t="shared" si="12"/>
        <v>480</v>
      </c>
      <c r="G33" s="13">
        <f t="shared" si="13"/>
        <v>0</v>
      </c>
    </row>
    <row r="34" spans="1:7" x14ac:dyDescent="0.25">
      <c r="A34" s="12">
        <f t="shared" si="7"/>
        <v>43</v>
      </c>
      <c r="B34" s="13">
        <f t="shared" si="8"/>
        <v>1688.1551664957678</v>
      </c>
      <c r="C34" s="13">
        <f t="shared" si="9"/>
        <v>0</v>
      </c>
      <c r="D34" s="13">
        <f t="shared" si="10"/>
        <v>1688.1551664957678</v>
      </c>
      <c r="E34" s="13">
        <f t="shared" si="11"/>
        <v>1268.1551664957678</v>
      </c>
      <c r="F34" s="13">
        <f t="shared" si="12"/>
        <v>420</v>
      </c>
      <c r="G34" s="13">
        <f t="shared" si="13"/>
        <v>0</v>
      </c>
    </row>
    <row r="35" spans="1:7" x14ac:dyDescent="0.25">
      <c r="A35" s="12">
        <f t="shared" si="7"/>
        <v>44</v>
      </c>
      <c r="B35" s="13">
        <f t="shared" si="8"/>
        <v>1781.0037006530349</v>
      </c>
      <c r="C35" s="13">
        <f t="shared" si="9"/>
        <v>0</v>
      </c>
      <c r="D35" s="13">
        <f t="shared" si="10"/>
        <v>1781.0037006530349</v>
      </c>
      <c r="E35" s="13">
        <f t="shared" si="11"/>
        <v>1421.0037006530349</v>
      </c>
      <c r="F35" s="13">
        <f t="shared" si="12"/>
        <v>360</v>
      </c>
      <c r="G35" s="13">
        <f t="shared" si="13"/>
        <v>0</v>
      </c>
    </row>
    <row r="36" spans="1:7" x14ac:dyDescent="0.25">
      <c r="A36" s="12">
        <f t="shared" si="7"/>
        <v>45</v>
      </c>
      <c r="B36" s="13">
        <f t="shared" si="8"/>
        <v>1878.9589041889517</v>
      </c>
      <c r="C36" s="13">
        <f t="shared" si="9"/>
        <v>0</v>
      </c>
      <c r="D36" s="13">
        <f t="shared" si="10"/>
        <v>1878.9589041889517</v>
      </c>
      <c r="E36" s="13">
        <f t="shared" si="11"/>
        <v>1578.9589041889517</v>
      </c>
      <c r="F36" s="13">
        <f t="shared" si="12"/>
        <v>300</v>
      </c>
      <c r="G36" s="13">
        <f t="shared" si="13"/>
        <v>0</v>
      </c>
    </row>
    <row r="37" spans="1:7" x14ac:dyDescent="0.25">
      <c r="A37" s="12">
        <f t="shared" si="7"/>
        <v>46</v>
      </c>
      <c r="B37" s="13">
        <f t="shared" si="8"/>
        <v>1982.3016439193439</v>
      </c>
      <c r="C37" s="13">
        <f t="shared" si="9"/>
        <v>0</v>
      </c>
      <c r="D37" s="13">
        <f t="shared" si="10"/>
        <v>1982.3016439193439</v>
      </c>
      <c r="E37" s="13">
        <f t="shared" si="11"/>
        <v>1742.3016439193439</v>
      </c>
      <c r="F37" s="13">
        <f t="shared" si="12"/>
        <v>240</v>
      </c>
      <c r="G37" s="13">
        <f t="shared" si="13"/>
        <v>0</v>
      </c>
    </row>
    <row r="38" spans="1:7" x14ac:dyDescent="0.25">
      <c r="A38" s="12">
        <f t="shared" si="7"/>
        <v>47</v>
      </c>
      <c r="B38" s="13">
        <f t="shared" si="8"/>
        <v>2091.3282343349078</v>
      </c>
      <c r="C38" s="13">
        <f t="shared" si="9"/>
        <v>0</v>
      </c>
      <c r="D38" s="13">
        <f t="shared" si="10"/>
        <v>2091.3282343349078</v>
      </c>
      <c r="E38" s="13">
        <f t="shared" si="11"/>
        <v>1911.3282343349078</v>
      </c>
      <c r="F38" s="13">
        <f t="shared" si="12"/>
        <v>180</v>
      </c>
      <c r="G38" s="13">
        <f t="shared" si="13"/>
        <v>0</v>
      </c>
    </row>
    <row r="39" spans="1:7" x14ac:dyDescent="0.25">
      <c r="A39" s="12">
        <f t="shared" si="7"/>
        <v>48</v>
      </c>
      <c r="B39" s="13">
        <f t="shared" si="8"/>
        <v>2206.3512872233277</v>
      </c>
      <c r="C39" s="13">
        <f t="shared" si="9"/>
        <v>0</v>
      </c>
      <c r="D39" s="13">
        <f t="shared" si="10"/>
        <v>2206.3512872233277</v>
      </c>
      <c r="E39" s="13">
        <f t="shared" si="11"/>
        <v>2086.3512872233277</v>
      </c>
      <c r="F39" s="13">
        <f t="shared" si="12"/>
        <v>120</v>
      </c>
      <c r="G39" s="13">
        <f t="shared" si="13"/>
        <v>0</v>
      </c>
    </row>
    <row r="40" spans="1:7" x14ac:dyDescent="0.25">
      <c r="A40" s="12">
        <f t="shared" si="7"/>
        <v>49</v>
      </c>
      <c r="B40" s="13">
        <f t="shared" si="8"/>
        <v>2327.7006080206106</v>
      </c>
      <c r="C40" s="13">
        <f t="shared" si="9"/>
        <v>0</v>
      </c>
      <c r="D40" s="13">
        <f t="shared" si="10"/>
        <v>2327.7006080206106</v>
      </c>
      <c r="E40" s="13">
        <f t="shared" si="11"/>
        <v>2267.7006080206106</v>
      </c>
      <c r="F40" s="13">
        <f t="shared" si="12"/>
        <v>60</v>
      </c>
      <c r="G40" s="13">
        <f t="shared" si="13"/>
        <v>0</v>
      </c>
    </row>
    <row r="41" spans="1:7" x14ac:dyDescent="0.25">
      <c r="A41" s="12">
        <f t="shared" si="7"/>
        <v>50</v>
      </c>
      <c r="B41" s="13">
        <f t="shared" si="8"/>
        <v>2455.7241414617442</v>
      </c>
      <c r="C41" s="13">
        <f t="shared" si="9"/>
        <v>0</v>
      </c>
      <c r="D41" s="13">
        <f t="shared" si="10"/>
        <v>2455.7241414617442</v>
      </c>
      <c r="E41" s="13">
        <f t="shared" si="11"/>
        <v>2455.7241414617442</v>
      </c>
      <c r="F41" s="13">
        <f t="shared" si="12"/>
        <v>0</v>
      </c>
      <c r="G41" s="13">
        <f t="shared" si="13"/>
        <v>0</v>
      </c>
    </row>
    <row r="42" spans="1:7" x14ac:dyDescent="0.25">
      <c r="A42">
        <f t="shared" si="7"/>
        <v>51</v>
      </c>
      <c r="D42" s="24">
        <f>D41-D21</f>
        <v>334.6423666606388</v>
      </c>
    </row>
    <row r="43" spans="1:7" x14ac:dyDescent="0.25">
      <c r="D43" s="52">
        <f>D42/15</f>
        <v>22.309491110709253</v>
      </c>
    </row>
    <row r="44" spans="1:7" x14ac:dyDescent="0.25">
      <c r="A44" s="12" t="s">
        <v>156</v>
      </c>
      <c r="B44" s="12" t="s">
        <v>18</v>
      </c>
      <c r="C44" s="12" t="s">
        <v>151</v>
      </c>
      <c r="D44" s="12" t="s">
        <v>152</v>
      </c>
      <c r="E44" s="12" t="s">
        <v>153</v>
      </c>
      <c r="F44" s="12" t="s">
        <v>12</v>
      </c>
      <c r="G44" s="12" t="s">
        <v>154</v>
      </c>
    </row>
    <row r="45" spans="1:7" x14ac:dyDescent="0.25">
      <c r="A45" s="12" t="s">
        <v>155</v>
      </c>
      <c r="B45" s="54">
        <v>0.03</v>
      </c>
      <c r="C45" s="21">
        <v>1.4999999999999999E-2</v>
      </c>
      <c r="D45" s="12"/>
      <c r="E45" s="25">
        <f>POWER(E61/E46,1/15)-1</f>
        <v>0.17043785864425254</v>
      </c>
      <c r="F45" s="12">
        <f>F46/15</f>
        <v>40</v>
      </c>
      <c r="G45" s="12"/>
    </row>
    <row r="46" spans="1:7" x14ac:dyDescent="0.25">
      <c r="A46" s="12">
        <v>35</v>
      </c>
      <c r="B46" s="125">
        <v>600</v>
      </c>
      <c r="C46" s="125">
        <v>100</v>
      </c>
      <c r="D46" s="13">
        <f>C46+B46</f>
        <v>700</v>
      </c>
      <c r="E46" s="125">
        <v>100</v>
      </c>
      <c r="F46" s="14">
        <f>D46-E46</f>
        <v>600</v>
      </c>
      <c r="G46" s="13">
        <f>D46-E46-F46</f>
        <v>0</v>
      </c>
    </row>
    <row r="47" spans="1:7" x14ac:dyDescent="0.25">
      <c r="A47" s="12">
        <f>+A46+1</f>
        <v>36</v>
      </c>
      <c r="B47" s="13">
        <f>B46*(1+$B$45)</f>
        <v>618</v>
      </c>
      <c r="C47" s="13">
        <f>C46*(1+$C$45)</f>
        <v>101.49999999999999</v>
      </c>
      <c r="D47" s="13">
        <f>B47+C47</f>
        <v>719.5</v>
      </c>
      <c r="E47" s="13">
        <f>D47-F47</f>
        <v>159.5</v>
      </c>
      <c r="F47" s="13">
        <f>F46-$F$45</f>
        <v>560</v>
      </c>
      <c r="G47" s="13">
        <f>D47-E47-F47</f>
        <v>0</v>
      </c>
    </row>
    <row r="48" spans="1:7" x14ac:dyDescent="0.25">
      <c r="A48" s="12">
        <f t="shared" ref="A48:A62" si="14">+A47+1</f>
        <v>37</v>
      </c>
      <c r="B48" s="13">
        <f t="shared" ref="B48:B61" si="15">B47*(1+$B$45)</f>
        <v>636.54</v>
      </c>
      <c r="C48" s="13">
        <f t="shared" ref="C48:C61" si="16">C47*(1+$C$45)</f>
        <v>103.02249999999998</v>
      </c>
      <c r="D48" s="13">
        <f t="shared" ref="D48:D61" si="17">B48+C48</f>
        <v>739.5625</v>
      </c>
      <c r="E48" s="13">
        <f t="shared" ref="E48:E61" si="18">D48-F48</f>
        <v>219.5625</v>
      </c>
      <c r="F48" s="13">
        <f t="shared" ref="F48:F61" si="19">F47-$F$45</f>
        <v>520</v>
      </c>
      <c r="G48" s="13">
        <f t="shared" ref="G48:G61" si="20">D48-E48-F48</f>
        <v>0</v>
      </c>
    </row>
    <row r="49" spans="1:7" x14ac:dyDescent="0.25">
      <c r="A49" s="12">
        <f t="shared" si="14"/>
        <v>38</v>
      </c>
      <c r="B49" s="13">
        <f t="shared" si="15"/>
        <v>655.63620000000003</v>
      </c>
      <c r="C49" s="13">
        <f t="shared" si="16"/>
        <v>104.56783749999997</v>
      </c>
      <c r="D49" s="13">
        <f t="shared" si="17"/>
        <v>760.20403750000003</v>
      </c>
      <c r="E49" s="13">
        <f t="shared" si="18"/>
        <v>280.20403750000003</v>
      </c>
      <c r="F49" s="13">
        <f t="shared" si="19"/>
        <v>480</v>
      </c>
      <c r="G49" s="13">
        <f t="shared" si="20"/>
        <v>0</v>
      </c>
    </row>
    <row r="50" spans="1:7" x14ac:dyDescent="0.25">
      <c r="A50" s="12">
        <f t="shared" si="14"/>
        <v>39</v>
      </c>
      <c r="B50" s="13">
        <f t="shared" si="15"/>
        <v>675.30528600000002</v>
      </c>
      <c r="C50" s="13">
        <f t="shared" si="16"/>
        <v>106.13635506249996</v>
      </c>
      <c r="D50" s="13">
        <f t="shared" si="17"/>
        <v>781.44164106250003</v>
      </c>
      <c r="E50" s="13">
        <f t="shared" si="18"/>
        <v>341.44164106250003</v>
      </c>
      <c r="F50" s="13">
        <f t="shared" si="19"/>
        <v>440</v>
      </c>
      <c r="G50" s="13">
        <f t="shared" si="20"/>
        <v>0</v>
      </c>
    </row>
    <row r="51" spans="1:7" x14ac:dyDescent="0.25">
      <c r="A51" s="12">
        <f t="shared" si="14"/>
        <v>40</v>
      </c>
      <c r="B51" s="13">
        <f t="shared" si="15"/>
        <v>695.56444457999999</v>
      </c>
      <c r="C51" s="13">
        <f t="shared" si="16"/>
        <v>107.72840038843745</v>
      </c>
      <c r="D51" s="13">
        <f t="shared" si="17"/>
        <v>803.29284496843741</v>
      </c>
      <c r="E51" s="13">
        <f t="shared" si="18"/>
        <v>403.29284496843741</v>
      </c>
      <c r="F51" s="13">
        <f t="shared" si="19"/>
        <v>400</v>
      </c>
      <c r="G51" s="13">
        <f t="shared" si="20"/>
        <v>0</v>
      </c>
    </row>
    <row r="52" spans="1:7" x14ac:dyDescent="0.25">
      <c r="A52" s="12">
        <f t="shared" si="14"/>
        <v>41</v>
      </c>
      <c r="B52" s="13">
        <f t="shared" si="15"/>
        <v>716.43137791740003</v>
      </c>
      <c r="C52" s="13">
        <f t="shared" si="16"/>
        <v>109.344326394264</v>
      </c>
      <c r="D52" s="13">
        <f t="shared" si="17"/>
        <v>825.77570431166407</v>
      </c>
      <c r="E52" s="13">
        <f t="shared" si="18"/>
        <v>465.77570431166407</v>
      </c>
      <c r="F52" s="13">
        <f t="shared" si="19"/>
        <v>360</v>
      </c>
      <c r="G52" s="13">
        <f t="shared" si="20"/>
        <v>0</v>
      </c>
    </row>
    <row r="53" spans="1:7" x14ac:dyDescent="0.25">
      <c r="A53" s="12">
        <f t="shared" si="14"/>
        <v>42</v>
      </c>
      <c r="B53" s="13">
        <f t="shared" si="15"/>
        <v>737.92431925492201</v>
      </c>
      <c r="C53" s="13">
        <f t="shared" si="16"/>
        <v>110.98449129017796</v>
      </c>
      <c r="D53" s="13">
        <f t="shared" si="17"/>
        <v>848.90881054509998</v>
      </c>
      <c r="E53" s="13">
        <f t="shared" si="18"/>
        <v>528.90881054509998</v>
      </c>
      <c r="F53" s="13">
        <f t="shared" si="19"/>
        <v>320</v>
      </c>
      <c r="G53" s="13">
        <f t="shared" si="20"/>
        <v>0</v>
      </c>
    </row>
    <row r="54" spans="1:7" x14ac:dyDescent="0.25">
      <c r="A54" s="12">
        <f t="shared" si="14"/>
        <v>43</v>
      </c>
      <c r="B54" s="13">
        <f t="shared" si="15"/>
        <v>760.06204883256964</v>
      </c>
      <c r="C54" s="13">
        <f t="shared" si="16"/>
        <v>112.64925865953062</v>
      </c>
      <c r="D54" s="13">
        <f t="shared" si="17"/>
        <v>872.71130749210022</v>
      </c>
      <c r="E54" s="13">
        <f t="shared" si="18"/>
        <v>592.71130749210022</v>
      </c>
      <c r="F54" s="13">
        <f t="shared" si="19"/>
        <v>280</v>
      </c>
      <c r="G54" s="13">
        <f t="shared" si="20"/>
        <v>0</v>
      </c>
    </row>
    <row r="55" spans="1:7" x14ac:dyDescent="0.25">
      <c r="A55" s="12">
        <f t="shared" si="14"/>
        <v>44</v>
      </c>
      <c r="B55" s="13">
        <f t="shared" si="15"/>
        <v>782.86391029754679</v>
      </c>
      <c r="C55" s="13">
        <f t="shared" si="16"/>
        <v>114.33899753942356</v>
      </c>
      <c r="D55" s="13">
        <f t="shared" si="17"/>
        <v>897.20290783697033</v>
      </c>
      <c r="E55" s="13">
        <f t="shared" si="18"/>
        <v>657.20290783697033</v>
      </c>
      <c r="F55" s="13">
        <f t="shared" si="19"/>
        <v>240</v>
      </c>
      <c r="G55" s="13">
        <f t="shared" si="20"/>
        <v>0</v>
      </c>
    </row>
    <row r="56" spans="1:7" x14ac:dyDescent="0.25">
      <c r="A56" s="12">
        <f t="shared" si="14"/>
        <v>45</v>
      </c>
      <c r="B56" s="13">
        <f t="shared" si="15"/>
        <v>806.34982760647324</v>
      </c>
      <c r="C56" s="13">
        <f t="shared" si="16"/>
        <v>116.0540825025149</v>
      </c>
      <c r="D56" s="13">
        <f t="shared" si="17"/>
        <v>922.40391010898816</v>
      </c>
      <c r="E56" s="13">
        <f t="shared" si="18"/>
        <v>722.40391010898816</v>
      </c>
      <c r="F56" s="13">
        <f t="shared" si="19"/>
        <v>200</v>
      </c>
      <c r="G56" s="13">
        <f t="shared" si="20"/>
        <v>0</v>
      </c>
    </row>
    <row r="57" spans="1:7" x14ac:dyDescent="0.25">
      <c r="A57" s="12">
        <f t="shared" si="14"/>
        <v>46</v>
      </c>
      <c r="B57" s="13">
        <f t="shared" si="15"/>
        <v>830.54032243466747</v>
      </c>
      <c r="C57" s="13">
        <f t="shared" si="16"/>
        <v>117.79489374005261</v>
      </c>
      <c r="D57" s="13">
        <f t="shared" si="17"/>
        <v>948.33521617472013</v>
      </c>
      <c r="E57" s="13">
        <f t="shared" si="18"/>
        <v>788.33521617472013</v>
      </c>
      <c r="F57" s="13">
        <f t="shared" si="19"/>
        <v>160</v>
      </c>
      <c r="G57" s="13">
        <f t="shared" si="20"/>
        <v>0</v>
      </c>
    </row>
    <row r="58" spans="1:7" x14ac:dyDescent="0.25">
      <c r="A58" s="12">
        <f t="shared" si="14"/>
        <v>47</v>
      </c>
      <c r="B58" s="13">
        <f t="shared" si="15"/>
        <v>855.45653210770752</v>
      </c>
      <c r="C58" s="13">
        <f t="shared" si="16"/>
        <v>119.56181714615339</v>
      </c>
      <c r="D58" s="13">
        <f t="shared" si="17"/>
        <v>975.01834925386095</v>
      </c>
      <c r="E58" s="13">
        <f t="shared" si="18"/>
        <v>855.01834925386095</v>
      </c>
      <c r="F58" s="13">
        <f t="shared" si="19"/>
        <v>120</v>
      </c>
      <c r="G58" s="13">
        <f t="shared" si="20"/>
        <v>0</v>
      </c>
    </row>
    <row r="59" spans="1:7" x14ac:dyDescent="0.25">
      <c r="A59" s="12">
        <f t="shared" si="14"/>
        <v>48</v>
      </c>
      <c r="B59" s="13">
        <f t="shared" si="15"/>
        <v>881.12022807093877</v>
      </c>
      <c r="C59" s="13">
        <f t="shared" si="16"/>
        <v>121.35524440334568</v>
      </c>
      <c r="D59" s="13">
        <f t="shared" si="17"/>
        <v>1002.4754724742844</v>
      </c>
      <c r="E59" s="13">
        <f t="shared" si="18"/>
        <v>922.4754724742844</v>
      </c>
      <c r="F59" s="13">
        <f t="shared" si="19"/>
        <v>80</v>
      </c>
      <c r="G59" s="13">
        <f t="shared" si="20"/>
        <v>0</v>
      </c>
    </row>
    <row r="60" spans="1:7" x14ac:dyDescent="0.25">
      <c r="A60" s="12">
        <f t="shared" si="14"/>
        <v>49</v>
      </c>
      <c r="B60" s="13">
        <f t="shared" si="15"/>
        <v>907.55383491306691</v>
      </c>
      <c r="C60" s="13">
        <f t="shared" si="16"/>
        <v>123.17557306939585</v>
      </c>
      <c r="D60" s="13">
        <f t="shared" si="17"/>
        <v>1030.7294079824628</v>
      </c>
      <c r="E60" s="13">
        <f t="shared" si="18"/>
        <v>990.72940798246282</v>
      </c>
      <c r="F60" s="13">
        <f t="shared" si="19"/>
        <v>40</v>
      </c>
      <c r="G60" s="13">
        <f t="shared" si="20"/>
        <v>0</v>
      </c>
    </row>
    <row r="61" spans="1:7" x14ac:dyDescent="0.25">
      <c r="A61" s="12">
        <f t="shared" si="14"/>
        <v>50</v>
      </c>
      <c r="B61" s="13">
        <f t="shared" si="15"/>
        <v>934.7804499604589</v>
      </c>
      <c r="C61" s="13">
        <f t="shared" si="16"/>
        <v>125.02320666543677</v>
      </c>
      <c r="D61" s="13">
        <f t="shared" si="17"/>
        <v>1059.8036566258957</v>
      </c>
      <c r="E61" s="13">
        <f t="shared" si="18"/>
        <v>1059.8036566258957</v>
      </c>
      <c r="F61" s="13">
        <f t="shared" si="19"/>
        <v>0</v>
      </c>
      <c r="G61" s="13">
        <f t="shared" si="20"/>
        <v>0</v>
      </c>
    </row>
    <row r="62" spans="1:7" x14ac:dyDescent="0.25">
      <c r="A62">
        <f t="shared" si="14"/>
        <v>51</v>
      </c>
      <c r="D62" s="24">
        <f>D61-D42</f>
        <v>725.16128996525686</v>
      </c>
    </row>
    <row r="63" spans="1:7" x14ac:dyDescent="0.25">
      <c r="D63" s="52">
        <f>D62/15</f>
        <v>48.344085997683791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3" zoomScale="85" zoomScaleNormal="85" workbookViewId="0">
      <selection activeCell="H22" sqref="H22"/>
    </sheetView>
  </sheetViews>
  <sheetFormatPr baseColWidth="10" defaultColWidth="8.28515625" defaultRowHeight="15" x14ac:dyDescent="0.25"/>
  <cols>
    <col min="1" max="1" width="6" customWidth="1"/>
  </cols>
  <sheetData>
    <row r="1" spans="1: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8" x14ac:dyDescent="0.25">
      <c r="A4" s="12"/>
      <c r="B4" s="12" t="s">
        <v>18</v>
      </c>
      <c r="C4" s="12" t="s">
        <v>151</v>
      </c>
      <c r="D4" s="12" t="s">
        <v>152</v>
      </c>
      <c r="E4" s="12" t="s">
        <v>153</v>
      </c>
      <c r="F4" s="12" t="s">
        <v>12</v>
      </c>
      <c r="G4" s="12" t="s">
        <v>154</v>
      </c>
      <c r="H4" s="31" t="s">
        <v>158</v>
      </c>
    </row>
    <row r="5" spans="1:8" x14ac:dyDescent="0.25">
      <c r="A5" s="12" t="s">
        <v>155</v>
      </c>
      <c r="B5" s="63">
        <v>0.05</v>
      </c>
      <c r="C5" s="126">
        <v>1.4999999999999999E-2</v>
      </c>
      <c r="D5" s="12"/>
      <c r="E5" s="25">
        <f>POWER(E21/E6,1/15)-1</f>
        <v>0.17202871456345448</v>
      </c>
      <c r="G5" s="12"/>
      <c r="H5" s="12">
        <f>F6/15</f>
        <v>33.333333333333336</v>
      </c>
    </row>
    <row r="6" spans="1:8" x14ac:dyDescent="0.25">
      <c r="A6" s="12">
        <v>35</v>
      </c>
      <c r="B6" s="125">
        <v>400</v>
      </c>
      <c r="C6" s="125">
        <v>200</v>
      </c>
      <c r="D6" s="13">
        <f>C6+B6</f>
        <v>600</v>
      </c>
      <c r="E6" s="125">
        <v>100</v>
      </c>
      <c r="F6" s="14">
        <f>D6-E6</f>
        <v>500</v>
      </c>
      <c r="G6" s="13">
        <f>D6-E6-F6</f>
        <v>0</v>
      </c>
    </row>
    <row r="7" spans="1:8" x14ac:dyDescent="0.25">
      <c r="A7" s="12">
        <f>+A6+1</f>
        <v>36</v>
      </c>
      <c r="B7" s="13">
        <f>B6*(1+$B$5)</f>
        <v>420</v>
      </c>
      <c r="C7" s="13">
        <f>C6*(1+$C$5)</f>
        <v>202.99999999999997</v>
      </c>
      <c r="D7" s="13">
        <f>B7+C7</f>
        <v>623</v>
      </c>
      <c r="E7" s="13">
        <f>D7-F7</f>
        <v>156.33333333333331</v>
      </c>
      <c r="F7" s="13">
        <f t="shared" ref="F7:F21" si="0">F6-$H$5</f>
        <v>466.66666666666669</v>
      </c>
      <c r="G7" s="13">
        <f>D7-E7-F7</f>
        <v>0</v>
      </c>
    </row>
    <row r="8" spans="1:8" x14ac:dyDescent="0.25">
      <c r="A8" s="12">
        <f t="shared" ref="A8:A36" si="1">+A7+1</f>
        <v>37</v>
      </c>
      <c r="B8" s="13">
        <f t="shared" ref="B8:B21" si="2">B7*(1+$B$5)</f>
        <v>441</v>
      </c>
      <c r="C8" s="13">
        <f t="shared" ref="C8:C21" si="3">C7*(1+$C$5)</f>
        <v>206.04499999999996</v>
      </c>
      <c r="D8" s="13">
        <f t="shared" ref="D8:D23" si="4">B8+C8</f>
        <v>647.04499999999996</v>
      </c>
      <c r="E8" s="13">
        <f t="shared" ref="E8:E21" si="5">D8-F8</f>
        <v>213.71166666666659</v>
      </c>
      <c r="F8" s="13">
        <f t="shared" si="0"/>
        <v>433.33333333333337</v>
      </c>
      <c r="G8" s="13">
        <f t="shared" ref="G8:G37" si="6">D8-E8-F8</f>
        <v>0</v>
      </c>
    </row>
    <row r="9" spans="1:8" x14ac:dyDescent="0.25">
      <c r="A9" s="12">
        <f t="shared" si="1"/>
        <v>38</v>
      </c>
      <c r="B9" s="13">
        <f t="shared" si="2"/>
        <v>463.05</v>
      </c>
      <c r="C9" s="13">
        <f t="shared" si="3"/>
        <v>209.13567499999994</v>
      </c>
      <c r="D9" s="13">
        <f t="shared" si="4"/>
        <v>672.18567499999995</v>
      </c>
      <c r="E9" s="13">
        <f t="shared" si="5"/>
        <v>272.18567499999989</v>
      </c>
      <c r="F9" s="13">
        <f t="shared" si="0"/>
        <v>400.00000000000006</v>
      </c>
      <c r="G9" s="13">
        <f t="shared" si="6"/>
        <v>0</v>
      </c>
    </row>
    <row r="10" spans="1:8" x14ac:dyDescent="0.25">
      <c r="A10" s="12">
        <f t="shared" si="1"/>
        <v>39</v>
      </c>
      <c r="B10" s="13">
        <f t="shared" si="2"/>
        <v>486.20250000000004</v>
      </c>
      <c r="C10" s="13">
        <f t="shared" si="3"/>
        <v>212.27271012499992</v>
      </c>
      <c r="D10" s="13">
        <f t="shared" si="4"/>
        <v>698.47521012499999</v>
      </c>
      <c r="E10" s="13">
        <f t="shared" si="5"/>
        <v>331.80854345833325</v>
      </c>
      <c r="F10" s="13">
        <f t="shared" si="0"/>
        <v>366.66666666666674</v>
      </c>
      <c r="G10" s="13">
        <f t="shared" si="6"/>
        <v>0</v>
      </c>
    </row>
    <row r="11" spans="1:8" x14ac:dyDescent="0.25">
      <c r="A11" s="12">
        <f t="shared" si="1"/>
        <v>40</v>
      </c>
      <c r="B11" s="13">
        <f t="shared" si="2"/>
        <v>510.51262500000007</v>
      </c>
      <c r="C11" s="13">
        <f t="shared" si="3"/>
        <v>215.4568007768749</v>
      </c>
      <c r="D11" s="13">
        <f t="shared" si="4"/>
        <v>725.96942577687491</v>
      </c>
      <c r="E11" s="13">
        <f t="shared" si="5"/>
        <v>392.63609244354149</v>
      </c>
      <c r="F11" s="13">
        <f t="shared" si="0"/>
        <v>333.33333333333343</v>
      </c>
      <c r="G11" s="13">
        <f t="shared" si="6"/>
        <v>0</v>
      </c>
    </row>
    <row r="12" spans="1:8" x14ac:dyDescent="0.25">
      <c r="A12" s="12">
        <f t="shared" si="1"/>
        <v>41</v>
      </c>
      <c r="B12" s="13">
        <f t="shared" si="2"/>
        <v>536.03825625000013</v>
      </c>
      <c r="C12" s="13">
        <f t="shared" si="3"/>
        <v>218.688652788528</v>
      </c>
      <c r="D12" s="13">
        <f t="shared" si="4"/>
        <v>754.72690903852811</v>
      </c>
      <c r="E12" s="13">
        <f t="shared" si="5"/>
        <v>454.72690903852799</v>
      </c>
      <c r="F12" s="13">
        <f t="shared" si="0"/>
        <v>300.00000000000011</v>
      </c>
      <c r="G12" s="13">
        <f t="shared" si="6"/>
        <v>0</v>
      </c>
    </row>
    <row r="13" spans="1:8" x14ac:dyDescent="0.25">
      <c r="A13" s="12">
        <f t="shared" si="1"/>
        <v>42</v>
      </c>
      <c r="B13" s="13">
        <f t="shared" si="2"/>
        <v>562.84016906250019</v>
      </c>
      <c r="C13" s="13">
        <f t="shared" si="3"/>
        <v>221.96898258035591</v>
      </c>
      <c r="D13" s="13">
        <f t="shared" si="4"/>
        <v>784.80915164285614</v>
      </c>
      <c r="E13" s="13">
        <f t="shared" si="5"/>
        <v>518.14248497618928</v>
      </c>
      <c r="F13" s="13">
        <f t="shared" si="0"/>
        <v>266.6666666666668</v>
      </c>
      <c r="G13" s="13">
        <f t="shared" si="6"/>
        <v>0</v>
      </c>
    </row>
    <row r="14" spans="1:8" x14ac:dyDescent="0.25">
      <c r="A14" s="12">
        <f t="shared" si="1"/>
        <v>43</v>
      </c>
      <c r="B14" s="13">
        <f t="shared" si="2"/>
        <v>590.98217751562527</v>
      </c>
      <c r="C14" s="13">
        <f t="shared" si="3"/>
        <v>225.29851731906123</v>
      </c>
      <c r="D14" s="13">
        <f t="shared" si="4"/>
        <v>816.28069483468653</v>
      </c>
      <c r="E14" s="13">
        <f t="shared" si="5"/>
        <v>582.94736150135304</v>
      </c>
      <c r="F14" s="13">
        <f t="shared" si="0"/>
        <v>233.33333333333346</v>
      </c>
      <c r="G14" s="13">
        <f t="shared" si="6"/>
        <v>0</v>
      </c>
    </row>
    <row r="15" spans="1:8" x14ac:dyDescent="0.25">
      <c r="A15" s="12">
        <f t="shared" si="1"/>
        <v>44</v>
      </c>
      <c r="B15" s="13">
        <f t="shared" si="2"/>
        <v>620.53128639140652</v>
      </c>
      <c r="C15" s="13">
        <f t="shared" si="3"/>
        <v>228.67799507884712</v>
      </c>
      <c r="D15" s="13">
        <f t="shared" si="4"/>
        <v>849.2092814702537</v>
      </c>
      <c r="E15" s="13">
        <f t="shared" si="5"/>
        <v>649.20928147025359</v>
      </c>
      <c r="F15" s="13">
        <f t="shared" si="0"/>
        <v>200.00000000000011</v>
      </c>
      <c r="G15" s="13">
        <f t="shared" si="6"/>
        <v>0</v>
      </c>
    </row>
    <row r="16" spans="1:8" x14ac:dyDescent="0.25">
      <c r="A16" s="12">
        <f t="shared" si="1"/>
        <v>45</v>
      </c>
      <c r="B16" s="13">
        <f t="shared" si="2"/>
        <v>651.55785071097682</v>
      </c>
      <c r="C16" s="13">
        <f t="shared" si="3"/>
        <v>232.1081650050298</v>
      </c>
      <c r="D16" s="13">
        <f t="shared" si="4"/>
        <v>883.66601571600665</v>
      </c>
      <c r="E16" s="13">
        <f t="shared" si="5"/>
        <v>716.99934904933991</v>
      </c>
      <c r="F16" s="13">
        <f t="shared" si="0"/>
        <v>166.66666666666677</v>
      </c>
      <c r="G16" s="13">
        <f t="shared" si="6"/>
        <v>0</v>
      </c>
    </row>
    <row r="17" spans="1:8" x14ac:dyDescent="0.25">
      <c r="A17" s="12">
        <f t="shared" si="1"/>
        <v>46</v>
      </c>
      <c r="B17" s="13">
        <f t="shared" si="2"/>
        <v>684.13574324652575</v>
      </c>
      <c r="C17" s="13">
        <f t="shared" si="3"/>
        <v>235.58978748010523</v>
      </c>
      <c r="D17" s="13">
        <f t="shared" si="4"/>
        <v>919.72553072663095</v>
      </c>
      <c r="E17" s="13">
        <f t="shared" si="5"/>
        <v>786.39219739329747</v>
      </c>
      <c r="F17" s="13">
        <f t="shared" si="0"/>
        <v>133.33333333333343</v>
      </c>
      <c r="G17" s="13">
        <f t="shared" si="6"/>
        <v>0</v>
      </c>
    </row>
    <row r="18" spans="1:8" x14ac:dyDescent="0.25">
      <c r="A18" s="12">
        <f t="shared" si="1"/>
        <v>47</v>
      </c>
      <c r="B18" s="13">
        <f t="shared" si="2"/>
        <v>718.3425304088521</v>
      </c>
      <c r="C18" s="13">
        <f t="shared" si="3"/>
        <v>239.12363429230678</v>
      </c>
      <c r="D18" s="13">
        <f t="shared" si="4"/>
        <v>957.46616470115885</v>
      </c>
      <c r="E18" s="13">
        <f t="shared" si="5"/>
        <v>857.46616470115873</v>
      </c>
      <c r="F18" s="13">
        <f t="shared" si="0"/>
        <v>100.00000000000009</v>
      </c>
      <c r="G18" s="13">
        <f t="shared" si="6"/>
        <v>0</v>
      </c>
    </row>
    <row r="19" spans="1:8" x14ac:dyDescent="0.25">
      <c r="A19" s="12">
        <f t="shared" si="1"/>
        <v>48</v>
      </c>
      <c r="B19" s="13">
        <f t="shared" si="2"/>
        <v>754.25965692929469</v>
      </c>
      <c r="C19" s="13">
        <f t="shared" si="3"/>
        <v>242.71048880669136</v>
      </c>
      <c r="D19" s="13">
        <f t="shared" si="4"/>
        <v>996.97014573598608</v>
      </c>
      <c r="E19" s="13">
        <f t="shared" si="5"/>
        <v>930.30347906931934</v>
      </c>
      <c r="F19" s="13">
        <f t="shared" si="0"/>
        <v>66.666666666666742</v>
      </c>
      <c r="G19" s="13">
        <f t="shared" si="6"/>
        <v>0</v>
      </c>
    </row>
    <row r="20" spans="1:8" x14ac:dyDescent="0.25">
      <c r="A20" s="12">
        <f t="shared" si="1"/>
        <v>49</v>
      </c>
      <c r="B20" s="13">
        <f t="shared" si="2"/>
        <v>791.97263977575949</v>
      </c>
      <c r="C20" s="13">
        <f t="shared" si="3"/>
        <v>246.35114613879171</v>
      </c>
      <c r="D20" s="13">
        <f t="shared" si="4"/>
        <v>1038.3237859145511</v>
      </c>
      <c r="E20" s="13">
        <f t="shared" si="5"/>
        <v>1004.9904525812177</v>
      </c>
      <c r="F20" s="13">
        <f t="shared" si="0"/>
        <v>33.333333333333407</v>
      </c>
      <c r="G20" s="13">
        <f t="shared" si="6"/>
        <v>0</v>
      </c>
    </row>
    <row r="21" spans="1:8" x14ac:dyDescent="0.25">
      <c r="A21" s="12">
        <f t="shared" si="1"/>
        <v>50</v>
      </c>
      <c r="B21" s="13">
        <f t="shared" si="2"/>
        <v>831.57127176454753</v>
      </c>
      <c r="C21" s="13">
        <f t="shared" si="3"/>
        <v>250.04641333087355</v>
      </c>
      <c r="D21" s="13">
        <f t="shared" si="4"/>
        <v>1081.6176850954212</v>
      </c>
      <c r="E21" s="13">
        <f t="shared" si="5"/>
        <v>1081.6176850954212</v>
      </c>
      <c r="F21" s="13">
        <f t="shared" si="0"/>
        <v>7.1054273576010019E-14</v>
      </c>
      <c r="G21" s="13">
        <f t="shared" si="6"/>
        <v>-7.1054273576010019E-14</v>
      </c>
      <c r="H21" t="str">
        <f>H4</f>
        <v>rbsmt dette</v>
      </c>
    </row>
    <row r="22" spans="1:8" x14ac:dyDescent="0.25">
      <c r="A22" s="12">
        <f t="shared" si="1"/>
        <v>51</v>
      </c>
      <c r="B22" s="39">
        <v>2500</v>
      </c>
      <c r="C22" s="39">
        <v>0</v>
      </c>
      <c r="D22" s="13">
        <f t="shared" si="4"/>
        <v>2500</v>
      </c>
      <c r="E22" s="125">
        <v>1100</v>
      </c>
      <c r="F22" s="125">
        <f>D22-E22</f>
        <v>1400</v>
      </c>
      <c r="G22" s="13">
        <f t="shared" si="6"/>
        <v>0</v>
      </c>
      <c r="H22" s="12">
        <f>F22/15</f>
        <v>93.333333333333329</v>
      </c>
    </row>
    <row r="23" spans="1:8" x14ac:dyDescent="0.25">
      <c r="A23" s="12">
        <f t="shared" si="1"/>
        <v>52</v>
      </c>
      <c r="B23" s="13">
        <f>B22*(1+$B$5)</f>
        <v>2625</v>
      </c>
      <c r="C23" s="13">
        <v>0</v>
      </c>
      <c r="D23" s="13">
        <f t="shared" si="4"/>
        <v>2625</v>
      </c>
      <c r="E23" s="13">
        <f>D23-F23</f>
        <v>1318.3333333333333</v>
      </c>
      <c r="F23" s="13">
        <f>F22-$H$22</f>
        <v>1306.6666666666667</v>
      </c>
      <c r="G23" s="13">
        <f t="shared" si="6"/>
        <v>0</v>
      </c>
      <c r="H23" s="127">
        <f>+POWER(E37/E22,1/15)-1</f>
        <v>0.10907041553530505</v>
      </c>
    </row>
    <row r="24" spans="1:8" x14ac:dyDescent="0.25">
      <c r="A24" s="12">
        <f t="shared" si="1"/>
        <v>53</v>
      </c>
      <c r="B24" s="13">
        <f t="shared" ref="B24:B37" si="7">B23*(1+$B$5)</f>
        <v>2756.25</v>
      </c>
      <c r="C24" s="13">
        <v>0</v>
      </c>
      <c r="D24" s="13">
        <f t="shared" ref="D24:D37" si="8">B24+C24</f>
        <v>2756.25</v>
      </c>
      <c r="E24" s="13">
        <f t="shared" ref="E24:E37" si="9">D24-F24</f>
        <v>1542.9166666666665</v>
      </c>
      <c r="F24" s="13">
        <f t="shared" ref="F24:F36" si="10">F23-$H$22</f>
        <v>1213.3333333333335</v>
      </c>
      <c r="G24" s="13">
        <f t="shared" si="6"/>
        <v>0</v>
      </c>
    </row>
    <row r="25" spans="1:8" x14ac:dyDescent="0.25">
      <c r="A25" s="12">
        <f t="shared" si="1"/>
        <v>54</v>
      </c>
      <c r="B25" s="13">
        <f t="shared" si="7"/>
        <v>2894.0625</v>
      </c>
      <c r="C25" s="13">
        <v>0</v>
      </c>
      <c r="D25" s="13">
        <f t="shared" si="8"/>
        <v>2894.0625</v>
      </c>
      <c r="E25" s="13">
        <f t="shared" si="9"/>
        <v>1774.0624999999998</v>
      </c>
      <c r="F25" s="13">
        <f t="shared" si="10"/>
        <v>1120.0000000000002</v>
      </c>
      <c r="G25" s="13">
        <f t="shared" si="6"/>
        <v>0</v>
      </c>
    </row>
    <row r="26" spans="1:8" x14ac:dyDescent="0.25">
      <c r="A26" s="12">
        <f t="shared" si="1"/>
        <v>55</v>
      </c>
      <c r="B26" s="13">
        <f t="shared" si="7"/>
        <v>3038.765625</v>
      </c>
      <c r="C26" s="13">
        <v>0</v>
      </c>
      <c r="D26" s="13">
        <f t="shared" si="8"/>
        <v>3038.765625</v>
      </c>
      <c r="E26" s="13">
        <f t="shared" si="9"/>
        <v>2012.098958333333</v>
      </c>
      <c r="F26" s="13">
        <f t="shared" si="10"/>
        <v>1026.666666666667</v>
      </c>
      <c r="G26" s="13">
        <f t="shared" si="6"/>
        <v>0</v>
      </c>
    </row>
    <row r="27" spans="1:8" x14ac:dyDescent="0.25">
      <c r="A27" s="12">
        <f t="shared" si="1"/>
        <v>56</v>
      </c>
      <c r="B27" s="13">
        <f t="shared" si="7"/>
        <v>3190.7039062500003</v>
      </c>
      <c r="C27" s="13">
        <v>0</v>
      </c>
      <c r="D27" s="13">
        <f t="shared" si="8"/>
        <v>3190.7039062500003</v>
      </c>
      <c r="E27" s="13">
        <f t="shared" si="9"/>
        <v>2257.3705729166668</v>
      </c>
      <c r="F27" s="13">
        <f t="shared" si="10"/>
        <v>933.3333333333336</v>
      </c>
      <c r="G27" s="13">
        <f t="shared" si="6"/>
        <v>0</v>
      </c>
    </row>
    <row r="28" spans="1:8" x14ac:dyDescent="0.25">
      <c r="A28" s="12">
        <f t="shared" si="1"/>
        <v>57</v>
      </c>
      <c r="B28" s="13">
        <f t="shared" si="7"/>
        <v>3350.2391015625003</v>
      </c>
      <c r="C28" s="13">
        <v>0</v>
      </c>
      <c r="D28" s="13">
        <f t="shared" si="8"/>
        <v>3350.2391015625003</v>
      </c>
      <c r="E28" s="13">
        <f t="shared" si="9"/>
        <v>2510.2391015624999</v>
      </c>
      <c r="F28" s="13">
        <f t="shared" si="10"/>
        <v>840.00000000000023</v>
      </c>
      <c r="G28" s="13">
        <f t="shared" si="6"/>
        <v>0</v>
      </c>
    </row>
    <row r="29" spans="1:8" x14ac:dyDescent="0.25">
      <c r="A29" s="12">
        <f t="shared" si="1"/>
        <v>58</v>
      </c>
      <c r="B29" s="13">
        <f t="shared" si="7"/>
        <v>3517.7510566406254</v>
      </c>
      <c r="C29" s="13">
        <v>0</v>
      </c>
      <c r="D29" s="13">
        <f t="shared" si="8"/>
        <v>3517.7510566406254</v>
      </c>
      <c r="E29" s="13">
        <f t="shared" si="9"/>
        <v>2771.0843899739584</v>
      </c>
      <c r="F29" s="13">
        <f t="shared" si="10"/>
        <v>746.66666666666686</v>
      </c>
      <c r="G29" s="13">
        <f t="shared" si="6"/>
        <v>0</v>
      </c>
    </row>
    <row r="30" spans="1:8" x14ac:dyDescent="0.25">
      <c r="A30" s="12">
        <f t="shared" si="1"/>
        <v>59</v>
      </c>
      <c r="B30" s="13">
        <f t="shared" si="7"/>
        <v>3693.6386094726568</v>
      </c>
      <c r="C30" s="13">
        <v>0</v>
      </c>
      <c r="D30" s="13">
        <f t="shared" si="8"/>
        <v>3693.6386094726568</v>
      </c>
      <c r="E30" s="13">
        <f t="shared" si="9"/>
        <v>3040.3052761393233</v>
      </c>
      <c r="F30" s="13">
        <f t="shared" si="10"/>
        <v>653.33333333333348</v>
      </c>
      <c r="G30" s="13">
        <f t="shared" si="6"/>
        <v>0</v>
      </c>
    </row>
    <row r="31" spans="1:8" x14ac:dyDescent="0.25">
      <c r="A31" s="12">
        <f t="shared" si="1"/>
        <v>60</v>
      </c>
      <c r="B31" s="13">
        <f t="shared" si="7"/>
        <v>3878.32053994629</v>
      </c>
      <c r="C31" s="13">
        <v>0</v>
      </c>
      <c r="D31" s="13">
        <f t="shared" si="8"/>
        <v>3878.32053994629</v>
      </c>
      <c r="E31" s="13">
        <f t="shared" si="9"/>
        <v>3318.32053994629</v>
      </c>
      <c r="F31" s="13">
        <f t="shared" si="10"/>
        <v>560.00000000000011</v>
      </c>
      <c r="G31" s="13">
        <f t="shared" si="6"/>
        <v>0</v>
      </c>
    </row>
    <row r="32" spans="1:8" x14ac:dyDescent="0.25">
      <c r="A32" s="12">
        <f t="shared" si="1"/>
        <v>61</v>
      </c>
      <c r="B32" s="13">
        <f t="shared" si="7"/>
        <v>4072.2365669436044</v>
      </c>
      <c r="C32" s="13">
        <v>0</v>
      </c>
      <c r="D32" s="13">
        <f t="shared" si="8"/>
        <v>4072.2365669436044</v>
      </c>
      <c r="E32" s="13">
        <f t="shared" si="9"/>
        <v>3605.5699002769375</v>
      </c>
      <c r="F32" s="13">
        <f t="shared" si="10"/>
        <v>466.6666666666668</v>
      </c>
      <c r="G32" s="13">
        <f t="shared" si="6"/>
        <v>0</v>
      </c>
    </row>
    <row r="33" spans="1:7" x14ac:dyDescent="0.25">
      <c r="A33" s="12">
        <f t="shared" si="1"/>
        <v>62</v>
      </c>
      <c r="B33" s="13">
        <f t="shared" si="7"/>
        <v>4275.8483952907845</v>
      </c>
      <c r="C33" s="13">
        <v>0</v>
      </c>
      <c r="D33" s="13">
        <f t="shared" si="8"/>
        <v>4275.8483952907845</v>
      </c>
      <c r="E33" s="13">
        <f t="shared" si="9"/>
        <v>3902.5150619574511</v>
      </c>
      <c r="F33" s="13">
        <f t="shared" si="10"/>
        <v>373.33333333333348</v>
      </c>
      <c r="G33" s="13">
        <f t="shared" si="6"/>
        <v>0</v>
      </c>
    </row>
    <row r="34" spans="1:7" x14ac:dyDescent="0.25">
      <c r="A34" s="12">
        <f t="shared" si="1"/>
        <v>63</v>
      </c>
      <c r="B34" s="13">
        <f t="shared" si="7"/>
        <v>4489.6408150553243</v>
      </c>
      <c r="C34" s="13">
        <v>0</v>
      </c>
      <c r="D34" s="13">
        <f t="shared" si="8"/>
        <v>4489.6408150553243</v>
      </c>
      <c r="E34" s="13">
        <f t="shared" si="9"/>
        <v>4209.6408150553243</v>
      </c>
      <c r="F34" s="13">
        <f t="shared" si="10"/>
        <v>280.00000000000017</v>
      </c>
      <c r="G34" s="13">
        <f t="shared" si="6"/>
        <v>0</v>
      </c>
    </row>
    <row r="35" spans="1:7" x14ac:dyDescent="0.25">
      <c r="A35" s="12">
        <f t="shared" si="1"/>
        <v>64</v>
      </c>
      <c r="B35" s="13">
        <f t="shared" si="7"/>
        <v>4714.1228558080911</v>
      </c>
      <c r="C35" s="13">
        <v>0</v>
      </c>
      <c r="D35" s="13">
        <f t="shared" si="8"/>
        <v>4714.1228558080911</v>
      </c>
      <c r="E35" s="13">
        <f t="shared" si="9"/>
        <v>4527.4561891414241</v>
      </c>
      <c r="F35" s="13">
        <f t="shared" si="10"/>
        <v>186.66666666666686</v>
      </c>
      <c r="G35" s="13">
        <f t="shared" si="6"/>
        <v>0</v>
      </c>
    </row>
    <row r="36" spans="1:7" x14ac:dyDescent="0.25">
      <c r="A36" s="12">
        <f t="shared" si="1"/>
        <v>65</v>
      </c>
      <c r="B36" s="13">
        <f t="shared" si="7"/>
        <v>4949.8289985984957</v>
      </c>
      <c r="C36" s="13">
        <v>0</v>
      </c>
      <c r="D36" s="13">
        <f t="shared" si="8"/>
        <v>4949.8289985984957</v>
      </c>
      <c r="E36" s="13">
        <f t="shared" si="9"/>
        <v>4856.4956652651617</v>
      </c>
      <c r="F36" s="13">
        <f t="shared" si="10"/>
        <v>93.333333333333528</v>
      </c>
      <c r="G36" s="13">
        <f t="shared" si="6"/>
        <v>4.1211478674085811E-13</v>
      </c>
    </row>
    <row r="37" spans="1:7" x14ac:dyDescent="0.25">
      <c r="A37" s="12">
        <f t="shared" ref="A37" si="11">+A36+1</f>
        <v>66</v>
      </c>
      <c r="B37" s="13">
        <f t="shared" si="7"/>
        <v>5197.3204485284205</v>
      </c>
      <c r="C37" s="13">
        <v>0</v>
      </c>
      <c r="D37" s="13">
        <f t="shared" si="8"/>
        <v>5197.3204485284205</v>
      </c>
      <c r="E37" s="13">
        <f t="shared" si="9"/>
        <v>5197.3204485284205</v>
      </c>
      <c r="F37" s="13">
        <f t="shared" ref="F37" si="12">F36-$H$22</f>
        <v>1.9895196601282805E-13</v>
      </c>
      <c r="G37" s="13">
        <f t="shared" si="6"/>
        <v>-1.9895196601282805E-13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H20" sqref="H20"/>
    </sheetView>
  </sheetViews>
  <sheetFormatPr baseColWidth="10" defaultColWidth="9.5703125" defaultRowHeight="15" x14ac:dyDescent="0.25"/>
  <cols>
    <col min="1" max="1" width="21.42578125" customWidth="1"/>
    <col min="2" max="5" width="8.28515625" customWidth="1"/>
    <col min="6" max="7" width="10.42578125" customWidth="1"/>
  </cols>
  <sheetData>
    <row r="1" spans="1:17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7" x14ac:dyDescent="0.25">
      <c r="A2" t="s">
        <v>139</v>
      </c>
      <c r="H2" t="s">
        <v>140</v>
      </c>
    </row>
    <row r="3" spans="1:17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7" x14ac:dyDescent="0.25">
      <c r="A4" s="137" t="s">
        <v>113</v>
      </c>
      <c r="B4" s="137" t="s">
        <v>107</v>
      </c>
      <c r="C4" s="137"/>
      <c r="D4" s="137"/>
      <c r="E4" s="137"/>
      <c r="F4" s="143" t="s">
        <v>108</v>
      </c>
      <c r="G4" s="143"/>
      <c r="H4" s="143"/>
      <c r="I4" s="143"/>
      <c r="J4" s="143"/>
      <c r="K4" s="137" t="s">
        <v>132</v>
      </c>
      <c r="L4" s="137"/>
      <c r="M4" s="137"/>
      <c r="N4" s="137"/>
      <c r="O4" s="137"/>
      <c r="P4" s="101"/>
      <c r="Q4" s="59"/>
    </row>
    <row r="5" spans="1:17" x14ac:dyDescent="0.25">
      <c r="A5" s="137"/>
      <c r="B5" s="137"/>
      <c r="C5" s="137"/>
      <c r="D5" s="137"/>
      <c r="E5" s="137"/>
      <c r="F5" s="138" t="s">
        <v>112</v>
      </c>
      <c r="G5" s="144" t="s">
        <v>133</v>
      </c>
      <c r="H5" s="144"/>
      <c r="I5" s="144"/>
      <c r="J5" s="144"/>
      <c r="K5" s="137"/>
      <c r="L5" s="137"/>
      <c r="M5" s="137"/>
      <c r="N5" s="137"/>
      <c r="O5" s="137"/>
      <c r="P5" s="59"/>
      <c r="Q5" s="102"/>
    </row>
    <row r="6" spans="1:17" x14ac:dyDescent="0.25">
      <c r="A6" s="137"/>
      <c r="B6" s="5" t="s">
        <v>53</v>
      </c>
      <c r="C6" s="5" t="s">
        <v>54</v>
      </c>
      <c r="D6" s="5" t="s">
        <v>55</v>
      </c>
      <c r="E6" s="53" t="s">
        <v>56</v>
      </c>
      <c r="F6" s="139"/>
      <c r="G6" s="86" t="s">
        <v>141</v>
      </c>
      <c r="H6" s="86" t="s">
        <v>109</v>
      </c>
      <c r="I6" s="6" t="s">
        <v>125</v>
      </c>
      <c r="J6" s="6" t="s">
        <v>126</v>
      </c>
      <c r="K6" s="137"/>
      <c r="L6" s="137"/>
      <c r="M6" s="137"/>
      <c r="N6" s="137"/>
      <c r="O6" s="137"/>
      <c r="P6" s="59"/>
      <c r="Q6" s="49"/>
    </row>
    <row r="7" spans="1:17" x14ac:dyDescent="0.25">
      <c r="A7" s="12" t="s">
        <v>110</v>
      </c>
      <c r="B7" s="12">
        <v>-100</v>
      </c>
      <c r="C7" s="12">
        <v>-10</v>
      </c>
      <c r="D7" s="12">
        <v>15</v>
      </c>
      <c r="E7" s="32">
        <v>165</v>
      </c>
      <c r="F7" s="94">
        <f>SUM(B7:E7)</f>
        <v>70</v>
      </c>
      <c r="G7" s="95">
        <f>B7+C7/(1+$H$7)+D7/(1+$H$7)^2+E7/(1+$H$7)^3</f>
        <v>1.2363443602225743E-12</v>
      </c>
      <c r="H7" s="113">
        <f>IRR(B7:E7)</f>
        <v>0.19039905345852226</v>
      </c>
      <c r="I7" s="13">
        <f>NPV(H7,B7:E7)</f>
        <v>1.0385965585494755E-12</v>
      </c>
      <c r="J7" s="13">
        <f>B7/(1+H7)+C7/(1+H7)^2+D7/(1+H7)^3+E7/(1+H7)^4</f>
        <v>1.0373923942097463E-12</v>
      </c>
      <c r="K7" s="141" t="s">
        <v>129</v>
      </c>
      <c r="L7" s="141"/>
      <c r="M7" s="141"/>
      <c r="N7" s="141"/>
      <c r="O7" s="141"/>
      <c r="P7" s="59"/>
      <c r="Q7" s="49"/>
    </row>
    <row r="8" spans="1:17" ht="15" customHeight="1" x14ac:dyDescent="0.25">
      <c r="A8" s="12" t="s">
        <v>127</v>
      </c>
      <c r="B8" s="12">
        <v>-100</v>
      </c>
      <c r="C8" s="12">
        <v>-10</v>
      </c>
      <c r="D8" s="12">
        <v>15</v>
      </c>
      <c r="E8" s="32">
        <v>165</v>
      </c>
      <c r="F8" s="94">
        <f t="shared" ref="F8:F11" si="0">SUM(B8:E8)</f>
        <v>70</v>
      </c>
      <c r="G8" s="95">
        <f>B8+C8/(1+$H$8)+D8/(1+$H$8)^2+E8/(1+$H$8)^3</f>
        <v>46.614836410754776</v>
      </c>
      <c r="H8" s="114">
        <v>0.05</v>
      </c>
      <c r="I8" s="13">
        <f t="shared" ref="I8:I11" si="1">NPV(H8,B8:E8)</f>
        <v>44.395082295956925</v>
      </c>
      <c r="J8" s="13">
        <f t="shared" ref="J8:J11" si="2">B8/(1+H8)+C8/(1+H8)^2+D8/(1+H8)^3+E8/(1+H8)^4</f>
        <v>44.395082295956925</v>
      </c>
      <c r="K8" s="140" t="s">
        <v>128</v>
      </c>
      <c r="L8" s="140"/>
      <c r="M8" s="140"/>
      <c r="N8" s="140"/>
      <c r="O8" s="140"/>
      <c r="P8" s="59"/>
      <c r="Q8" s="59"/>
    </row>
    <row r="9" spans="1:17" x14ac:dyDescent="0.25">
      <c r="A9" s="12" t="s">
        <v>127</v>
      </c>
      <c r="B9" s="12">
        <v>-100</v>
      </c>
      <c r="C9" s="12">
        <v>-10</v>
      </c>
      <c r="D9" s="12">
        <v>15</v>
      </c>
      <c r="E9" s="32">
        <v>165</v>
      </c>
      <c r="F9" s="94">
        <f t="shared" si="0"/>
        <v>70</v>
      </c>
      <c r="G9" s="95">
        <f>B9+C9/(1+$H$9)+D9/(1+$H$9)^2+E9/(1+$H$9)^3</f>
        <v>27.272727272727238</v>
      </c>
      <c r="H9" s="114">
        <v>0.1</v>
      </c>
      <c r="I9" s="13">
        <f t="shared" si="1"/>
        <v>24.793388429752031</v>
      </c>
      <c r="J9" s="13">
        <f t="shared" si="2"/>
        <v>24.793388429752042</v>
      </c>
      <c r="K9" s="140"/>
      <c r="L9" s="140"/>
      <c r="M9" s="140"/>
      <c r="N9" s="140"/>
      <c r="O9" s="140"/>
      <c r="P9" s="59"/>
      <c r="Q9" s="59"/>
    </row>
    <row r="10" spans="1:17" x14ac:dyDescent="0.25">
      <c r="A10" s="12" t="s">
        <v>111</v>
      </c>
      <c r="B10" s="12">
        <v>-100</v>
      </c>
      <c r="C10" s="12">
        <v>-10</v>
      </c>
      <c r="D10" s="12">
        <v>15</v>
      </c>
      <c r="E10" s="32">
        <v>165</v>
      </c>
      <c r="F10" s="94">
        <f t="shared" si="0"/>
        <v>70</v>
      </c>
      <c r="G10" s="111">
        <f>B10+C10/(1+$H$10)+D10/(1+$H$10)^2+E10/(1+$H$10)^3</f>
        <v>0.10272027743377521</v>
      </c>
      <c r="H10" s="114">
        <v>0.19</v>
      </c>
      <c r="I10" s="13">
        <f t="shared" si="1"/>
        <v>8.631956086871867E-2</v>
      </c>
      <c r="J10" s="13">
        <f t="shared" si="2"/>
        <v>8.6319560868716394E-2</v>
      </c>
      <c r="K10" s="141" t="s">
        <v>130</v>
      </c>
      <c r="L10" s="141"/>
      <c r="M10" s="141"/>
      <c r="N10" s="141"/>
      <c r="O10" s="141"/>
      <c r="P10" s="59"/>
      <c r="Q10" s="59"/>
    </row>
    <row r="11" spans="1:17" x14ac:dyDescent="0.25">
      <c r="A11" s="32" t="s">
        <v>124</v>
      </c>
      <c r="B11" s="12">
        <v>-100</v>
      </c>
      <c r="C11" s="12">
        <v>-10</v>
      </c>
      <c r="D11" s="12">
        <v>15</v>
      </c>
      <c r="E11" s="32">
        <v>165</v>
      </c>
      <c r="F11" s="94">
        <f t="shared" si="0"/>
        <v>70</v>
      </c>
      <c r="G11" s="95">
        <f>B11+C11/(1+$H$11)+D11/(1+$H$11)^2+E11/(1+$H$11)^3</f>
        <v>2.4326020503309849</v>
      </c>
      <c r="H11" s="113">
        <f>+B22</f>
        <v>0.18108942683539575</v>
      </c>
      <c r="I11" s="13">
        <f t="shared" si="1"/>
        <v>2.0596256261889372</v>
      </c>
      <c r="J11" s="13">
        <f t="shared" si="2"/>
        <v>2.0596256261889465</v>
      </c>
      <c r="K11" s="141" t="s">
        <v>131</v>
      </c>
      <c r="L11" s="141"/>
      <c r="M11" s="141"/>
      <c r="N11" s="141"/>
      <c r="O11" s="141"/>
      <c r="P11" s="59"/>
      <c r="Q11" s="59"/>
    </row>
    <row r="12" spans="1:17" x14ac:dyDescent="0.25">
      <c r="A12" s="112"/>
      <c r="B12" s="112"/>
      <c r="C12" s="112"/>
      <c r="D12" s="112"/>
      <c r="E12" s="112"/>
      <c r="J12" s="103"/>
      <c r="K12" s="59"/>
      <c r="L12" s="59"/>
      <c r="M12" s="59"/>
      <c r="N12" s="59"/>
      <c r="O12" s="59"/>
      <c r="P12" s="59"/>
      <c r="Q12" s="59"/>
    </row>
    <row r="13" spans="1:17" x14ac:dyDescent="0.25">
      <c r="A13" s="6" t="s">
        <v>134</v>
      </c>
      <c r="B13" s="5" t="s">
        <v>53</v>
      </c>
      <c r="C13" s="5" t="s">
        <v>54</v>
      </c>
      <c r="D13" s="5" t="s">
        <v>55</v>
      </c>
      <c r="E13" s="5" t="s">
        <v>56</v>
      </c>
      <c r="F13" s="106"/>
      <c r="G13" s="105"/>
      <c r="H13" s="105"/>
      <c r="I13" s="105"/>
      <c r="L13" s="96"/>
    </row>
    <row r="14" spans="1:17" x14ac:dyDescent="0.25">
      <c r="A14" s="12" t="s">
        <v>107</v>
      </c>
      <c r="B14" s="12">
        <f>B7</f>
        <v>-100</v>
      </c>
      <c r="C14" s="12">
        <f t="shared" ref="C14:E14" si="3">C7</f>
        <v>-10</v>
      </c>
      <c r="D14" s="12">
        <f t="shared" si="3"/>
        <v>15</v>
      </c>
      <c r="E14" s="12">
        <f t="shared" si="3"/>
        <v>165</v>
      </c>
      <c r="F14" s="107"/>
      <c r="G14" s="50"/>
      <c r="H14" s="50"/>
      <c r="I14" s="50"/>
      <c r="L14" s="96"/>
      <c r="N14" s="97"/>
    </row>
    <row r="15" spans="1:17" x14ac:dyDescent="0.25">
      <c r="A15" s="12" t="s">
        <v>115</v>
      </c>
      <c r="B15" s="54">
        <v>0.03</v>
      </c>
      <c r="C15" s="67">
        <f>B15</f>
        <v>0.03</v>
      </c>
      <c r="D15" s="66">
        <f>C15</f>
        <v>0.03</v>
      </c>
      <c r="E15" s="67">
        <f>D15</f>
        <v>0.03</v>
      </c>
      <c r="F15" s="107"/>
      <c r="G15" s="50"/>
      <c r="H15" s="50"/>
      <c r="I15" s="50"/>
      <c r="M15" s="99"/>
      <c r="N15" s="99"/>
      <c r="O15" s="99"/>
      <c r="P15" s="99"/>
    </row>
    <row r="16" spans="1:17" x14ac:dyDescent="0.25">
      <c r="A16" s="12" t="s">
        <v>114</v>
      </c>
      <c r="B16" s="54">
        <v>0.05</v>
      </c>
      <c r="C16" s="67">
        <f>B16</f>
        <v>0.05</v>
      </c>
      <c r="D16" s="66">
        <f t="shared" ref="D16:E16" si="4">C16</f>
        <v>0.05</v>
      </c>
      <c r="E16" s="67">
        <f t="shared" si="4"/>
        <v>0.05</v>
      </c>
      <c r="F16" s="107"/>
      <c r="G16" s="50"/>
      <c r="H16" s="50"/>
      <c r="I16" s="50"/>
      <c r="O16" s="96"/>
    </row>
    <row r="17" spans="1:18" x14ac:dyDescent="0.25">
      <c r="A17" s="12" t="s">
        <v>119</v>
      </c>
      <c r="B17" s="92"/>
      <c r="C17" s="92">
        <f>D17*(1+C15)</f>
        <v>1.0609</v>
      </c>
      <c r="D17" s="104">
        <f>+E17*(1+D15)</f>
        <v>1.03</v>
      </c>
      <c r="E17" s="92">
        <v>1</v>
      </c>
      <c r="F17" s="107"/>
      <c r="G17" s="50"/>
      <c r="H17" s="50"/>
      <c r="I17" s="50"/>
      <c r="R17" s="100"/>
    </row>
    <row r="18" spans="1:18" x14ac:dyDescent="0.25">
      <c r="A18" s="12" t="s">
        <v>116</v>
      </c>
      <c r="B18" s="92">
        <v>1</v>
      </c>
      <c r="C18" s="92">
        <f t="shared" ref="C18:E18" si="5">B18/(1+C16)</f>
        <v>0.95238095238095233</v>
      </c>
      <c r="D18" s="104">
        <f t="shared" si="5"/>
        <v>0.90702947845804982</v>
      </c>
      <c r="E18" s="92">
        <f t="shared" si="5"/>
        <v>0.86383759853147601</v>
      </c>
      <c r="F18" s="109" t="s">
        <v>122</v>
      </c>
      <c r="G18" s="93" t="s">
        <v>123</v>
      </c>
      <c r="H18" s="50"/>
      <c r="I18" s="50"/>
      <c r="R18" s="42"/>
    </row>
    <row r="19" spans="1:18" x14ac:dyDescent="0.25">
      <c r="A19" s="12" t="s">
        <v>118</v>
      </c>
      <c r="B19" s="13">
        <f>IF(B14&gt;0,B14*B17,0)</f>
        <v>0</v>
      </c>
      <c r="C19" s="13">
        <f t="shared" ref="C19:E19" si="6">IF(C14&gt;0,C14*C17,0)</f>
        <v>0</v>
      </c>
      <c r="D19" s="69">
        <f t="shared" si="6"/>
        <v>15.450000000000001</v>
      </c>
      <c r="E19" s="13">
        <f t="shared" si="6"/>
        <v>165</v>
      </c>
      <c r="F19" s="109">
        <f>SUM(B19:E19)</f>
        <v>180.45</v>
      </c>
      <c r="G19" s="117"/>
      <c r="H19" s="119" t="s">
        <v>142</v>
      </c>
      <c r="I19" s="108"/>
      <c r="R19" s="42"/>
    </row>
    <row r="20" spans="1:18" x14ac:dyDescent="0.25">
      <c r="A20" s="32" t="s">
        <v>120</v>
      </c>
      <c r="B20" s="12">
        <f>+IF(B14&lt;0,B14*B18,0)</f>
        <v>-100</v>
      </c>
      <c r="C20" s="13">
        <f t="shared" ref="C20:E20" si="7">+IF(C14&lt;0,C14*C18,0)</f>
        <v>-9.5238095238095237</v>
      </c>
      <c r="D20" s="12">
        <f t="shared" si="7"/>
        <v>0</v>
      </c>
      <c r="E20" s="12">
        <f t="shared" si="7"/>
        <v>0</v>
      </c>
      <c r="F20" s="117"/>
      <c r="G20" s="85">
        <f>SUM(B20:E20)</f>
        <v>-109.52380952380952</v>
      </c>
      <c r="H20" s="41">
        <f>F19+G20</f>
        <v>70.92619047619047</v>
      </c>
      <c r="I20" t="s">
        <v>143</v>
      </c>
    </row>
    <row r="21" spans="1:18" x14ac:dyDescent="0.25">
      <c r="A21" s="27" t="s">
        <v>117</v>
      </c>
      <c r="B21" s="115">
        <f>POWER(-F19/G20,1/3)-1</f>
        <v>0.18108942683539575</v>
      </c>
      <c r="C21" s="142" t="s">
        <v>135</v>
      </c>
      <c r="D21" s="142"/>
      <c r="E21" s="142"/>
      <c r="F21" s="142"/>
      <c r="G21" s="59"/>
      <c r="H21" s="59"/>
      <c r="I21" s="59"/>
      <c r="J21" s="59"/>
      <c r="K21" s="96"/>
    </row>
    <row r="22" spans="1:18" x14ac:dyDescent="0.25">
      <c r="A22" s="27" t="s">
        <v>121</v>
      </c>
      <c r="B22" s="116">
        <f>MIRR(B14:E14,B16,B15)</f>
        <v>0.18108942683539575</v>
      </c>
      <c r="C22" s="142" t="s">
        <v>136</v>
      </c>
      <c r="D22" s="142"/>
      <c r="E22" s="142"/>
      <c r="F22" s="142"/>
      <c r="G22" s="59"/>
      <c r="H22" s="59"/>
      <c r="I22" s="59"/>
      <c r="J22" s="59"/>
    </row>
    <row r="23" spans="1:18" x14ac:dyDescent="0.25">
      <c r="A23" s="50"/>
      <c r="B23" s="60"/>
      <c r="C23" s="59"/>
      <c r="D23" s="59"/>
      <c r="E23" s="59"/>
      <c r="F23" s="60"/>
      <c r="G23" s="59"/>
      <c r="H23" s="59"/>
      <c r="I23" s="59"/>
      <c r="J23" s="59"/>
    </row>
    <row r="24" spans="1:18" x14ac:dyDescent="0.25">
      <c r="A24" s="50"/>
      <c r="B24" s="24"/>
    </row>
    <row r="25" spans="1:18" x14ac:dyDescent="0.25">
      <c r="A25" s="50"/>
      <c r="B25" s="110"/>
    </row>
    <row r="26" spans="1:18" x14ac:dyDescent="0.25">
      <c r="K26" s="98"/>
    </row>
  </sheetData>
  <mergeCells count="12">
    <mergeCell ref="K11:O11"/>
    <mergeCell ref="K4:O6"/>
    <mergeCell ref="C21:F21"/>
    <mergeCell ref="C22:F22"/>
    <mergeCell ref="F4:J4"/>
    <mergeCell ref="G5:J5"/>
    <mergeCell ref="B4:E5"/>
    <mergeCell ref="A4:A6"/>
    <mergeCell ref="F5:F6"/>
    <mergeCell ref="K8:O9"/>
    <mergeCell ref="K7:O7"/>
    <mergeCell ref="K10:O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tronc commun</vt:lpstr>
      <vt:lpstr>Immob vs plcmt</vt:lpstr>
      <vt:lpstr>Immob vs plcmt (2)</vt:lpstr>
      <vt:lpstr>graphiques 1</vt:lpstr>
      <vt:lpstr>graphiques 1 (2)</vt:lpstr>
      <vt:lpstr>RENTA ACTIFS</vt:lpstr>
      <vt:lpstr>'Immob vs plcmt'!Zone_d_impression</vt:lpstr>
      <vt:lpstr>'Immob vs plcmt (2)'!Zone_d_impression</vt:lpstr>
      <vt:lpstr>'tronc commun'!Zone_d_impression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SAINTCRICQJ</dc:creator>
  <cp:lastModifiedBy>SAINTCRICQJ</cp:lastModifiedBy>
  <cp:lastPrinted>2012-03-15T11:09:55Z</cp:lastPrinted>
  <dcterms:created xsi:type="dcterms:W3CDTF">2012-03-12T16:53:17Z</dcterms:created>
  <dcterms:modified xsi:type="dcterms:W3CDTF">2012-04-04T12:26:57Z</dcterms:modified>
</cp:coreProperties>
</file>