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35" windowWidth="18960" windowHeight="6900" firstSheet="3" activeTab="8"/>
  </bookViews>
  <sheets>
    <sheet name="cas 1 fi only" sheetId="4" r:id="rId1"/>
    <sheet name="cas 2 fi+eco" sheetId="5" r:id="rId2"/>
    <sheet name="cas 2 fi+eco (2)" sheetId="6" r:id="rId3"/>
    <sheet name="cas 2 fi+eco (3)" sheetId="7" r:id="rId4"/>
    <sheet name="Feuil1" sheetId="1" r:id="rId5"/>
    <sheet name="comparaison loc prop cb" sheetId="2" r:id="rId6"/>
    <sheet name="comparaison loc prop cb (2)" sheetId="8" r:id="rId7"/>
    <sheet name="Feuil3" sheetId="3" r:id="rId8"/>
    <sheet name="Loc vs propr" sheetId="9" r:id="rId9"/>
  </sheets>
  <calcPr calcId="145621"/>
</workbook>
</file>

<file path=xl/calcChain.xml><?xml version="1.0" encoding="utf-8"?>
<calcChain xmlns="http://schemas.openxmlformats.org/spreadsheetml/2006/main">
  <c r="S14" i="9" l="1"/>
  <c r="S64" i="9"/>
  <c r="R51" i="9"/>
  <c r="A71" i="9"/>
  <c r="E12" i="9"/>
  <c r="R67" i="9"/>
  <c r="A62" i="9"/>
  <c r="A54" i="9"/>
  <c r="B67" i="9"/>
  <c r="B69" i="9" s="1"/>
  <c r="B65" i="9"/>
  <c r="B64" i="9"/>
  <c r="B70" i="9" s="1"/>
  <c r="B40" i="9"/>
  <c r="B38" i="9"/>
  <c r="B37" i="9"/>
  <c r="C65" i="9"/>
  <c r="D65" i="9" s="1"/>
  <c r="C60" i="9"/>
  <c r="D58" i="9"/>
  <c r="E58" i="9" s="1"/>
  <c r="F58" i="9" s="1"/>
  <c r="G58" i="9" s="1"/>
  <c r="H58" i="9" s="1"/>
  <c r="I58" i="9" s="1"/>
  <c r="J58" i="9" s="1"/>
  <c r="K58" i="9" s="1"/>
  <c r="L58" i="9" s="1"/>
  <c r="M58" i="9" s="1"/>
  <c r="N58" i="9" s="1"/>
  <c r="O58" i="9" s="1"/>
  <c r="P58" i="9" s="1"/>
  <c r="Q58" i="9" s="1"/>
  <c r="C58" i="9"/>
  <c r="B55" i="9"/>
  <c r="B63" i="9" s="1"/>
  <c r="D51" i="9"/>
  <c r="C50" i="9"/>
  <c r="C46" i="9"/>
  <c r="D46" i="9" s="1"/>
  <c r="D55" i="9" s="1"/>
  <c r="D63" i="9" s="1"/>
  <c r="A45" i="9"/>
  <c r="R15" i="9"/>
  <c r="Q15" i="9"/>
  <c r="P15" i="9"/>
  <c r="O15" i="9"/>
  <c r="N15" i="9"/>
  <c r="M15" i="9"/>
  <c r="L15" i="9"/>
  <c r="K15" i="9"/>
  <c r="J15" i="9"/>
  <c r="I15" i="9"/>
  <c r="H15" i="9"/>
  <c r="G15" i="9"/>
  <c r="F15" i="9"/>
  <c r="E15" i="9"/>
  <c r="F11" i="9"/>
  <c r="G11" i="9" s="1"/>
  <c r="H11" i="9" s="1"/>
  <c r="I11" i="9" s="1"/>
  <c r="J11" i="9" s="1"/>
  <c r="K11" i="9" s="1"/>
  <c r="L11" i="9" s="1"/>
  <c r="M11" i="9" s="1"/>
  <c r="N11" i="9" s="1"/>
  <c r="O11" i="9" s="1"/>
  <c r="P11" i="9" s="1"/>
  <c r="Q11" i="9" s="1"/>
  <c r="R11" i="9" s="1"/>
  <c r="S11" i="9" s="1"/>
  <c r="E11" i="9"/>
  <c r="R40" i="9"/>
  <c r="E8" i="9"/>
  <c r="E4" i="9"/>
  <c r="E5" i="9"/>
  <c r="E6" i="9"/>
  <c r="F4" i="9"/>
  <c r="G4" i="9" s="1"/>
  <c r="H4" i="9" s="1"/>
  <c r="I4" i="9" s="1"/>
  <c r="J4" i="9" s="1"/>
  <c r="K4" i="9" s="1"/>
  <c r="L4" i="9" s="1"/>
  <c r="M4" i="9" s="1"/>
  <c r="N4" i="9" s="1"/>
  <c r="O4" i="9" s="1"/>
  <c r="P4" i="9" s="1"/>
  <c r="Q4" i="9" s="1"/>
  <c r="R4" i="9" s="1"/>
  <c r="S4" i="9" s="1"/>
  <c r="A44" i="9"/>
  <c r="C33" i="9"/>
  <c r="B28" i="9"/>
  <c r="B36" i="9" s="1"/>
  <c r="B42" i="9"/>
  <c r="C22" i="9"/>
  <c r="D22" i="9" s="1"/>
  <c r="E22" i="9" s="1"/>
  <c r="F22" i="9" s="1"/>
  <c r="G22" i="9" s="1"/>
  <c r="H22" i="9" s="1"/>
  <c r="I22" i="9" s="1"/>
  <c r="J22" i="9" s="1"/>
  <c r="K22" i="9" s="1"/>
  <c r="L22" i="9" s="1"/>
  <c r="M22" i="9" s="1"/>
  <c r="N22" i="9" s="1"/>
  <c r="O22" i="9" s="1"/>
  <c r="P22" i="9" s="1"/>
  <c r="Q22" i="9" s="1"/>
  <c r="C19" i="9"/>
  <c r="D19" i="9" s="1"/>
  <c r="E19" i="9" s="1"/>
  <c r="F19" i="9" s="1"/>
  <c r="G19" i="9" s="1"/>
  <c r="H19" i="9" s="1"/>
  <c r="I19" i="9" s="1"/>
  <c r="J19" i="9" s="1"/>
  <c r="K19" i="9" s="1"/>
  <c r="L19" i="9" s="1"/>
  <c r="M19" i="9" s="1"/>
  <c r="N19" i="9" s="1"/>
  <c r="O19" i="9" s="1"/>
  <c r="P19" i="9" s="1"/>
  <c r="Q19" i="9" s="1"/>
  <c r="Q28" i="9" s="1"/>
  <c r="Q36" i="9" s="1"/>
  <c r="C20" i="9"/>
  <c r="C21" i="9" s="1"/>
  <c r="B6" i="9"/>
  <c r="B7" i="9" s="1"/>
  <c r="C24" i="9" s="1"/>
  <c r="A1" i="9"/>
  <c r="A3" i="9" s="1"/>
  <c r="B30" i="3"/>
  <c r="C22" i="3"/>
  <c r="C30" i="3" s="1"/>
  <c r="E25" i="3"/>
  <c r="C23" i="3"/>
  <c r="C31" i="3" s="1"/>
  <c r="D25" i="3"/>
  <c r="B22" i="3"/>
  <c r="C29" i="3"/>
  <c r="B29" i="3"/>
  <c r="P36" i="8"/>
  <c r="M11" i="8"/>
  <c r="C49" i="8"/>
  <c r="B46" i="8"/>
  <c r="B47" i="8" s="1"/>
  <c r="B50" i="8" s="1"/>
  <c r="D45" i="8"/>
  <c r="D44" i="8"/>
  <c r="D46" i="8" s="1"/>
  <c r="D47" i="8" s="1"/>
  <c r="D50" i="8" s="1"/>
  <c r="C43" i="8"/>
  <c r="C42" i="8"/>
  <c r="C46" i="8" s="1"/>
  <c r="C47" i="8" s="1"/>
  <c r="B41" i="8"/>
  <c r="B37" i="8"/>
  <c r="C32" i="8"/>
  <c r="D32" i="8" s="1"/>
  <c r="E32" i="8" s="1"/>
  <c r="F32" i="8" s="1"/>
  <c r="G32" i="8" s="1"/>
  <c r="H32" i="8" s="1"/>
  <c r="I32" i="8" s="1"/>
  <c r="J32" i="8" s="1"/>
  <c r="K32" i="8" s="1"/>
  <c r="L32" i="8" s="1"/>
  <c r="M32" i="8" s="1"/>
  <c r="N32" i="8" s="1"/>
  <c r="O32" i="8" s="1"/>
  <c r="P32" i="8" s="1"/>
  <c r="B29" i="8"/>
  <c r="P28" i="8"/>
  <c r="B25" i="8"/>
  <c r="C24" i="8"/>
  <c r="D24" i="8" s="1"/>
  <c r="E24" i="8" s="1"/>
  <c r="F24" i="8" s="1"/>
  <c r="G24" i="8" s="1"/>
  <c r="H24" i="8" s="1"/>
  <c r="I24" i="8" s="1"/>
  <c r="J24" i="8" s="1"/>
  <c r="K24" i="8" s="1"/>
  <c r="L24" i="8" s="1"/>
  <c r="M24" i="8" s="1"/>
  <c r="N24" i="8" s="1"/>
  <c r="O24" i="8" s="1"/>
  <c r="P24" i="8" s="1"/>
  <c r="B21" i="8"/>
  <c r="P20" i="8"/>
  <c r="F16" i="8"/>
  <c r="G16" i="8" s="1"/>
  <c r="H16" i="8" s="1"/>
  <c r="I16" i="8" s="1"/>
  <c r="J16" i="8" s="1"/>
  <c r="K16" i="8" s="1"/>
  <c r="L16" i="8" s="1"/>
  <c r="M16" i="8" s="1"/>
  <c r="N16" i="8" s="1"/>
  <c r="O16" i="8" s="1"/>
  <c r="P16" i="8" s="1"/>
  <c r="D16" i="8"/>
  <c r="E16" i="8" s="1"/>
  <c r="C16" i="8"/>
  <c r="C13" i="8"/>
  <c r="M12" i="8"/>
  <c r="C12" i="8"/>
  <c r="P11" i="8"/>
  <c r="P10" i="8"/>
  <c r="J10" i="8"/>
  <c r="M10" i="8" s="1"/>
  <c r="C10" i="8"/>
  <c r="C11" i="8" s="1"/>
  <c r="C14" i="8" s="1"/>
  <c r="C26" i="8" s="1"/>
  <c r="M9" i="8"/>
  <c r="D8" i="8" s="1"/>
  <c r="M8" i="8"/>
  <c r="D9" i="8" s="1"/>
  <c r="C7" i="8"/>
  <c r="J6" i="8"/>
  <c r="C6" i="8"/>
  <c r="B5" i="8"/>
  <c r="B10" i="8" s="1"/>
  <c r="B11" i="8" s="1"/>
  <c r="B14" i="8" s="1"/>
  <c r="C18" i="8" s="1"/>
  <c r="C21" i="8" s="1"/>
  <c r="A3" i="8"/>
  <c r="A1" i="8"/>
  <c r="E7" i="3"/>
  <c r="E8" i="3" s="1"/>
  <c r="E13" i="3"/>
  <c r="E16" i="3"/>
  <c r="E17" i="3"/>
  <c r="E19" i="3" s="1"/>
  <c r="D16" i="3"/>
  <c r="D17" i="3"/>
  <c r="D19" i="3"/>
  <c r="C16" i="3"/>
  <c r="C17" i="3"/>
  <c r="C19" i="3" s="1"/>
  <c r="C18" i="3"/>
  <c r="C24" i="3" s="1"/>
  <c r="B17" i="3"/>
  <c r="B23" i="3" s="1"/>
  <c r="B18" i="3"/>
  <c r="B24" i="3" s="1"/>
  <c r="B32" i="3" s="1"/>
  <c r="B16" i="3"/>
  <c r="C13" i="3"/>
  <c r="D13" i="3"/>
  <c r="B13" i="3"/>
  <c r="C8" i="3"/>
  <c r="B8" i="3"/>
  <c r="C7" i="3"/>
  <c r="D7" i="3"/>
  <c r="D8" i="3" s="1"/>
  <c r="B7" i="3"/>
  <c r="A1" i="3"/>
  <c r="A3" i="3" s="1"/>
  <c r="C67" i="9" l="1"/>
  <c r="C55" i="9"/>
  <c r="C63" i="9" s="1"/>
  <c r="E46" i="9"/>
  <c r="D50" i="9"/>
  <c r="E65" i="9"/>
  <c r="E51" i="9"/>
  <c r="D67" i="9"/>
  <c r="C51" i="9"/>
  <c r="C53" i="9" s="1"/>
  <c r="A18" i="9"/>
  <c r="O28" i="9"/>
  <c r="O36" i="9" s="1"/>
  <c r="M28" i="9"/>
  <c r="M36" i="9" s="1"/>
  <c r="K28" i="9"/>
  <c r="K36" i="9" s="1"/>
  <c r="I28" i="9"/>
  <c r="I36" i="9" s="1"/>
  <c r="G28" i="9"/>
  <c r="G36" i="9" s="1"/>
  <c r="E28" i="9"/>
  <c r="E36" i="9" s="1"/>
  <c r="C28" i="9"/>
  <c r="C36" i="9" s="1"/>
  <c r="C31" i="9"/>
  <c r="D31" i="9" s="1"/>
  <c r="E31" i="9" s="1"/>
  <c r="F31" i="9" s="1"/>
  <c r="G31" i="9" s="1"/>
  <c r="H31" i="9" s="1"/>
  <c r="I31" i="9" s="1"/>
  <c r="J31" i="9" s="1"/>
  <c r="K31" i="9" s="1"/>
  <c r="L31" i="9" s="1"/>
  <c r="M31" i="9" s="1"/>
  <c r="N31" i="9" s="1"/>
  <c r="O31" i="9" s="1"/>
  <c r="P31" i="9" s="1"/>
  <c r="Q31" i="9" s="1"/>
  <c r="A27" i="9"/>
  <c r="A35" i="9"/>
  <c r="P28" i="9"/>
  <c r="P36" i="9" s="1"/>
  <c r="N28" i="9"/>
  <c r="N36" i="9" s="1"/>
  <c r="L28" i="9"/>
  <c r="L36" i="9" s="1"/>
  <c r="J28" i="9"/>
  <c r="J36" i="9" s="1"/>
  <c r="H28" i="9"/>
  <c r="H36" i="9" s="1"/>
  <c r="F28" i="9"/>
  <c r="F36" i="9" s="1"/>
  <c r="D28" i="9"/>
  <c r="D36" i="9" s="1"/>
  <c r="C40" i="9"/>
  <c r="D40" i="9" s="1"/>
  <c r="E40" i="9" s="1"/>
  <c r="F40" i="9" s="1"/>
  <c r="D20" i="9"/>
  <c r="C38" i="9"/>
  <c r="C23" i="9"/>
  <c r="C25" i="9" s="1"/>
  <c r="B43" i="9"/>
  <c r="B31" i="3"/>
  <c r="B33" i="3" s="1"/>
  <c r="B25" i="3"/>
  <c r="C32" i="3"/>
  <c r="C33" i="3" s="1"/>
  <c r="C25" i="3"/>
  <c r="B19" i="3"/>
  <c r="C29" i="8"/>
  <c r="D26" i="8"/>
  <c r="D18" i="8"/>
  <c r="D10" i="8"/>
  <c r="D11" i="8" s="1"/>
  <c r="D14" i="8" s="1"/>
  <c r="C34" i="8" s="1"/>
  <c r="C48" i="8"/>
  <c r="C50" i="8" s="1"/>
  <c r="P11" i="2"/>
  <c r="P10" i="2"/>
  <c r="C13" i="2"/>
  <c r="C56" i="9" l="1"/>
  <c r="C61" i="9" s="1"/>
  <c r="C64" i="9"/>
  <c r="E67" i="9"/>
  <c r="E50" i="9"/>
  <c r="D53" i="9"/>
  <c r="D56" i="9" s="1"/>
  <c r="F65" i="9"/>
  <c r="F51" i="9"/>
  <c r="F46" i="9"/>
  <c r="E55" i="9"/>
  <c r="E63" i="9" s="1"/>
  <c r="D21" i="9"/>
  <c r="D23" i="9" s="1"/>
  <c r="E20" i="9"/>
  <c r="G40" i="9"/>
  <c r="D38" i="9"/>
  <c r="D24" i="9"/>
  <c r="D25" i="9" s="1"/>
  <c r="C26" i="9"/>
  <c r="C37" i="9" s="1"/>
  <c r="D34" i="8"/>
  <c r="C37" i="8"/>
  <c r="E26" i="8"/>
  <c r="D29" i="8"/>
  <c r="E18" i="8"/>
  <c r="D21" i="8"/>
  <c r="P20" i="2"/>
  <c r="P36" i="2"/>
  <c r="P28" i="2"/>
  <c r="E53" i="9" l="1"/>
  <c r="E56" i="9" s="1"/>
  <c r="F67" i="9"/>
  <c r="D60" i="9"/>
  <c r="D57" i="9"/>
  <c r="C68" i="9"/>
  <c r="C69" i="9" s="1"/>
  <c r="F55" i="9"/>
  <c r="F63" i="9" s="1"/>
  <c r="G46" i="9"/>
  <c r="G65" i="9"/>
  <c r="G51" i="9"/>
  <c r="D64" i="9"/>
  <c r="C70" i="9"/>
  <c r="F50" i="9"/>
  <c r="C29" i="9"/>
  <c r="C34" i="9" s="1"/>
  <c r="D26" i="9"/>
  <c r="D29" i="9" s="1"/>
  <c r="F20" i="9"/>
  <c r="E21" i="9"/>
  <c r="E23" i="9" s="1"/>
  <c r="H40" i="9"/>
  <c r="E38" i="9"/>
  <c r="E24" i="9"/>
  <c r="E25" i="9" s="1"/>
  <c r="E21" i="8"/>
  <c r="F18" i="8"/>
  <c r="E29" i="8"/>
  <c r="F26" i="8"/>
  <c r="D37" i="8"/>
  <c r="E34" i="8"/>
  <c r="M12" i="2"/>
  <c r="C49" i="2"/>
  <c r="D45" i="2"/>
  <c r="D44" i="2"/>
  <c r="C43" i="2"/>
  <c r="C42" i="2"/>
  <c r="C48" i="2" s="1"/>
  <c r="B41" i="2"/>
  <c r="B46" i="2" s="1"/>
  <c r="B47" i="2" s="1"/>
  <c r="B50" i="2" s="1"/>
  <c r="M8" i="2"/>
  <c r="M9" i="2"/>
  <c r="D61" i="9" l="1"/>
  <c r="E60" i="9" s="1"/>
  <c r="D33" i="9"/>
  <c r="D30" i="9"/>
  <c r="F53" i="9"/>
  <c r="F56" i="9" s="1"/>
  <c r="D68" i="9"/>
  <c r="D69" i="9" s="1"/>
  <c r="D70" i="9" s="1"/>
  <c r="E57" i="9"/>
  <c r="H46" i="9"/>
  <c r="G55" i="9"/>
  <c r="G63" i="9" s="1"/>
  <c r="G50" i="9"/>
  <c r="E64" i="9"/>
  <c r="H65" i="9"/>
  <c r="H51" i="9"/>
  <c r="G67" i="9"/>
  <c r="C41" i="9"/>
  <c r="C42" i="9" s="1"/>
  <c r="C43" i="9" s="1"/>
  <c r="E26" i="9"/>
  <c r="E29" i="9" s="1"/>
  <c r="F21" i="9"/>
  <c r="F23" i="9" s="1"/>
  <c r="G20" i="9"/>
  <c r="I40" i="9"/>
  <c r="F38" i="9"/>
  <c r="F24" i="9"/>
  <c r="F25" i="9" s="1"/>
  <c r="F34" i="8"/>
  <c r="E37" i="8"/>
  <c r="G26" i="8"/>
  <c r="F29" i="8"/>
  <c r="G18" i="8"/>
  <c r="F21" i="8"/>
  <c r="D46" i="2"/>
  <c r="D47" i="2" s="1"/>
  <c r="D50" i="2" s="1"/>
  <c r="C46" i="2"/>
  <c r="C47" i="2" s="1"/>
  <c r="C50" i="2" s="1"/>
  <c r="M11" i="2"/>
  <c r="B37" i="2"/>
  <c r="D32" i="2"/>
  <c r="E32" i="2" s="1"/>
  <c r="F32" i="2" s="1"/>
  <c r="G32" i="2" s="1"/>
  <c r="H32" i="2" s="1"/>
  <c r="I32" i="2" s="1"/>
  <c r="J32" i="2" s="1"/>
  <c r="K32" i="2" s="1"/>
  <c r="L32" i="2" s="1"/>
  <c r="M32" i="2" s="1"/>
  <c r="N32" i="2" s="1"/>
  <c r="O32" i="2" s="1"/>
  <c r="P32" i="2" s="1"/>
  <c r="C32" i="2"/>
  <c r="C18" i="2"/>
  <c r="C21" i="2" s="1"/>
  <c r="C24" i="2"/>
  <c r="D24" i="2" s="1"/>
  <c r="E24" i="2" s="1"/>
  <c r="F24" i="2" s="1"/>
  <c r="G24" i="2" s="1"/>
  <c r="H24" i="2" s="1"/>
  <c r="I24" i="2" s="1"/>
  <c r="J24" i="2" s="1"/>
  <c r="K24" i="2" s="1"/>
  <c r="L24" i="2" s="1"/>
  <c r="M24" i="2" s="1"/>
  <c r="N24" i="2" s="1"/>
  <c r="O24" i="2" s="1"/>
  <c r="P24" i="2" s="1"/>
  <c r="B21" i="2"/>
  <c r="C16" i="2"/>
  <c r="D16" i="2" s="1"/>
  <c r="E16" i="2" s="1"/>
  <c r="F16" i="2" s="1"/>
  <c r="G16" i="2" s="1"/>
  <c r="H16" i="2" s="1"/>
  <c r="I16" i="2" s="1"/>
  <c r="J16" i="2" s="1"/>
  <c r="K16" i="2" s="1"/>
  <c r="L16" i="2" s="1"/>
  <c r="M16" i="2" s="1"/>
  <c r="N16" i="2" s="1"/>
  <c r="O16" i="2" s="1"/>
  <c r="P16" i="2" s="1"/>
  <c r="D9" i="2"/>
  <c r="J10" i="2"/>
  <c r="M10" i="2" s="1"/>
  <c r="D8" i="2"/>
  <c r="J6" i="2"/>
  <c r="C7" i="2" s="1"/>
  <c r="B5" i="2"/>
  <c r="B10" i="2" s="1"/>
  <c r="B11" i="2" s="1"/>
  <c r="B14" i="2" s="1"/>
  <c r="C6" i="2"/>
  <c r="C12" i="2" s="1"/>
  <c r="A1" i="2"/>
  <c r="A3" i="2" s="1"/>
  <c r="D34" i="9" l="1"/>
  <c r="E33" i="9" s="1"/>
  <c r="E34" i="9" s="1"/>
  <c r="F33" i="9" s="1"/>
  <c r="E30" i="9"/>
  <c r="G6" i="9" s="1"/>
  <c r="G8" i="9" s="1"/>
  <c r="F6" i="9"/>
  <c r="F8" i="9" s="1"/>
  <c r="D37" i="9"/>
  <c r="E37" i="9" s="1"/>
  <c r="E61" i="9"/>
  <c r="F60" i="9" s="1"/>
  <c r="G53" i="9"/>
  <c r="G56" i="9" s="1"/>
  <c r="F57" i="9"/>
  <c r="F64" i="9" s="1"/>
  <c r="H67" i="9"/>
  <c r="I65" i="9"/>
  <c r="I51" i="9"/>
  <c r="H50" i="9"/>
  <c r="H55" i="9"/>
  <c r="H63" i="9" s="1"/>
  <c r="I46" i="9"/>
  <c r="D41" i="9"/>
  <c r="D42" i="9" s="1"/>
  <c r="D43" i="9" s="1"/>
  <c r="F26" i="9"/>
  <c r="F29" i="9" s="1"/>
  <c r="G21" i="9"/>
  <c r="H20" i="9"/>
  <c r="G23" i="9"/>
  <c r="J40" i="9"/>
  <c r="G38" i="9"/>
  <c r="G24" i="9"/>
  <c r="G21" i="8"/>
  <c r="H18" i="8"/>
  <c r="G29" i="8"/>
  <c r="H26" i="8"/>
  <c r="F37" i="8"/>
  <c r="G34" i="8"/>
  <c r="B25" i="2"/>
  <c r="B29" i="2" s="1"/>
  <c r="C10" i="2"/>
  <c r="C11" i="2" s="1"/>
  <c r="C14" i="2" s="1"/>
  <c r="C26" i="2" s="1"/>
  <c r="D18" i="2"/>
  <c r="E18" i="2" s="1"/>
  <c r="D10" i="2"/>
  <c r="D11" i="2" s="1"/>
  <c r="D14" i="2" s="1"/>
  <c r="C34" i="2" s="1"/>
  <c r="D34" i="2" s="1"/>
  <c r="E34" i="2" s="1"/>
  <c r="D21" i="2"/>
  <c r="E21" i="2"/>
  <c r="F18" i="2"/>
  <c r="G24" i="4"/>
  <c r="H24" i="5"/>
  <c r="Y5" i="7"/>
  <c r="X5" i="7"/>
  <c r="B17" i="7"/>
  <c r="X21" i="7"/>
  <c r="B15" i="7"/>
  <c r="C15" i="6"/>
  <c r="B15" i="6"/>
  <c r="G25" i="9" l="1"/>
  <c r="E68" i="9"/>
  <c r="E69" i="9" s="1"/>
  <c r="E70" i="9" s="1"/>
  <c r="F61" i="9"/>
  <c r="G60" i="9" s="1"/>
  <c r="J46" i="9"/>
  <c r="I55" i="9"/>
  <c r="I63" i="9" s="1"/>
  <c r="H53" i="9"/>
  <c r="H56" i="9" s="1"/>
  <c r="J65" i="9"/>
  <c r="J51" i="9"/>
  <c r="I67" i="9"/>
  <c r="I50" i="9"/>
  <c r="F68" i="9"/>
  <c r="F69" i="9" s="1"/>
  <c r="F70" i="9" s="1"/>
  <c r="G57" i="9"/>
  <c r="E41" i="9"/>
  <c r="E42" i="9" s="1"/>
  <c r="E43" i="9" s="1"/>
  <c r="F30" i="9"/>
  <c r="H6" i="9" s="1"/>
  <c r="H8" i="9" s="1"/>
  <c r="G26" i="9"/>
  <c r="G29" i="9" s="1"/>
  <c r="H21" i="9"/>
  <c r="H23" i="9" s="1"/>
  <c r="I20" i="9"/>
  <c r="K40" i="9"/>
  <c r="H24" i="9"/>
  <c r="H25" i="9" s="1"/>
  <c r="H38" i="9"/>
  <c r="H34" i="8"/>
  <c r="G37" i="8"/>
  <c r="I26" i="8"/>
  <c r="H29" i="8"/>
  <c r="I18" i="8"/>
  <c r="H21" i="8"/>
  <c r="C37" i="2"/>
  <c r="D37" i="2"/>
  <c r="F34" i="2"/>
  <c r="E37" i="2"/>
  <c r="G18" i="2"/>
  <c r="F21" i="2"/>
  <c r="V34" i="4"/>
  <c r="W29" i="4"/>
  <c r="W30" i="4" s="1"/>
  <c r="W35" i="4" s="1"/>
  <c r="C113" i="7"/>
  <c r="B102" i="7"/>
  <c r="B92" i="7"/>
  <c r="Q88" i="7"/>
  <c r="Q98" i="7" s="1"/>
  <c r="Q109" i="7" s="1"/>
  <c r="P88" i="7"/>
  <c r="P98" i="7" s="1"/>
  <c r="P109" i="7" s="1"/>
  <c r="O88" i="7"/>
  <c r="O98" i="7" s="1"/>
  <c r="O109" i="7" s="1"/>
  <c r="N88" i="7"/>
  <c r="N98" i="7" s="1"/>
  <c r="N109" i="7" s="1"/>
  <c r="M88" i="7"/>
  <c r="M98" i="7" s="1"/>
  <c r="M109" i="7" s="1"/>
  <c r="L88" i="7"/>
  <c r="L98" i="7" s="1"/>
  <c r="L109" i="7" s="1"/>
  <c r="K88" i="7"/>
  <c r="K98" i="7" s="1"/>
  <c r="K109" i="7" s="1"/>
  <c r="J88" i="7"/>
  <c r="J98" i="7" s="1"/>
  <c r="J109" i="7" s="1"/>
  <c r="I88" i="7"/>
  <c r="I98" i="7" s="1"/>
  <c r="I109" i="7" s="1"/>
  <c r="H88" i="7"/>
  <c r="H98" i="7" s="1"/>
  <c r="H109" i="7" s="1"/>
  <c r="G88" i="7"/>
  <c r="G98" i="7" s="1"/>
  <c r="G109" i="7" s="1"/>
  <c r="F88" i="7"/>
  <c r="F98" i="7" s="1"/>
  <c r="F109" i="7" s="1"/>
  <c r="E88" i="7"/>
  <c r="E98" i="7" s="1"/>
  <c r="E109" i="7" s="1"/>
  <c r="D88" i="7"/>
  <c r="D98" i="7" s="1"/>
  <c r="D109" i="7" s="1"/>
  <c r="C88" i="7"/>
  <c r="C98" i="7" s="1"/>
  <c r="C109" i="7" s="1"/>
  <c r="B85" i="7"/>
  <c r="B83" i="7"/>
  <c r="D81" i="7"/>
  <c r="E81" i="7" s="1"/>
  <c r="F81" i="7" s="1"/>
  <c r="G81" i="7" s="1"/>
  <c r="H81" i="7" s="1"/>
  <c r="I81" i="7" s="1"/>
  <c r="J81" i="7" s="1"/>
  <c r="K81" i="7" s="1"/>
  <c r="L81" i="7" s="1"/>
  <c r="M81" i="7" s="1"/>
  <c r="N81" i="7" s="1"/>
  <c r="O81" i="7" s="1"/>
  <c r="P81" i="7" s="1"/>
  <c r="Q81" i="7" s="1"/>
  <c r="C81" i="7"/>
  <c r="C78" i="7"/>
  <c r="D78" i="7" s="1"/>
  <c r="E78" i="7" s="1"/>
  <c r="F78" i="7" s="1"/>
  <c r="G78" i="7" s="1"/>
  <c r="H78" i="7" s="1"/>
  <c r="I78" i="7" s="1"/>
  <c r="J78" i="7" s="1"/>
  <c r="K78" i="7" s="1"/>
  <c r="L78" i="7" s="1"/>
  <c r="M78" i="7" s="1"/>
  <c r="N78" i="7" s="1"/>
  <c r="O78" i="7" s="1"/>
  <c r="P78" i="7" s="1"/>
  <c r="Q78" i="7" s="1"/>
  <c r="C74" i="7"/>
  <c r="D73" i="7"/>
  <c r="D74" i="7" s="1"/>
  <c r="C73" i="7"/>
  <c r="C69" i="7"/>
  <c r="Q44" i="7"/>
  <c r="Q54" i="7" s="1"/>
  <c r="Q65" i="7" s="1"/>
  <c r="P44" i="7"/>
  <c r="P54" i="7" s="1"/>
  <c r="P65" i="7" s="1"/>
  <c r="O44" i="7"/>
  <c r="O54" i="7" s="1"/>
  <c r="O65" i="7" s="1"/>
  <c r="N44" i="7"/>
  <c r="N54" i="7" s="1"/>
  <c r="N65" i="7" s="1"/>
  <c r="M44" i="7"/>
  <c r="M54" i="7" s="1"/>
  <c r="M65" i="7" s="1"/>
  <c r="L44" i="7"/>
  <c r="L54" i="7" s="1"/>
  <c r="L65" i="7" s="1"/>
  <c r="K44" i="7"/>
  <c r="K54" i="7" s="1"/>
  <c r="K65" i="7" s="1"/>
  <c r="J44" i="7"/>
  <c r="J54" i="7" s="1"/>
  <c r="J65" i="7" s="1"/>
  <c r="I44" i="7"/>
  <c r="I54" i="7" s="1"/>
  <c r="I65" i="7" s="1"/>
  <c r="H44" i="7"/>
  <c r="H54" i="7" s="1"/>
  <c r="H65" i="7" s="1"/>
  <c r="G44" i="7"/>
  <c r="G54" i="7" s="1"/>
  <c r="G65" i="7" s="1"/>
  <c r="F44" i="7"/>
  <c r="F54" i="7" s="1"/>
  <c r="F65" i="7" s="1"/>
  <c r="E44" i="7"/>
  <c r="E54" i="7" s="1"/>
  <c r="E65" i="7" s="1"/>
  <c r="D44" i="7"/>
  <c r="D54" i="7" s="1"/>
  <c r="D65" i="7" s="1"/>
  <c r="C44" i="7"/>
  <c r="C54" i="7" s="1"/>
  <c r="C65" i="7" s="1"/>
  <c r="B41" i="7"/>
  <c r="B39" i="7"/>
  <c r="D34" i="7"/>
  <c r="E34" i="7" s="1"/>
  <c r="F34" i="7" s="1"/>
  <c r="G34" i="7" s="1"/>
  <c r="H34" i="7" s="1"/>
  <c r="I34" i="7" s="1"/>
  <c r="J34" i="7" s="1"/>
  <c r="K34" i="7" s="1"/>
  <c r="L34" i="7" s="1"/>
  <c r="M34" i="7" s="1"/>
  <c r="N34" i="7" s="1"/>
  <c r="O34" i="7" s="1"/>
  <c r="P34" i="7" s="1"/>
  <c r="Q34" i="7" s="1"/>
  <c r="C34" i="7"/>
  <c r="F32" i="7"/>
  <c r="G32" i="7" s="1"/>
  <c r="H32" i="7" s="1"/>
  <c r="I32" i="7" s="1"/>
  <c r="J32" i="7" s="1"/>
  <c r="K32" i="7" s="1"/>
  <c r="L32" i="7" s="1"/>
  <c r="M32" i="7" s="1"/>
  <c r="N32" i="7" s="1"/>
  <c r="O32" i="7" s="1"/>
  <c r="P32" i="7" s="1"/>
  <c r="Q32" i="7" s="1"/>
  <c r="D32" i="7"/>
  <c r="E32" i="7" s="1"/>
  <c r="C32" i="7"/>
  <c r="C31" i="7"/>
  <c r="D31" i="7" s="1"/>
  <c r="E31" i="7" s="1"/>
  <c r="F31" i="7" s="1"/>
  <c r="G31" i="7" s="1"/>
  <c r="H31" i="7" s="1"/>
  <c r="I31" i="7" s="1"/>
  <c r="J31" i="7" s="1"/>
  <c r="K31" i="7" s="1"/>
  <c r="L31" i="7" s="1"/>
  <c r="M31" i="7" s="1"/>
  <c r="N31" i="7" s="1"/>
  <c r="O31" i="7" s="1"/>
  <c r="P31" i="7" s="1"/>
  <c r="Q31" i="7" s="1"/>
  <c r="C29" i="7"/>
  <c r="J24" i="7"/>
  <c r="L23" i="7"/>
  <c r="L26" i="7" s="1"/>
  <c r="J23" i="7"/>
  <c r="G13" i="7"/>
  <c r="G18" i="7" s="1"/>
  <c r="B13" i="7"/>
  <c r="C37" i="7" s="1"/>
  <c r="D37" i="7" s="1"/>
  <c r="E37" i="7" s="1"/>
  <c r="F37" i="7" s="1"/>
  <c r="G37" i="7" s="1"/>
  <c r="H37" i="7" s="1"/>
  <c r="I37" i="7" s="1"/>
  <c r="J37" i="7" s="1"/>
  <c r="K37" i="7" s="1"/>
  <c r="L37" i="7" s="1"/>
  <c r="M37" i="7" s="1"/>
  <c r="N37" i="7" s="1"/>
  <c r="O37" i="7" s="1"/>
  <c r="P37" i="7" s="1"/>
  <c r="Q37" i="7" s="1"/>
  <c r="L11" i="7"/>
  <c r="L14" i="7" s="1"/>
  <c r="H10" i="7"/>
  <c r="H9" i="7"/>
  <c r="B94" i="7" s="1"/>
  <c r="B104" i="7" s="1"/>
  <c r="C104" i="7" s="1"/>
  <c r="D104" i="7" s="1"/>
  <c r="E104" i="7" s="1"/>
  <c r="F104" i="7" s="1"/>
  <c r="G104" i="7" s="1"/>
  <c r="H104" i="7" s="1"/>
  <c r="I104" i="7" s="1"/>
  <c r="J104" i="7" s="1"/>
  <c r="K104" i="7" s="1"/>
  <c r="L104" i="7" s="1"/>
  <c r="M104" i="7" s="1"/>
  <c r="N104" i="7" s="1"/>
  <c r="O104" i="7" s="1"/>
  <c r="P104" i="7" s="1"/>
  <c r="Q104" i="7" s="1"/>
  <c r="G9" i="7"/>
  <c r="B50" i="7" s="1"/>
  <c r="B60" i="7" s="1"/>
  <c r="C60" i="7" s="1"/>
  <c r="D60" i="7" s="1"/>
  <c r="E60" i="7" s="1"/>
  <c r="F60" i="7" s="1"/>
  <c r="G60" i="7" s="1"/>
  <c r="H60" i="7" s="1"/>
  <c r="I60" i="7" s="1"/>
  <c r="J60" i="7" s="1"/>
  <c r="K60" i="7" s="1"/>
  <c r="L60" i="7" s="1"/>
  <c r="M60" i="7" s="1"/>
  <c r="N60" i="7" s="1"/>
  <c r="O60" i="7" s="1"/>
  <c r="P60" i="7" s="1"/>
  <c r="Q60" i="7" s="1"/>
  <c r="B9" i="7"/>
  <c r="C33" i="7" s="1"/>
  <c r="D33" i="7" s="1"/>
  <c r="E33" i="7" s="1"/>
  <c r="F33" i="7" s="1"/>
  <c r="G33" i="7" s="1"/>
  <c r="H33" i="7" s="1"/>
  <c r="I33" i="7" s="1"/>
  <c r="J33" i="7" s="1"/>
  <c r="K33" i="7" s="1"/>
  <c r="L33" i="7" s="1"/>
  <c r="M33" i="7" s="1"/>
  <c r="N33" i="7" s="1"/>
  <c r="O33" i="7" s="1"/>
  <c r="P33" i="7" s="1"/>
  <c r="Q33" i="7" s="1"/>
  <c r="G8" i="7"/>
  <c r="B49" i="7" s="1"/>
  <c r="B59" i="7" s="1"/>
  <c r="C59" i="7" s="1"/>
  <c r="D59" i="7" s="1"/>
  <c r="E59" i="7" s="1"/>
  <c r="F59" i="7" s="1"/>
  <c r="G59" i="7" s="1"/>
  <c r="H59" i="7" s="1"/>
  <c r="I59" i="7" s="1"/>
  <c r="J59" i="7" s="1"/>
  <c r="K59" i="7" s="1"/>
  <c r="L59" i="7" s="1"/>
  <c r="M59" i="7" s="1"/>
  <c r="N59" i="7" s="1"/>
  <c r="O59" i="7" s="1"/>
  <c r="P59" i="7" s="1"/>
  <c r="Q59" i="7" s="1"/>
  <c r="C8" i="7"/>
  <c r="C76" i="7" s="1"/>
  <c r="G7" i="7"/>
  <c r="B48" i="7" s="1"/>
  <c r="B58" i="7" s="1"/>
  <c r="Y6" i="7"/>
  <c r="X6" i="7"/>
  <c r="C6" i="7"/>
  <c r="B6" i="7"/>
  <c r="B11" i="7" s="1"/>
  <c r="H4" i="7"/>
  <c r="H13" i="7" s="1"/>
  <c r="H18" i="7" s="1"/>
  <c r="G4" i="7"/>
  <c r="A3" i="7"/>
  <c r="A1" i="7"/>
  <c r="G61" i="9" l="1"/>
  <c r="H60" i="9" s="1"/>
  <c r="F34" i="9"/>
  <c r="G30" i="9" s="1"/>
  <c r="I6" i="9" s="1"/>
  <c r="I8" i="9" s="1"/>
  <c r="F37" i="9"/>
  <c r="I53" i="9"/>
  <c r="I56" i="9" s="1"/>
  <c r="J50" i="9"/>
  <c r="J67" i="9"/>
  <c r="K65" i="9"/>
  <c r="K51" i="9"/>
  <c r="J55" i="9"/>
  <c r="J63" i="9" s="1"/>
  <c r="K46" i="9"/>
  <c r="G64" i="9"/>
  <c r="F41" i="9"/>
  <c r="F42" i="9" s="1"/>
  <c r="F43" i="9" s="1"/>
  <c r="G33" i="9"/>
  <c r="H26" i="9"/>
  <c r="H29" i="9" s="1"/>
  <c r="I21" i="9"/>
  <c r="J20" i="9"/>
  <c r="I23" i="9"/>
  <c r="L40" i="9"/>
  <c r="I24" i="9"/>
  <c r="I25" i="9" s="1"/>
  <c r="I38" i="9"/>
  <c r="I21" i="8"/>
  <c r="J18" i="8"/>
  <c r="I29" i="8"/>
  <c r="J26" i="8"/>
  <c r="H37" i="8"/>
  <c r="I34" i="8"/>
  <c r="F37" i="2"/>
  <c r="G34" i="2"/>
  <c r="H18" i="2"/>
  <c r="G21" i="2"/>
  <c r="W34" i="4"/>
  <c r="W31" i="4"/>
  <c r="W36" i="4" s="1"/>
  <c r="X29" i="4"/>
  <c r="B12" i="7"/>
  <c r="B14" i="7"/>
  <c r="C58" i="7"/>
  <c r="A115" i="7"/>
  <c r="A108" i="7"/>
  <c r="A97" i="7"/>
  <c r="A87" i="7"/>
  <c r="A71" i="7"/>
  <c r="A64" i="7"/>
  <c r="A53" i="7"/>
  <c r="A43" i="7"/>
  <c r="A27" i="7"/>
  <c r="G5" i="7"/>
  <c r="B46" i="7" s="1"/>
  <c r="C77" i="7"/>
  <c r="D76" i="7"/>
  <c r="C9" i="7"/>
  <c r="G11" i="7"/>
  <c r="G6" i="7" s="1"/>
  <c r="C30" i="7"/>
  <c r="C35" i="7" s="1"/>
  <c r="D29" i="7"/>
  <c r="E73" i="7"/>
  <c r="C102" i="7"/>
  <c r="AA5" i="6"/>
  <c r="AA7" i="6" s="1"/>
  <c r="Z5" i="6"/>
  <c r="Z7" i="6" s="1"/>
  <c r="C75" i="6"/>
  <c r="C7" i="6"/>
  <c r="B6" i="6"/>
  <c r="C17" i="6"/>
  <c r="H8" i="6" s="1"/>
  <c r="C113" i="6"/>
  <c r="B102" i="6"/>
  <c r="C102" i="6" s="1"/>
  <c r="B92" i="6"/>
  <c r="Q88" i="6"/>
  <c r="Q98" i="6" s="1"/>
  <c r="Q109" i="6" s="1"/>
  <c r="P88" i="6"/>
  <c r="P98" i="6" s="1"/>
  <c r="P109" i="6" s="1"/>
  <c r="O88" i="6"/>
  <c r="O98" i="6" s="1"/>
  <c r="O109" i="6" s="1"/>
  <c r="N88" i="6"/>
  <c r="N98" i="6" s="1"/>
  <c r="N109" i="6" s="1"/>
  <c r="M88" i="6"/>
  <c r="M98" i="6" s="1"/>
  <c r="M109" i="6" s="1"/>
  <c r="L88" i="6"/>
  <c r="L98" i="6" s="1"/>
  <c r="L109" i="6" s="1"/>
  <c r="K88" i="6"/>
  <c r="K98" i="6" s="1"/>
  <c r="K109" i="6" s="1"/>
  <c r="J88" i="6"/>
  <c r="J98" i="6" s="1"/>
  <c r="J109" i="6" s="1"/>
  <c r="I88" i="6"/>
  <c r="I98" i="6" s="1"/>
  <c r="I109" i="6" s="1"/>
  <c r="H88" i="6"/>
  <c r="H98" i="6" s="1"/>
  <c r="H109" i="6" s="1"/>
  <c r="G88" i="6"/>
  <c r="G98" i="6" s="1"/>
  <c r="G109" i="6" s="1"/>
  <c r="F88" i="6"/>
  <c r="F98" i="6" s="1"/>
  <c r="F109" i="6" s="1"/>
  <c r="E88" i="6"/>
  <c r="E98" i="6" s="1"/>
  <c r="E109" i="6" s="1"/>
  <c r="D88" i="6"/>
  <c r="D98" i="6" s="1"/>
  <c r="D109" i="6" s="1"/>
  <c r="C88" i="6"/>
  <c r="C98" i="6" s="1"/>
  <c r="C109" i="6" s="1"/>
  <c r="B85" i="6"/>
  <c r="B83" i="6"/>
  <c r="H81" i="6"/>
  <c r="I81" i="6" s="1"/>
  <c r="J81" i="6" s="1"/>
  <c r="K81" i="6" s="1"/>
  <c r="L81" i="6" s="1"/>
  <c r="M81" i="6" s="1"/>
  <c r="N81" i="6" s="1"/>
  <c r="O81" i="6" s="1"/>
  <c r="P81" i="6" s="1"/>
  <c r="Q81" i="6" s="1"/>
  <c r="D81" i="6"/>
  <c r="E81" i="6" s="1"/>
  <c r="F81" i="6" s="1"/>
  <c r="G81" i="6" s="1"/>
  <c r="C81" i="6"/>
  <c r="C78" i="6"/>
  <c r="D78" i="6" s="1"/>
  <c r="E78" i="6" s="1"/>
  <c r="F78" i="6" s="1"/>
  <c r="G78" i="6" s="1"/>
  <c r="H78" i="6" s="1"/>
  <c r="I78" i="6" s="1"/>
  <c r="J78" i="6" s="1"/>
  <c r="K78" i="6" s="1"/>
  <c r="L78" i="6" s="1"/>
  <c r="M78" i="6" s="1"/>
  <c r="N78" i="6" s="1"/>
  <c r="O78" i="6" s="1"/>
  <c r="P78" i="6" s="1"/>
  <c r="Q78" i="6" s="1"/>
  <c r="D75" i="6"/>
  <c r="E75" i="6" s="1"/>
  <c r="F75" i="6" s="1"/>
  <c r="G75" i="6" s="1"/>
  <c r="H75" i="6" s="1"/>
  <c r="I75" i="6" s="1"/>
  <c r="J75" i="6" s="1"/>
  <c r="K75" i="6" s="1"/>
  <c r="L75" i="6" s="1"/>
  <c r="M75" i="6" s="1"/>
  <c r="N75" i="6" s="1"/>
  <c r="O75" i="6" s="1"/>
  <c r="P75" i="6" s="1"/>
  <c r="Q75" i="6" s="1"/>
  <c r="C73" i="6"/>
  <c r="C74" i="6" s="1"/>
  <c r="C69" i="6"/>
  <c r="Q44" i="6"/>
  <c r="Q54" i="6" s="1"/>
  <c r="Q65" i="6" s="1"/>
  <c r="P44" i="6"/>
  <c r="P54" i="6" s="1"/>
  <c r="P65" i="6" s="1"/>
  <c r="O44" i="6"/>
  <c r="O54" i="6" s="1"/>
  <c r="O65" i="6" s="1"/>
  <c r="N44" i="6"/>
  <c r="N54" i="6" s="1"/>
  <c r="N65" i="6" s="1"/>
  <c r="M44" i="6"/>
  <c r="M54" i="6" s="1"/>
  <c r="M65" i="6" s="1"/>
  <c r="L44" i="6"/>
  <c r="L54" i="6" s="1"/>
  <c r="L65" i="6" s="1"/>
  <c r="K44" i="6"/>
  <c r="K54" i="6" s="1"/>
  <c r="K65" i="6" s="1"/>
  <c r="J44" i="6"/>
  <c r="J54" i="6" s="1"/>
  <c r="J65" i="6" s="1"/>
  <c r="I44" i="6"/>
  <c r="I54" i="6" s="1"/>
  <c r="I65" i="6" s="1"/>
  <c r="H44" i="6"/>
  <c r="H54" i="6" s="1"/>
  <c r="H65" i="6" s="1"/>
  <c r="G44" i="6"/>
  <c r="G54" i="6" s="1"/>
  <c r="G65" i="6" s="1"/>
  <c r="F44" i="6"/>
  <c r="F54" i="6" s="1"/>
  <c r="F65" i="6" s="1"/>
  <c r="E44" i="6"/>
  <c r="E54" i="6" s="1"/>
  <c r="E65" i="6" s="1"/>
  <c r="D44" i="6"/>
  <c r="D54" i="6" s="1"/>
  <c r="D65" i="6" s="1"/>
  <c r="C44" i="6"/>
  <c r="C54" i="6" s="1"/>
  <c r="C65" i="6" s="1"/>
  <c r="B41" i="6"/>
  <c r="B39" i="6"/>
  <c r="E34" i="6"/>
  <c r="F34" i="6" s="1"/>
  <c r="G34" i="6" s="1"/>
  <c r="H34" i="6" s="1"/>
  <c r="I34" i="6" s="1"/>
  <c r="J34" i="6" s="1"/>
  <c r="K34" i="6" s="1"/>
  <c r="L34" i="6" s="1"/>
  <c r="M34" i="6" s="1"/>
  <c r="N34" i="6" s="1"/>
  <c r="O34" i="6" s="1"/>
  <c r="P34" i="6" s="1"/>
  <c r="Q34" i="6" s="1"/>
  <c r="C34" i="6"/>
  <c r="D34" i="6" s="1"/>
  <c r="D32" i="6"/>
  <c r="E32" i="6" s="1"/>
  <c r="F32" i="6" s="1"/>
  <c r="G32" i="6" s="1"/>
  <c r="H32" i="6" s="1"/>
  <c r="I32" i="6" s="1"/>
  <c r="J32" i="6" s="1"/>
  <c r="K32" i="6" s="1"/>
  <c r="L32" i="6" s="1"/>
  <c r="M32" i="6" s="1"/>
  <c r="N32" i="6" s="1"/>
  <c r="O32" i="6" s="1"/>
  <c r="P32" i="6" s="1"/>
  <c r="Q32" i="6" s="1"/>
  <c r="C32" i="6"/>
  <c r="F31" i="6"/>
  <c r="G31" i="6" s="1"/>
  <c r="H31" i="6" s="1"/>
  <c r="I31" i="6" s="1"/>
  <c r="J31" i="6" s="1"/>
  <c r="K31" i="6" s="1"/>
  <c r="L31" i="6" s="1"/>
  <c r="M31" i="6" s="1"/>
  <c r="N31" i="6" s="1"/>
  <c r="O31" i="6" s="1"/>
  <c r="P31" i="6" s="1"/>
  <c r="Q31" i="6" s="1"/>
  <c r="D31" i="6"/>
  <c r="E31" i="6" s="1"/>
  <c r="C31" i="6"/>
  <c r="J24" i="6"/>
  <c r="L23" i="6"/>
  <c r="L26" i="6" s="1"/>
  <c r="J23" i="6"/>
  <c r="B13" i="6"/>
  <c r="C37" i="6" s="1"/>
  <c r="D37" i="6" s="1"/>
  <c r="E37" i="6" s="1"/>
  <c r="F37" i="6" s="1"/>
  <c r="G37" i="6" s="1"/>
  <c r="H37" i="6" s="1"/>
  <c r="I37" i="6" s="1"/>
  <c r="J37" i="6" s="1"/>
  <c r="K37" i="6" s="1"/>
  <c r="L37" i="6" s="1"/>
  <c r="M37" i="6" s="1"/>
  <c r="N37" i="6" s="1"/>
  <c r="O37" i="6" s="1"/>
  <c r="P37" i="6" s="1"/>
  <c r="Q37" i="6" s="1"/>
  <c r="L11" i="6"/>
  <c r="L14" i="6" s="1"/>
  <c r="H10" i="6"/>
  <c r="H9" i="6"/>
  <c r="B94" i="6" s="1"/>
  <c r="B104" i="6" s="1"/>
  <c r="C104" i="6" s="1"/>
  <c r="D104" i="6" s="1"/>
  <c r="E104" i="6" s="1"/>
  <c r="F104" i="6" s="1"/>
  <c r="G104" i="6" s="1"/>
  <c r="H104" i="6" s="1"/>
  <c r="I104" i="6" s="1"/>
  <c r="J104" i="6" s="1"/>
  <c r="K104" i="6" s="1"/>
  <c r="L104" i="6" s="1"/>
  <c r="M104" i="6" s="1"/>
  <c r="N104" i="6" s="1"/>
  <c r="O104" i="6" s="1"/>
  <c r="P104" i="6" s="1"/>
  <c r="Q104" i="6" s="1"/>
  <c r="G9" i="6"/>
  <c r="B50" i="6" s="1"/>
  <c r="B60" i="6" s="1"/>
  <c r="C60" i="6" s="1"/>
  <c r="D60" i="6" s="1"/>
  <c r="E60" i="6" s="1"/>
  <c r="F60" i="6" s="1"/>
  <c r="G60" i="6" s="1"/>
  <c r="H60" i="6" s="1"/>
  <c r="I60" i="6" s="1"/>
  <c r="J60" i="6" s="1"/>
  <c r="K60" i="6" s="1"/>
  <c r="L60" i="6" s="1"/>
  <c r="M60" i="6" s="1"/>
  <c r="N60" i="6" s="1"/>
  <c r="O60" i="6" s="1"/>
  <c r="P60" i="6" s="1"/>
  <c r="Q60" i="6" s="1"/>
  <c r="C8" i="6"/>
  <c r="C76" i="6" s="1"/>
  <c r="G7" i="6"/>
  <c r="B48" i="6" s="1"/>
  <c r="B58" i="6" s="1"/>
  <c r="Y6" i="6"/>
  <c r="X6" i="6"/>
  <c r="C6" i="6"/>
  <c r="C11" i="6" s="1"/>
  <c r="C29" i="6"/>
  <c r="H4" i="6"/>
  <c r="H13" i="6" s="1"/>
  <c r="H18" i="6" s="1"/>
  <c r="G4" i="6"/>
  <c r="G13" i="6" s="1"/>
  <c r="G18" i="6" s="1"/>
  <c r="A3" i="6"/>
  <c r="A1" i="6"/>
  <c r="Z4" i="4"/>
  <c r="Y4" i="4"/>
  <c r="X6" i="4"/>
  <c r="W6" i="4"/>
  <c r="Y6" i="5"/>
  <c r="X6" i="5"/>
  <c r="H57" i="9" l="1"/>
  <c r="H61" i="9" s="1"/>
  <c r="G68" i="9"/>
  <c r="G69" i="9" s="1"/>
  <c r="G34" i="9"/>
  <c r="H33" i="9" s="1"/>
  <c r="H34" i="9" s="1"/>
  <c r="I33" i="9" s="1"/>
  <c r="G37" i="9"/>
  <c r="L46" i="9"/>
  <c r="K55" i="9"/>
  <c r="K63" i="9" s="1"/>
  <c r="K67" i="9"/>
  <c r="K50" i="9"/>
  <c r="J53" i="9"/>
  <c r="J56" i="9" s="1"/>
  <c r="H64" i="9"/>
  <c r="G70" i="9"/>
  <c r="L65" i="9"/>
  <c r="L51" i="9"/>
  <c r="H30" i="9"/>
  <c r="J6" i="9" s="1"/>
  <c r="J8" i="9" s="1"/>
  <c r="I26" i="9"/>
  <c r="I29" i="9" s="1"/>
  <c r="J21" i="9"/>
  <c r="K20" i="9"/>
  <c r="J23" i="9"/>
  <c r="M40" i="9"/>
  <c r="J24" i="9"/>
  <c r="J38" i="9"/>
  <c r="J34" i="8"/>
  <c r="I37" i="8"/>
  <c r="K18" i="8"/>
  <c r="J21" i="8"/>
  <c r="K26" i="8"/>
  <c r="J29" i="8"/>
  <c r="H34" i="2"/>
  <c r="G37" i="2"/>
  <c r="I18" i="2"/>
  <c r="H21" i="2"/>
  <c r="Y29" i="4"/>
  <c r="X34" i="4"/>
  <c r="E74" i="7"/>
  <c r="F73" i="7"/>
  <c r="E29" i="7"/>
  <c r="D30" i="7"/>
  <c r="D35" i="7" s="1"/>
  <c r="D38" i="7" s="1"/>
  <c r="B47" i="7"/>
  <c r="G16" i="7"/>
  <c r="G12" i="7"/>
  <c r="G14" i="7"/>
  <c r="D77" i="7"/>
  <c r="E76" i="7"/>
  <c r="B66" i="7"/>
  <c r="B69" i="7" s="1"/>
  <c r="B55" i="7"/>
  <c r="B52" i="7"/>
  <c r="K11" i="7"/>
  <c r="K14" i="7" s="1"/>
  <c r="D58" i="7"/>
  <c r="D102" i="7"/>
  <c r="C38" i="7"/>
  <c r="C36" i="7"/>
  <c r="D36" i="7" s="1"/>
  <c r="E36" i="7" s="1"/>
  <c r="F36" i="7" s="1"/>
  <c r="G36" i="7" s="1"/>
  <c r="H36" i="7" s="1"/>
  <c r="I36" i="7" s="1"/>
  <c r="J36" i="7" s="1"/>
  <c r="K36" i="7" s="1"/>
  <c r="L36" i="7" s="1"/>
  <c r="M36" i="7" s="1"/>
  <c r="N36" i="7" s="1"/>
  <c r="O36" i="7" s="1"/>
  <c r="P36" i="7" s="1"/>
  <c r="Q36" i="7" s="1"/>
  <c r="B11" i="6"/>
  <c r="B12" i="6" s="1"/>
  <c r="B9" i="6"/>
  <c r="C33" i="6" s="1"/>
  <c r="D33" i="6" s="1"/>
  <c r="E33" i="6" s="1"/>
  <c r="F33" i="6" s="1"/>
  <c r="G33" i="6" s="1"/>
  <c r="H33" i="6" s="1"/>
  <c r="I33" i="6" s="1"/>
  <c r="J33" i="6" s="1"/>
  <c r="K33" i="6" s="1"/>
  <c r="L33" i="6" s="1"/>
  <c r="M33" i="6" s="1"/>
  <c r="N33" i="6" s="1"/>
  <c r="O33" i="6" s="1"/>
  <c r="P33" i="6" s="1"/>
  <c r="Q33" i="6" s="1"/>
  <c r="D73" i="6"/>
  <c r="D74" i="6" s="1"/>
  <c r="C14" i="6"/>
  <c r="C12" i="6"/>
  <c r="A115" i="6"/>
  <c r="A97" i="6"/>
  <c r="A87" i="6"/>
  <c r="A64" i="6"/>
  <c r="A53" i="6"/>
  <c r="A43" i="6"/>
  <c r="A108" i="6"/>
  <c r="A71" i="6"/>
  <c r="A27" i="6"/>
  <c r="C30" i="6"/>
  <c r="C35" i="6" s="1"/>
  <c r="D29" i="6"/>
  <c r="C77" i="6"/>
  <c r="C79" i="6" s="1"/>
  <c r="D76" i="6"/>
  <c r="C9" i="6"/>
  <c r="C58" i="6"/>
  <c r="B17" i="6"/>
  <c r="E73" i="6"/>
  <c r="D102" i="6"/>
  <c r="C73" i="5"/>
  <c r="C74" i="5" s="1"/>
  <c r="C78" i="5"/>
  <c r="C75" i="5"/>
  <c r="C81" i="5"/>
  <c r="D81" i="5" s="1"/>
  <c r="E81" i="5" s="1"/>
  <c r="F81" i="5" s="1"/>
  <c r="G81" i="5" s="1"/>
  <c r="H81" i="5" s="1"/>
  <c r="I81" i="5" s="1"/>
  <c r="J81" i="5" s="1"/>
  <c r="K81" i="5" s="1"/>
  <c r="L81" i="5" s="1"/>
  <c r="M81" i="5" s="1"/>
  <c r="N81" i="5" s="1"/>
  <c r="O81" i="5" s="1"/>
  <c r="P81" i="5" s="1"/>
  <c r="Q81" i="5" s="1"/>
  <c r="D75" i="5"/>
  <c r="E75" i="5" s="1"/>
  <c r="F75" i="5" s="1"/>
  <c r="G75" i="5" s="1"/>
  <c r="H75" i="5" s="1"/>
  <c r="I75" i="5" s="1"/>
  <c r="J75" i="5" s="1"/>
  <c r="K75" i="5" s="1"/>
  <c r="L75" i="5" s="1"/>
  <c r="M75" i="5" s="1"/>
  <c r="N75" i="5" s="1"/>
  <c r="O75" i="5" s="1"/>
  <c r="P75" i="5" s="1"/>
  <c r="Q75" i="5" s="1"/>
  <c r="D73" i="5"/>
  <c r="D74" i="5" s="1"/>
  <c r="D31" i="5"/>
  <c r="E31" i="5" s="1"/>
  <c r="C30" i="5"/>
  <c r="C35" i="5" s="1"/>
  <c r="C36" i="5" s="1"/>
  <c r="D29" i="5"/>
  <c r="D30" i="5" s="1"/>
  <c r="D78" i="5"/>
  <c r="E78" i="5" s="1"/>
  <c r="F78" i="5" s="1"/>
  <c r="G78" i="5" s="1"/>
  <c r="H78" i="5" s="1"/>
  <c r="I78" i="5" s="1"/>
  <c r="J78" i="5" s="1"/>
  <c r="K78" i="5" s="1"/>
  <c r="L78" i="5" s="1"/>
  <c r="M78" i="5" s="1"/>
  <c r="N78" i="5" s="1"/>
  <c r="O78" i="5" s="1"/>
  <c r="P78" i="5" s="1"/>
  <c r="Q78" i="5" s="1"/>
  <c r="C5" i="1"/>
  <c r="D5" i="1" s="1"/>
  <c r="E5" i="1" s="1"/>
  <c r="F5" i="1" s="1"/>
  <c r="G5" i="1" s="1"/>
  <c r="H5" i="1" s="1"/>
  <c r="I5" i="1" s="1"/>
  <c r="J5" i="1" s="1"/>
  <c r="K5" i="1" s="1"/>
  <c r="B7" i="1"/>
  <c r="C6" i="1"/>
  <c r="D6" i="1" s="1"/>
  <c r="E6" i="1" s="1"/>
  <c r="F6" i="1" s="1"/>
  <c r="G6" i="1" s="1"/>
  <c r="H6" i="1" s="1"/>
  <c r="I6" i="1" s="1"/>
  <c r="J6" i="1" s="1"/>
  <c r="K6" i="1" s="1"/>
  <c r="D4" i="1"/>
  <c r="E4" i="1" s="1"/>
  <c r="F4" i="1" s="1"/>
  <c r="G4" i="1" s="1"/>
  <c r="H4" i="1" s="1"/>
  <c r="I4" i="1" s="1"/>
  <c r="J4" i="1" s="1"/>
  <c r="K4" i="1" s="1"/>
  <c r="C4" i="1"/>
  <c r="G41" i="9" l="1"/>
  <c r="G42" i="9" s="1"/>
  <c r="G43" i="9" s="1"/>
  <c r="H37" i="9"/>
  <c r="I60" i="9"/>
  <c r="H68" i="9"/>
  <c r="H69" i="9" s="1"/>
  <c r="H70" i="9" s="1"/>
  <c r="I57" i="9"/>
  <c r="I61" i="9" s="1"/>
  <c r="J26" i="9"/>
  <c r="J29" i="9" s="1"/>
  <c r="J25" i="9"/>
  <c r="K53" i="9"/>
  <c r="K56" i="9" s="1"/>
  <c r="M65" i="9"/>
  <c r="M51" i="9"/>
  <c r="I64" i="9"/>
  <c r="L50" i="9"/>
  <c r="L55" i="9"/>
  <c r="L63" i="9" s="1"/>
  <c r="M46" i="9"/>
  <c r="J60" i="9"/>
  <c r="J57" i="9"/>
  <c r="I68" i="9"/>
  <c r="I69" i="9" s="1"/>
  <c r="L67" i="9"/>
  <c r="H41" i="9"/>
  <c r="H42" i="9" s="1"/>
  <c r="I30" i="9"/>
  <c r="K6" i="9" s="1"/>
  <c r="K8" i="9" s="1"/>
  <c r="K21" i="9"/>
  <c r="K23" i="9" s="1"/>
  <c r="L20" i="9"/>
  <c r="N40" i="9"/>
  <c r="K24" i="9"/>
  <c r="K25" i="9" s="1"/>
  <c r="K38" i="9"/>
  <c r="K29" i="8"/>
  <c r="L26" i="8"/>
  <c r="K21" i="8"/>
  <c r="L18" i="8"/>
  <c r="J37" i="8"/>
  <c r="K34" i="8"/>
  <c r="H37" i="2"/>
  <c r="I34" i="2"/>
  <c r="J18" i="2"/>
  <c r="I21" i="2"/>
  <c r="Z29" i="4"/>
  <c r="Y34" i="4"/>
  <c r="E29" i="5"/>
  <c r="F29" i="5" s="1"/>
  <c r="G29" i="5" s="1"/>
  <c r="H29" i="5" s="1"/>
  <c r="I29" i="5" s="1"/>
  <c r="J29" i="5" s="1"/>
  <c r="K29" i="5" s="1"/>
  <c r="L29" i="5" s="1"/>
  <c r="M29" i="5" s="1"/>
  <c r="L5" i="7"/>
  <c r="E58" i="7"/>
  <c r="E77" i="7"/>
  <c r="F76" i="7"/>
  <c r="G15" i="7"/>
  <c r="C47" i="7" s="1"/>
  <c r="L12" i="7" s="1"/>
  <c r="M5" i="7"/>
  <c r="F74" i="7"/>
  <c r="G73" i="7"/>
  <c r="E102" i="7"/>
  <c r="B61" i="7"/>
  <c r="B62" i="7" s="1"/>
  <c r="C51" i="7"/>
  <c r="K13" i="7"/>
  <c r="B56" i="7"/>
  <c r="K12" i="7"/>
  <c r="E30" i="7"/>
  <c r="E35" i="7" s="1"/>
  <c r="E38" i="7" s="1"/>
  <c r="F29" i="7"/>
  <c r="B14" i="6"/>
  <c r="C82" i="6"/>
  <c r="C80" i="6"/>
  <c r="D80" i="6" s="1"/>
  <c r="E80" i="6" s="1"/>
  <c r="F80" i="6" s="1"/>
  <c r="G80" i="6" s="1"/>
  <c r="H80" i="6" s="1"/>
  <c r="I80" i="6" s="1"/>
  <c r="J80" i="6" s="1"/>
  <c r="K80" i="6" s="1"/>
  <c r="L80" i="6" s="1"/>
  <c r="M80" i="6" s="1"/>
  <c r="N80" i="6" s="1"/>
  <c r="O80" i="6" s="1"/>
  <c r="P80" i="6" s="1"/>
  <c r="Q80" i="6" s="1"/>
  <c r="E74" i="6"/>
  <c r="F73" i="6"/>
  <c r="G8" i="6"/>
  <c r="C36" i="6"/>
  <c r="D36" i="6" s="1"/>
  <c r="E36" i="6" s="1"/>
  <c r="F36" i="6" s="1"/>
  <c r="G36" i="6" s="1"/>
  <c r="H36" i="6" s="1"/>
  <c r="I36" i="6" s="1"/>
  <c r="J36" i="6" s="1"/>
  <c r="K36" i="6" s="1"/>
  <c r="L36" i="6" s="1"/>
  <c r="M36" i="6" s="1"/>
  <c r="N36" i="6" s="1"/>
  <c r="O36" i="6" s="1"/>
  <c r="P36" i="6" s="1"/>
  <c r="Q36" i="6" s="1"/>
  <c r="C38" i="6"/>
  <c r="E102" i="6"/>
  <c r="D58" i="6"/>
  <c r="D77" i="6"/>
  <c r="D79" i="6" s="1"/>
  <c r="D82" i="6" s="1"/>
  <c r="E76" i="6"/>
  <c r="D30" i="6"/>
  <c r="D35" i="6" s="1"/>
  <c r="D38" i="6" s="1"/>
  <c r="E29" i="6"/>
  <c r="F31" i="5"/>
  <c r="D34" i="5"/>
  <c r="E34" i="5" s="1"/>
  <c r="F34" i="5" s="1"/>
  <c r="G34" i="5" s="1"/>
  <c r="H34" i="5" s="1"/>
  <c r="I34" i="5" s="1"/>
  <c r="J34" i="5" s="1"/>
  <c r="K34" i="5" s="1"/>
  <c r="L34" i="5" s="1"/>
  <c r="M34" i="5" s="1"/>
  <c r="N34" i="5" s="1"/>
  <c r="O34" i="5" s="1"/>
  <c r="P34" i="5" s="1"/>
  <c r="Q34" i="5" s="1"/>
  <c r="E73" i="5"/>
  <c r="C7" i="1"/>
  <c r="C8" i="1"/>
  <c r="E8" i="1"/>
  <c r="E7" i="1"/>
  <c r="D7" i="1"/>
  <c r="D8" i="1"/>
  <c r="C113" i="5"/>
  <c r="B92" i="5"/>
  <c r="B102" i="5" s="1"/>
  <c r="Q88" i="5"/>
  <c r="Q98" i="5" s="1"/>
  <c r="Q109" i="5" s="1"/>
  <c r="P88" i="5"/>
  <c r="P98" i="5" s="1"/>
  <c r="P109" i="5" s="1"/>
  <c r="O88" i="5"/>
  <c r="O98" i="5" s="1"/>
  <c r="O109" i="5" s="1"/>
  <c r="N88" i="5"/>
  <c r="N98" i="5" s="1"/>
  <c r="N109" i="5" s="1"/>
  <c r="M88" i="5"/>
  <c r="M98" i="5" s="1"/>
  <c r="M109" i="5" s="1"/>
  <c r="L88" i="5"/>
  <c r="L98" i="5" s="1"/>
  <c r="L109" i="5" s="1"/>
  <c r="K88" i="5"/>
  <c r="K98" i="5" s="1"/>
  <c r="K109" i="5" s="1"/>
  <c r="J88" i="5"/>
  <c r="J98" i="5" s="1"/>
  <c r="J109" i="5" s="1"/>
  <c r="I88" i="5"/>
  <c r="I98" i="5" s="1"/>
  <c r="I109" i="5" s="1"/>
  <c r="H88" i="5"/>
  <c r="H98" i="5" s="1"/>
  <c r="H109" i="5" s="1"/>
  <c r="G88" i="5"/>
  <c r="G98" i="5" s="1"/>
  <c r="G109" i="5" s="1"/>
  <c r="F88" i="5"/>
  <c r="F98" i="5" s="1"/>
  <c r="F109" i="5" s="1"/>
  <c r="E88" i="5"/>
  <c r="E98" i="5" s="1"/>
  <c r="E109" i="5" s="1"/>
  <c r="D88" i="5"/>
  <c r="D98" i="5" s="1"/>
  <c r="D109" i="5" s="1"/>
  <c r="C88" i="5"/>
  <c r="C98" i="5" s="1"/>
  <c r="C109" i="5" s="1"/>
  <c r="B85" i="5"/>
  <c r="B83" i="5"/>
  <c r="C69" i="5"/>
  <c r="Q44" i="5"/>
  <c r="Q54" i="5" s="1"/>
  <c r="Q65" i="5" s="1"/>
  <c r="P44" i="5"/>
  <c r="P54" i="5" s="1"/>
  <c r="P65" i="5" s="1"/>
  <c r="O44" i="5"/>
  <c r="O54" i="5" s="1"/>
  <c r="O65" i="5" s="1"/>
  <c r="N44" i="5"/>
  <c r="N54" i="5" s="1"/>
  <c r="N65" i="5" s="1"/>
  <c r="M44" i="5"/>
  <c r="M54" i="5" s="1"/>
  <c r="M65" i="5" s="1"/>
  <c r="L44" i="5"/>
  <c r="L54" i="5" s="1"/>
  <c r="L65" i="5" s="1"/>
  <c r="K44" i="5"/>
  <c r="K54" i="5" s="1"/>
  <c r="K65" i="5" s="1"/>
  <c r="J44" i="5"/>
  <c r="J54" i="5" s="1"/>
  <c r="J65" i="5" s="1"/>
  <c r="I44" i="5"/>
  <c r="I54" i="5" s="1"/>
  <c r="I65" i="5" s="1"/>
  <c r="H44" i="5"/>
  <c r="H54" i="5" s="1"/>
  <c r="H65" i="5" s="1"/>
  <c r="G44" i="5"/>
  <c r="G54" i="5" s="1"/>
  <c r="G65" i="5" s="1"/>
  <c r="F44" i="5"/>
  <c r="F54" i="5" s="1"/>
  <c r="F65" i="5" s="1"/>
  <c r="E44" i="5"/>
  <c r="E54" i="5" s="1"/>
  <c r="E65" i="5" s="1"/>
  <c r="D44" i="5"/>
  <c r="D54" i="5" s="1"/>
  <c r="D65" i="5" s="1"/>
  <c r="C44" i="5"/>
  <c r="C54" i="5" s="1"/>
  <c r="C65" i="5" s="1"/>
  <c r="B41" i="5"/>
  <c r="B39" i="5"/>
  <c r="C34" i="5"/>
  <c r="C32" i="5"/>
  <c r="D32" i="5" s="1"/>
  <c r="E32" i="5" s="1"/>
  <c r="F32" i="5" s="1"/>
  <c r="G32" i="5" s="1"/>
  <c r="H32" i="5" s="1"/>
  <c r="I32" i="5" s="1"/>
  <c r="J32" i="5" s="1"/>
  <c r="K32" i="5" s="1"/>
  <c r="L32" i="5" s="1"/>
  <c r="M32" i="5" s="1"/>
  <c r="N32" i="5" s="1"/>
  <c r="O32" i="5" s="1"/>
  <c r="P32" i="5" s="1"/>
  <c r="Q32" i="5" s="1"/>
  <c r="C31" i="5"/>
  <c r="J24" i="5"/>
  <c r="L23" i="5"/>
  <c r="L26" i="5" s="1"/>
  <c r="J23" i="5"/>
  <c r="G13" i="5"/>
  <c r="G18" i="5" s="1"/>
  <c r="B13" i="5"/>
  <c r="C37" i="5" s="1"/>
  <c r="L11" i="5"/>
  <c r="L14" i="5" s="1"/>
  <c r="H10" i="5"/>
  <c r="H9" i="5"/>
  <c r="B94" i="5" s="1"/>
  <c r="B104" i="5" s="1"/>
  <c r="C104" i="5" s="1"/>
  <c r="D104" i="5" s="1"/>
  <c r="E104" i="5" s="1"/>
  <c r="F104" i="5" s="1"/>
  <c r="G104" i="5" s="1"/>
  <c r="H104" i="5" s="1"/>
  <c r="I104" i="5" s="1"/>
  <c r="J104" i="5" s="1"/>
  <c r="K104" i="5" s="1"/>
  <c r="L104" i="5" s="1"/>
  <c r="M104" i="5" s="1"/>
  <c r="N104" i="5" s="1"/>
  <c r="O104" i="5" s="1"/>
  <c r="P104" i="5" s="1"/>
  <c r="Q104" i="5" s="1"/>
  <c r="G9" i="5"/>
  <c r="B50" i="5" s="1"/>
  <c r="B60" i="5" s="1"/>
  <c r="C60" i="5" s="1"/>
  <c r="D60" i="5" s="1"/>
  <c r="E60" i="5" s="1"/>
  <c r="F60" i="5" s="1"/>
  <c r="G60" i="5" s="1"/>
  <c r="H60" i="5" s="1"/>
  <c r="I60" i="5" s="1"/>
  <c r="J60" i="5" s="1"/>
  <c r="K60" i="5" s="1"/>
  <c r="L60" i="5" s="1"/>
  <c r="M60" i="5" s="1"/>
  <c r="N60" i="5" s="1"/>
  <c r="O60" i="5" s="1"/>
  <c r="P60" i="5" s="1"/>
  <c r="Q60" i="5" s="1"/>
  <c r="B9" i="5"/>
  <c r="C33" i="5" s="1"/>
  <c r="D33" i="5" s="1"/>
  <c r="E33" i="5" s="1"/>
  <c r="F33" i="5" s="1"/>
  <c r="G33" i="5" s="1"/>
  <c r="H33" i="5" s="1"/>
  <c r="I33" i="5" s="1"/>
  <c r="J33" i="5" s="1"/>
  <c r="K33" i="5" s="1"/>
  <c r="L33" i="5" s="1"/>
  <c r="M33" i="5" s="1"/>
  <c r="N33" i="5" s="1"/>
  <c r="O33" i="5" s="1"/>
  <c r="P33" i="5" s="1"/>
  <c r="Q33" i="5" s="1"/>
  <c r="C8" i="5"/>
  <c r="C76" i="5" s="1"/>
  <c r="D76" i="5" s="1"/>
  <c r="E76" i="5" s="1"/>
  <c r="F76" i="5" s="1"/>
  <c r="G76" i="5" s="1"/>
  <c r="H76" i="5" s="1"/>
  <c r="I76" i="5" s="1"/>
  <c r="J76" i="5" s="1"/>
  <c r="K76" i="5" s="1"/>
  <c r="L76" i="5" s="1"/>
  <c r="M76" i="5" s="1"/>
  <c r="N76" i="5" s="1"/>
  <c r="O76" i="5" s="1"/>
  <c r="P76" i="5" s="1"/>
  <c r="Q76" i="5" s="1"/>
  <c r="G7" i="5"/>
  <c r="B48" i="5" s="1"/>
  <c r="B58" i="5" s="1"/>
  <c r="C6" i="5"/>
  <c r="B6" i="5" s="1"/>
  <c r="B5" i="5"/>
  <c r="H4" i="5"/>
  <c r="H13" i="5" s="1"/>
  <c r="H18" i="5" s="1"/>
  <c r="G4" i="5"/>
  <c r="A3" i="5"/>
  <c r="A1" i="5"/>
  <c r="G10" i="4"/>
  <c r="I24" i="4"/>
  <c r="I23" i="4"/>
  <c r="H43" i="9" l="1"/>
  <c r="I37" i="9"/>
  <c r="I34" i="9"/>
  <c r="I41" i="9" s="1"/>
  <c r="I42" i="9" s="1"/>
  <c r="J61" i="9"/>
  <c r="J68" i="9" s="1"/>
  <c r="J69" i="9" s="1"/>
  <c r="L53" i="9"/>
  <c r="L56" i="9" s="1"/>
  <c r="N65" i="9"/>
  <c r="N51" i="9"/>
  <c r="N46" i="9"/>
  <c r="M55" i="9"/>
  <c r="M63" i="9" s="1"/>
  <c r="M50" i="9"/>
  <c r="J64" i="9"/>
  <c r="I70" i="9"/>
  <c r="M67" i="9"/>
  <c r="K26" i="9"/>
  <c r="K29" i="9" s="1"/>
  <c r="L21" i="9"/>
  <c r="L23" i="9" s="1"/>
  <c r="M20" i="9"/>
  <c r="O40" i="9"/>
  <c r="L38" i="9"/>
  <c r="L24" i="9"/>
  <c r="L25" i="9" s="1"/>
  <c r="L34" i="8"/>
  <c r="K37" i="8"/>
  <c r="M18" i="8"/>
  <c r="L21" i="8"/>
  <c r="M26" i="8"/>
  <c r="L29" i="8"/>
  <c r="J34" i="2"/>
  <c r="I37" i="2"/>
  <c r="K18" i="2"/>
  <c r="J21" i="2"/>
  <c r="AA29" i="4"/>
  <c r="Z34" i="4"/>
  <c r="K30" i="5"/>
  <c r="G30" i="5"/>
  <c r="L30" i="5"/>
  <c r="H30" i="5"/>
  <c r="X5" i="5"/>
  <c r="Z5" i="5" s="1"/>
  <c r="I30" i="5"/>
  <c r="E30" i="5"/>
  <c r="E35" i="5" s="1"/>
  <c r="E38" i="5" s="1"/>
  <c r="J30" i="5"/>
  <c r="F30" i="5"/>
  <c r="F35" i="5" s="1"/>
  <c r="F38" i="5" s="1"/>
  <c r="F30" i="7"/>
  <c r="F35" i="7" s="1"/>
  <c r="F38" i="7" s="1"/>
  <c r="G29" i="7"/>
  <c r="B63" i="7"/>
  <c r="G74" i="7"/>
  <c r="H73" i="7"/>
  <c r="F58" i="7"/>
  <c r="N5" i="7"/>
  <c r="C56" i="7"/>
  <c r="C39" i="7"/>
  <c r="F102" i="7"/>
  <c r="F77" i="7"/>
  <c r="G76" i="7"/>
  <c r="M5" i="6"/>
  <c r="E58" i="6"/>
  <c r="L5" i="6"/>
  <c r="B93" i="6"/>
  <c r="B103" i="6" s="1"/>
  <c r="H11" i="6"/>
  <c r="H5" i="6"/>
  <c r="B90" i="6" s="1"/>
  <c r="F74" i="6"/>
  <c r="G73" i="6"/>
  <c r="E30" i="6"/>
  <c r="E35" i="6" s="1"/>
  <c r="E38" i="6" s="1"/>
  <c r="F29" i="6"/>
  <c r="E77" i="6"/>
  <c r="E79" i="6" s="1"/>
  <c r="E82" i="6" s="1"/>
  <c r="F76" i="6"/>
  <c r="M17" i="6"/>
  <c r="F102" i="6"/>
  <c r="B49" i="6"/>
  <c r="B59" i="6" s="1"/>
  <c r="G5" i="6"/>
  <c r="B46" i="6" s="1"/>
  <c r="G11" i="6"/>
  <c r="L17" i="6"/>
  <c r="D37" i="5"/>
  <c r="E37" i="5" s="1"/>
  <c r="F37" i="5" s="1"/>
  <c r="G37" i="5" s="1"/>
  <c r="H37" i="5" s="1"/>
  <c r="I37" i="5" s="1"/>
  <c r="J37" i="5" s="1"/>
  <c r="K37" i="5" s="1"/>
  <c r="L37" i="5" s="1"/>
  <c r="M37" i="5" s="1"/>
  <c r="N37" i="5" s="1"/>
  <c r="O37" i="5" s="1"/>
  <c r="P37" i="5" s="1"/>
  <c r="Q37" i="5" s="1"/>
  <c r="C38" i="5"/>
  <c r="N29" i="5"/>
  <c r="M30" i="5"/>
  <c r="E77" i="5"/>
  <c r="D77" i="5"/>
  <c r="C11" i="5"/>
  <c r="C12" i="5" s="1"/>
  <c r="D79" i="5"/>
  <c r="D82" i="5" s="1"/>
  <c r="C77" i="5"/>
  <c r="C79" i="5" s="1"/>
  <c r="C82" i="5" s="1"/>
  <c r="D35" i="5"/>
  <c r="G31" i="5"/>
  <c r="F73" i="5"/>
  <c r="F77" i="5" s="1"/>
  <c r="E74" i="5"/>
  <c r="F8" i="1"/>
  <c r="F7" i="1"/>
  <c r="A115" i="5"/>
  <c r="A108" i="5"/>
  <c r="A97" i="5"/>
  <c r="A71" i="5"/>
  <c r="A87" i="5"/>
  <c r="A64" i="5"/>
  <c r="A53" i="5"/>
  <c r="A43" i="5"/>
  <c r="C29" i="5"/>
  <c r="B17" i="5"/>
  <c r="X7" i="5" s="1"/>
  <c r="C9" i="5"/>
  <c r="B11" i="5"/>
  <c r="A27" i="5"/>
  <c r="C58" i="5"/>
  <c r="C102" i="5"/>
  <c r="G4" i="4"/>
  <c r="G13" i="4" s="1"/>
  <c r="G18" i="4" s="1"/>
  <c r="F4" i="4"/>
  <c r="F13" i="4" s="1"/>
  <c r="F18" i="4" s="1"/>
  <c r="J30" i="9" l="1"/>
  <c r="L6" i="9" s="1"/>
  <c r="L8" i="9" s="1"/>
  <c r="J33" i="9"/>
  <c r="K60" i="9"/>
  <c r="K57" i="9"/>
  <c r="K61" i="9" s="1"/>
  <c r="L60" i="9" s="1"/>
  <c r="J37" i="9"/>
  <c r="I43" i="9"/>
  <c r="N67" i="9"/>
  <c r="J70" i="9"/>
  <c r="K64" i="9"/>
  <c r="N50" i="9"/>
  <c r="N55" i="9"/>
  <c r="N63" i="9" s="1"/>
  <c r="O46" i="9"/>
  <c r="O65" i="9"/>
  <c r="O51" i="9"/>
  <c r="M53" i="9"/>
  <c r="M56" i="9" s="1"/>
  <c r="L26" i="9"/>
  <c r="L29" i="9" s="1"/>
  <c r="M21" i="9"/>
  <c r="M23" i="9" s="1"/>
  <c r="N20" i="9"/>
  <c r="P40" i="9"/>
  <c r="M24" i="9"/>
  <c r="M25" i="9" s="1"/>
  <c r="M38" i="9"/>
  <c r="M29" i="8"/>
  <c r="N26" i="8"/>
  <c r="M21" i="8"/>
  <c r="N18" i="8"/>
  <c r="L37" i="8"/>
  <c r="M34" i="8"/>
  <c r="J37" i="2"/>
  <c r="K34" i="2"/>
  <c r="L18" i="2"/>
  <c r="K21" i="2"/>
  <c r="AB29" i="4"/>
  <c r="AA34" i="4"/>
  <c r="G102" i="7"/>
  <c r="L6" i="7"/>
  <c r="C40" i="7"/>
  <c r="G58" i="7"/>
  <c r="H74" i="7"/>
  <c r="I73" i="7"/>
  <c r="O5" i="7"/>
  <c r="G77" i="7"/>
  <c r="H76" i="7"/>
  <c r="D39" i="7"/>
  <c r="G30" i="7"/>
  <c r="G35" i="7" s="1"/>
  <c r="G38" i="7" s="1"/>
  <c r="H29" i="7"/>
  <c r="G6" i="6"/>
  <c r="C59" i="6"/>
  <c r="N5" i="6"/>
  <c r="H6" i="6"/>
  <c r="F58" i="6"/>
  <c r="N17" i="6"/>
  <c r="B66" i="6"/>
  <c r="B69" i="6" s="1"/>
  <c r="B55" i="6"/>
  <c r="K11" i="6"/>
  <c r="K14" i="6" s="1"/>
  <c r="G102" i="6"/>
  <c r="G76" i="6"/>
  <c r="F77" i="6"/>
  <c r="F79" i="6" s="1"/>
  <c r="F82" i="6" s="1"/>
  <c r="F30" i="6"/>
  <c r="F35" i="6" s="1"/>
  <c r="F38" i="6" s="1"/>
  <c r="G29" i="6"/>
  <c r="G74" i="6"/>
  <c r="H73" i="6"/>
  <c r="B99" i="6"/>
  <c r="B110" i="6"/>
  <c r="B113" i="6" s="1"/>
  <c r="K23" i="6"/>
  <c r="K26" i="6" s="1"/>
  <c r="C103" i="6"/>
  <c r="D38" i="5"/>
  <c r="Z7" i="5"/>
  <c r="Z9" i="5" s="1"/>
  <c r="Z10" i="5" s="1"/>
  <c r="Z11" i="5" s="1"/>
  <c r="H19" i="5" s="1"/>
  <c r="O29" i="5"/>
  <c r="N30" i="5"/>
  <c r="C14" i="5"/>
  <c r="E79" i="5"/>
  <c r="E82" i="5" s="1"/>
  <c r="C80" i="5"/>
  <c r="D80" i="5" s="1"/>
  <c r="E80" i="5" s="1"/>
  <c r="F80" i="5" s="1"/>
  <c r="G80" i="5" s="1"/>
  <c r="H80" i="5" s="1"/>
  <c r="I80" i="5" s="1"/>
  <c r="J80" i="5" s="1"/>
  <c r="K80" i="5" s="1"/>
  <c r="L80" i="5" s="1"/>
  <c r="M80" i="5" s="1"/>
  <c r="N80" i="5" s="1"/>
  <c r="O80" i="5" s="1"/>
  <c r="P80" i="5" s="1"/>
  <c r="Q80" i="5" s="1"/>
  <c r="H31" i="5"/>
  <c r="G35" i="5"/>
  <c r="G38" i="5" s="1"/>
  <c r="F74" i="5"/>
  <c r="F79" i="5" s="1"/>
  <c r="F82" i="5" s="1"/>
  <c r="G73" i="5"/>
  <c r="G77" i="5" s="1"/>
  <c r="G8" i="1"/>
  <c r="G7" i="1"/>
  <c r="D102" i="5"/>
  <c r="L17" i="5"/>
  <c r="B12" i="5"/>
  <c r="D36" i="5" s="1"/>
  <c r="E36" i="5" s="1"/>
  <c r="F36" i="5" s="1"/>
  <c r="G36" i="5" s="1"/>
  <c r="H36" i="5" s="1"/>
  <c r="I36" i="5" s="1"/>
  <c r="J36" i="5" s="1"/>
  <c r="K36" i="5" s="1"/>
  <c r="L36" i="5" s="1"/>
  <c r="M36" i="5" s="1"/>
  <c r="N36" i="5" s="1"/>
  <c r="O36" i="5" s="1"/>
  <c r="P36" i="5" s="1"/>
  <c r="Q36" i="5" s="1"/>
  <c r="B14" i="5"/>
  <c r="G8" i="5"/>
  <c r="H8" i="5"/>
  <c r="D58" i="5"/>
  <c r="C69" i="4"/>
  <c r="Q44" i="4"/>
  <c r="Q54" i="4" s="1"/>
  <c r="Q65" i="4" s="1"/>
  <c r="P44" i="4"/>
  <c r="P54" i="4" s="1"/>
  <c r="P65" i="4" s="1"/>
  <c r="O44" i="4"/>
  <c r="O54" i="4" s="1"/>
  <c r="O65" i="4" s="1"/>
  <c r="N44" i="4"/>
  <c r="N54" i="4" s="1"/>
  <c r="N65" i="4" s="1"/>
  <c r="M44" i="4"/>
  <c r="M54" i="4" s="1"/>
  <c r="M65" i="4" s="1"/>
  <c r="L44" i="4"/>
  <c r="L54" i="4" s="1"/>
  <c r="L65" i="4" s="1"/>
  <c r="K44" i="4"/>
  <c r="K54" i="4" s="1"/>
  <c r="K65" i="4" s="1"/>
  <c r="J44" i="4"/>
  <c r="J54" i="4" s="1"/>
  <c r="J65" i="4" s="1"/>
  <c r="I44" i="4"/>
  <c r="I54" i="4" s="1"/>
  <c r="I65" i="4" s="1"/>
  <c r="H44" i="4"/>
  <c r="H54" i="4" s="1"/>
  <c r="H65" i="4" s="1"/>
  <c r="G44" i="4"/>
  <c r="G54" i="4" s="1"/>
  <c r="G65" i="4" s="1"/>
  <c r="F44" i="4"/>
  <c r="F54" i="4" s="1"/>
  <c r="F65" i="4" s="1"/>
  <c r="E44" i="4"/>
  <c r="E54" i="4" s="1"/>
  <c r="E65" i="4" s="1"/>
  <c r="D44" i="4"/>
  <c r="D54" i="4" s="1"/>
  <c r="D65" i="4" s="1"/>
  <c r="C44" i="4"/>
  <c r="C54" i="4" s="1"/>
  <c r="C65" i="4" s="1"/>
  <c r="B41" i="4"/>
  <c r="B39" i="4"/>
  <c r="D34" i="4"/>
  <c r="E34" i="4" s="1"/>
  <c r="F34" i="4" s="1"/>
  <c r="G34" i="4" s="1"/>
  <c r="H34" i="4" s="1"/>
  <c r="I34" i="4" s="1"/>
  <c r="J34" i="4" s="1"/>
  <c r="K34" i="4" s="1"/>
  <c r="L34" i="4" s="1"/>
  <c r="M34" i="4" s="1"/>
  <c r="N34" i="4" s="1"/>
  <c r="O34" i="4" s="1"/>
  <c r="P34" i="4" s="1"/>
  <c r="Q34" i="4" s="1"/>
  <c r="C34" i="4"/>
  <c r="D32" i="4"/>
  <c r="E32" i="4" s="1"/>
  <c r="F32" i="4" s="1"/>
  <c r="G32" i="4" s="1"/>
  <c r="H32" i="4" s="1"/>
  <c r="I32" i="4" s="1"/>
  <c r="J32" i="4" s="1"/>
  <c r="K32" i="4" s="1"/>
  <c r="L32" i="4" s="1"/>
  <c r="M32" i="4" s="1"/>
  <c r="N32" i="4" s="1"/>
  <c r="O32" i="4" s="1"/>
  <c r="P32" i="4" s="1"/>
  <c r="Q32" i="4" s="1"/>
  <c r="C32" i="4"/>
  <c r="E31" i="4"/>
  <c r="F31" i="4" s="1"/>
  <c r="G31" i="4" s="1"/>
  <c r="H31" i="4" s="1"/>
  <c r="I31" i="4" s="1"/>
  <c r="J31" i="4" s="1"/>
  <c r="K31" i="4" s="1"/>
  <c r="L31" i="4" s="1"/>
  <c r="M31" i="4" s="1"/>
  <c r="N31" i="4" s="1"/>
  <c r="O31" i="4" s="1"/>
  <c r="P31" i="4" s="1"/>
  <c r="Q31" i="4" s="1"/>
  <c r="C31" i="4"/>
  <c r="D31" i="4" s="1"/>
  <c r="C113" i="4"/>
  <c r="B92" i="4"/>
  <c r="B102" i="4" s="1"/>
  <c r="Q88" i="4"/>
  <c r="Q98" i="4" s="1"/>
  <c r="Q109" i="4" s="1"/>
  <c r="P88" i="4"/>
  <c r="P98" i="4" s="1"/>
  <c r="P109" i="4" s="1"/>
  <c r="O88" i="4"/>
  <c r="O98" i="4" s="1"/>
  <c r="O109" i="4" s="1"/>
  <c r="N88" i="4"/>
  <c r="N98" i="4" s="1"/>
  <c r="N109" i="4" s="1"/>
  <c r="M88" i="4"/>
  <c r="M98" i="4" s="1"/>
  <c r="M109" i="4" s="1"/>
  <c r="L88" i="4"/>
  <c r="L98" i="4" s="1"/>
  <c r="L109" i="4" s="1"/>
  <c r="K88" i="4"/>
  <c r="K98" i="4" s="1"/>
  <c r="K109" i="4" s="1"/>
  <c r="J88" i="4"/>
  <c r="J98" i="4" s="1"/>
  <c r="J109" i="4" s="1"/>
  <c r="I88" i="4"/>
  <c r="I98" i="4" s="1"/>
  <c r="I109" i="4" s="1"/>
  <c r="H88" i="4"/>
  <c r="H98" i="4" s="1"/>
  <c r="H109" i="4" s="1"/>
  <c r="G88" i="4"/>
  <c r="G98" i="4" s="1"/>
  <c r="G109" i="4" s="1"/>
  <c r="F88" i="4"/>
  <c r="F98" i="4" s="1"/>
  <c r="F109" i="4" s="1"/>
  <c r="E88" i="4"/>
  <c r="E98" i="4" s="1"/>
  <c r="E109" i="4" s="1"/>
  <c r="D88" i="4"/>
  <c r="D98" i="4" s="1"/>
  <c r="D109" i="4" s="1"/>
  <c r="C88" i="4"/>
  <c r="C98" i="4" s="1"/>
  <c r="C109" i="4" s="1"/>
  <c r="B85" i="4"/>
  <c r="B83" i="4"/>
  <c r="C81" i="4"/>
  <c r="D81" i="4" s="1"/>
  <c r="E81" i="4" s="1"/>
  <c r="F81" i="4" s="1"/>
  <c r="G81" i="4" s="1"/>
  <c r="H81" i="4" s="1"/>
  <c r="I81" i="4" s="1"/>
  <c r="J81" i="4" s="1"/>
  <c r="K81" i="4" s="1"/>
  <c r="L81" i="4" s="1"/>
  <c r="M81" i="4" s="1"/>
  <c r="N81" i="4" s="1"/>
  <c r="O81" i="4" s="1"/>
  <c r="P81" i="4" s="1"/>
  <c r="Q81" i="4" s="1"/>
  <c r="C78" i="4"/>
  <c r="D78" i="4" s="1"/>
  <c r="E78" i="4" s="1"/>
  <c r="F78" i="4" s="1"/>
  <c r="G78" i="4" s="1"/>
  <c r="H78" i="4" s="1"/>
  <c r="I78" i="4" s="1"/>
  <c r="J78" i="4" s="1"/>
  <c r="K78" i="4" s="1"/>
  <c r="L78" i="4" s="1"/>
  <c r="M78" i="4" s="1"/>
  <c r="N78" i="4" s="1"/>
  <c r="O78" i="4" s="1"/>
  <c r="P78" i="4" s="1"/>
  <c r="Q78" i="4" s="1"/>
  <c r="C75" i="4"/>
  <c r="D75" i="4" s="1"/>
  <c r="E75" i="4" s="1"/>
  <c r="F75" i="4" s="1"/>
  <c r="G75" i="4" s="1"/>
  <c r="H75" i="4" s="1"/>
  <c r="I75" i="4" s="1"/>
  <c r="J75" i="4" s="1"/>
  <c r="K75" i="4" s="1"/>
  <c r="L75" i="4" s="1"/>
  <c r="M75" i="4" s="1"/>
  <c r="N75" i="4" s="1"/>
  <c r="O75" i="4" s="1"/>
  <c r="P75" i="4" s="1"/>
  <c r="Q75" i="4" s="1"/>
  <c r="C73" i="4"/>
  <c r="D73" i="4" s="1"/>
  <c r="E73" i="4" s="1"/>
  <c r="F73" i="4" s="1"/>
  <c r="G73" i="4" s="1"/>
  <c r="H73" i="4" s="1"/>
  <c r="I73" i="4" s="1"/>
  <c r="J73" i="4" s="1"/>
  <c r="K73" i="4" s="1"/>
  <c r="L73" i="4" s="1"/>
  <c r="M73" i="4" s="1"/>
  <c r="N73" i="4" s="1"/>
  <c r="O73" i="4" s="1"/>
  <c r="P73" i="4" s="1"/>
  <c r="Q73" i="4" s="1"/>
  <c r="K11" i="4"/>
  <c r="K14" i="4" s="1"/>
  <c r="B13" i="4"/>
  <c r="C37" i="4" s="1"/>
  <c r="D37" i="4" s="1"/>
  <c r="E37" i="4" s="1"/>
  <c r="F37" i="4" s="1"/>
  <c r="G37" i="4" s="1"/>
  <c r="H37" i="4" s="1"/>
  <c r="I37" i="4" s="1"/>
  <c r="J37" i="4" s="1"/>
  <c r="K37" i="4" s="1"/>
  <c r="L37" i="4" s="1"/>
  <c r="M37" i="4" s="1"/>
  <c r="N37" i="4" s="1"/>
  <c r="O37" i="4" s="1"/>
  <c r="P37" i="4" s="1"/>
  <c r="Q37" i="4" s="1"/>
  <c r="K23" i="4"/>
  <c r="K26" i="4" s="1"/>
  <c r="F9" i="4"/>
  <c r="B50" i="4" s="1"/>
  <c r="B60" i="4" s="1"/>
  <c r="C60" i="4" s="1"/>
  <c r="D60" i="4" s="1"/>
  <c r="E60" i="4" s="1"/>
  <c r="F60" i="4" s="1"/>
  <c r="G60" i="4" s="1"/>
  <c r="H60" i="4" s="1"/>
  <c r="I60" i="4" s="1"/>
  <c r="J60" i="4" s="1"/>
  <c r="K60" i="4" s="1"/>
  <c r="L60" i="4" s="1"/>
  <c r="M60" i="4" s="1"/>
  <c r="N60" i="4" s="1"/>
  <c r="O60" i="4" s="1"/>
  <c r="P60" i="4" s="1"/>
  <c r="Q60" i="4" s="1"/>
  <c r="G9" i="4"/>
  <c r="B94" i="4" s="1"/>
  <c r="B104" i="4" s="1"/>
  <c r="C104" i="4" s="1"/>
  <c r="D104" i="4" s="1"/>
  <c r="E104" i="4" s="1"/>
  <c r="F104" i="4" s="1"/>
  <c r="G104" i="4" s="1"/>
  <c r="H104" i="4" s="1"/>
  <c r="I104" i="4" s="1"/>
  <c r="J104" i="4" s="1"/>
  <c r="K104" i="4" s="1"/>
  <c r="L104" i="4" s="1"/>
  <c r="M104" i="4" s="1"/>
  <c r="N104" i="4" s="1"/>
  <c r="O104" i="4" s="1"/>
  <c r="P104" i="4" s="1"/>
  <c r="Q104" i="4" s="1"/>
  <c r="F7" i="4"/>
  <c r="B48" i="4" s="1"/>
  <c r="B58" i="4" s="1"/>
  <c r="C58" i="4" s="1"/>
  <c r="D58" i="4" s="1"/>
  <c r="E58" i="4" s="1"/>
  <c r="F58" i="4" s="1"/>
  <c r="G58" i="4" s="1"/>
  <c r="H58" i="4" s="1"/>
  <c r="I58" i="4" s="1"/>
  <c r="J58" i="4" s="1"/>
  <c r="K58" i="4" s="1"/>
  <c r="L58" i="4" s="1"/>
  <c r="C8" i="4"/>
  <c r="C6" i="4"/>
  <c r="C74" i="4" s="1"/>
  <c r="D74" i="4" s="1"/>
  <c r="E74" i="4" s="1"/>
  <c r="F74" i="4" s="1"/>
  <c r="G74" i="4" s="1"/>
  <c r="H74" i="4" s="1"/>
  <c r="I74" i="4" s="1"/>
  <c r="J74" i="4" s="1"/>
  <c r="K74" i="4" s="1"/>
  <c r="L74" i="4" s="1"/>
  <c r="M74" i="4" s="1"/>
  <c r="N74" i="4" s="1"/>
  <c r="O74" i="4" s="1"/>
  <c r="P74" i="4" s="1"/>
  <c r="Q74" i="4" s="1"/>
  <c r="B5" i="4"/>
  <c r="A1" i="4"/>
  <c r="A3" i="4" s="1"/>
  <c r="J34" i="9" l="1"/>
  <c r="L57" i="9"/>
  <c r="L61" i="9" s="1"/>
  <c r="K68" i="9"/>
  <c r="K69" i="9" s="1"/>
  <c r="K70" i="9" s="1"/>
  <c r="N53" i="9"/>
  <c r="N56" i="9" s="1"/>
  <c r="P65" i="9"/>
  <c r="P51" i="9"/>
  <c r="P46" i="9"/>
  <c r="O55" i="9"/>
  <c r="O63" i="9" s="1"/>
  <c r="O50" i="9"/>
  <c r="O67" i="9"/>
  <c r="M26" i="9"/>
  <c r="M29" i="9" s="1"/>
  <c r="N21" i="9"/>
  <c r="N23" i="9" s="1"/>
  <c r="O20" i="9"/>
  <c r="Q40" i="9"/>
  <c r="N38" i="9"/>
  <c r="N24" i="9"/>
  <c r="N25" i="9" s="1"/>
  <c r="N34" i="8"/>
  <c r="M37" i="8"/>
  <c r="O18" i="8"/>
  <c r="N21" i="8"/>
  <c r="O26" i="8"/>
  <c r="N29" i="8"/>
  <c r="L34" i="2"/>
  <c r="K37" i="2"/>
  <c r="M18" i="2"/>
  <c r="L21" i="2"/>
  <c r="C76" i="4"/>
  <c r="D76" i="4" s="1"/>
  <c r="E76" i="4" s="1"/>
  <c r="F76" i="4" s="1"/>
  <c r="G76" i="4" s="1"/>
  <c r="H76" i="4" s="1"/>
  <c r="I76" i="4" s="1"/>
  <c r="J76" i="4" s="1"/>
  <c r="K76" i="4" s="1"/>
  <c r="L76" i="4" s="1"/>
  <c r="M76" i="4" s="1"/>
  <c r="N76" i="4" s="1"/>
  <c r="O76" i="4" s="1"/>
  <c r="P76" i="4" s="1"/>
  <c r="Q76" i="4" s="1"/>
  <c r="D8" i="4"/>
  <c r="AC29" i="4"/>
  <c r="AB34" i="4"/>
  <c r="P5" i="7"/>
  <c r="M6" i="7"/>
  <c r="D40" i="7"/>
  <c r="D47" i="7"/>
  <c r="H77" i="7"/>
  <c r="I76" i="7"/>
  <c r="I74" i="7"/>
  <c r="J73" i="7"/>
  <c r="H58" i="7"/>
  <c r="C41" i="7"/>
  <c r="L8" i="7" s="1"/>
  <c r="L7" i="7"/>
  <c r="I29" i="7"/>
  <c r="H30" i="7"/>
  <c r="H35" i="7" s="1"/>
  <c r="H38" i="7" s="1"/>
  <c r="H102" i="7"/>
  <c r="O17" i="6"/>
  <c r="D103" i="6"/>
  <c r="O5" i="6"/>
  <c r="G77" i="6"/>
  <c r="G79" i="6" s="1"/>
  <c r="G82" i="6" s="1"/>
  <c r="H76" i="6"/>
  <c r="H102" i="6"/>
  <c r="G58" i="6"/>
  <c r="D59" i="6"/>
  <c r="H74" i="6"/>
  <c r="I73" i="6"/>
  <c r="G30" i="6"/>
  <c r="G35" i="6" s="1"/>
  <c r="G38" i="6" s="1"/>
  <c r="H29" i="6"/>
  <c r="B91" i="6"/>
  <c r="H16" i="6"/>
  <c r="H14" i="6"/>
  <c r="H12" i="6"/>
  <c r="B47" i="6"/>
  <c r="G12" i="6"/>
  <c r="G16" i="6"/>
  <c r="G14" i="6"/>
  <c r="C29" i="4"/>
  <c r="D29" i="4" s="1"/>
  <c r="E29" i="4" s="1"/>
  <c r="F29" i="4" s="1"/>
  <c r="G29" i="4" s="1"/>
  <c r="H29" i="4" s="1"/>
  <c r="I29" i="4" s="1"/>
  <c r="J29" i="4" s="1"/>
  <c r="K29" i="4" s="1"/>
  <c r="L29" i="4" s="1"/>
  <c r="B17" i="4"/>
  <c r="M58" i="4"/>
  <c r="N58" i="4" s="1"/>
  <c r="O58" i="4" s="1"/>
  <c r="P58" i="4" s="1"/>
  <c r="Q58" i="4" s="1"/>
  <c r="X8" i="4" s="1"/>
  <c r="W8" i="4"/>
  <c r="C102" i="4"/>
  <c r="D102" i="4" s="1"/>
  <c r="E102" i="4" s="1"/>
  <c r="F102" i="4" s="1"/>
  <c r="G102" i="4" s="1"/>
  <c r="H102" i="4" s="1"/>
  <c r="I102" i="4" s="1"/>
  <c r="J102" i="4" s="1"/>
  <c r="K102" i="4" s="1"/>
  <c r="L102" i="4" s="1"/>
  <c r="M102" i="4" s="1"/>
  <c r="N102" i="4" s="1"/>
  <c r="O102" i="4" s="1"/>
  <c r="P102" i="4" s="1"/>
  <c r="Q102" i="4" s="1"/>
  <c r="P29" i="5"/>
  <c r="O30" i="5"/>
  <c r="I31" i="5"/>
  <c r="H35" i="5"/>
  <c r="H38" i="5" s="1"/>
  <c r="G74" i="5"/>
  <c r="G79" i="5" s="1"/>
  <c r="G82" i="5" s="1"/>
  <c r="H73" i="5"/>
  <c r="H77" i="5" s="1"/>
  <c r="H8" i="1"/>
  <c r="H7" i="1"/>
  <c r="B93" i="5"/>
  <c r="B103" i="5" s="1"/>
  <c r="H11" i="5"/>
  <c r="H5" i="5"/>
  <c r="B90" i="5" s="1"/>
  <c r="L5" i="5"/>
  <c r="E102" i="5"/>
  <c r="E58" i="5"/>
  <c r="B49" i="5"/>
  <c r="B59" i="5" s="1"/>
  <c r="G5" i="5"/>
  <c r="B46" i="5" s="1"/>
  <c r="G11" i="5"/>
  <c r="M17" i="5"/>
  <c r="C9" i="4"/>
  <c r="C77" i="4" s="1"/>
  <c r="D77" i="4" s="1"/>
  <c r="E77" i="4" s="1"/>
  <c r="F77" i="4" s="1"/>
  <c r="G77" i="4" s="1"/>
  <c r="H77" i="4" s="1"/>
  <c r="I77" i="4" s="1"/>
  <c r="J77" i="4" s="1"/>
  <c r="K77" i="4" s="1"/>
  <c r="L77" i="4" s="1"/>
  <c r="M77" i="4" s="1"/>
  <c r="N77" i="4" s="1"/>
  <c r="O77" i="4" s="1"/>
  <c r="P77" i="4" s="1"/>
  <c r="Q77" i="4" s="1"/>
  <c r="A71" i="4"/>
  <c r="A64" i="4"/>
  <c r="A53" i="4"/>
  <c r="A43" i="4"/>
  <c r="A108" i="4"/>
  <c r="A115" i="4"/>
  <c r="A97" i="4"/>
  <c r="A87" i="4"/>
  <c r="B6" i="4"/>
  <c r="B9" i="4"/>
  <c r="C33" i="4" s="1"/>
  <c r="D33" i="4" s="1"/>
  <c r="E33" i="4" s="1"/>
  <c r="F33" i="4" s="1"/>
  <c r="G33" i="4" s="1"/>
  <c r="H33" i="4" s="1"/>
  <c r="I33" i="4" s="1"/>
  <c r="J33" i="4" s="1"/>
  <c r="K33" i="4" s="1"/>
  <c r="L33" i="4" s="1"/>
  <c r="M33" i="4" s="1"/>
  <c r="N33" i="4" s="1"/>
  <c r="O33" i="4" s="1"/>
  <c r="P33" i="4" s="1"/>
  <c r="Q33" i="4" s="1"/>
  <c r="C11" i="4"/>
  <c r="A27" i="4"/>
  <c r="K33" i="9" l="1"/>
  <c r="K30" i="9"/>
  <c r="J41" i="9"/>
  <c r="J42" i="9" s="1"/>
  <c r="J43" i="9" s="1"/>
  <c r="L68" i="9"/>
  <c r="L69" i="9" s="1"/>
  <c r="L70" i="9" s="1"/>
  <c r="M57" i="9"/>
  <c r="M60" i="9"/>
  <c r="L64" i="9"/>
  <c r="M61" i="9"/>
  <c r="N60" i="9" s="1"/>
  <c r="P67" i="9"/>
  <c r="P50" i="9"/>
  <c r="O53" i="9"/>
  <c r="O56" i="9" s="1"/>
  <c r="M64" i="9"/>
  <c r="Q65" i="9"/>
  <c r="R65" i="9" s="1"/>
  <c r="Q51" i="9"/>
  <c r="P55" i="9"/>
  <c r="P63" i="9" s="1"/>
  <c r="Q46" i="9"/>
  <c r="Q55" i="9" s="1"/>
  <c r="Q63" i="9" s="1"/>
  <c r="N26" i="9"/>
  <c r="N29" i="9" s="1"/>
  <c r="O21" i="9"/>
  <c r="O23" i="9" s="1"/>
  <c r="P20" i="9"/>
  <c r="O24" i="9"/>
  <c r="O25" i="9" s="1"/>
  <c r="O38" i="9"/>
  <c r="O29" i="8"/>
  <c r="P26" i="8"/>
  <c r="P29" i="8" s="1"/>
  <c r="B30" i="8" s="1"/>
  <c r="H14" i="8" s="1"/>
  <c r="O21" i="8"/>
  <c r="P18" i="8"/>
  <c r="P21" i="8" s="1"/>
  <c r="B22" i="8" s="1"/>
  <c r="G14" i="8" s="1"/>
  <c r="N37" i="8"/>
  <c r="O34" i="8"/>
  <c r="L37" i="2"/>
  <c r="M34" i="2"/>
  <c r="N18" i="2"/>
  <c r="M21" i="2"/>
  <c r="AD29" i="4"/>
  <c r="AC34" i="4"/>
  <c r="Q5" i="7"/>
  <c r="I102" i="7"/>
  <c r="I30" i="7"/>
  <c r="I35" i="7" s="1"/>
  <c r="I38" i="7" s="1"/>
  <c r="J29" i="7"/>
  <c r="C42" i="7"/>
  <c r="I58" i="7"/>
  <c r="J74" i="7"/>
  <c r="K73" i="7"/>
  <c r="I77" i="7"/>
  <c r="J76" i="7"/>
  <c r="M12" i="7"/>
  <c r="D56" i="7"/>
  <c r="D41" i="7"/>
  <c r="M8" i="7" s="1"/>
  <c r="M7" i="7"/>
  <c r="P17" i="6"/>
  <c r="G15" i="6"/>
  <c r="C47" i="6" s="1"/>
  <c r="L12" i="6" s="1"/>
  <c r="B56" i="6"/>
  <c r="K12" i="6"/>
  <c r="B52" i="6"/>
  <c r="H15" i="6"/>
  <c r="B100" i="6"/>
  <c r="K24" i="6"/>
  <c r="B96" i="6"/>
  <c r="H30" i="6"/>
  <c r="H35" i="6" s="1"/>
  <c r="H38" i="6" s="1"/>
  <c r="I29" i="6"/>
  <c r="I74" i="6"/>
  <c r="J73" i="6"/>
  <c r="H58" i="6"/>
  <c r="I102" i="6"/>
  <c r="H77" i="6"/>
  <c r="H79" i="6" s="1"/>
  <c r="H82" i="6" s="1"/>
  <c r="I76" i="6"/>
  <c r="P5" i="6"/>
  <c r="E59" i="6"/>
  <c r="E103" i="6"/>
  <c r="G6" i="5"/>
  <c r="G16" i="5" s="1"/>
  <c r="M29" i="4"/>
  <c r="N29" i="4" s="1"/>
  <c r="O29" i="4" s="1"/>
  <c r="P29" i="4" s="1"/>
  <c r="Q29" i="4" s="1"/>
  <c r="X5" i="4" s="1"/>
  <c r="W5" i="4"/>
  <c r="Q29" i="5"/>
  <c r="P30" i="5"/>
  <c r="J31" i="5"/>
  <c r="I35" i="5"/>
  <c r="I38" i="5" s="1"/>
  <c r="H74" i="5"/>
  <c r="H79" i="5" s="1"/>
  <c r="H82" i="5" s="1"/>
  <c r="I73" i="5"/>
  <c r="I77" i="5" s="1"/>
  <c r="H6" i="5"/>
  <c r="H16" i="5" s="1"/>
  <c r="I8" i="1"/>
  <c r="I7" i="1"/>
  <c r="B47" i="5"/>
  <c r="B52" i="5" s="1"/>
  <c r="N17" i="5"/>
  <c r="C59" i="5"/>
  <c r="M5" i="5"/>
  <c r="B91" i="5"/>
  <c r="B96" i="5" s="1"/>
  <c r="H14" i="5"/>
  <c r="B66" i="5"/>
  <c r="B69" i="5" s="1"/>
  <c r="B55" i="5"/>
  <c r="K11" i="5"/>
  <c r="K14" i="5" s="1"/>
  <c r="F58" i="5"/>
  <c r="F102" i="5"/>
  <c r="B110" i="5"/>
  <c r="B113" i="5" s="1"/>
  <c r="B99" i="5"/>
  <c r="K23" i="5"/>
  <c r="K26" i="5" s="1"/>
  <c r="C103" i="5"/>
  <c r="C79" i="4"/>
  <c r="D79" i="4" s="1"/>
  <c r="E79" i="4" s="1"/>
  <c r="F79" i="4" s="1"/>
  <c r="G79" i="4" s="1"/>
  <c r="H79" i="4" s="1"/>
  <c r="I79" i="4" s="1"/>
  <c r="J79" i="4" s="1"/>
  <c r="K79" i="4" s="1"/>
  <c r="L79" i="4" s="1"/>
  <c r="M79" i="4" s="1"/>
  <c r="N79" i="4" s="1"/>
  <c r="O79" i="4" s="1"/>
  <c r="P79" i="4" s="1"/>
  <c r="Q79" i="4" s="1"/>
  <c r="C14" i="4"/>
  <c r="C12" i="4"/>
  <c r="C80" i="4" s="1"/>
  <c r="D80" i="4" s="1"/>
  <c r="E80" i="4" s="1"/>
  <c r="F80" i="4" s="1"/>
  <c r="G80" i="4" s="1"/>
  <c r="H80" i="4" s="1"/>
  <c r="I80" i="4" s="1"/>
  <c r="J80" i="4" s="1"/>
  <c r="K80" i="4" s="1"/>
  <c r="L80" i="4" s="1"/>
  <c r="M80" i="4" s="1"/>
  <c r="N80" i="4" s="1"/>
  <c r="O80" i="4" s="1"/>
  <c r="P80" i="4" s="1"/>
  <c r="Q80" i="4" s="1"/>
  <c r="C30" i="4"/>
  <c r="D30" i="4" s="1"/>
  <c r="E30" i="4" s="1"/>
  <c r="F30" i="4" s="1"/>
  <c r="G30" i="4" s="1"/>
  <c r="H30" i="4" s="1"/>
  <c r="I30" i="4" s="1"/>
  <c r="J30" i="4" s="1"/>
  <c r="K30" i="4" s="1"/>
  <c r="L30" i="4" s="1"/>
  <c r="M30" i="4" s="1"/>
  <c r="N30" i="4" s="1"/>
  <c r="O30" i="4" s="1"/>
  <c r="P30" i="4" s="1"/>
  <c r="Q30" i="4" s="1"/>
  <c r="B11" i="4"/>
  <c r="M6" i="9" l="1"/>
  <c r="M8" i="9" s="1"/>
  <c r="K34" i="9"/>
  <c r="K37" i="9"/>
  <c r="N61" i="9"/>
  <c r="N68" i="9" s="1"/>
  <c r="N69" i="9" s="1"/>
  <c r="N57" i="9"/>
  <c r="M68" i="9"/>
  <c r="M69" i="9" s="1"/>
  <c r="M70" i="9" s="1"/>
  <c r="P53" i="9"/>
  <c r="P56" i="9" s="1"/>
  <c r="N64" i="9"/>
  <c r="Q50" i="9"/>
  <c r="O60" i="9"/>
  <c r="Q67" i="9"/>
  <c r="O26" i="9"/>
  <c r="O29" i="9" s="1"/>
  <c r="P21" i="9"/>
  <c r="Q20" i="9"/>
  <c r="P23" i="9"/>
  <c r="P24" i="9"/>
  <c r="P25" i="9" s="1"/>
  <c r="P38" i="9"/>
  <c r="P34" i="8"/>
  <c r="P37" i="8" s="1"/>
  <c r="B38" i="8" s="1"/>
  <c r="I14" i="8" s="1"/>
  <c r="O37" i="8"/>
  <c r="N34" i="2"/>
  <c r="M37" i="2"/>
  <c r="O18" i="2"/>
  <c r="N21" i="2"/>
  <c r="AE29" i="4"/>
  <c r="AD34" i="4"/>
  <c r="D42" i="7"/>
  <c r="E39" i="7"/>
  <c r="J77" i="7"/>
  <c r="K76" i="7"/>
  <c r="K74" i="7"/>
  <c r="L73" i="7"/>
  <c r="J58" i="7"/>
  <c r="J30" i="7"/>
  <c r="J35" i="7" s="1"/>
  <c r="J38" i="7" s="1"/>
  <c r="K29" i="7"/>
  <c r="C45" i="7"/>
  <c r="L9" i="7"/>
  <c r="C55" i="7"/>
  <c r="R5" i="7"/>
  <c r="J102" i="7"/>
  <c r="Q17" i="6"/>
  <c r="J102" i="6"/>
  <c r="I58" i="6"/>
  <c r="Q5" i="6"/>
  <c r="B61" i="6"/>
  <c r="B62" i="6" s="1"/>
  <c r="B63" i="6" s="1"/>
  <c r="C51" i="6"/>
  <c r="K13" i="6"/>
  <c r="C56" i="6"/>
  <c r="C39" i="6"/>
  <c r="F103" i="6"/>
  <c r="F59" i="6"/>
  <c r="I77" i="6"/>
  <c r="I79" i="6" s="1"/>
  <c r="I82" i="6" s="1"/>
  <c r="J76" i="6"/>
  <c r="J74" i="6"/>
  <c r="K73" i="6"/>
  <c r="I30" i="6"/>
  <c r="I35" i="6" s="1"/>
  <c r="I38" i="6" s="1"/>
  <c r="J29" i="6"/>
  <c r="C95" i="6"/>
  <c r="B105" i="6"/>
  <c r="B106" i="6" s="1"/>
  <c r="B107" i="6" s="1"/>
  <c r="K25" i="6"/>
  <c r="C83" i="6"/>
  <c r="G12" i="5"/>
  <c r="G14" i="5"/>
  <c r="X7" i="4"/>
  <c r="X9" i="4" s="1"/>
  <c r="X10" i="4" s="1"/>
  <c r="X11" i="4" s="1"/>
  <c r="F23" i="4" s="1"/>
  <c r="Z5" i="4"/>
  <c r="W7" i="4"/>
  <c r="Y5" i="4"/>
  <c r="Y5" i="5"/>
  <c r="Q30" i="5"/>
  <c r="K31" i="5"/>
  <c r="J35" i="5"/>
  <c r="J38" i="5" s="1"/>
  <c r="J73" i="5"/>
  <c r="J77" i="5" s="1"/>
  <c r="I74" i="5"/>
  <c r="I79" i="5" s="1"/>
  <c r="I82" i="5" s="1"/>
  <c r="H12" i="5"/>
  <c r="J8" i="1"/>
  <c r="J7" i="1"/>
  <c r="D103" i="5"/>
  <c r="B105" i="5"/>
  <c r="B106" i="5" s="1"/>
  <c r="C95" i="5"/>
  <c r="K25" i="5"/>
  <c r="G102" i="5"/>
  <c r="D59" i="5"/>
  <c r="O17" i="5"/>
  <c r="G15" i="5"/>
  <c r="C47" i="5" s="1"/>
  <c r="L12" i="5" s="1"/>
  <c r="G58" i="5"/>
  <c r="B61" i="5"/>
  <c r="B62" i="5" s="1"/>
  <c r="C51" i="5"/>
  <c r="K13" i="5"/>
  <c r="H15" i="5"/>
  <c r="B100" i="5"/>
  <c r="C83" i="5" s="1"/>
  <c r="C84" i="5" s="1"/>
  <c r="C85" i="5" s="1"/>
  <c r="C86" i="5" s="1"/>
  <c r="K24" i="5"/>
  <c r="N5" i="5"/>
  <c r="B56" i="5"/>
  <c r="K12" i="5"/>
  <c r="C82" i="4"/>
  <c r="C35" i="4"/>
  <c r="D35" i="4" s="1"/>
  <c r="E35" i="4" s="1"/>
  <c r="F35" i="4" s="1"/>
  <c r="G35" i="4" s="1"/>
  <c r="H35" i="4" s="1"/>
  <c r="I35" i="4" s="1"/>
  <c r="J35" i="4" s="1"/>
  <c r="K35" i="4" s="1"/>
  <c r="L35" i="4" s="1"/>
  <c r="M35" i="4" s="1"/>
  <c r="N35" i="4" s="1"/>
  <c r="O35" i="4" s="1"/>
  <c r="P35" i="4" s="1"/>
  <c r="Q35" i="4" s="1"/>
  <c r="B14" i="4"/>
  <c r="C38" i="4" s="1"/>
  <c r="B12" i="4"/>
  <c r="C36" i="4" s="1"/>
  <c r="D36" i="4" s="1"/>
  <c r="E36" i="4" s="1"/>
  <c r="F36" i="4" s="1"/>
  <c r="G36" i="4" s="1"/>
  <c r="H36" i="4" s="1"/>
  <c r="I36" i="4" s="1"/>
  <c r="J36" i="4" s="1"/>
  <c r="K36" i="4" s="1"/>
  <c r="L36" i="4" s="1"/>
  <c r="M36" i="4" s="1"/>
  <c r="N36" i="4" s="1"/>
  <c r="O36" i="4" s="1"/>
  <c r="P36" i="4" s="1"/>
  <c r="Q36" i="4" s="1"/>
  <c r="L30" i="9" l="1"/>
  <c r="N6" i="9" s="1"/>
  <c r="N8" i="9" s="1"/>
  <c r="L33" i="9"/>
  <c r="K41" i="9"/>
  <c r="K42" i="9" s="1"/>
  <c r="K43" i="9" s="1"/>
  <c r="O57" i="9"/>
  <c r="O61" i="9" s="1"/>
  <c r="P60" i="9"/>
  <c r="P57" i="9"/>
  <c r="O68" i="9"/>
  <c r="O69" i="9" s="1"/>
  <c r="N70" i="9"/>
  <c r="O64" i="9"/>
  <c r="Q53" i="9"/>
  <c r="Q56" i="9" s="1"/>
  <c r="P26" i="9"/>
  <c r="P29" i="9" s="1"/>
  <c r="Q21" i="9"/>
  <c r="Q23" i="9" s="1"/>
  <c r="Q38" i="9"/>
  <c r="R38" i="9" s="1"/>
  <c r="Q24" i="9"/>
  <c r="Q25" i="9" s="1"/>
  <c r="N37" i="2"/>
  <c r="O34" i="2"/>
  <c r="P18" i="2"/>
  <c r="P21" i="2" s="1"/>
  <c r="O21" i="2"/>
  <c r="AF29" i="4"/>
  <c r="AE34" i="4"/>
  <c r="K102" i="7"/>
  <c r="C52" i="7"/>
  <c r="L10" i="7"/>
  <c r="K30" i="7"/>
  <c r="K35" i="7" s="1"/>
  <c r="K38" i="7" s="1"/>
  <c r="L29" i="7"/>
  <c r="S5" i="7"/>
  <c r="K58" i="7"/>
  <c r="L74" i="7"/>
  <c r="M73" i="7"/>
  <c r="K77" i="7"/>
  <c r="L76" i="7"/>
  <c r="N6" i="7"/>
  <c r="E47" i="7"/>
  <c r="E40" i="7"/>
  <c r="D45" i="7"/>
  <c r="M9" i="7"/>
  <c r="R17" i="6"/>
  <c r="R5" i="6"/>
  <c r="G59" i="6"/>
  <c r="G103" i="6"/>
  <c r="D39" i="6"/>
  <c r="J30" i="6"/>
  <c r="J35" i="6" s="1"/>
  <c r="J38" i="6" s="1"/>
  <c r="K29" i="6"/>
  <c r="K74" i="6"/>
  <c r="L73" i="6"/>
  <c r="J77" i="6"/>
  <c r="J79" i="6" s="1"/>
  <c r="J82" i="6" s="1"/>
  <c r="K76" i="6"/>
  <c r="L6" i="6"/>
  <c r="C40" i="6"/>
  <c r="J58" i="6"/>
  <c r="K102" i="6"/>
  <c r="L18" i="6"/>
  <c r="C84" i="6"/>
  <c r="C91" i="6"/>
  <c r="Z7" i="4"/>
  <c r="Z9" i="4" s="1"/>
  <c r="Z10" i="4" s="1"/>
  <c r="Z11" i="4" s="1"/>
  <c r="G23" i="4" s="1"/>
  <c r="Y7" i="4"/>
  <c r="Y9" i="4" s="1"/>
  <c r="Y10" i="4" s="1"/>
  <c r="Y11" i="4" s="1"/>
  <c r="G19" i="4" s="1"/>
  <c r="W9" i="4"/>
  <c r="W10" i="4" s="1"/>
  <c r="W11" i="4" s="1"/>
  <c r="F19" i="4" s="1"/>
  <c r="AA5" i="5"/>
  <c r="Y7" i="5"/>
  <c r="L31" i="5"/>
  <c r="K35" i="5"/>
  <c r="K38" i="5" s="1"/>
  <c r="J74" i="5"/>
  <c r="J79" i="5" s="1"/>
  <c r="J82" i="5" s="1"/>
  <c r="K73" i="5"/>
  <c r="K77" i="5" s="1"/>
  <c r="K8" i="1"/>
  <c r="K7" i="1"/>
  <c r="L7" i="1" s="1"/>
  <c r="C56" i="5"/>
  <c r="C39" i="5"/>
  <c r="O5" i="5"/>
  <c r="B63" i="5"/>
  <c r="P17" i="5"/>
  <c r="H58" i="5"/>
  <c r="E59" i="5"/>
  <c r="H102" i="5"/>
  <c r="B107" i="5"/>
  <c r="E103" i="5"/>
  <c r="D38" i="4"/>
  <c r="K5" i="4"/>
  <c r="F8" i="4"/>
  <c r="F11" i="4" s="1"/>
  <c r="G8" i="4"/>
  <c r="D82" i="4"/>
  <c r="K17" i="4"/>
  <c r="L37" i="9" l="1"/>
  <c r="L34" i="9"/>
  <c r="P61" i="9"/>
  <c r="P68" i="9" s="1"/>
  <c r="P69" i="9" s="1"/>
  <c r="P64" i="9"/>
  <c r="O70" i="9"/>
  <c r="Q26" i="9"/>
  <c r="P34" i="2"/>
  <c r="P37" i="2" s="1"/>
  <c r="O37" i="2"/>
  <c r="B22" i="2"/>
  <c r="G14" i="2" s="1"/>
  <c r="AG29" i="4"/>
  <c r="AF34" i="4"/>
  <c r="N12" i="7"/>
  <c r="E56" i="7"/>
  <c r="L77" i="7"/>
  <c r="M76" i="7"/>
  <c r="T5" i="7"/>
  <c r="C61" i="7"/>
  <c r="C62" i="7" s="1"/>
  <c r="C63" i="7" s="1"/>
  <c r="D51" i="7"/>
  <c r="D46" i="7"/>
  <c r="L13" i="7"/>
  <c r="M10" i="7"/>
  <c r="E41" i="7"/>
  <c r="N8" i="7" s="1"/>
  <c r="N7" i="7"/>
  <c r="M74" i="7"/>
  <c r="N73" i="7"/>
  <c r="L58" i="7"/>
  <c r="M29" i="7"/>
  <c r="L30" i="7"/>
  <c r="L35" i="7" s="1"/>
  <c r="L38" i="7" s="1"/>
  <c r="L102" i="7"/>
  <c r="S17" i="6"/>
  <c r="L24" i="6"/>
  <c r="C100" i="6"/>
  <c r="L102" i="6"/>
  <c r="K58" i="6"/>
  <c r="S5" i="6"/>
  <c r="H103" i="6"/>
  <c r="H59" i="6"/>
  <c r="L19" i="6"/>
  <c r="C85" i="6"/>
  <c r="L20" i="6" s="1"/>
  <c r="C41" i="6"/>
  <c r="L8" i="6" s="1"/>
  <c r="L7" i="6"/>
  <c r="K77" i="6"/>
  <c r="K79" i="6" s="1"/>
  <c r="K82" i="6" s="1"/>
  <c r="L76" i="6"/>
  <c r="L74" i="6"/>
  <c r="M73" i="6"/>
  <c r="K30" i="6"/>
  <c r="K35" i="6" s="1"/>
  <c r="K38" i="6" s="1"/>
  <c r="L29" i="6"/>
  <c r="M6" i="6"/>
  <c r="D40" i="6"/>
  <c r="D47" i="6"/>
  <c r="AA7" i="5"/>
  <c r="AA9" i="5" s="1"/>
  <c r="AA10" i="5" s="1"/>
  <c r="AA11" i="5" s="1"/>
  <c r="H23" i="5" s="1"/>
  <c r="M31" i="5"/>
  <c r="L35" i="5"/>
  <c r="L38" i="5" s="1"/>
  <c r="K74" i="5"/>
  <c r="K79" i="5" s="1"/>
  <c r="K82" i="5" s="1"/>
  <c r="L73" i="5"/>
  <c r="L77" i="5" s="1"/>
  <c r="F103" i="5"/>
  <c r="I102" i="5"/>
  <c r="Q17" i="5"/>
  <c r="F59" i="5"/>
  <c r="I58" i="5"/>
  <c r="P5" i="5"/>
  <c r="L6" i="5"/>
  <c r="C40" i="5"/>
  <c r="L18" i="5"/>
  <c r="C91" i="5"/>
  <c r="D39" i="5"/>
  <c r="B49" i="4"/>
  <c r="B59" i="4" s="1"/>
  <c r="F5" i="4"/>
  <c r="H5" i="4" s="1"/>
  <c r="E82" i="4"/>
  <c r="L17" i="4"/>
  <c r="B93" i="4"/>
  <c r="B103" i="4" s="1"/>
  <c r="G11" i="4"/>
  <c r="G5" i="4"/>
  <c r="E38" i="4"/>
  <c r="L5" i="4"/>
  <c r="M33" i="9" l="1"/>
  <c r="L41" i="9"/>
  <c r="L42" i="9" s="1"/>
  <c r="L43" i="9" s="1"/>
  <c r="M30" i="9"/>
  <c r="O6" i="9" s="1"/>
  <c r="O8" i="9" s="1"/>
  <c r="M37" i="9"/>
  <c r="Q60" i="9"/>
  <c r="Q57" i="9"/>
  <c r="P70" i="9"/>
  <c r="Q29" i="9"/>
  <c r="B38" i="2"/>
  <c r="I14" i="2" s="1"/>
  <c r="D26" i="2"/>
  <c r="C29" i="2"/>
  <c r="D52" i="7"/>
  <c r="E51" i="7" s="1"/>
  <c r="AH29" i="4"/>
  <c r="AG34" i="4"/>
  <c r="B90" i="4"/>
  <c r="B110" i="4" s="1"/>
  <c r="B113" i="4" s="1"/>
  <c r="B46" i="4"/>
  <c r="B55" i="4" s="1"/>
  <c r="E42" i="7"/>
  <c r="N9" i="7" s="1"/>
  <c r="E46" i="7"/>
  <c r="U5" i="7"/>
  <c r="M77" i="7"/>
  <c r="N76" i="7"/>
  <c r="F39" i="7"/>
  <c r="M102" i="7"/>
  <c r="X7" i="7"/>
  <c r="M30" i="7"/>
  <c r="M35" i="7" s="1"/>
  <c r="M38" i="7" s="1"/>
  <c r="N29" i="7"/>
  <c r="M58" i="7"/>
  <c r="X8" i="7"/>
  <c r="N74" i="7"/>
  <c r="O73" i="7"/>
  <c r="D67" i="7"/>
  <c r="D69" i="7" s="1"/>
  <c r="M11" i="7"/>
  <c r="M14" i="7" s="1"/>
  <c r="D55" i="7"/>
  <c r="C42" i="6"/>
  <c r="C45" i="6" s="1"/>
  <c r="T17" i="6"/>
  <c r="M12" i="6"/>
  <c r="D56" i="6"/>
  <c r="T5" i="6"/>
  <c r="L9" i="6"/>
  <c r="C86" i="6"/>
  <c r="I59" i="6"/>
  <c r="I103" i="6"/>
  <c r="L58" i="6"/>
  <c r="M102" i="6"/>
  <c r="D83" i="6"/>
  <c r="D41" i="6"/>
  <c r="M8" i="6" s="1"/>
  <c r="M7" i="6"/>
  <c r="L30" i="6"/>
  <c r="L35" i="6" s="1"/>
  <c r="L38" i="6" s="1"/>
  <c r="M29" i="6"/>
  <c r="X5" i="6"/>
  <c r="M74" i="6"/>
  <c r="N73" i="6"/>
  <c r="L77" i="6"/>
  <c r="L79" i="6" s="1"/>
  <c r="L82" i="6" s="1"/>
  <c r="M76" i="6"/>
  <c r="N31" i="5"/>
  <c r="M35" i="5"/>
  <c r="M38" i="5" s="1"/>
  <c r="L74" i="5"/>
  <c r="L79" i="5" s="1"/>
  <c r="L82" i="5" s="1"/>
  <c r="M73" i="5"/>
  <c r="M77" i="5" s="1"/>
  <c r="L24" i="5"/>
  <c r="C100" i="5"/>
  <c r="D83" i="5" s="1"/>
  <c r="D84" i="5" s="1"/>
  <c r="L20" i="5"/>
  <c r="L19" i="5"/>
  <c r="C41" i="5"/>
  <c r="L8" i="5" s="1"/>
  <c r="L7" i="5"/>
  <c r="G59" i="5"/>
  <c r="R17" i="5"/>
  <c r="J102" i="5"/>
  <c r="M6" i="5"/>
  <c r="D40" i="5"/>
  <c r="D47" i="5"/>
  <c r="Q5" i="5"/>
  <c r="J58" i="5"/>
  <c r="G103" i="5"/>
  <c r="G6" i="4"/>
  <c r="B66" i="4"/>
  <c r="B69" i="4" s="1"/>
  <c r="J11" i="4"/>
  <c r="J14" i="4" s="1"/>
  <c r="V30" i="4" s="1"/>
  <c r="V35" i="4" s="1"/>
  <c r="F38" i="4"/>
  <c r="M5" i="4"/>
  <c r="C103" i="4"/>
  <c r="F82" i="4"/>
  <c r="M17" i="4"/>
  <c r="F6" i="4"/>
  <c r="C59" i="4"/>
  <c r="M34" i="9" l="1"/>
  <c r="Q61" i="9"/>
  <c r="Q68" i="9" s="1"/>
  <c r="Q69" i="9" s="1"/>
  <c r="Q70" i="9" s="1"/>
  <c r="R68" i="9"/>
  <c r="R69" i="9" s="1"/>
  <c r="R64" i="9" s="1"/>
  <c r="Q64" i="9"/>
  <c r="E26" i="2"/>
  <c r="D29" i="2"/>
  <c r="D61" i="7"/>
  <c r="D62" i="7" s="1"/>
  <c r="D63" i="7" s="1"/>
  <c r="M13" i="7"/>
  <c r="AI29" i="4"/>
  <c r="AH34" i="4"/>
  <c r="B99" i="4"/>
  <c r="J23" i="4"/>
  <c r="J26" i="4" s="1"/>
  <c r="V31" i="4" s="1"/>
  <c r="V36" i="4" s="1"/>
  <c r="X9" i="7"/>
  <c r="X10" i="7" s="1"/>
  <c r="X11" i="7" s="1"/>
  <c r="G19" i="7" s="1"/>
  <c r="E45" i="7"/>
  <c r="N10" i="7" s="1"/>
  <c r="E55" i="7"/>
  <c r="O74" i="7"/>
  <c r="P73" i="7"/>
  <c r="N102" i="7"/>
  <c r="O6" i="7"/>
  <c r="F47" i="7"/>
  <c r="F40" i="7"/>
  <c r="N77" i="7"/>
  <c r="O76" i="7"/>
  <c r="N58" i="7"/>
  <c r="N30" i="7"/>
  <c r="N35" i="7" s="1"/>
  <c r="N38" i="7" s="1"/>
  <c r="O29" i="7"/>
  <c r="E67" i="7"/>
  <c r="E69" i="7" s="1"/>
  <c r="N11" i="7"/>
  <c r="N14" i="7" s="1"/>
  <c r="C55" i="6"/>
  <c r="U17" i="6"/>
  <c r="M77" i="6"/>
  <c r="N76" i="6"/>
  <c r="N74" i="6"/>
  <c r="O73" i="6"/>
  <c r="X7" i="6"/>
  <c r="Z9" i="6" s="1"/>
  <c r="Z10" i="6" s="1"/>
  <c r="M79" i="6"/>
  <c r="M82" i="6" s="1"/>
  <c r="M30" i="6"/>
  <c r="M35" i="6" s="1"/>
  <c r="M38" i="6" s="1"/>
  <c r="N29" i="6"/>
  <c r="D42" i="6"/>
  <c r="N102" i="6"/>
  <c r="M58" i="6"/>
  <c r="X8" i="6"/>
  <c r="J103" i="6"/>
  <c r="J59" i="6"/>
  <c r="C52" i="6"/>
  <c r="L10" i="6"/>
  <c r="E39" i="6"/>
  <c r="U5" i="6"/>
  <c r="M18" i="6"/>
  <c r="D84" i="6"/>
  <c r="D91" i="6"/>
  <c r="C89" i="6"/>
  <c r="L21" i="6"/>
  <c r="C99" i="6"/>
  <c r="O31" i="5"/>
  <c r="N35" i="5"/>
  <c r="N38" i="5" s="1"/>
  <c r="N73" i="5"/>
  <c r="N77" i="5" s="1"/>
  <c r="M74" i="5"/>
  <c r="M79" i="5" s="1"/>
  <c r="M82" i="5" s="1"/>
  <c r="D85" i="5"/>
  <c r="D86" i="5" s="1"/>
  <c r="H103" i="5"/>
  <c r="K58" i="5"/>
  <c r="R5" i="5"/>
  <c r="M12" i="5"/>
  <c r="D56" i="5"/>
  <c r="S17" i="5"/>
  <c r="C42" i="5"/>
  <c r="D41" i="5"/>
  <c r="M8" i="5" s="1"/>
  <c r="M7" i="5"/>
  <c r="K102" i="5"/>
  <c r="H59" i="5"/>
  <c r="F16" i="4"/>
  <c r="F14" i="4"/>
  <c r="G16" i="4"/>
  <c r="G14" i="4"/>
  <c r="B47" i="4"/>
  <c r="F12" i="4"/>
  <c r="G82" i="4"/>
  <c r="N17" i="4"/>
  <c r="D59" i="4"/>
  <c r="D103" i="4"/>
  <c r="G38" i="4"/>
  <c r="N5" i="4"/>
  <c r="B91" i="4"/>
  <c r="G12" i="4"/>
  <c r="R70" i="9" l="1"/>
  <c r="S15" i="9"/>
  <c r="E16" i="9" s="1"/>
  <c r="N33" i="9"/>
  <c r="M41" i="9"/>
  <c r="M42" i="9" s="1"/>
  <c r="M43" i="9" s="1"/>
  <c r="N30" i="9"/>
  <c r="F26" i="2"/>
  <c r="E29" i="2"/>
  <c r="H14" i="4"/>
  <c r="AJ29" i="4"/>
  <c r="AJ34" i="4" s="1"/>
  <c r="AI34" i="4"/>
  <c r="E52" i="7"/>
  <c r="F46" i="7" s="1"/>
  <c r="O30" i="7"/>
  <c r="O35" i="7" s="1"/>
  <c r="O38" i="7" s="1"/>
  <c r="P29" i="7"/>
  <c r="O58" i="7"/>
  <c r="O77" i="7"/>
  <c r="P76" i="7"/>
  <c r="F41" i="7"/>
  <c r="O8" i="7" s="1"/>
  <c r="O7" i="7"/>
  <c r="P74" i="7"/>
  <c r="Q73" i="7"/>
  <c r="O12" i="7"/>
  <c r="F56" i="7"/>
  <c r="O102" i="7"/>
  <c r="X9" i="6"/>
  <c r="X10" i="6" s="1"/>
  <c r="X11" i="6" s="1"/>
  <c r="G19" i="6" s="1"/>
  <c r="M24" i="6"/>
  <c r="D100" i="6"/>
  <c r="D51" i="6"/>
  <c r="D46" i="6"/>
  <c r="C61" i="6"/>
  <c r="C62" i="6" s="1"/>
  <c r="C63" i="6" s="1"/>
  <c r="L13" i="6"/>
  <c r="N30" i="6"/>
  <c r="N35" i="6" s="1"/>
  <c r="N38" i="6" s="1"/>
  <c r="O29" i="6"/>
  <c r="Z11" i="6"/>
  <c r="H19" i="6" s="1"/>
  <c r="O74" i="6"/>
  <c r="P73" i="6"/>
  <c r="O76" i="6"/>
  <c r="N77" i="6"/>
  <c r="C96" i="6"/>
  <c r="L22" i="6"/>
  <c r="D85" i="6"/>
  <c r="M20" i="6" s="1"/>
  <c r="M19" i="6"/>
  <c r="N6" i="6"/>
  <c r="E40" i="6"/>
  <c r="E47" i="6"/>
  <c r="K59" i="6"/>
  <c r="K103" i="6"/>
  <c r="N58" i="6"/>
  <c r="O102" i="6"/>
  <c r="D45" i="6"/>
  <c r="M9" i="6"/>
  <c r="N79" i="6"/>
  <c r="N82" i="6" s="1"/>
  <c r="P31" i="5"/>
  <c r="O35" i="5"/>
  <c r="O38" i="5" s="1"/>
  <c r="N74" i="5"/>
  <c r="N79" i="5" s="1"/>
  <c r="N82" i="5" s="1"/>
  <c r="O73" i="5"/>
  <c r="O77" i="5" s="1"/>
  <c r="D42" i="5"/>
  <c r="D45" i="5" s="1"/>
  <c r="C89" i="5"/>
  <c r="L21" i="5"/>
  <c r="C99" i="5"/>
  <c r="L102" i="5"/>
  <c r="S5" i="5"/>
  <c r="L58" i="5"/>
  <c r="X8" i="5" s="1"/>
  <c r="X9" i="5" s="1"/>
  <c r="X10" i="5" s="1"/>
  <c r="X11" i="5" s="1"/>
  <c r="G19" i="5" s="1"/>
  <c r="I59" i="5"/>
  <c r="M18" i="5"/>
  <c r="D91" i="5"/>
  <c r="C45" i="5"/>
  <c r="L9" i="5"/>
  <c r="C55" i="5"/>
  <c r="T17" i="5"/>
  <c r="E39" i="5"/>
  <c r="I103" i="5"/>
  <c r="G15" i="4"/>
  <c r="F15" i="4"/>
  <c r="C47" i="4" s="1"/>
  <c r="H38" i="4"/>
  <c r="O5" i="4"/>
  <c r="E103" i="4"/>
  <c r="E59" i="4"/>
  <c r="H82" i="4"/>
  <c r="O17" i="4"/>
  <c r="B100" i="4"/>
  <c r="C83" i="4" s="1"/>
  <c r="C91" i="4" s="1"/>
  <c r="J24" i="4"/>
  <c r="B96" i="4"/>
  <c r="B56" i="4"/>
  <c r="J12" i="4"/>
  <c r="B52" i="4"/>
  <c r="P6" i="9" l="1"/>
  <c r="P8" i="9" s="1"/>
  <c r="N34" i="9"/>
  <c r="N37" i="9"/>
  <c r="G26" i="2"/>
  <c r="F29" i="2"/>
  <c r="F51" i="7"/>
  <c r="E61" i="7"/>
  <c r="E62" i="7" s="1"/>
  <c r="E63" i="7" s="1"/>
  <c r="N13" i="7"/>
  <c r="P102" i="7"/>
  <c r="Q74" i="7"/>
  <c r="F42" i="7"/>
  <c r="Q29" i="7"/>
  <c r="P30" i="7"/>
  <c r="P35" i="7" s="1"/>
  <c r="P38" i="7" s="1"/>
  <c r="G39" i="7"/>
  <c r="F67" i="7"/>
  <c r="F69" i="7" s="1"/>
  <c r="O11" i="7"/>
  <c r="O14" i="7" s="1"/>
  <c r="P77" i="7"/>
  <c r="Q76" i="7"/>
  <c r="Q77" i="7" s="1"/>
  <c r="P58" i="7"/>
  <c r="D86" i="6"/>
  <c r="M21" i="6" s="1"/>
  <c r="N12" i="6"/>
  <c r="E56" i="6"/>
  <c r="P74" i="6"/>
  <c r="Q73" i="6"/>
  <c r="Q74" i="6" s="1"/>
  <c r="O30" i="6"/>
  <c r="O35" i="6" s="1"/>
  <c r="O38" i="6" s="1"/>
  <c r="P29" i="6"/>
  <c r="D67" i="6"/>
  <c r="D69" i="6" s="1"/>
  <c r="M11" i="6"/>
  <c r="M14" i="6" s="1"/>
  <c r="D55" i="6"/>
  <c r="E83" i="6"/>
  <c r="D52" i="6"/>
  <c r="M10" i="6"/>
  <c r="P102" i="6"/>
  <c r="O58" i="6"/>
  <c r="L103" i="6"/>
  <c r="L59" i="6"/>
  <c r="E41" i="6"/>
  <c r="N8" i="6" s="1"/>
  <c r="N7" i="6"/>
  <c r="C105" i="6"/>
  <c r="C106" i="6" s="1"/>
  <c r="C107" i="6" s="1"/>
  <c r="D95" i="6"/>
  <c r="D90" i="6"/>
  <c r="L25" i="6"/>
  <c r="O77" i="6"/>
  <c r="P76" i="6"/>
  <c r="O79" i="6"/>
  <c r="O82" i="6" s="1"/>
  <c r="Q31" i="5"/>
  <c r="Q35" i="5" s="1"/>
  <c r="Q38" i="5" s="1"/>
  <c r="P35" i="5"/>
  <c r="P38" i="5" s="1"/>
  <c r="P73" i="5"/>
  <c r="P77" i="5" s="1"/>
  <c r="O74" i="5"/>
  <c r="O79" i="5" s="1"/>
  <c r="O82" i="5" s="1"/>
  <c r="M9" i="5"/>
  <c r="J103" i="5"/>
  <c r="N6" i="5"/>
  <c r="E47" i="5"/>
  <c r="E40" i="5"/>
  <c r="C52" i="5"/>
  <c r="L10" i="5"/>
  <c r="M19" i="5"/>
  <c r="M20" i="5"/>
  <c r="U17" i="5"/>
  <c r="M24" i="5"/>
  <c r="D100" i="5"/>
  <c r="E83" i="5" s="1"/>
  <c r="E84" i="5" s="1"/>
  <c r="M10" i="5"/>
  <c r="J59" i="5"/>
  <c r="M58" i="5"/>
  <c r="T5" i="5"/>
  <c r="M102" i="5"/>
  <c r="C96" i="5"/>
  <c r="L22" i="5"/>
  <c r="B61" i="4"/>
  <c r="B62" i="4" s="1"/>
  <c r="B63" i="4" s="1"/>
  <c r="C51" i="4"/>
  <c r="J13" i="4"/>
  <c r="K12" i="4"/>
  <c r="C95" i="4"/>
  <c r="B105" i="4"/>
  <c r="B106" i="4" s="1"/>
  <c r="B107" i="4" s="1"/>
  <c r="J25" i="4"/>
  <c r="C100" i="4"/>
  <c r="D83" i="4" s="1"/>
  <c r="D91" i="4" s="1"/>
  <c r="F59" i="4"/>
  <c r="F103" i="4"/>
  <c r="C56" i="4"/>
  <c r="C39" i="4"/>
  <c r="K6" i="4" s="1"/>
  <c r="K24" i="4"/>
  <c r="I82" i="4"/>
  <c r="P17" i="4"/>
  <c r="I38" i="4"/>
  <c r="P5" i="4"/>
  <c r="N41" i="9" l="1"/>
  <c r="N42" i="9" s="1"/>
  <c r="O33" i="9"/>
  <c r="O30" i="9"/>
  <c r="N43" i="9"/>
  <c r="H26" i="2"/>
  <c r="G29" i="2"/>
  <c r="Q58" i="7"/>
  <c r="Q30" i="7"/>
  <c r="Q35" i="7" s="1"/>
  <c r="Q38" i="7" s="1"/>
  <c r="P6" i="7"/>
  <c r="G47" i="7"/>
  <c r="G40" i="7"/>
  <c r="F45" i="7"/>
  <c r="O9" i="7"/>
  <c r="F55" i="7"/>
  <c r="Q102" i="7"/>
  <c r="D89" i="6"/>
  <c r="M22" i="6" s="1"/>
  <c r="E42" i="6"/>
  <c r="E45" i="6" s="1"/>
  <c r="D111" i="6"/>
  <c r="D113" i="6" s="1"/>
  <c r="M23" i="6"/>
  <c r="M26" i="6" s="1"/>
  <c r="D96" i="6"/>
  <c r="P77" i="6"/>
  <c r="P79" i="6" s="1"/>
  <c r="P82" i="6" s="1"/>
  <c r="Q76" i="6"/>
  <c r="Q77" i="6" s="1"/>
  <c r="Q79" i="6" s="1"/>
  <c r="Q82" i="6" s="1"/>
  <c r="M59" i="6"/>
  <c r="M103" i="6"/>
  <c r="D61" i="6"/>
  <c r="D62" i="6" s="1"/>
  <c r="D63" i="6" s="1"/>
  <c r="E46" i="6"/>
  <c r="E55" i="6" s="1"/>
  <c r="E51" i="6"/>
  <c r="M13" i="6"/>
  <c r="P30" i="6"/>
  <c r="P35" i="6" s="1"/>
  <c r="P38" i="6" s="1"/>
  <c r="Q29" i="6"/>
  <c r="F39" i="6"/>
  <c r="P58" i="6"/>
  <c r="Q102" i="6"/>
  <c r="N18" i="6"/>
  <c r="E84" i="6"/>
  <c r="E91" i="6"/>
  <c r="D99" i="6"/>
  <c r="E85" i="5"/>
  <c r="E86" i="5" s="1"/>
  <c r="P74" i="5"/>
  <c r="P79" i="5" s="1"/>
  <c r="P82" i="5" s="1"/>
  <c r="Q73" i="5"/>
  <c r="C105" i="5"/>
  <c r="C106" i="5" s="1"/>
  <c r="C107" i="5" s="1"/>
  <c r="D95" i="5"/>
  <c r="D90" i="5"/>
  <c r="L25" i="5"/>
  <c r="U5" i="5"/>
  <c r="N58" i="5"/>
  <c r="N12" i="5"/>
  <c r="E56" i="5"/>
  <c r="N102" i="5"/>
  <c r="K59" i="5"/>
  <c r="C61" i="5"/>
  <c r="C62" i="5" s="1"/>
  <c r="C63" i="5" s="1"/>
  <c r="D51" i="5"/>
  <c r="D46" i="5"/>
  <c r="L13" i="5"/>
  <c r="E41" i="5"/>
  <c r="N8" i="5" s="1"/>
  <c r="N7" i="5"/>
  <c r="K103" i="5"/>
  <c r="C84" i="4"/>
  <c r="J82" i="4"/>
  <c r="Q17" i="4"/>
  <c r="C40" i="4"/>
  <c r="J38" i="4"/>
  <c r="Q5" i="4"/>
  <c r="L24" i="4"/>
  <c r="D39" i="4"/>
  <c r="D47" i="4" s="1"/>
  <c r="L12" i="4" s="1"/>
  <c r="G103" i="4"/>
  <c r="G59" i="4"/>
  <c r="D100" i="4"/>
  <c r="E83" i="4" s="1"/>
  <c r="E91" i="4" s="1"/>
  <c r="Q6" i="9" l="1"/>
  <c r="Q8" i="9" s="1"/>
  <c r="O34" i="9"/>
  <c r="O37" i="9"/>
  <c r="I26" i="2"/>
  <c r="H29" i="2"/>
  <c r="Y8" i="7"/>
  <c r="P12" i="7"/>
  <c r="G56" i="7"/>
  <c r="F52" i="7"/>
  <c r="O10" i="7"/>
  <c r="G41" i="7"/>
  <c r="P8" i="7" s="1"/>
  <c r="P7" i="7"/>
  <c r="Y7" i="7"/>
  <c r="N9" i="6"/>
  <c r="N19" i="6"/>
  <c r="E85" i="6"/>
  <c r="N20" i="6" s="1"/>
  <c r="O6" i="6"/>
  <c r="F40" i="6"/>
  <c r="F47" i="6"/>
  <c r="N103" i="6"/>
  <c r="N59" i="6"/>
  <c r="D105" i="6"/>
  <c r="D106" i="6" s="1"/>
  <c r="D107" i="6" s="1"/>
  <c r="E95" i="6"/>
  <c r="E90" i="6"/>
  <c r="M25" i="6"/>
  <c r="N24" i="6"/>
  <c r="E100" i="6"/>
  <c r="Q58" i="6"/>
  <c r="E52" i="6"/>
  <c r="N10" i="6"/>
  <c r="Q30" i="6"/>
  <c r="Q35" i="6" s="1"/>
  <c r="Q38" i="6" s="1"/>
  <c r="Y5" i="6"/>
  <c r="E67" i="6"/>
  <c r="E69" i="6" s="1"/>
  <c r="N11" i="6"/>
  <c r="N14" i="6" s="1"/>
  <c r="Q74" i="5"/>
  <c r="Q77" i="5"/>
  <c r="E42" i="5"/>
  <c r="E45" i="5" s="1"/>
  <c r="L103" i="5"/>
  <c r="D89" i="5"/>
  <c r="M21" i="5"/>
  <c r="D99" i="5"/>
  <c r="L59" i="5"/>
  <c r="O58" i="5"/>
  <c r="D67" i="5"/>
  <c r="D69" i="5" s="1"/>
  <c r="M11" i="5"/>
  <c r="M14" i="5" s="1"/>
  <c r="D52" i="5"/>
  <c r="D55" i="5"/>
  <c r="O102" i="5"/>
  <c r="F39" i="5"/>
  <c r="N18" i="5"/>
  <c r="E91" i="5"/>
  <c r="D111" i="5"/>
  <c r="D113" i="5" s="1"/>
  <c r="M23" i="5"/>
  <c r="M26" i="5" s="1"/>
  <c r="D56" i="4"/>
  <c r="E39" i="4" s="1"/>
  <c r="K18" i="4"/>
  <c r="L6" i="4"/>
  <c r="D40" i="4"/>
  <c r="K82" i="4"/>
  <c r="R17" i="4"/>
  <c r="E100" i="4"/>
  <c r="F83" i="4" s="1"/>
  <c r="F91" i="4" s="1"/>
  <c r="H59" i="4"/>
  <c r="H103" i="4"/>
  <c r="M24" i="4"/>
  <c r="K38" i="4"/>
  <c r="R5" i="4"/>
  <c r="K19" i="4"/>
  <c r="C85" i="4"/>
  <c r="K20" i="4" s="1"/>
  <c r="K7" i="4"/>
  <c r="C41" i="4"/>
  <c r="K8" i="4" s="1"/>
  <c r="P37" i="9" l="1"/>
  <c r="P30" i="9"/>
  <c r="R6" i="9" s="1"/>
  <c r="R8" i="9" s="1"/>
  <c r="O41" i="9"/>
  <c r="O42" i="9" s="1"/>
  <c r="O43" i="9" s="1"/>
  <c r="P33" i="9"/>
  <c r="P34" i="9" s="1"/>
  <c r="J26" i="2"/>
  <c r="I29" i="2"/>
  <c r="F61" i="7"/>
  <c r="F62" i="7" s="1"/>
  <c r="F63" i="7" s="1"/>
  <c r="G51" i="7"/>
  <c r="G46" i="7"/>
  <c r="O13" i="7"/>
  <c r="Y9" i="7"/>
  <c r="Y10" i="7" s="1"/>
  <c r="Y11" i="7" s="1"/>
  <c r="G23" i="7" s="1"/>
  <c r="G42" i="7"/>
  <c r="H39" i="7"/>
  <c r="Y7" i="6"/>
  <c r="AA9" i="6" s="1"/>
  <c r="AA10" i="6" s="1"/>
  <c r="Y8" i="6"/>
  <c r="Y9" i="6" s="1"/>
  <c r="Y10" i="6" s="1"/>
  <c r="Y11" i="6" s="1"/>
  <c r="G23" i="6" s="1"/>
  <c r="O12" i="6"/>
  <c r="F56" i="6"/>
  <c r="F51" i="6"/>
  <c r="F46" i="6"/>
  <c r="E61" i="6"/>
  <c r="E62" i="6" s="1"/>
  <c r="E63" i="6" s="1"/>
  <c r="N13" i="6"/>
  <c r="F83" i="6"/>
  <c r="E111" i="6"/>
  <c r="E113" i="6" s="1"/>
  <c r="N23" i="6"/>
  <c r="N26" i="6" s="1"/>
  <c r="O59" i="6"/>
  <c r="O103" i="6"/>
  <c r="F42" i="6"/>
  <c r="F41" i="6"/>
  <c r="O8" i="6" s="1"/>
  <c r="O7" i="6"/>
  <c r="E86" i="6"/>
  <c r="N9" i="5"/>
  <c r="Q79" i="5"/>
  <c r="Q82" i="5" s="1"/>
  <c r="N24" i="5"/>
  <c r="E100" i="5"/>
  <c r="F83" i="5" s="1"/>
  <c r="F84" i="5" s="1"/>
  <c r="D61" i="5"/>
  <c r="D62" i="5" s="1"/>
  <c r="D63" i="5" s="1"/>
  <c r="E51" i="5"/>
  <c r="E46" i="5"/>
  <c r="E55" i="5" s="1"/>
  <c r="M13" i="5"/>
  <c r="N10" i="5"/>
  <c r="M59" i="5"/>
  <c r="N20" i="5"/>
  <c r="N19" i="5"/>
  <c r="O6" i="5"/>
  <c r="F47" i="5"/>
  <c r="F40" i="5"/>
  <c r="P102" i="5"/>
  <c r="P58" i="5"/>
  <c r="D96" i="5"/>
  <c r="M22" i="5"/>
  <c r="M103" i="5"/>
  <c r="E47" i="4"/>
  <c r="M12" i="4" s="1"/>
  <c r="C42" i="4"/>
  <c r="C55" i="4" s="1"/>
  <c r="N24" i="4"/>
  <c r="I103" i="4"/>
  <c r="I59" i="4"/>
  <c r="F100" i="4"/>
  <c r="G83" i="4" s="1"/>
  <c r="G91" i="4" s="1"/>
  <c r="L82" i="4"/>
  <c r="S17" i="4"/>
  <c r="L7" i="4"/>
  <c r="D41" i="4"/>
  <c r="L8" i="4" s="1"/>
  <c r="C86" i="4"/>
  <c r="C99" i="4" s="1"/>
  <c r="L38" i="4"/>
  <c r="S5" i="4"/>
  <c r="M6" i="4"/>
  <c r="E40" i="4"/>
  <c r="Q37" i="9" l="1"/>
  <c r="Q33" i="9"/>
  <c r="Q30" i="9"/>
  <c r="P41" i="9"/>
  <c r="P42" i="9" s="1"/>
  <c r="P43" i="9" s="1"/>
  <c r="K26" i="2"/>
  <c r="J29" i="2"/>
  <c r="Q6" i="7"/>
  <c r="H47" i="7"/>
  <c r="H40" i="7"/>
  <c r="G45" i="7"/>
  <c r="P9" i="7"/>
  <c r="G55" i="7"/>
  <c r="G67" i="7"/>
  <c r="G69" i="7" s="1"/>
  <c r="P11" i="7"/>
  <c r="P14" i="7" s="1"/>
  <c r="AA11" i="6"/>
  <c r="H23" i="6" s="1"/>
  <c r="F45" i="6"/>
  <c r="O9" i="6"/>
  <c r="F55" i="6"/>
  <c r="P103" i="6"/>
  <c r="P59" i="6"/>
  <c r="E89" i="6"/>
  <c r="N21" i="6"/>
  <c r="E99" i="6"/>
  <c r="O18" i="6"/>
  <c r="F84" i="6"/>
  <c r="F91" i="6"/>
  <c r="F67" i="6"/>
  <c r="F69" i="6" s="1"/>
  <c r="O11" i="6"/>
  <c r="O14" i="6" s="1"/>
  <c r="G39" i="6"/>
  <c r="F85" i="5"/>
  <c r="F86" i="5" s="1"/>
  <c r="E52" i="5"/>
  <c r="E61" i="5" s="1"/>
  <c r="E62" i="5" s="1"/>
  <c r="E63" i="5" s="1"/>
  <c r="Q58" i="5"/>
  <c r="Y8" i="5" s="1"/>
  <c r="Y9" i="5" s="1"/>
  <c r="Y10" i="5" s="1"/>
  <c r="Y11" i="5" s="1"/>
  <c r="G23" i="5" s="1"/>
  <c r="I23" i="5" s="1"/>
  <c r="Q102" i="5"/>
  <c r="F41" i="5"/>
  <c r="O8" i="5" s="1"/>
  <c r="O7" i="5"/>
  <c r="N103" i="5"/>
  <c r="D105" i="5"/>
  <c r="D106" i="5" s="1"/>
  <c r="D107" i="5" s="1"/>
  <c r="E95" i="5"/>
  <c r="E90" i="5"/>
  <c r="M25" i="5"/>
  <c r="O12" i="5"/>
  <c r="F56" i="5"/>
  <c r="N59" i="5"/>
  <c r="E67" i="5"/>
  <c r="E69" i="5" s="1"/>
  <c r="N11" i="5"/>
  <c r="N14" i="5" s="1"/>
  <c r="E56" i="4"/>
  <c r="F39" i="4" s="1"/>
  <c r="F47" i="4" s="1"/>
  <c r="F56" i="4" s="1"/>
  <c r="G39" i="4" s="1"/>
  <c r="C89" i="4"/>
  <c r="K21" i="4"/>
  <c r="G100" i="4"/>
  <c r="H83" i="4" s="1"/>
  <c r="H91" i="4" s="1"/>
  <c r="J59" i="4"/>
  <c r="J103" i="4"/>
  <c r="O24" i="4"/>
  <c r="M7" i="4"/>
  <c r="E41" i="4"/>
  <c r="M8" i="4" s="1"/>
  <c r="M38" i="4"/>
  <c r="T5" i="4"/>
  <c r="D42" i="4"/>
  <c r="M82" i="4"/>
  <c r="T17" i="4"/>
  <c r="N6" i="4"/>
  <c r="C45" i="4"/>
  <c r="K9" i="4"/>
  <c r="S6" i="9" l="1"/>
  <c r="Q34" i="9"/>
  <c r="Q41" i="9" s="1"/>
  <c r="L26" i="2"/>
  <c r="K29" i="2"/>
  <c r="I23" i="6"/>
  <c r="H41" i="7"/>
  <c r="Q8" i="7" s="1"/>
  <c r="Q7" i="7"/>
  <c r="G52" i="7"/>
  <c r="P10" i="7"/>
  <c r="Q12" i="7"/>
  <c r="H56" i="7"/>
  <c r="P6" i="6"/>
  <c r="G47" i="6"/>
  <c r="G40" i="6"/>
  <c r="O24" i="6"/>
  <c r="F100" i="6"/>
  <c r="F52" i="6"/>
  <c r="O10" i="6"/>
  <c r="O19" i="6"/>
  <c r="F85" i="6"/>
  <c r="O20" i="6" s="1"/>
  <c r="E96" i="6"/>
  <c r="N22" i="6"/>
  <c r="Q59" i="6"/>
  <c r="Q103" i="6"/>
  <c r="F46" i="5"/>
  <c r="F67" i="5" s="1"/>
  <c r="F69" i="5" s="1"/>
  <c r="N13" i="5"/>
  <c r="F51" i="5"/>
  <c r="F42" i="5"/>
  <c r="O59" i="5"/>
  <c r="G39" i="5"/>
  <c r="E111" i="5"/>
  <c r="E113" i="5" s="1"/>
  <c r="N23" i="5"/>
  <c r="N26" i="5" s="1"/>
  <c r="O103" i="5"/>
  <c r="F45" i="5"/>
  <c r="E89" i="5"/>
  <c r="N21" i="5"/>
  <c r="E99" i="5"/>
  <c r="O18" i="5"/>
  <c r="F91" i="5"/>
  <c r="F40" i="4"/>
  <c r="F41" i="4" s="1"/>
  <c r="N8" i="4" s="1"/>
  <c r="G47" i="4"/>
  <c r="O12" i="4" s="1"/>
  <c r="N12" i="4"/>
  <c r="G56" i="4"/>
  <c r="N7" i="4"/>
  <c r="O6" i="4"/>
  <c r="G40" i="4"/>
  <c r="C52" i="4"/>
  <c r="K10" i="4"/>
  <c r="N82" i="4"/>
  <c r="D45" i="4"/>
  <c r="L9" i="4"/>
  <c r="N38" i="4"/>
  <c r="E42" i="4"/>
  <c r="P24" i="4"/>
  <c r="H39" i="4"/>
  <c r="K103" i="4"/>
  <c r="K59" i="4"/>
  <c r="H100" i="4"/>
  <c r="I83" i="4" s="1"/>
  <c r="I91" i="4" s="1"/>
  <c r="C96" i="4"/>
  <c r="K22" i="4"/>
  <c r="Q42" i="9" l="1"/>
  <c r="Q43" i="9" s="1"/>
  <c r="R41" i="9"/>
  <c r="R42" i="9" s="1"/>
  <c r="R37" i="9" s="1"/>
  <c r="S37" i="9" s="1"/>
  <c r="S7" i="9" s="1"/>
  <c r="M26" i="2"/>
  <c r="L29" i="2"/>
  <c r="G61" i="7"/>
  <c r="G62" i="7" s="1"/>
  <c r="G63" i="7" s="1"/>
  <c r="H51" i="7"/>
  <c r="H46" i="7"/>
  <c r="P13" i="7"/>
  <c r="I39" i="7"/>
  <c r="H42" i="7"/>
  <c r="P12" i="6"/>
  <c r="G56" i="6"/>
  <c r="E105" i="6"/>
  <c r="E106" i="6" s="1"/>
  <c r="E107" i="6" s="1"/>
  <c r="F95" i="6"/>
  <c r="F90" i="6"/>
  <c r="N25" i="6"/>
  <c r="F86" i="6"/>
  <c r="F61" i="6"/>
  <c r="F62" i="6" s="1"/>
  <c r="F63" i="6" s="1"/>
  <c r="G51" i="6"/>
  <c r="G46" i="6"/>
  <c r="O13" i="6"/>
  <c r="G83" i="6"/>
  <c r="G41" i="6"/>
  <c r="P8" i="6" s="1"/>
  <c r="P7" i="6"/>
  <c r="O11" i="5"/>
  <c r="O14" i="5" s="1"/>
  <c r="F55" i="5"/>
  <c r="O9" i="5"/>
  <c r="O24" i="5"/>
  <c r="F100" i="5"/>
  <c r="G83" i="5" s="1"/>
  <c r="G84" i="5" s="1"/>
  <c r="F52" i="5"/>
  <c r="O10" i="5"/>
  <c r="P103" i="5"/>
  <c r="P6" i="5"/>
  <c r="G47" i="5"/>
  <c r="G40" i="5"/>
  <c r="O19" i="5"/>
  <c r="O20" i="5"/>
  <c r="E96" i="5"/>
  <c r="N22" i="5"/>
  <c r="P59" i="5"/>
  <c r="H47" i="4"/>
  <c r="H56" i="4" s="1"/>
  <c r="I39" i="4" s="1"/>
  <c r="C105" i="4"/>
  <c r="D90" i="4"/>
  <c r="D95" i="4"/>
  <c r="K25" i="4"/>
  <c r="I100" i="4"/>
  <c r="J83" i="4" s="1"/>
  <c r="J91" i="4" s="1"/>
  <c r="L59" i="4"/>
  <c r="L103" i="4"/>
  <c r="Q24" i="4"/>
  <c r="O38" i="4"/>
  <c r="O82" i="4"/>
  <c r="C61" i="4"/>
  <c r="C62" i="4" s="1"/>
  <c r="C63" i="4" s="1"/>
  <c r="D51" i="4"/>
  <c r="D46" i="4"/>
  <c r="D55" i="4" s="1"/>
  <c r="K13" i="4"/>
  <c r="P6" i="4"/>
  <c r="H40" i="4"/>
  <c r="E45" i="4"/>
  <c r="M9" i="4"/>
  <c r="L10" i="4"/>
  <c r="O7" i="4"/>
  <c r="G41" i="4"/>
  <c r="O8" i="4" s="1"/>
  <c r="F42" i="4"/>
  <c r="S8" i="9" l="1"/>
  <c r="E9" i="9" s="1"/>
  <c r="R43" i="9"/>
  <c r="N26" i="2"/>
  <c r="M29" i="2"/>
  <c r="H45" i="7"/>
  <c r="Q9" i="7"/>
  <c r="H55" i="7"/>
  <c r="R6" i="7"/>
  <c r="I47" i="7"/>
  <c r="I40" i="7"/>
  <c r="H67" i="7"/>
  <c r="H69" i="7" s="1"/>
  <c r="Q11" i="7"/>
  <c r="Q14" i="7" s="1"/>
  <c r="G42" i="6"/>
  <c r="G45" i="6" s="1"/>
  <c r="G67" i="6"/>
  <c r="G69" i="6" s="1"/>
  <c r="P11" i="6"/>
  <c r="P14" i="6" s="1"/>
  <c r="H39" i="6"/>
  <c r="P18" i="6"/>
  <c r="G84" i="6"/>
  <c r="G91" i="6"/>
  <c r="F89" i="6"/>
  <c r="O21" i="6"/>
  <c r="F99" i="6"/>
  <c r="F111" i="6"/>
  <c r="F113" i="6" s="1"/>
  <c r="O23" i="6"/>
  <c r="O26" i="6" s="1"/>
  <c r="G85" i="5"/>
  <c r="G86" i="5" s="1"/>
  <c r="Q59" i="5"/>
  <c r="F95" i="5"/>
  <c r="F90" i="5"/>
  <c r="E105" i="5"/>
  <c r="E106" i="5" s="1"/>
  <c r="E107" i="5" s="1"/>
  <c r="N25" i="5"/>
  <c r="G41" i="5"/>
  <c r="P8" i="5" s="1"/>
  <c r="P7" i="5"/>
  <c r="Q103" i="5"/>
  <c r="F61" i="5"/>
  <c r="F62" i="5" s="1"/>
  <c r="F63" i="5" s="1"/>
  <c r="G51" i="5"/>
  <c r="G46" i="5"/>
  <c r="O13" i="5"/>
  <c r="P12" i="5"/>
  <c r="G56" i="5"/>
  <c r="P12" i="4"/>
  <c r="I47" i="4"/>
  <c r="I56" i="4" s="1"/>
  <c r="J39" i="4" s="1"/>
  <c r="D52" i="4"/>
  <c r="D61" i="4" s="1"/>
  <c r="D62" i="4" s="1"/>
  <c r="D63" i="4" s="1"/>
  <c r="F45" i="4"/>
  <c r="N9" i="4"/>
  <c r="P7" i="4"/>
  <c r="H41" i="4"/>
  <c r="P8" i="4" s="1"/>
  <c r="R24" i="4"/>
  <c r="M103" i="4"/>
  <c r="M59" i="4"/>
  <c r="J100" i="4"/>
  <c r="K83" i="4" s="1"/>
  <c r="K91" i="4" s="1"/>
  <c r="C106" i="4"/>
  <c r="C107" i="4" s="1"/>
  <c r="G42" i="4"/>
  <c r="M10" i="4"/>
  <c r="D67" i="4"/>
  <c r="D69" i="4" s="1"/>
  <c r="L11" i="4"/>
  <c r="L14" i="4" s="1"/>
  <c r="X30" i="4" s="1"/>
  <c r="X35" i="4" s="1"/>
  <c r="P82" i="4"/>
  <c r="P38" i="4"/>
  <c r="Q6" i="4"/>
  <c r="I40" i="4"/>
  <c r="D111" i="4"/>
  <c r="D113" i="4" s="1"/>
  <c r="L23" i="4"/>
  <c r="L26" i="4" s="1"/>
  <c r="X31" i="4" s="1"/>
  <c r="X36" i="4" s="1"/>
  <c r="O26" i="2" l="1"/>
  <c r="N29" i="2"/>
  <c r="P9" i="6"/>
  <c r="R12" i="7"/>
  <c r="I56" i="7"/>
  <c r="I41" i="7"/>
  <c r="R8" i="7" s="1"/>
  <c r="R7" i="7"/>
  <c r="H52" i="7"/>
  <c r="Q10" i="7"/>
  <c r="G55" i="6"/>
  <c r="P24" i="6"/>
  <c r="G100" i="6"/>
  <c r="F96" i="6"/>
  <c r="O22" i="6"/>
  <c r="P19" i="6"/>
  <c r="G85" i="6"/>
  <c r="P20" i="6" s="1"/>
  <c r="Q6" i="6"/>
  <c r="H47" i="6"/>
  <c r="H40" i="6"/>
  <c r="G52" i="6"/>
  <c r="P10" i="6"/>
  <c r="H39" i="5"/>
  <c r="F89" i="5"/>
  <c r="O21" i="5"/>
  <c r="F99" i="5"/>
  <c r="G67" i="5"/>
  <c r="G69" i="5" s="1"/>
  <c r="P11" i="5"/>
  <c r="P14" i="5" s="1"/>
  <c r="F111" i="5"/>
  <c r="F113" i="5" s="1"/>
  <c r="O23" i="5"/>
  <c r="O26" i="5" s="1"/>
  <c r="P18" i="5"/>
  <c r="G91" i="5"/>
  <c r="G42" i="5"/>
  <c r="Q12" i="4"/>
  <c r="J47" i="4"/>
  <c r="J56" i="4" s="1"/>
  <c r="K39" i="4" s="1"/>
  <c r="L13" i="4"/>
  <c r="E51" i="4"/>
  <c r="E46" i="4"/>
  <c r="E55" i="4" s="1"/>
  <c r="Q38" i="4"/>
  <c r="Q7" i="4"/>
  <c r="I41" i="4"/>
  <c r="Q8" i="4" s="1"/>
  <c r="Q82" i="4"/>
  <c r="G45" i="4"/>
  <c r="O9" i="4"/>
  <c r="K100" i="4"/>
  <c r="L83" i="4" s="1"/>
  <c r="L91" i="4" s="1"/>
  <c r="N59" i="4"/>
  <c r="N103" i="4"/>
  <c r="S24" i="4"/>
  <c r="H42" i="4"/>
  <c r="N10" i="4"/>
  <c r="L18" i="4"/>
  <c r="D84" i="4"/>
  <c r="R6" i="4"/>
  <c r="J40" i="4"/>
  <c r="P26" i="2" l="1"/>
  <c r="P29" i="2" s="1"/>
  <c r="O29" i="2"/>
  <c r="H61" i="7"/>
  <c r="H62" i="7" s="1"/>
  <c r="H63" i="7" s="1"/>
  <c r="I51" i="7"/>
  <c r="I46" i="7"/>
  <c r="Q13" i="7"/>
  <c r="I42" i="7"/>
  <c r="J39" i="7"/>
  <c r="H51" i="6"/>
  <c r="H46" i="6"/>
  <c r="G61" i="6"/>
  <c r="G62" i="6" s="1"/>
  <c r="G63" i="6" s="1"/>
  <c r="P13" i="6"/>
  <c r="Q12" i="6"/>
  <c r="H56" i="6"/>
  <c r="G86" i="6"/>
  <c r="F105" i="6"/>
  <c r="F106" i="6" s="1"/>
  <c r="F107" i="6" s="1"/>
  <c r="G95" i="6"/>
  <c r="G90" i="6"/>
  <c r="O25" i="6"/>
  <c r="H41" i="6"/>
  <c r="Q8" i="6" s="1"/>
  <c r="Q7" i="6"/>
  <c r="H83" i="6"/>
  <c r="G45" i="5"/>
  <c r="P9" i="5"/>
  <c r="G55" i="5"/>
  <c r="P24" i="5"/>
  <c r="G100" i="5"/>
  <c r="H83" i="5" s="1"/>
  <c r="H84" i="5" s="1"/>
  <c r="Q6" i="5"/>
  <c r="H47" i="5"/>
  <c r="H40" i="5"/>
  <c r="P20" i="5"/>
  <c r="P19" i="5"/>
  <c r="F96" i="5"/>
  <c r="O22" i="5"/>
  <c r="R12" i="4"/>
  <c r="K47" i="4"/>
  <c r="K56" i="4" s="1"/>
  <c r="L39" i="4" s="1"/>
  <c r="E52" i="4"/>
  <c r="F46" i="4" s="1"/>
  <c r="N11" i="4" s="1"/>
  <c r="N14" i="4" s="1"/>
  <c r="Z30" i="4" s="1"/>
  <c r="Z35" i="4" s="1"/>
  <c r="E67" i="4"/>
  <c r="E69" i="4" s="1"/>
  <c r="M11" i="4"/>
  <c r="M14" i="4" s="1"/>
  <c r="Y30" i="4" s="1"/>
  <c r="Y35" i="4" s="1"/>
  <c r="H45" i="4"/>
  <c r="P9" i="4"/>
  <c r="T24" i="4"/>
  <c r="O103" i="4"/>
  <c r="R7" i="4"/>
  <c r="J41" i="4"/>
  <c r="R8" i="4" s="1"/>
  <c r="D85" i="4"/>
  <c r="L20" i="4" s="1"/>
  <c r="L19" i="4"/>
  <c r="S6" i="4"/>
  <c r="K40" i="4"/>
  <c r="I42" i="4"/>
  <c r="O59" i="4"/>
  <c r="L100" i="4"/>
  <c r="M83" i="4" s="1"/>
  <c r="M91" i="4" s="1"/>
  <c r="O10" i="4"/>
  <c r="B30" i="2" l="1"/>
  <c r="H14" i="2" s="1"/>
  <c r="S6" i="7"/>
  <c r="J47" i="7"/>
  <c r="J40" i="7"/>
  <c r="I45" i="7"/>
  <c r="R9" i="7"/>
  <c r="I55" i="7"/>
  <c r="I67" i="7"/>
  <c r="I69" i="7" s="1"/>
  <c r="R11" i="7"/>
  <c r="R14" i="7" s="1"/>
  <c r="Q18" i="6"/>
  <c r="H91" i="6"/>
  <c r="H84" i="6"/>
  <c r="H42" i="6"/>
  <c r="G111" i="6"/>
  <c r="G113" i="6" s="1"/>
  <c r="P23" i="6"/>
  <c r="P26" i="6" s="1"/>
  <c r="I39" i="6"/>
  <c r="H67" i="6"/>
  <c r="H69" i="6" s="1"/>
  <c r="Q11" i="6"/>
  <c r="Q14" i="6" s="1"/>
  <c r="G89" i="6"/>
  <c r="P21" i="6"/>
  <c r="G99" i="6"/>
  <c r="H85" i="5"/>
  <c r="H86" i="5" s="1"/>
  <c r="G89" i="5"/>
  <c r="P21" i="5"/>
  <c r="Q12" i="5"/>
  <c r="H56" i="5"/>
  <c r="F105" i="5"/>
  <c r="F106" i="5" s="1"/>
  <c r="F107" i="5" s="1"/>
  <c r="G95" i="5"/>
  <c r="G90" i="5"/>
  <c r="O25" i="5"/>
  <c r="H41" i="5"/>
  <c r="Q8" i="5" s="1"/>
  <c r="Q7" i="5"/>
  <c r="G52" i="5"/>
  <c r="P10" i="5"/>
  <c r="S12" i="4"/>
  <c r="L47" i="4"/>
  <c r="L56" i="4" s="1"/>
  <c r="F55" i="4"/>
  <c r="M13" i="4"/>
  <c r="F51" i="4"/>
  <c r="F52" i="4" s="1"/>
  <c r="E61" i="4"/>
  <c r="E62" i="4" s="1"/>
  <c r="E63" i="4" s="1"/>
  <c r="F67" i="4"/>
  <c r="F69" i="4" s="1"/>
  <c r="D86" i="4"/>
  <c r="M100" i="4"/>
  <c r="N83" i="4" s="1"/>
  <c r="N91" i="4" s="1"/>
  <c r="P59" i="4"/>
  <c r="T6" i="4"/>
  <c r="L40" i="4"/>
  <c r="I45" i="4"/>
  <c r="Q9" i="4"/>
  <c r="S7" i="4"/>
  <c r="K41" i="4"/>
  <c r="S8" i="4" s="1"/>
  <c r="J42" i="4"/>
  <c r="P103" i="4"/>
  <c r="P10" i="4"/>
  <c r="M39" i="4" l="1"/>
  <c r="M47" i="4" s="1"/>
  <c r="M56" i="4" s="1"/>
  <c r="N39" i="4" s="1"/>
  <c r="N47" i="4" s="1"/>
  <c r="S12" i="7"/>
  <c r="J56" i="7"/>
  <c r="I52" i="7"/>
  <c r="R10" i="7"/>
  <c r="J41" i="7"/>
  <c r="S8" i="7" s="1"/>
  <c r="S7" i="7"/>
  <c r="G96" i="6"/>
  <c r="P22" i="6"/>
  <c r="R6" i="6"/>
  <c r="I47" i="6"/>
  <c r="I40" i="6"/>
  <c r="H45" i="6"/>
  <c r="Q9" i="6"/>
  <c r="H55" i="6"/>
  <c r="Q24" i="6"/>
  <c r="H100" i="6"/>
  <c r="H85" i="6"/>
  <c r="Q20" i="6" s="1"/>
  <c r="Q19" i="6"/>
  <c r="H42" i="5"/>
  <c r="H45" i="5" s="1"/>
  <c r="I39" i="5"/>
  <c r="G61" i="5"/>
  <c r="G62" i="5" s="1"/>
  <c r="G63" i="5" s="1"/>
  <c r="H51" i="5"/>
  <c r="H46" i="5"/>
  <c r="P13" i="5"/>
  <c r="Q18" i="5"/>
  <c r="H91" i="5"/>
  <c r="G111" i="5"/>
  <c r="G113" i="5" s="1"/>
  <c r="P23" i="5"/>
  <c r="P26" i="5" s="1"/>
  <c r="G99" i="5"/>
  <c r="G96" i="5"/>
  <c r="P22" i="5"/>
  <c r="T12" i="4"/>
  <c r="L21" i="4"/>
  <c r="D99" i="4"/>
  <c r="F61" i="4"/>
  <c r="F62" i="4" s="1"/>
  <c r="N13" i="4"/>
  <c r="G51" i="4"/>
  <c r="D89" i="4"/>
  <c r="D96" i="4" s="1"/>
  <c r="F63" i="4"/>
  <c r="G46" i="4"/>
  <c r="O11" i="4" s="1"/>
  <c r="O14" i="4" s="1"/>
  <c r="AA30" i="4" s="1"/>
  <c r="AA35" i="4" s="1"/>
  <c r="J45" i="4"/>
  <c r="R9" i="4"/>
  <c r="T7" i="4"/>
  <c r="L41" i="4"/>
  <c r="T8" i="4" s="1"/>
  <c r="Q103" i="4"/>
  <c r="K42" i="4"/>
  <c r="Q10" i="4"/>
  <c r="Q59" i="4"/>
  <c r="N100" i="4"/>
  <c r="O83" i="4" s="1"/>
  <c r="O91" i="4" s="1"/>
  <c r="M40" i="4" l="1"/>
  <c r="M41" i="4" s="1"/>
  <c r="M42" i="4" s="1"/>
  <c r="M45" i="4" s="1"/>
  <c r="J42" i="7"/>
  <c r="J51" i="7"/>
  <c r="J46" i="7"/>
  <c r="I61" i="7"/>
  <c r="I62" i="7" s="1"/>
  <c r="I63" i="7" s="1"/>
  <c r="R13" i="7"/>
  <c r="K39" i="7"/>
  <c r="H86" i="6"/>
  <c r="I41" i="6"/>
  <c r="R8" i="6" s="1"/>
  <c r="R7" i="6"/>
  <c r="G105" i="6"/>
  <c r="G106" i="6" s="1"/>
  <c r="G107" i="6" s="1"/>
  <c r="H95" i="6"/>
  <c r="H90" i="6"/>
  <c r="P25" i="6"/>
  <c r="I83" i="6"/>
  <c r="H52" i="6"/>
  <c r="Q10" i="6"/>
  <c r="R12" i="6"/>
  <c r="I56" i="6"/>
  <c r="Q9" i="5"/>
  <c r="Q24" i="5"/>
  <c r="H100" i="5"/>
  <c r="I83" i="5" s="1"/>
  <c r="I84" i="5" s="1"/>
  <c r="G105" i="5"/>
  <c r="G106" i="5" s="1"/>
  <c r="G107" i="5" s="1"/>
  <c r="H95" i="5"/>
  <c r="H90" i="5"/>
  <c r="P25" i="5"/>
  <c r="Q19" i="5"/>
  <c r="Q20" i="5"/>
  <c r="H67" i="5"/>
  <c r="H69" i="5" s="1"/>
  <c r="Q11" i="5"/>
  <c r="Q14" i="5" s="1"/>
  <c r="H55" i="5"/>
  <c r="R6" i="5"/>
  <c r="I47" i="5"/>
  <c r="I40" i="5"/>
  <c r="H52" i="5"/>
  <c r="Q10" i="5"/>
  <c r="N40" i="4"/>
  <c r="N56" i="4"/>
  <c r="O39" i="4" s="1"/>
  <c r="O47" i="4" s="1"/>
  <c r="L22" i="4"/>
  <c r="G55" i="4"/>
  <c r="G67" i="4"/>
  <c r="G69" i="4" s="1"/>
  <c r="G52" i="4"/>
  <c r="G61" i="4" s="1"/>
  <c r="G62" i="4" s="1"/>
  <c r="N41" i="4"/>
  <c r="N42" i="4" s="1"/>
  <c r="N45" i="4" s="1"/>
  <c r="O100" i="4"/>
  <c r="P83" i="4" s="1"/>
  <c r="P91" i="4" s="1"/>
  <c r="L42" i="4"/>
  <c r="R10" i="4"/>
  <c r="K45" i="4"/>
  <c r="S9" i="4"/>
  <c r="E95" i="4"/>
  <c r="E90" i="4"/>
  <c r="D105" i="4"/>
  <c r="L25" i="4"/>
  <c r="I42" i="6" l="1"/>
  <c r="I45" i="6" s="1"/>
  <c r="T6" i="7"/>
  <c r="K47" i="7"/>
  <c r="K40" i="7"/>
  <c r="J67" i="7"/>
  <c r="J69" i="7" s="1"/>
  <c r="S11" i="7"/>
  <c r="S14" i="7" s="1"/>
  <c r="J45" i="7"/>
  <c r="S9" i="7"/>
  <c r="J55" i="7"/>
  <c r="J39" i="6"/>
  <c r="H61" i="6"/>
  <c r="H62" i="6" s="1"/>
  <c r="H63" i="6" s="1"/>
  <c r="I46" i="6"/>
  <c r="I51" i="6"/>
  <c r="Q13" i="6"/>
  <c r="R18" i="6"/>
  <c r="I91" i="6"/>
  <c r="I84" i="6"/>
  <c r="H111" i="6"/>
  <c r="H113" i="6" s="1"/>
  <c r="Q23" i="6"/>
  <c r="Q26" i="6" s="1"/>
  <c r="R9" i="6"/>
  <c r="H89" i="6"/>
  <c r="Q21" i="6"/>
  <c r="H99" i="6"/>
  <c r="I85" i="5"/>
  <c r="I86" i="5" s="1"/>
  <c r="I41" i="5"/>
  <c r="R8" i="5" s="1"/>
  <c r="R7" i="5"/>
  <c r="H111" i="5"/>
  <c r="H113" i="5" s="1"/>
  <c r="Q23" i="5"/>
  <c r="Q26" i="5" s="1"/>
  <c r="H61" i="5"/>
  <c r="H62" i="5" s="1"/>
  <c r="H63" i="5" s="1"/>
  <c r="I51" i="5"/>
  <c r="I46" i="5"/>
  <c r="Q13" i="5"/>
  <c r="R12" i="5"/>
  <c r="I56" i="5"/>
  <c r="O40" i="4"/>
  <c r="O41" i="4" s="1"/>
  <c r="O42" i="4" s="1"/>
  <c r="O45" i="4" s="1"/>
  <c r="O56" i="4"/>
  <c r="P39" i="4" s="1"/>
  <c r="P47" i="4" s="1"/>
  <c r="G63" i="4"/>
  <c r="O13" i="4"/>
  <c r="H51" i="4"/>
  <c r="H46" i="4"/>
  <c r="H67" i="4" s="1"/>
  <c r="H69" i="4" s="1"/>
  <c r="D106" i="4"/>
  <c r="D107" i="4" s="1"/>
  <c r="S10" i="4"/>
  <c r="L45" i="4"/>
  <c r="T9" i="4"/>
  <c r="E111" i="4"/>
  <c r="E113" i="4" s="1"/>
  <c r="M23" i="4"/>
  <c r="M26" i="4" s="1"/>
  <c r="Y31" i="4" s="1"/>
  <c r="Y36" i="4" s="1"/>
  <c r="P100" i="4"/>
  <c r="Q83" i="4" s="1"/>
  <c r="Q91" i="4" s="1"/>
  <c r="T12" i="7" l="1"/>
  <c r="K56" i="7"/>
  <c r="J52" i="7"/>
  <c r="S10" i="7"/>
  <c r="K41" i="7"/>
  <c r="T8" i="7" s="1"/>
  <c r="T7" i="7"/>
  <c r="H96" i="6"/>
  <c r="Q22" i="6"/>
  <c r="I52" i="6"/>
  <c r="R10" i="6"/>
  <c r="R24" i="6"/>
  <c r="I100" i="6"/>
  <c r="I67" i="6"/>
  <c r="I69" i="6" s="1"/>
  <c r="R11" i="6"/>
  <c r="R14" i="6" s="1"/>
  <c r="I55" i="6"/>
  <c r="S6" i="6"/>
  <c r="J47" i="6"/>
  <c r="J40" i="6"/>
  <c r="R19" i="6"/>
  <c r="I85" i="6"/>
  <c r="R20" i="6" s="1"/>
  <c r="J39" i="5"/>
  <c r="H89" i="5"/>
  <c r="Q21" i="5"/>
  <c r="H99" i="5"/>
  <c r="R18" i="5"/>
  <c r="I91" i="5"/>
  <c r="I67" i="5"/>
  <c r="I69" i="5" s="1"/>
  <c r="R11" i="5"/>
  <c r="R14" i="5" s="1"/>
  <c r="I42" i="5"/>
  <c r="P40" i="4"/>
  <c r="P41" i="4" s="1"/>
  <c r="P42" i="4" s="1"/>
  <c r="P45" i="4" s="1"/>
  <c r="P56" i="4"/>
  <c r="Q39" i="4" s="1"/>
  <c r="Q47" i="4" s="1"/>
  <c r="H55" i="4"/>
  <c r="P11" i="4"/>
  <c r="P14" i="4" s="1"/>
  <c r="AB30" i="4" s="1"/>
  <c r="AB35" i="4" s="1"/>
  <c r="H52" i="4"/>
  <c r="H61" i="4" s="1"/>
  <c r="H62" i="4" s="1"/>
  <c r="Q100" i="4"/>
  <c r="T10" i="4"/>
  <c r="M18" i="4"/>
  <c r="E84" i="4"/>
  <c r="K42" i="7" l="1"/>
  <c r="K45" i="7" s="1"/>
  <c r="J61" i="7"/>
  <c r="J62" i="7" s="1"/>
  <c r="J63" i="7" s="1"/>
  <c r="K51" i="7"/>
  <c r="K46" i="7"/>
  <c r="S13" i="7"/>
  <c r="L39" i="7"/>
  <c r="I86" i="6"/>
  <c r="S12" i="6"/>
  <c r="J56" i="6"/>
  <c r="J51" i="6"/>
  <c r="J46" i="6"/>
  <c r="I61" i="6"/>
  <c r="I62" i="6" s="1"/>
  <c r="I63" i="6" s="1"/>
  <c r="R13" i="6"/>
  <c r="H105" i="6"/>
  <c r="H106" i="6" s="1"/>
  <c r="H107" i="6" s="1"/>
  <c r="I95" i="6"/>
  <c r="I90" i="6"/>
  <c r="Q25" i="6"/>
  <c r="J41" i="6"/>
  <c r="S8" i="6" s="1"/>
  <c r="S7" i="6"/>
  <c r="J83" i="6"/>
  <c r="R20" i="5"/>
  <c r="R19" i="5"/>
  <c r="S6" i="5"/>
  <c r="J47" i="5"/>
  <c r="J40" i="5"/>
  <c r="I45" i="5"/>
  <c r="R9" i="5"/>
  <c r="I55" i="5"/>
  <c r="R24" i="5"/>
  <c r="I100" i="5"/>
  <c r="J83" i="5" s="1"/>
  <c r="J84" i="5" s="1"/>
  <c r="H96" i="5"/>
  <c r="Q22" i="5"/>
  <c r="H63" i="4"/>
  <c r="Q40" i="4"/>
  <c r="Q41" i="4" s="1"/>
  <c r="Q42" i="4" s="1"/>
  <c r="Q45" i="4" s="1"/>
  <c r="Q56" i="4"/>
  <c r="P13" i="4"/>
  <c r="I51" i="4"/>
  <c r="I46" i="4"/>
  <c r="I55" i="4" s="1"/>
  <c r="M19" i="4"/>
  <c r="E85" i="4"/>
  <c r="M20" i="4" s="1"/>
  <c r="T9" i="7" l="1"/>
  <c r="U6" i="7"/>
  <c r="L47" i="7"/>
  <c r="L40" i="7"/>
  <c r="K52" i="7"/>
  <c r="T10" i="7"/>
  <c r="K67" i="7"/>
  <c r="K69" i="7" s="1"/>
  <c r="T11" i="7"/>
  <c r="T14" i="7" s="1"/>
  <c r="K55" i="7"/>
  <c r="J42" i="6"/>
  <c r="J55" i="6" s="1"/>
  <c r="S18" i="6"/>
  <c r="J91" i="6"/>
  <c r="J84" i="6"/>
  <c r="J67" i="6"/>
  <c r="J69" i="6" s="1"/>
  <c r="S11" i="6"/>
  <c r="S14" i="6" s="1"/>
  <c r="J45" i="6"/>
  <c r="I111" i="6"/>
  <c r="I113" i="6" s="1"/>
  <c r="R23" i="6"/>
  <c r="R26" i="6" s="1"/>
  <c r="K39" i="6"/>
  <c r="I89" i="6"/>
  <c r="R21" i="6"/>
  <c r="I99" i="6"/>
  <c r="J85" i="5"/>
  <c r="J86" i="5" s="1"/>
  <c r="J41" i="5"/>
  <c r="S8" i="5" s="1"/>
  <c r="S7" i="5"/>
  <c r="H105" i="5"/>
  <c r="H106" i="5" s="1"/>
  <c r="H107" i="5" s="1"/>
  <c r="I95" i="5"/>
  <c r="I90" i="5"/>
  <c r="Q25" i="5"/>
  <c r="I52" i="5"/>
  <c r="R10" i="5"/>
  <c r="S12" i="5"/>
  <c r="J56" i="5"/>
  <c r="Q11" i="4"/>
  <c r="Q14" i="4" s="1"/>
  <c r="AC30" i="4" s="1"/>
  <c r="AC35" i="4" s="1"/>
  <c r="I52" i="4"/>
  <c r="J51" i="4" s="1"/>
  <c r="I67" i="4"/>
  <c r="I69" i="4" s="1"/>
  <c r="E86" i="4"/>
  <c r="E99" i="4" s="1"/>
  <c r="U12" i="7" l="1"/>
  <c r="L56" i="7"/>
  <c r="K61" i="7"/>
  <c r="K62" i="7" s="1"/>
  <c r="K63" i="7" s="1"/>
  <c r="L51" i="7"/>
  <c r="L46" i="7"/>
  <c r="T13" i="7"/>
  <c r="L41" i="7"/>
  <c r="U8" i="7" s="1"/>
  <c r="U7" i="7"/>
  <c r="S9" i="6"/>
  <c r="I96" i="6"/>
  <c r="R22" i="6"/>
  <c r="J52" i="6"/>
  <c r="S10" i="6"/>
  <c r="T6" i="6"/>
  <c r="K47" i="6"/>
  <c r="K40" i="6"/>
  <c r="S19" i="6"/>
  <c r="J85" i="6"/>
  <c r="S20" i="6" s="1"/>
  <c r="S24" i="6"/>
  <c r="J100" i="6"/>
  <c r="J42" i="5"/>
  <c r="S9" i="5" s="1"/>
  <c r="K39" i="5"/>
  <c r="I111" i="5"/>
  <c r="I113" i="5" s="1"/>
  <c r="R23" i="5"/>
  <c r="R26" i="5" s="1"/>
  <c r="J45" i="5"/>
  <c r="I89" i="5"/>
  <c r="R21" i="5"/>
  <c r="I99" i="5"/>
  <c r="I61" i="5"/>
  <c r="I62" i="5" s="1"/>
  <c r="I63" i="5" s="1"/>
  <c r="J51" i="5"/>
  <c r="J46" i="5"/>
  <c r="R13" i="5"/>
  <c r="S18" i="5"/>
  <c r="J91" i="5"/>
  <c r="I61" i="4"/>
  <c r="I62" i="4" s="1"/>
  <c r="I63" i="4" s="1"/>
  <c r="J46" i="4"/>
  <c r="Q13" i="4"/>
  <c r="E89" i="4"/>
  <c r="M21" i="4"/>
  <c r="J67" i="4"/>
  <c r="J69" i="4" s="1"/>
  <c r="L42" i="7" l="1"/>
  <c r="L67" i="7"/>
  <c r="L69" i="7" s="1"/>
  <c r="U11" i="7"/>
  <c r="M39" i="7"/>
  <c r="J86" i="6"/>
  <c r="K41" i="6"/>
  <c r="T8" i="6" s="1"/>
  <c r="T7" i="6"/>
  <c r="J61" i="6"/>
  <c r="J62" i="6" s="1"/>
  <c r="J63" i="6" s="1"/>
  <c r="K51" i="6"/>
  <c r="K46" i="6"/>
  <c r="S13" i="6"/>
  <c r="I105" i="6"/>
  <c r="I106" i="6" s="1"/>
  <c r="I107" i="6" s="1"/>
  <c r="J95" i="6"/>
  <c r="J90" i="6"/>
  <c r="R25" i="6"/>
  <c r="K83" i="6"/>
  <c r="T12" i="6"/>
  <c r="K56" i="6"/>
  <c r="S19" i="5"/>
  <c r="S20" i="5"/>
  <c r="J67" i="5"/>
  <c r="J69" i="5" s="1"/>
  <c r="S11" i="5"/>
  <c r="S14" i="5" s="1"/>
  <c r="J55" i="5"/>
  <c r="T6" i="5"/>
  <c r="K47" i="5"/>
  <c r="K40" i="5"/>
  <c r="S24" i="5"/>
  <c r="J100" i="5"/>
  <c r="K83" i="5" s="1"/>
  <c r="K84" i="5" s="1"/>
  <c r="I96" i="5"/>
  <c r="R22" i="5"/>
  <c r="J52" i="5"/>
  <c r="S10" i="5"/>
  <c r="R11" i="4"/>
  <c r="R14" i="4" s="1"/>
  <c r="AD30" i="4" s="1"/>
  <c r="AD35" i="4" s="1"/>
  <c r="J55" i="4"/>
  <c r="J52" i="4"/>
  <c r="K51" i="4" s="1"/>
  <c r="E96" i="4"/>
  <c r="M22" i="4"/>
  <c r="M47" i="7" l="1"/>
  <c r="M56" i="7" s="1"/>
  <c r="M40" i="7"/>
  <c r="L45" i="7"/>
  <c r="U9" i="7"/>
  <c r="L55" i="7"/>
  <c r="K42" i="6"/>
  <c r="K45" i="6" s="1"/>
  <c r="K67" i="6"/>
  <c r="K69" i="6" s="1"/>
  <c r="T11" i="6"/>
  <c r="T14" i="6" s="1"/>
  <c r="L39" i="6"/>
  <c r="T18" i="6"/>
  <c r="K91" i="6"/>
  <c r="K84" i="6"/>
  <c r="J111" i="6"/>
  <c r="J113" i="6" s="1"/>
  <c r="S23" i="6"/>
  <c r="S26" i="6" s="1"/>
  <c r="J89" i="6"/>
  <c r="S21" i="6"/>
  <c r="J99" i="6"/>
  <c r="K85" i="5"/>
  <c r="K86" i="5" s="1"/>
  <c r="T12" i="5"/>
  <c r="K56" i="5"/>
  <c r="J61" i="5"/>
  <c r="J62" i="5" s="1"/>
  <c r="J63" i="5" s="1"/>
  <c r="K51" i="5"/>
  <c r="K46" i="5"/>
  <c r="S13" i="5"/>
  <c r="J95" i="5"/>
  <c r="J90" i="5"/>
  <c r="I105" i="5"/>
  <c r="I106" i="5" s="1"/>
  <c r="I107" i="5" s="1"/>
  <c r="R25" i="5"/>
  <c r="K41" i="5"/>
  <c r="T8" i="5" s="1"/>
  <c r="T7" i="5"/>
  <c r="J61" i="4"/>
  <c r="J62" i="4" s="1"/>
  <c r="J63" i="4" s="1"/>
  <c r="K46" i="4"/>
  <c r="K67" i="4" s="1"/>
  <c r="K69" i="4" s="1"/>
  <c r="R13" i="4"/>
  <c r="E105" i="4"/>
  <c r="F95" i="4"/>
  <c r="F90" i="4"/>
  <c r="M25" i="4"/>
  <c r="T9" i="6" l="1"/>
  <c r="L52" i="7"/>
  <c r="U10" i="7"/>
  <c r="N39" i="7"/>
  <c r="M41" i="7"/>
  <c r="M42" i="7" s="1"/>
  <c r="K55" i="6"/>
  <c r="K52" i="6"/>
  <c r="T10" i="6"/>
  <c r="T24" i="6"/>
  <c r="K100" i="6"/>
  <c r="U6" i="6"/>
  <c r="L47" i="6"/>
  <c r="L40" i="6"/>
  <c r="J96" i="6"/>
  <c r="S22" i="6"/>
  <c r="T19" i="6"/>
  <c r="K85" i="6"/>
  <c r="T20" i="6" s="1"/>
  <c r="K42" i="5"/>
  <c r="K45" i="5" s="1"/>
  <c r="K67" i="5"/>
  <c r="K69" i="5" s="1"/>
  <c r="T11" i="5"/>
  <c r="T14" i="5" s="1"/>
  <c r="L39" i="5"/>
  <c r="J89" i="5"/>
  <c r="S21" i="5"/>
  <c r="J99" i="5"/>
  <c r="T18" i="5"/>
  <c r="K91" i="5"/>
  <c r="J111" i="5"/>
  <c r="J113" i="5" s="1"/>
  <c r="S23" i="5"/>
  <c r="S26" i="5" s="1"/>
  <c r="K55" i="4"/>
  <c r="S11" i="4"/>
  <c r="S14" i="4" s="1"/>
  <c r="AE30" i="4" s="1"/>
  <c r="AE35" i="4" s="1"/>
  <c r="K52" i="4"/>
  <c r="K61" i="4" s="1"/>
  <c r="K62" i="4" s="1"/>
  <c r="K63" i="4" s="1"/>
  <c r="F111" i="4"/>
  <c r="F113" i="4" s="1"/>
  <c r="N23" i="4"/>
  <c r="N26" i="4" s="1"/>
  <c r="Z31" i="4" s="1"/>
  <c r="Z36" i="4" s="1"/>
  <c r="E106" i="4"/>
  <c r="E107" i="4" s="1"/>
  <c r="M45" i="7" l="1"/>
  <c r="N47" i="7"/>
  <c r="N56" i="7" s="1"/>
  <c r="N40" i="7"/>
  <c r="L61" i="7"/>
  <c r="M51" i="7"/>
  <c r="M46" i="7"/>
  <c r="M67" i="7" s="1"/>
  <c r="M69" i="7" s="1"/>
  <c r="U13" i="7"/>
  <c r="L41" i="6"/>
  <c r="U8" i="6" s="1"/>
  <c r="U7" i="6"/>
  <c r="K86" i="6"/>
  <c r="K95" i="6"/>
  <c r="K90" i="6"/>
  <c r="J105" i="6"/>
  <c r="J106" i="6" s="1"/>
  <c r="J107" i="6" s="1"/>
  <c r="S25" i="6"/>
  <c r="U12" i="6"/>
  <c r="L56" i="6"/>
  <c r="L83" i="6"/>
  <c r="L51" i="6"/>
  <c r="L46" i="6"/>
  <c r="K61" i="6"/>
  <c r="K62" i="6" s="1"/>
  <c r="K63" i="6" s="1"/>
  <c r="T13" i="6"/>
  <c r="K55" i="5"/>
  <c r="T9" i="5"/>
  <c r="T20" i="5"/>
  <c r="T19" i="5"/>
  <c r="U6" i="5"/>
  <c r="L47" i="5"/>
  <c r="L40" i="5"/>
  <c r="T24" i="5"/>
  <c r="K100" i="5"/>
  <c r="L83" i="5" s="1"/>
  <c r="L84" i="5" s="1"/>
  <c r="J96" i="5"/>
  <c r="S22" i="5"/>
  <c r="K52" i="5"/>
  <c r="T10" i="5"/>
  <c r="S13" i="4"/>
  <c r="L51" i="4"/>
  <c r="L46" i="4"/>
  <c r="L55" i="4" s="1"/>
  <c r="N18" i="4"/>
  <c r="F84" i="4"/>
  <c r="L42" i="6" l="1"/>
  <c r="L62" i="7"/>
  <c r="L63" i="7" s="1"/>
  <c r="G20" i="7"/>
  <c r="U14" i="7" s="1"/>
  <c r="N41" i="7"/>
  <c r="N42" i="7" s="1"/>
  <c r="N45" i="7" s="1"/>
  <c r="M55" i="7"/>
  <c r="O39" i="7"/>
  <c r="M52" i="7"/>
  <c r="L67" i="6"/>
  <c r="L69" i="6" s="1"/>
  <c r="U11" i="6"/>
  <c r="U18" i="6"/>
  <c r="L91" i="6"/>
  <c r="L84" i="6"/>
  <c r="M39" i="6"/>
  <c r="K111" i="6"/>
  <c r="K113" i="6" s="1"/>
  <c r="T23" i="6"/>
  <c r="T26" i="6" s="1"/>
  <c r="K89" i="6"/>
  <c r="T21" i="6"/>
  <c r="K99" i="6"/>
  <c r="L45" i="6"/>
  <c r="U9" i="6"/>
  <c r="L55" i="6"/>
  <c r="L85" i="5"/>
  <c r="L86" i="5" s="1"/>
  <c r="L41" i="5"/>
  <c r="U8" i="5" s="1"/>
  <c r="U7" i="5"/>
  <c r="K61" i="5"/>
  <c r="K62" i="5" s="1"/>
  <c r="K63" i="5" s="1"/>
  <c r="L51" i="5"/>
  <c r="L46" i="5"/>
  <c r="T13" i="5"/>
  <c r="J105" i="5"/>
  <c r="J106" i="5" s="1"/>
  <c r="J107" i="5" s="1"/>
  <c r="K95" i="5"/>
  <c r="K90" i="5"/>
  <c r="S25" i="5"/>
  <c r="U12" i="5"/>
  <c r="L56" i="5"/>
  <c r="L67" i="4"/>
  <c r="L69" i="4" s="1"/>
  <c r="T11" i="4"/>
  <c r="L52" i="4"/>
  <c r="L61" i="4" s="1"/>
  <c r="F20" i="4" s="1"/>
  <c r="N19" i="4"/>
  <c r="F85" i="4"/>
  <c r="N20" i="4" s="1"/>
  <c r="M61" i="7" l="1"/>
  <c r="M62" i="7" s="1"/>
  <c r="M63" i="7" s="1"/>
  <c r="N51" i="7"/>
  <c r="N46" i="7"/>
  <c r="N67" i="7" s="1"/>
  <c r="N69" i="7" s="1"/>
  <c r="G21" i="7"/>
  <c r="G22" i="7"/>
  <c r="O47" i="7"/>
  <c r="O56" i="7" s="1"/>
  <c r="O40" i="7"/>
  <c r="K96" i="6"/>
  <c r="T22" i="6"/>
  <c r="L52" i="6"/>
  <c r="U10" i="6"/>
  <c r="U24" i="6"/>
  <c r="L100" i="6"/>
  <c r="M47" i="6"/>
  <c r="M56" i="6" s="1"/>
  <c r="M40" i="6"/>
  <c r="L85" i="6"/>
  <c r="U20" i="6" s="1"/>
  <c r="U19" i="6"/>
  <c r="L42" i="5"/>
  <c r="U9" i="5" s="1"/>
  <c r="K89" i="5"/>
  <c r="T21" i="5"/>
  <c r="K99" i="5"/>
  <c r="K111" i="5"/>
  <c r="K113" i="5" s="1"/>
  <c r="T23" i="5"/>
  <c r="T26" i="5" s="1"/>
  <c r="L67" i="5"/>
  <c r="L69" i="5" s="1"/>
  <c r="U11" i="5"/>
  <c r="L45" i="5"/>
  <c r="M39" i="5"/>
  <c r="U18" i="5"/>
  <c r="L91" i="5"/>
  <c r="L62" i="4"/>
  <c r="L63" i="4" s="1"/>
  <c r="T14" i="4"/>
  <c r="AF35" i="4" s="1"/>
  <c r="S35" i="4" s="1"/>
  <c r="T13" i="4"/>
  <c r="M51" i="4"/>
  <c r="M46" i="4"/>
  <c r="M55" i="4" s="1"/>
  <c r="F86" i="4"/>
  <c r="F99" i="4" s="1"/>
  <c r="F22" i="4" l="1"/>
  <c r="N52" i="7"/>
  <c r="N61" i="7" s="1"/>
  <c r="N62" i="7" s="1"/>
  <c r="N55" i="7"/>
  <c r="P39" i="7"/>
  <c r="O41" i="7"/>
  <c r="O42" i="7" s="1"/>
  <c r="L86" i="6"/>
  <c r="L89" i="6" s="1"/>
  <c r="N39" i="6"/>
  <c r="M41" i="6"/>
  <c r="M42" i="6" s="1"/>
  <c r="L61" i="6"/>
  <c r="M46" i="6"/>
  <c r="M67" i="6" s="1"/>
  <c r="M69" i="6" s="1"/>
  <c r="M51" i="6"/>
  <c r="U13" i="6"/>
  <c r="M83" i="6"/>
  <c r="K105" i="6"/>
  <c r="K106" i="6" s="1"/>
  <c r="K107" i="6" s="1"/>
  <c r="L95" i="6"/>
  <c r="L90" i="6"/>
  <c r="T25" i="6"/>
  <c r="L55" i="5"/>
  <c r="U19" i="5"/>
  <c r="U20" i="5"/>
  <c r="L52" i="5"/>
  <c r="U10" i="5"/>
  <c r="U24" i="5"/>
  <c r="L100" i="5"/>
  <c r="M83" i="5" s="1"/>
  <c r="M84" i="5" s="1"/>
  <c r="M47" i="5"/>
  <c r="M56" i="5" s="1"/>
  <c r="M40" i="5"/>
  <c r="K96" i="5"/>
  <c r="T22" i="5"/>
  <c r="F21" i="4"/>
  <c r="M67" i="4"/>
  <c r="M69" i="4" s="1"/>
  <c r="AF30" i="4" s="1"/>
  <c r="M52" i="4"/>
  <c r="M61" i="4" s="1"/>
  <c r="M62" i="4" s="1"/>
  <c r="M63" i="4" s="1"/>
  <c r="F89" i="4"/>
  <c r="N21" i="4"/>
  <c r="V23" i="4" l="1"/>
  <c r="V22" i="4"/>
  <c r="N63" i="7"/>
  <c r="O51" i="7"/>
  <c r="O46" i="7"/>
  <c r="O67" i="7" s="1"/>
  <c r="O69" i="7" s="1"/>
  <c r="O45" i="7"/>
  <c r="O55" i="7"/>
  <c r="P47" i="7"/>
  <c r="P56" i="7" s="1"/>
  <c r="P40" i="7"/>
  <c r="U21" i="6"/>
  <c r="M45" i="6"/>
  <c r="M52" i="6" s="1"/>
  <c r="M55" i="6"/>
  <c r="L62" i="6"/>
  <c r="L63" i="6" s="1"/>
  <c r="G20" i="6"/>
  <c r="U14" i="6" s="1"/>
  <c r="N47" i="6"/>
  <c r="N56" i="6" s="1"/>
  <c r="N40" i="6"/>
  <c r="L111" i="6"/>
  <c r="L113" i="6" s="1"/>
  <c r="U23" i="6"/>
  <c r="M91" i="6"/>
  <c r="M100" i="6" s="1"/>
  <c r="M84" i="6"/>
  <c r="L99" i="6"/>
  <c r="L96" i="6"/>
  <c r="U22" i="6"/>
  <c r="M85" i="5"/>
  <c r="M86" i="5" s="1"/>
  <c r="N39" i="5"/>
  <c r="K105" i="5"/>
  <c r="K106" i="5" s="1"/>
  <c r="K107" i="5" s="1"/>
  <c r="L95" i="5"/>
  <c r="L90" i="5"/>
  <c r="T25" i="5"/>
  <c r="M41" i="5"/>
  <c r="M42" i="5" s="1"/>
  <c r="L61" i="5"/>
  <c r="G20" i="5" s="1"/>
  <c r="M51" i="5"/>
  <c r="M46" i="5"/>
  <c r="M67" i="5" s="1"/>
  <c r="M69" i="5" s="1"/>
  <c r="U13" i="5"/>
  <c r="N51" i="4"/>
  <c r="N46" i="4"/>
  <c r="N55" i="4" s="1"/>
  <c r="F96" i="4"/>
  <c r="N22" i="4"/>
  <c r="O52" i="7" l="1"/>
  <c r="O61" i="7" s="1"/>
  <c r="O62" i="7" s="1"/>
  <c r="O63" i="7" s="1"/>
  <c r="Q39" i="7"/>
  <c r="P41" i="7"/>
  <c r="P42" i="7" s="1"/>
  <c r="L105" i="6"/>
  <c r="M95" i="6"/>
  <c r="M90" i="6"/>
  <c r="M111" i="6" s="1"/>
  <c r="M113" i="6" s="1"/>
  <c r="U25" i="6"/>
  <c r="M85" i="6"/>
  <c r="M86" i="6" s="1"/>
  <c r="N41" i="6"/>
  <c r="N42" i="6" s="1"/>
  <c r="G21" i="6"/>
  <c r="G22" i="6"/>
  <c r="N83" i="6"/>
  <c r="O39" i="6"/>
  <c r="N51" i="6"/>
  <c r="N46" i="6"/>
  <c r="N67" i="6" s="1"/>
  <c r="N69" i="6" s="1"/>
  <c r="M61" i="6"/>
  <c r="M62" i="6" s="1"/>
  <c r="M63" i="6" s="1"/>
  <c r="L89" i="5"/>
  <c r="U21" i="5"/>
  <c r="L99" i="5"/>
  <c r="L62" i="5"/>
  <c r="L63" i="5" s="1"/>
  <c r="U14" i="5"/>
  <c r="M91" i="5"/>
  <c r="M100" i="5" s="1"/>
  <c r="N83" i="5" s="1"/>
  <c r="N84" i="5" s="1"/>
  <c r="N47" i="5"/>
  <c r="N56" i="5" s="1"/>
  <c r="N40" i="5"/>
  <c r="M45" i="5"/>
  <c r="M52" i="5" s="1"/>
  <c r="M55" i="5"/>
  <c r="L111" i="5"/>
  <c r="L113" i="5" s="1"/>
  <c r="U23" i="5"/>
  <c r="N67" i="4"/>
  <c r="N69" i="4" s="1"/>
  <c r="AG30" i="4" s="1"/>
  <c r="N52" i="4"/>
  <c r="N61" i="4" s="1"/>
  <c r="N62" i="4" s="1"/>
  <c r="N63" i="4" s="1"/>
  <c r="G95" i="4"/>
  <c r="G90" i="4"/>
  <c r="F105" i="4"/>
  <c r="N25" i="4"/>
  <c r="P51" i="7" l="1"/>
  <c r="P46" i="7"/>
  <c r="P67" i="7" s="1"/>
  <c r="P69" i="7" s="1"/>
  <c r="P45" i="7"/>
  <c r="P55" i="7"/>
  <c r="Q47" i="7"/>
  <c r="Q56" i="7" s="1"/>
  <c r="Q40" i="7"/>
  <c r="N45" i="6"/>
  <c r="N52" i="6" s="1"/>
  <c r="N55" i="6"/>
  <c r="M89" i="6"/>
  <c r="M96" i="6" s="1"/>
  <c r="M99" i="6"/>
  <c r="L106" i="6"/>
  <c r="L107" i="6" s="1"/>
  <c r="H20" i="6"/>
  <c r="U26" i="6" s="1"/>
  <c r="O47" i="6"/>
  <c r="O56" i="6" s="1"/>
  <c r="O40" i="6"/>
  <c r="N91" i="6"/>
  <c r="N100" i="6" s="1"/>
  <c r="N84" i="6"/>
  <c r="N85" i="5"/>
  <c r="N86" i="5" s="1"/>
  <c r="G21" i="5"/>
  <c r="G22" i="5"/>
  <c r="M61" i="5"/>
  <c r="M62" i="5" s="1"/>
  <c r="M63" i="5" s="1"/>
  <c r="N51" i="5"/>
  <c r="N46" i="5"/>
  <c r="N67" i="5" s="1"/>
  <c r="N69" i="5" s="1"/>
  <c r="O39" i="5"/>
  <c r="N41" i="5"/>
  <c r="N42" i="5" s="1"/>
  <c r="N45" i="5" s="1"/>
  <c r="L96" i="5"/>
  <c r="U22" i="5"/>
  <c r="O51" i="4"/>
  <c r="O46" i="4"/>
  <c r="O55" i="4" s="1"/>
  <c r="F106" i="4"/>
  <c r="F107" i="4" s="1"/>
  <c r="G111" i="4"/>
  <c r="G113" i="4" s="1"/>
  <c r="O23" i="4"/>
  <c r="O26" i="4" s="1"/>
  <c r="AA31" i="4" s="1"/>
  <c r="AA36" i="4" s="1"/>
  <c r="P52" i="7" l="1"/>
  <c r="Q51" i="7" s="1"/>
  <c r="Q41" i="7"/>
  <c r="Q42" i="7" s="1"/>
  <c r="N85" i="6"/>
  <c r="N86" i="6" s="1"/>
  <c r="O41" i="6"/>
  <c r="O42" i="6" s="1"/>
  <c r="H22" i="6"/>
  <c r="I22" i="6" s="1"/>
  <c r="H21" i="6"/>
  <c r="I21" i="6" s="1"/>
  <c r="O83" i="6"/>
  <c r="P39" i="6"/>
  <c r="M105" i="6"/>
  <c r="M106" i="6" s="1"/>
  <c r="M107" i="6" s="1"/>
  <c r="N95" i="6"/>
  <c r="N90" i="6"/>
  <c r="N111" i="6" s="1"/>
  <c r="N113" i="6" s="1"/>
  <c r="N61" i="6"/>
  <c r="N62" i="6" s="1"/>
  <c r="N63" i="6" s="1"/>
  <c r="O51" i="6"/>
  <c r="O46" i="6"/>
  <c r="O67" i="6" s="1"/>
  <c r="O69" i="6" s="1"/>
  <c r="N52" i="5"/>
  <c r="O51" i="5" s="1"/>
  <c r="M89" i="5"/>
  <c r="L105" i="5"/>
  <c r="M95" i="5"/>
  <c r="M90" i="5"/>
  <c r="M111" i="5" s="1"/>
  <c r="M113" i="5" s="1"/>
  <c r="U25" i="5"/>
  <c r="N61" i="5"/>
  <c r="N62" i="5" s="1"/>
  <c r="N91" i="5"/>
  <c r="N100" i="5" s="1"/>
  <c r="O83" i="5" s="1"/>
  <c r="O84" i="5" s="1"/>
  <c r="O47" i="5"/>
  <c r="O56" i="5" s="1"/>
  <c r="O40" i="5"/>
  <c r="N55" i="5"/>
  <c r="O52" i="4"/>
  <c r="P51" i="4" s="1"/>
  <c r="O67" i="4"/>
  <c r="O69" i="4" s="1"/>
  <c r="AH30" i="4" s="1"/>
  <c r="O18" i="4"/>
  <c r="G84" i="4"/>
  <c r="O61" i="4"/>
  <c r="O62" i="4" s="1"/>
  <c r="O63" i="4" s="1"/>
  <c r="P61" i="7" l="1"/>
  <c r="P62" i="7" s="1"/>
  <c r="P63" i="7" s="1"/>
  <c r="Q46" i="7"/>
  <c r="Q67" i="7" s="1"/>
  <c r="Q45" i="7"/>
  <c r="Q55" i="7"/>
  <c r="O45" i="6"/>
  <c r="O52" i="6" s="1"/>
  <c r="O55" i="6"/>
  <c r="N89" i="6"/>
  <c r="N96" i="6" s="1"/>
  <c r="N99" i="6"/>
  <c r="P47" i="6"/>
  <c r="P56" i="6" s="1"/>
  <c r="P40" i="6"/>
  <c r="O91" i="6"/>
  <c r="O100" i="6" s="1"/>
  <c r="O84" i="6"/>
  <c r="O46" i="5"/>
  <c r="O67" i="5" s="1"/>
  <c r="O69" i="5" s="1"/>
  <c r="O85" i="5"/>
  <c r="O86" i="5" s="1"/>
  <c r="P39" i="5"/>
  <c r="M99" i="5"/>
  <c r="O41" i="5"/>
  <c r="O42" i="5" s="1"/>
  <c r="N89" i="5"/>
  <c r="N63" i="5"/>
  <c r="L106" i="5"/>
  <c r="L107" i="5" s="1"/>
  <c r="H20" i="5"/>
  <c r="U26" i="5" s="1"/>
  <c r="M96" i="5"/>
  <c r="P46" i="4"/>
  <c r="P55" i="4" s="1"/>
  <c r="O19" i="4"/>
  <c r="G85" i="4"/>
  <c r="O20" i="4" s="1"/>
  <c r="Q52" i="7" l="1"/>
  <c r="Q61" i="7" s="1"/>
  <c r="Q62" i="7" s="1"/>
  <c r="Q63" i="7" s="1"/>
  <c r="Q39" i="6"/>
  <c r="O85" i="6"/>
  <c r="O86" i="6" s="1"/>
  <c r="O89" i="6" s="1"/>
  <c r="P41" i="6"/>
  <c r="P42" i="6" s="1"/>
  <c r="P45" i="6" s="1"/>
  <c r="P83" i="6"/>
  <c r="N105" i="6"/>
  <c r="N106" i="6" s="1"/>
  <c r="N107" i="6" s="1"/>
  <c r="O95" i="6"/>
  <c r="O90" i="6"/>
  <c r="O111" i="6" s="1"/>
  <c r="O113" i="6" s="1"/>
  <c r="P51" i="6"/>
  <c r="P46" i="6"/>
  <c r="P67" i="6" s="1"/>
  <c r="P69" i="6" s="1"/>
  <c r="O61" i="6"/>
  <c r="O62" i="6" s="1"/>
  <c r="O63" i="6" s="1"/>
  <c r="O45" i="5"/>
  <c r="O52" i="5" s="1"/>
  <c r="O55" i="5"/>
  <c r="N95" i="5"/>
  <c r="N90" i="5"/>
  <c r="N111" i="5" s="1"/>
  <c r="N113" i="5" s="1"/>
  <c r="M105" i="5"/>
  <c r="M106" i="5" s="1"/>
  <c r="M107" i="5" s="1"/>
  <c r="N99" i="5"/>
  <c r="H21" i="5"/>
  <c r="I21" i="5" s="1"/>
  <c r="H22" i="5"/>
  <c r="I22" i="5" s="1"/>
  <c r="O91" i="5"/>
  <c r="O100" i="5" s="1"/>
  <c r="P83" i="5" s="1"/>
  <c r="P84" i="5" s="1"/>
  <c r="P47" i="5"/>
  <c r="P56" i="5" s="1"/>
  <c r="P40" i="5"/>
  <c r="P52" i="4"/>
  <c r="Q51" i="4" s="1"/>
  <c r="P67" i="4"/>
  <c r="P69" i="4" s="1"/>
  <c r="AI30" i="4" s="1"/>
  <c r="G86" i="4"/>
  <c r="G99" i="4" s="1"/>
  <c r="G24" i="7" l="1"/>
  <c r="Q68" i="7" s="1"/>
  <c r="Q69" i="7" s="1"/>
  <c r="B70" i="7" s="1"/>
  <c r="G25" i="7" s="1"/>
  <c r="P61" i="4"/>
  <c r="P62" i="4" s="1"/>
  <c r="P63" i="4" s="1"/>
  <c r="O99" i="6"/>
  <c r="P91" i="6"/>
  <c r="P100" i="6" s="1"/>
  <c r="P84" i="6"/>
  <c r="P55" i="6"/>
  <c r="Q47" i="6"/>
  <c r="Q56" i="6" s="1"/>
  <c r="Q40" i="6"/>
  <c r="P52" i="6"/>
  <c r="O96" i="6"/>
  <c r="P85" i="5"/>
  <c r="P86" i="5" s="1"/>
  <c r="Q39" i="5"/>
  <c r="P41" i="5"/>
  <c r="P42" i="5" s="1"/>
  <c r="N96" i="5"/>
  <c r="P51" i="5"/>
  <c r="O61" i="5"/>
  <c r="O62" i="5" s="1"/>
  <c r="O63" i="5" s="1"/>
  <c r="P46" i="5"/>
  <c r="P67" i="5" s="1"/>
  <c r="P69" i="5" s="1"/>
  <c r="Q46" i="4"/>
  <c r="Q55" i="4" s="1"/>
  <c r="G89" i="4"/>
  <c r="O21" i="4"/>
  <c r="G26" i="7" l="1"/>
  <c r="P61" i="6"/>
  <c r="P62" i="6" s="1"/>
  <c r="P63" i="6" s="1"/>
  <c r="Q51" i="6"/>
  <c r="Q46" i="6"/>
  <c r="Q67" i="6" s="1"/>
  <c r="O105" i="6"/>
  <c r="O106" i="6" s="1"/>
  <c r="O107" i="6" s="1"/>
  <c r="P95" i="6"/>
  <c r="P90" i="6"/>
  <c r="P111" i="6" s="1"/>
  <c r="P113" i="6" s="1"/>
  <c r="Q41" i="6"/>
  <c r="Q42" i="6" s="1"/>
  <c r="Q83" i="6"/>
  <c r="P85" i="6"/>
  <c r="P86" i="6" s="1"/>
  <c r="O89" i="5"/>
  <c r="P45" i="5"/>
  <c r="P52" i="5" s="1"/>
  <c r="P55" i="5"/>
  <c r="Q47" i="5"/>
  <c r="Q56" i="5" s="1"/>
  <c r="Q40" i="5"/>
  <c r="N105" i="5"/>
  <c r="N106" i="5" s="1"/>
  <c r="N107" i="5" s="1"/>
  <c r="O95" i="5"/>
  <c r="O90" i="5"/>
  <c r="O111" i="5" s="1"/>
  <c r="O113" i="5" s="1"/>
  <c r="P91" i="5"/>
  <c r="P100" i="5" s="1"/>
  <c r="Q83" i="5" s="1"/>
  <c r="Q84" i="5" s="1"/>
  <c r="Q52" i="4"/>
  <c r="Q61" i="4" s="1"/>
  <c r="F24" i="4" s="1"/>
  <c r="Q68" i="4" s="1"/>
  <c r="Q67" i="4"/>
  <c r="G96" i="4"/>
  <c r="O22" i="4"/>
  <c r="Q62" i="4" l="1"/>
  <c r="Q63" i="4" s="1"/>
  <c r="P89" i="6"/>
  <c r="P96" i="6" s="1"/>
  <c r="Q95" i="6" s="1"/>
  <c r="P99" i="6"/>
  <c r="Q45" i="6"/>
  <c r="Q52" i="6" s="1"/>
  <c r="Q61" i="6" s="1"/>
  <c r="Q55" i="6"/>
  <c r="Q91" i="6"/>
  <c r="Q100" i="6" s="1"/>
  <c r="Q84" i="6"/>
  <c r="Q85" i="5"/>
  <c r="Q86" i="5" s="1"/>
  <c r="Q41" i="5"/>
  <c r="Q42" i="5" s="1"/>
  <c r="O99" i="5"/>
  <c r="P89" i="5"/>
  <c r="P61" i="5"/>
  <c r="P62" i="5" s="1"/>
  <c r="P63" i="5" s="1"/>
  <c r="Q46" i="5"/>
  <c r="Q67" i="5" s="1"/>
  <c r="Q51" i="5"/>
  <c r="O96" i="5"/>
  <c r="Q69" i="4"/>
  <c r="G105" i="4"/>
  <c r="H90" i="4"/>
  <c r="H95" i="4"/>
  <c r="O25" i="4"/>
  <c r="F26" i="4" l="1"/>
  <c r="AJ30" i="4"/>
  <c r="AK30" i="4" s="1"/>
  <c r="S30" i="4" s="1"/>
  <c r="P105" i="6"/>
  <c r="P106" i="6" s="1"/>
  <c r="P107" i="6" s="1"/>
  <c r="Q90" i="6"/>
  <c r="Q111" i="6" s="1"/>
  <c r="Q85" i="6"/>
  <c r="Q86" i="6" s="1"/>
  <c r="Q62" i="6"/>
  <c r="Q63" i="6" s="1"/>
  <c r="G24" i="6"/>
  <c r="Q68" i="6" s="1"/>
  <c r="Q69" i="6" s="1"/>
  <c r="Q45" i="5"/>
  <c r="Q52" i="5" s="1"/>
  <c r="Q61" i="5" s="1"/>
  <c r="G24" i="5" s="1"/>
  <c r="Q68" i="5" s="1"/>
  <c r="Q55" i="5"/>
  <c r="O105" i="5"/>
  <c r="O106" i="5" s="1"/>
  <c r="O107" i="5" s="1"/>
  <c r="P95" i="5"/>
  <c r="P90" i="5"/>
  <c r="P111" i="5" s="1"/>
  <c r="P113" i="5" s="1"/>
  <c r="Q91" i="5"/>
  <c r="Q100" i="5" s="1"/>
  <c r="B70" i="4"/>
  <c r="F25" i="4" s="1"/>
  <c r="H111" i="4"/>
  <c r="H113" i="4" s="1"/>
  <c r="P23" i="4"/>
  <c r="P26" i="4" s="1"/>
  <c r="AB31" i="4" s="1"/>
  <c r="AB36" i="4" s="1"/>
  <c r="G106" i="4"/>
  <c r="G107" i="4" s="1"/>
  <c r="Q89" i="6" l="1"/>
  <c r="Q96" i="6" s="1"/>
  <c r="Q105" i="6" s="1"/>
  <c r="H24" i="6" s="1"/>
  <c r="Q99" i="6"/>
  <c r="G26" i="6"/>
  <c r="B70" i="6"/>
  <c r="G25" i="6" s="1"/>
  <c r="P99" i="5"/>
  <c r="P96" i="5"/>
  <c r="Q62" i="5"/>
  <c r="Q63" i="5" s="1"/>
  <c r="Q69" i="5"/>
  <c r="P18" i="4"/>
  <c r="H84" i="4"/>
  <c r="Q106" i="6" l="1"/>
  <c r="Q107" i="6" s="1"/>
  <c r="Q89" i="5"/>
  <c r="B70" i="5"/>
  <c r="G25" i="5" s="1"/>
  <c r="G26" i="5"/>
  <c r="P105" i="5"/>
  <c r="P106" i="5" s="1"/>
  <c r="P107" i="5" s="1"/>
  <c r="Q95" i="5"/>
  <c r="Q90" i="5"/>
  <c r="Q111" i="5" s="1"/>
  <c r="H85" i="4"/>
  <c r="P20" i="4" s="1"/>
  <c r="P19" i="4"/>
  <c r="Q112" i="6" l="1"/>
  <c r="Q113" i="6" s="1"/>
  <c r="I24" i="6"/>
  <c r="Q99" i="5"/>
  <c r="Q96" i="5"/>
  <c r="Q105" i="5" s="1"/>
  <c r="H86" i="4"/>
  <c r="H99" i="4" s="1"/>
  <c r="B114" i="6" l="1"/>
  <c r="H25" i="6" s="1"/>
  <c r="I25" i="6" s="1"/>
  <c r="H26" i="6"/>
  <c r="I26" i="6" s="1"/>
  <c r="Q106" i="5"/>
  <c r="Q107" i="5" s="1"/>
  <c r="H89" i="4"/>
  <c r="P21" i="4"/>
  <c r="Q112" i="5" l="1"/>
  <c r="Q113" i="5" s="1"/>
  <c r="B114" i="5" s="1"/>
  <c r="H25" i="5" s="1"/>
  <c r="I25" i="5" s="1"/>
  <c r="I24" i="5"/>
  <c r="H96" i="4"/>
  <c r="P22" i="4"/>
  <c r="H26" i="5" l="1"/>
  <c r="I26" i="5" s="1"/>
  <c r="I95" i="4"/>
  <c r="I90" i="4"/>
  <c r="H105" i="4"/>
  <c r="P25" i="4"/>
  <c r="H106" i="4" l="1"/>
  <c r="H107" i="4" s="1"/>
  <c r="I111" i="4"/>
  <c r="I113" i="4" s="1"/>
  <c r="Q23" i="4"/>
  <c r="Q26" i="4" s="1"/>
  <c r="AC31" i="4" s="1"/>
  <c r="AC36" i="4" s="1"/>
  <c r="Q18" i="4" l="1"/>
  <c r="I84" i="4"/>
  <c r="Q19" i="4" l="1"/>
  <c r="I85" i="4"/>
  <c r="Q20" i="4" s="1"/>
  <c r="I86" i="4" l="1"/>
  <c r="I99" i="4" s="1"/>
  <c r="I89" i="4" l="1"/>
  <c r="Q21" i="4"/>
  <c r="I96" i="4" l="1"/>
  <c r="Q22" i="4"/>
  <c r="I105" i="4" l="1"/>
  <c r="J95" i="4"/>
  <c r="J90" i="4"/>
  <c r="Q25" i="4"/>
  <c r="J111" i="4" l="1"/>
  <c r="J113" i="4" s="1"/>
  <c r="R23" i="4"/>
  <c r="R26" i="4" s="1"/>
  <c r="AD31" i="4" s="1"/>
  <c r="AD36" i="4" s="1"/>
  <c r="I106" i="4"/>
  <c r="I107" i="4" s="1"/>
  <c r="R18" i="4" l="1"/>
  <c r="J84" i="4"/>
  <c r="R19" i="4" l="1"/>
  <c r="J85" i="4"/>
  <c r="R20" i="4" s="1"/>
  <c r="J86" i="4" l="1"/>
  <c r="J99" i="4" s="1"/>
  <c r="J89" i="4" l="1"/>
  <c r="R21" i="4"/>
  <c r="J96" i="4" l="1"/>
  <c r="R22" i="4"/>
  <c r="K95" i="4" l="1"/>
  <c r="K90" i="4"/>
  <c r="J105" i="4"/>
  <c r="R25" i="4"/>
  <c r="J106" i="4" l="1"/>
  <c r="J107" i="4" s="1"/>
  <c r="K111" i="4"/>
  <c r="K113" i="4" s="1"/>
  <c r="S23" i="4"/>
  <c r="S26" i="4" s="1"/>
  <c r="AE31" i="4" s="1"/>
  <c r="AE36" i="4" s="1"/>
  <c r="S18" i="4" l="1"/>
  <c r="K84" i="4"/>
  <c r="S19" i="4" l="1"/>
  <c r="K85" i="4"/>
  <c r="S20" i="4" s="1"/>
  <c r="K86" i="4" l="1"/>
  <c r="K99" i="4" s="1"/>
  <c r="K89" i="4" l="1"/>
  <c r="S21" i="4"/>
  <c r="K96" i="4" l="1"/>
  <c r="S22" i="4"/>
  <c r="K105" i="4" l="1"/>
  <c r="L90" i="4"/>
  <c r="L95" i="4"/>
  <c r="S25" i="4"/>
  <c r="K106" i="4" l="1"/>
  <c r="K107" i="4" s="1"/>
  <c r="L111" i="4"/>
  <c r="L113" i="4" s="1"/>
  <c r="T23" i="4"/>
  <c r="T18" i="4" l="1"/>
  <c r="L84" i="4"/>
  <c r="L85" i="4" l="1"/>
  <c r="T20" i="4" s="1"/>
  <c r="T19" i="4"/>
  <c r="L86" i="4" l="1"/>
  <c r="L99" i="4" s="1"/>
  <c r="L89" i="4" l="1"/>
  <c r="T21" i="4"/>
  <c r="L96" i="4" l="1"/>
  <c r="T22" i="4"/>
  <c r="M95" i="4" l="1"/>
  <c r="M90" i="4"/>
  <c r="M111" i="4" s="1"/>
  <c r="L105" i="4"/>
  <c r="G20" i="4" s="1"/>
  <c r="T26" i="4" s="1"/>
  <c r="AF36" i="4" s="1"/>
  <c r="S36" i="4" s="1"/>
  <c r="T25" i="4"/>
  <c r="M113" i="4" l="1"/>
  <c r="AF31" i="4"/>
  <c r="G22" i="4"/>
  <c r="L106" i="4"/>
  <c r="L107" i="4" s="1"/>
  <c r="M84" i="4"/>
  <c r="W23" i="4" l="1"/>
  <c r="W22" i="4"/>
  <c r="M85" i="4"/>
  <c r="M86" i="4" s="1"/>
  <c r="G21" i="4"/>
  <c r="M89" i="4" l="1"/>
  <c r="M99" i="4"/>
  <c r="M96" i="4"/>
  <c r="M105" i="4" l="1"/>
  <c r="N95" i="4"/>
  <c r="N90" i="4"/>
  <c r="N111" i="4" s="1"/>
  <c r="N113" i="4" l="1"/>
  <c r="AG31" i="4"/>
  <c r="M106" i="4"/>
  <c r="M107" i="4" s="1"/>
  <c r="N84" i="4"/>
  <c r="N85" i="4" l="1"/>
  <c r="N86" i="4" s="1"/>
  <c r="N89" i="4" l="1"/>
  <c r="N96" i="4" s="1"/>
  <c r="N99" i="4"/>
  <c r="O95" i="4" l="1"/>
  <c r="O90" i="4"/>
  <c r="O111" i="4" s="1"/>
  <c r="N105" i="4"/>
  <c r="O113" i="4" l="1"/>
  <c r="AH31" i="4"/>
  <c r="N106" i="4"/>
  <c r="N107" i="4" s="1"/>
  <c r="O84" i="4"/>
  <c r="O85" i="4" l="1"/>
  <c r="O86" i="4" s="1"/>
  <c r="O89" i="4" l="1"/>
  <c r="O96" i="4" s="1"/>
  <c r="O99" i="4"/>
  <c r="O105" i="4" l="1"/>
  <c r="P90" i="4"/>
  <c r="P111" i="4" s="1"/>
  <c r="P95" i="4"/>
  <c r="P113" i="4" l="1"/>
  <c r="AI31" i="4"/>
  <c r="O106" i="4"/>
  <c r="O107" i="4" s="1"/>
  <c r="P84" i="4"/>
  <c r="P85" i="4" l="1"/>
  <c r="P86" i="4" s="1"/>
  <c r="P89" i="4" l="1"/>
  <c r="P96" i="4" s="1"/>
  <c r="P99" i="4"/>
  <c r="Q95" i="4" l="1"/>
  <c r="Q90" i="4"/>
  <c r="Q111" i="4" s="1"/>
  <c r="P105" i="4"/>
  <c r="P106" i="4" l="1"/>
  <c r="P107" i="4" s="1"/>
  <c r="Q84" i="4"/>
  <c r="Q85" i="4" l="1"/>
  <c r="Q86" i="4" s="1"/>
  <c r="Q89" i="4" l="1"/>
  <c r="Q96" i="4" s="1"/>
  <c r="Q105" i="4" s="1"/>
  <c r="Q99" i="4"/>
  <c r="Q112" i="4" l="1"/>
  <c r="Q113" i="4" s="1"/>
  <c r="Q106" i="4"/>
  <c r="Q107" i="4" s="1"/>
  <c r="G26" i="4" l="1"/>
  <c r="H26" i="4" s="1"/>
  <c r="W18" i="4" s="1"/>
  <c r="AJ31" i="4"/>
  <c r="AK31" i="4" s="1"/>
  <c r="S31" i="4" s="1"/>
  <c r="B114" i="4"/>
  <c r="G25" i="4" s="1"/>
  <c r="A3" i="1"/>
  <c r="A1" i="1"/>
  <c r="C7" i="7"/>
  <c r="C11" i="7" s="1"/>
  <c r="C14" i="7" l="1"/>
  <c r="C17" i="7"/>
  <c r="H8" i="7" s="1"/>
  <c r="C75" i="7"/>
  <c r="C79" i="7" s="1"/>
  <c r="C12" i="7"/>
  <c r="H5" i="7" l="1"/>
  <c r="B90" i="7" s="1"/>
  <c r="B93" i="7"/>
  <c r="B103" i="7" s="1"/>
  <c r="C103" i="7" s="1"/>
  <c r="D103" i="7" s="1"/>
  <c r="E103" i="7" s="1"/>
  <c r="F103" i="7" s="1"/>
  <c r="G103" i="7" s="1"/>
  <c r="H103" i="7" s="1"/>
  <c r="I103" i="7" s="1"/>
  <c r="J103" i="7" s="1"/>
  <c r="K103" i="7" s="1"/>
  <c r="L103" i="7" s="1"/>
  <c r="M103" i="7" s="1"/>
  <c r="N103" i="7" s="1"/>
  <c r="O103" i="7" s="1"/>
  <c r="P103" i="7" s="1"/>
  <c r="Q103" i="7" s="1"/>
  <c r="H11" i="7"/>
  <c r="H6" i="7" s="1"/>
  <c r="D75" i="7"/>
  <c r="D79" i="7" s="1"/>
  <c r="D82" i="7" s="1"/>
  <c r="C80" i="7"/>
  <c r="D80" i="7" s="1"/>
  <c r="E80" i="7" s="1"/>
  <c r="F80" i="7" s="1"/>
  <c r="G80" i="7" s="1"/>
  <c r="H80" i="7" s="1"/>
  <c r="I80" i="7" s="1"/>
  <c r="J80" i="7" s="1"/>
  <c r="K80" i="7" s="1"/>
  <c r="L80" i="7" s="1"/>
  <c r="M80" i="7" s="1"/>
  <c r="N80" i="7" s="1"/>
  <c r="O80" i="7" s="1"/>
  <c r="P80" i="7" s="1"/>
  <c r="Q80" i="7" s="1"/>
  <c r="C82" i="7"/>
  <c r="B91" i="7" l="1"/>
  <c r="H16" i="7"/>
  <c r="H12" i="7"/>
  <c r="H14" i="7"/>
  <c r="B99" i="7"/>
  <c r="K23" i="7"/>
  <c r="K26" i="7" s="1"/>
  <c r="B110" i="7"/>
  <c r="B113" i="7" s="1"/>
  <c r="E75" i="7"/>
  <c r="F75" i="7" s="1"/>
  <c r="M17" i="7"/>
  <c r="L17" i="7"/>
  <c r="B96" i="7" l="1"/>
  <c r="K24" i="7"/>
  <c r="B100" i="7"/>
  <c r="H15" i="7"/>
  <c r="E79" i="7"/>
  <c r="E82" i="7" s="1"/>
  <c r="N17" i="7" s="1"/>
  <c r="F79" i="7"/>
  <c r="F82" i="7" s="1"/>
  <c r="G75" i="7"/>
  <c r="C83" i="7" l="1"/>
  <c r="C95" i="7"/>
  <c r="K25" i="7"/>
  <c r="B105" i="7"/>
  <c r="B106" i="7" s="1"/>
  <c r="B107" i="7" s="1"/>
  <c r="G79" i="7"/>
  <c r="G82" i="7" s="1"/>
  <c r="H75" i="7"/>
  <c r="O17" i="7"/>
  <c r="L18" i="7" l="1"/>
  <c r="C84" i="7"/>
  <c r="C91" i="7"/>
  <c r="I75" i="7"/>
  <c r="H79" i="7"/>
  <c r="H82" i="7" s="1"/>
  <c r="P17" i="7"/>
  <c r="L19" i="7" l="1"/>
  <c r="C85" i="7"/>
  <c r="L20" i="7" s="1"/>
  <c r="L24" i="7"/>
  <c r="C100" i="7"/>
  <c r="J75" i="7"/>
  <c r="I79" i="7"/>
  <c r="I82" i="7" s="1"/>
  <c r="Q17" i="7"/>
  <c r="C86" i="7" l="1"/>
  <c r="L21" i="7" s="1"/>
  <c r="D83" i="7"/>
  <c r="C89" i="7"/>
  <c r="J79" i="7"/>
  <c r="J82" i="7" s="1"/>
  <c r="K75" i="7"/>
  <c r="R17" i="7"/>
  <c r="C99" i="7" l="1"/>
  <c r="L22" i="7"/>
  <c r="C96" i="7"/>
  <c r="M18" i="7"/>
  <c r="D84" i="7"/>
  <c r="D91" i="7"/>
  <c r="S17" i="7"/>
  <c r="K79" i="7"/>
  <c r="K82" i="7" s="1"/>
  <c r="L75" i="7"/>
  <c r="M24" i="7" l="1"/>
  <c r="D100" i="7"/>
  <c r="D85" i="7"/>
  <c r="M20" i="7" s="1"/>
  <c r="M19" i="7"/>
  <c r="D86" i="7"/>
  <c r="L25" i="7"/>
  <c r="D90" i="7"/>
  <c r="D95" i="7"/>
  <c r="C105" i="7"/>
  <c r="C106" i="7" s="1"/>
  <c r="C107" i="7" s="1"/>
  <c r="T17" i="7"/>
  <c r="L79" i="7"/>
  <c r="M75" i="7"/>
  <c r="L82" i="7" l="1"/>
  <c r="Z5" i="7"/>
  <c r="Z7" i="7" s="1"/>
  <c r="Z9" i="7" s="1"/>
  <c r="Z10" i="7" s="1"/>
  <c r="Z11" i="7" s="1"/>
  <c r="H19" i="7" s="1"/>
  <c r="D111" i="7"/>
  <c r="D113" i="7" s="1"/>
  <c r="M23" i="7"/>
  <c r="M26" i="7" s="1"/>
  <c r="M21" i="7"/>
  <c r="D89" i="7"/>
  <c r="D99" i="7"/>
  <c r="E83" i="7"/>
  <c r="N75" i="7"/>
  <c r="M79" i="7"/>
  <c r="M82" i="7" s="1"/>
  <c r="U17" i="7"/>
  <c r="X22" i="7" s="1"/>
  <c r="X23" i="7" s="1"/>
  <c r="N18" i="7" l="1"/>
  <c r="E91" i="7"/>
  <c r="E84" i="7"/>
  <c r="M22" i="7"/>
  <c r="D96" i="7"/>
  <c r="O75" i="7"/>
  <c r="N79" i="7"/>
  <c r="N82" i="7" s="1"/>
  <c r="N24" i="7" l="1"/>
  <c r="E100" i="7"/>
  <c r="M25" i="7"/>
  <c r="D105" i="7"/>
  <c r="D106" i="7" s="1"/>
  <c r="D107" i="7" s="1"/>
  <c r="E95" i="7"/>
  <c r="E90" i="7"/>
  <c r="N19" i="7"/>
  <c r="E85" i="7"/>
  <c r="N20" i="7" s="1"/>
  <c r="O79" i="7"/>
  <c r="O82" i="7" s="1"/>
  <c r="P75" i="7"/>
  <c r="E86" i="7" l="1"/>
  <c r="F83" i="7"/>
  <c r="E99" i="7"/>
  <c r="N23" i="7"/>
  <c r="N26" i="7" s="1"/>
  <c r="E111" i="7"/>
  <c r="E113" i="7" s="1"/>
  <c r="P79" i="7"/>
  <c r="P82" i="7" s="1"/>
  <c r="Q75" i="7"/>
  <c r="Q79" i="7" s="1"/>
  <c r="N21" i="7" l="1"/>
  <c r="E89" i="7"/>
  <c r="Q82" i="7"/>
  <c r="AA5" i="7"/>
  <c r="AA7" i="7" s="1"/>
  <c r="AA9" i="7" s="1"/>
  <c r="AA10" i="7" s="1"/>
  <c r="AA11" i="7" s="1"/>
  <c r="H23" i="7" s="1"/>
  <c r="O18" i="7"/>
  <c r="F91" i="7"/>
  <c r="F84" i="7"/>
  <c r="F85" i="7" l="1"/>
  <c r="O20" i="7" s="1"/>
  <c r="O19" i="7"/>
  <c r="I23" i="7"/>
  <c r="N22" i="7"/>
  <c r="E96" i="7"/>
  <c r="O24" i="7"/>
  <c r="F100" i="7"/>
  <c r="F86" i="7" l="1"/>
  <c r="F89" i="7" s="1"/>
  <c r="G83" i="7"/>
  <c r="F90" i="7"/>
  <c r="E105" i="7"/>
  <c r="E106" i="7" s="1"/>
  <c r="E107" i="7" s="1"/>
  <c r="F95" i="7"/>
  <c r="N25" i="7"/>
  <c r="O21" i="7"/>
  <c r="F99" i="7"/>
  <c r="O22" i="7" l="1"/>
  <c r="F96" i="7"/>
  <c r="F111" i="7"/>
  <c r="F113" i="7" s="1"/>
  <c r="O23" i="7"/>
  <c r="O26" i="7" s="1"/>
  <c r="P18" i="7"/>
  <c r="G91" i="7"/>
  <c r="G84" i="7"/>
  <c r="P24" i="7" l="1"/>
  <c r="G100" i="7"/>
  <c r="P19" i="7"/>
  <c r="G85" i="7"/>
  <c r="P20" i="7" s="1"/>
  <c r="O25" i="7"/>
  <c r="G90" i="7"/>
  <c r="G95" i="7"/>
  <c r="F105" i="7"/>
  <c r="F106" i="7" s="1"/>
  <c r="F107" i="7" s="1"/>
  <c r="H83" i="7" l="1"/>
  <c r="P23" i="7"/>
  <c r="P26" i="7" s="1"/>
  <c r="G111" i="7"/>
  <c r="G113" i="7" s="1"/>
  <c r="G86" i="7"/>
  <c r="P21" i="7" l="1"/>
  <c r="G89" i="7"/>
  <c r="G99" i="7"/>
  <c r="Q18" i="7"/>
  <c r="H91" i="7"/>
  <c r="H84" i="7"/>
  <c r="P22" i="7" l="1"/>
  <c r="G96" i="7"/>
  <c r="Q19" i="7"/>
  <c r="H85" i="7"/>
  <c r="Q20" i="7" s="1"/>
  <c r="Q24" i="7"/>
  <c r="H100" i="7"/>
  <c r="P25" i="7" l="1"/>
  <c r="H90" i="7"/>
  <c r="G105" i="7"/>
  <c r="G106" i="7" s="1"/>
  <c r="G107" i="7" s="1"/>
  <c r="H95" i="7"/>
  <c r="I83" i="7"/>
  <c r="H86" i="7"/>
  <c r="Q21" i="7" l="1"/>
  <c r="H89" i="7"/>
  <c r="H99" i="7"/>
  <c r="R18" i="7"/>
  <c r="I91" i="7"/>
  <c r="I84" i="7"/>
  <c r="Q23" i="7"/>
  <c r="Q26" i="7" s="1"/>
  <c r="H111" i="7"/>
  <c r="H113" i="7" s="1"/>
  <c r="R24" i="7" l="1"/>
  <c r="I100" i="7"/>
  <c r="I85" i="7"/>
  <c r="R20" i="7" s="1"/>
  <c r="R19" i="7"/>
  <c r="Q22" i="7"/>
  <c r="H96" i="7"/>
  <c r="I90" i="7" l="1"/>
  <c r="H105" i="7"/>
  <c r="H106" i="7" s="1"/>
  <c r="H107" i="7" s="1"/>
  <c r="Q25" i="7"/>
  <c r="I95" i="7"/>
  <c r="I86" i="7"/>
  <c r="J83" i="7"/>
  <c r="I89" i="7" l="1"/>
  <c r="R21" i="7"/>
  <c r="I99" i="7"/>
  <c r="I111" i="7"/>
  <c r="I113" i="7" s="1"/>
  <c r="R23" i="7"/>
  <c r="R26" i="7" s="1"/>
  <c r="S18" i="7"/>
  <c r="J91" i="7"/>
  <c r="J84" i="7"/>
  <c r="S24" i="7" l="1"/>
  <c r="J100" i="7"/>
  <c r="S19" i="7"/>
  <c r="J85" i="7"/>
  <c r="S20" i="7" s="1"/>
  <c r="R22" i="7"/>
  <c r="I96" i="7"/>
  <c r="J86" i="7" l="1"/>
  <c r="S21" i="7" s="1"/>
  <c r="K83" i="7"/>
  <c r="J90" i="7"/>
  <c r="J95" i="7"/>
  <c r="R25" i="7"/>
  <c r="I105" i="7"/>
  <c r="I106" i="7" s="1"/>
  <c r="I107" i="7" s="1"/>
  <c r="J89" i="7"/>
  <c r="S22" i="7" l="1"/>
  <c r="J96" i="7"/>
  <c r="J99" i="7"/>
  <c r="J111" i="7"/>
  <c r="J113" i="7" s="1"/>
  <c r="S23" i="7"/>
  <c r="S26" i="7" s="1"/>
  <c r="T18" i="7"/>
  <c r="K91" i="7"/>
  <c r="K84" i="7"/>
  <c r="T19" i="7" l="1"/>
  <c r="K85" i="7"/>
  <c r="T20" i="7" s="1"/>
  <c r="K95" i="7"/>
  <c r="K90" i="7"/>
  <c r="J105" i="7"/>
  <c r="J106" i="7" s="1"/>
  <c r="J107" i="7" s="1"/>
  <c r="S25" i="7"/>
  <c r="T24" i="7"/>
  <c r="K100" i="7"/>
  <c r="L83" i="7" l="1"/>
  <c r="K111" i="7"/>
  <c r="K113" i="7" s="1"/>
  <c r="T23" i="7"/>
  <c r="T26" i="7" s="1"/>
  <c r="K86" i="7"/>
  <c r="K89" i="7" l="1"/>
  <c r="T21" i="7"/>
  <c r="K99" i="7"/>
  <c r="U18" i="7"/>
  <c r="L91" i="7"/>
  <c r="L84" i="7"/>
  <c r="L85" i="7" l="1"/>
  <c r="U20" i="7" s="1"/>
  <c r="U19" i="7"/>
  <c r="U24" i="7"/>
  <c r="L100" i="7"/>
  <c r="T22" i="7"/>
  <c r="K96" i="7"/>
  <c r="L86" i="7" l="1"/>
  <c r="L89" i="7" s="1"/>
  <c r="L95" i="7"/>
  <c r="L90" i="7"/>
  <c r="K105" i="7"/>
  <c r="K106" i="7" s="1"/>
  <c r="K107" i="7" s="1"/>
  <c r="T25" i="7"/>
  <c r="M83" i="7"/>
  <c r="U21" i="7"/>
  <c r="U22" i="7" l="1"/>
  <c r="L96" i="7"/>
  <c r="L99" i="7"/>
  <c r="L111" i="7"/>
  <c r="L113" i="7" s="1"/>
  <c r="U23" i="7"/>
  <c r="M91" i="7"/>
  <c r="M100" i="7" s="1"/>
  <c r="N83" i="7" s="1"/>
  <c r="M84" i="7"/>
  <c r="M85" i="7" s="1"/>
  <c r="M86" i="7" s="1"/>
  <c r="M89" i="7" s="1"/>
  <c r="N91" i="7" l="1"/>
  <c r="N100" i="7" s="1"/>
  <c r="O83" i="7" s="1"/>
  <c r="N84" i="7"/>
  <c r="N85" i="7" s="1"/>
  <c r="N86" i="7" s="1"/>
  <c r="N89" i="7" s="1"/>
  <c r="U25" i="7"/>
  <c r="M95" i="7"/>
  <c r="M90" i="7"/>
  <c r="M111" i="7" s="1"/>
  <c r="M113" i="7" s="1"/>
  <c r="L105" i="7"/>
  <c r="M96" i="7" l="1"/>
  <c r="N95" i="7" s="1"/>
  <c r="O91" i="7"/>
  <c r="O100" i="7" s="1"/>
  <c r="P83" i="7" s="1"/>
  <c r="O84" i="7"/>
  <c r="O85" i="7" s="1"/>
  <c r="O86" i="7" s="1"/>
  <c r="O89" i="7" s="1"/>
  <c r="L106" i="7"/>
  <c r="L107" i="7" s="1"/>
  <c r="H20" i="7"/>
  <c r="U26" i="7" s="1"/>
  <c r="M99" i="7"/>
  <c r="N90" i="7"/>
  <c r="N111" i="7" s="1"/>
  <c r="N113" i="7" s="1"/>
  <c r="M105" i="7"/>
  <c r="M106" i="7" s="1"/>
  <c r="M107" i="7" l="1"/>
  <c r="N96" i="7"/>
  <c r="P91" i="7"/>
  <c r="P100" i="7" s="1"/>
  <c r="Q83" i="7" s="1"/>
  <c r="P84" i="7"/>
  <c r="P85" i="7" s="1"/>
  <c r="P86" i="7" s="1"/>
  <c r="P89" i="7" s="1"/>
  <c r="N99" i="7"/>
  <c r="H22" i="7"/>
  <c r="I22" i="7" s="1"/>
  <c r="H21" i="7"/>
  <c r="I21" i="7" s="1"/>
  <c r="Q91" i="7" l="1"/>
  <c r="Q100" i="7" s="1"/>
  <c r="Q84" i="7"/>
  <c r="Q85" i="7" s="1"/>
  <c r="Q86" i="7" s="1"/>
  <c r="Q89" i="7" s="1"/>
  <c r="O95" i="7"/>
  <c r="O90" i="7"/>
  <c r="N105" i="7"/>
  <c r="N106" i="7" s="1"/>
  <c r="N107" i="7" s="1"/>
  <c r="O99" i="7" l="1"/>
  <c r="O111" i="7"/>
  <c r="O113" i="7" s="1"/>
  <c r="O96" i="7"/>
  <c r="P95" i="7" l="1"/>
  <c r="P90" i="7"/>
  <c r="O105" i="7"/>
  <c r="O106" i="7" s="1"/>
  <c r="O107" i="7" s="1"/>
  <c r="P99" i="7"/>
  <c r="P111" i="7" l="1"/>
  <c r="P113" i="7" s="1"/>
  <c r="P96" i="7"/>
  <c r="Q95" i="7" l="1"/>
  <c r="P105" i="7"/>
  <c r="P106" i="7" s="1"/>
  <c r="P107" i="7" s="1"/>
  <c r="Q90" i="7"/>
  <c r="Q99" i="7" l="1"/>
  <c r="Q111" i="7"/>
  <c r="Q96" i="7"/>
  <c r="Q105" i="7" s="1"/>
  <c r="Q106" i="7" l="1"/>
  <c r="Q107" i="7" s="1"/>
  <c r="H24" i="7"/>
  <c r="I24" i="7" l="1"/>
  <c r="Q112" i="7"/>
  <c r="Q113" i="7" s="1"/>
  <c r="H26" i="7" l="1"/>
  <c r="I26" i="7" s="1"/>
  <c r="B114" i="7"/>
  <c r="H25" i="7" s="1"/>
  <c r="I25" i="7" s="1"/>
</calcChain>
</file>

<file path=xl/comments1.xml><?xml version="1.0" encoding="utf-8"?>
<comments xmlns="http://schemas.openxmlformats.org/spreadsheetml/2006/main">
  <authors>
    <author>SAINTCRICQJ</author>
  </authors>
  <commentList>
    <comment ref="B4" authorId="0">
      <text>
        <r>
          <rPr>
            <b/>
            <sz val="9"/>
            <color indexed="81"/>
            <rFont val="Tahoma"/>
            <family val="2"/>
          </rPr>
          <t>Acquisition</t>
        </r>
      </text>
    </comment>
    <comment ref="C4" authorId="0">
      <text>
        <r>
          <rPr>
            <b/>
            <sz val="9"/>
            <color indexed="81"/>
            <rFont val="Tahoma"/>
            <family val="2"/>
          </rPr>
          <t xml:space="preserve">Location
</t>
        </r>
      </text>
    </comment>
  </commentList>
</comments>
</file>

<file path=xl/comments2.xml><?xml version="1.0" encoding="utf-8"?>
<comments xmlns="http://schemas.openxmlformats.org/spreadsheetml/2006/main">
  <authors>
    <author>SAINTCRICQJ</author>
  </authors>
  <commentList>
    <comment ref="B4" authorId="0">
      <text>
        <r>
          <rPr>
            <b/>
            <sz val="9"/>
            <color indexed="81"/>
            <rFont val="Tahoma"/>
            <family val="2"/>
          </rPr>
          <t>Acquisition</t>
        </r>
      </text>
    </comment>
    <comment ref="C4" authorId="0">
      <text>
        <r>
          <rPr>
            <b/>
            <sz val="9"/>
            <color indexed="81"/>
            <rFont val="Tahoma"/>
            <family val="2"/>
          </rPr>
          <t xml:space="preserve">Location
</t>
        </r>
      </text>
    </comment>
  </commentList>
</comments>
</file>

<file path=xl/comments3.xml><?xml version="1.0" encoding="utf-8"?>
<comments xmlns="http://schemas.openxmlformats.org/spreadsheetml/2006/main">
  <authors>
    <author>SAINTCRICQJ</author>
  </authors>
  <commentList>
    <comment ref="B4" authorId="0">
      <text>
        <r>
          <rPr>
            <b/>
            <sz val="9"/>
            <color indexed="81"/>
            <rFont val="Tahoma"/>
            <family val="2"/>
          </rPr>
          <t>Acquisition</t>
        </r>
      </text>
    </comment>
    <comment ref="C4" authorId="0">
      <text>
        <r>
          <rPr>
            <b/>
            <sz val="9"/>
            <color indexed="81"/>
            <rFont val="Tahoma"/>
            <family val="2"/>
          </rPr>
          <t xml:space="preserve">Location
</t>
        </r>
      </text>
    </comment>
  </commentList>
</comments>
</file>

<file path=xl/comments4.xml><?xml version="1.0" encoding="utf-8"?>
<comments xmlns="http://schemas.openxmlformats.org/spreadsheetml/2006/main">
  <authors>
    <author>SAINTCRICQJ</author>
  </authors>
  <commentList>
    <comment ref="B4" authorId="0">
      <text>
        <r>
          <rPr>
            <b/>
            <sz val="9"/>
            <color indexed="81"/>
            <rFont val="Tahoma"/>
            <family val="2"/>
          </rPr>
          <t>Acquisition</t>
        </r>
      </text>
    </comment>
    <comment ref="C4" authorId="0">
      <text>
        <r>
          <rPr>
            <b/>
            <sz val="9"/>
            <color indexed="81"/>
            <rFont val="Tahoma"/>
            <family val="2"/>
          </rPr>
          <t xml:space="preserve">Location
</t>
        </r>
      </text>
    </comment>
  </commentList>
</comments>
</file>

<file path=xl/sharedStrings.xml><?xml version="1.0" encoding="utf-8"?>
<sst xmlns="http://schemas.openxmlformats.org/spreadsheetml/2006/main" count="1084" uniqueCount="179">
  <si>
    <t>LOCATION VERSUS PROPRIETE :</t>
  </si>
  <si>
    <t>location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</si>
  <si>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</si>
  <si>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</si>
  <si>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</si>
  <si>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</si>
  <si>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</si>
  <si>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</si>
  <si>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</si>
  <si>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</si>
  <si>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</si>
  <si>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</si>
  <si>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Exploitation</t>
  </si>
  <si>
    <t>Bilan D</t>
  </si>
  <si>
    <t>REX</t>
  </si>
  <si>
    <t>chiffre d'affaires</t>
  </si>
  <si>
    <t>Capital</t>
  </si>
  <si>
    <t>F Fi</t>
  </si>
  <si>
    <t>marge brute</t>
  </si>
  <si>
    <t>Dette</t>
  </si>
  <si>
    <t>RCAI</t>
  </si>
  <si>
    <t xml:space="preserve">charges d'exploitation </t>
  </si>
  <si>
    <t>IS 30%</t>
  </si>
  <si>
    <t>loyer</t>
  </si>
  <si>
    <t>Immob</t>
  </si>
  <si>
    <t>RN</t>
  </si>
  <si>
    <t>loyer%CA</t>
  </si>
  <si>
    <t>Fonds</t>
  </si>
  <si>
    <t>MBA</t>
  </si>
  <si>
    <t>taxe foncière</t>
  </si>
  <si>
    <t>BFR</t>
  </si>
  <si>
    <t>EBE</t>
  </si>
  <si>
    <t>Cash</t>
  </si>
  <si>
    <t>EBE%CA</t>
  </si>
  <si>
    <t>total</t>
  </si>
  <si>
    <t>Dispo DP</t>
  </si>
  <si>
    <t>Amortissements</t>
  </si>
  <si>
    <t>Levier</t>
  </si>
  <si>
    <t>Dispo  FP</t>
  </si>
  <si>
    <t>Résultat exploitation</t>
  </si>
  <si>
    <t>Immobilier</t>
  </si>
  <si>
    <t>Propriété</t>
  </si>
  <si>
    <t>VE10</t>
  </si>
  <si>
    <t>VT10</t>
  </si>
  <si>
    <t>Taux de cap</t>
  </si>
  <si>
    <t>TRI 10</t>
  </si>
  <si>
    <t>Amrtsmt (durée)</t>
  </si>
  <si>
    <t xml:space="preserve"> </t>
  </si>
  <si>
    <t>VP</t>
  </si>
  <si>
    <t>Apport</t>
  </si>
  <si>
    <t>Prêt (durée)</t>
  </si>
  <si>
    <t>Taux d'intérêt</t>
  </si>
  <si>
    <t>VE15</t>
  </si>
  <si>
    <t>VT15</t>
  </si>
  <si>
    <t>Taux IS</t>
  </si>
  <si>
    <t>TRI 15</t>
  </si>
  <si>
    <t>A11</t>
  </si>
  <si>
    <t>A12</t>
  </si>
  <si>
    <t>A13</t>
  </si>
  <si>
    <t>A14</t>
  </si>
  <si>
    <t>A15</t>
  </si>
  <si>
    <t>marge brute 30%</t>
  </si>
  <si>
    <t>Frais financiers</t>
  </si>
  <si>
    <t>Delta BFR</t>
  </si>
  <si>
    <t>Dispo FP</t>
  </si>
  <si>
    <t>check</t>
  </si>
  <si>
    <t>Cash out</t>
  </si>
  <si>
    <t>Cash in</t>
  </si>
  <si>
    <t>Valeur sortie</t>
  </si>
  <si>
    <t>Flux</t>
  </si>
  <si>
    <t>TRI</t>
  </si>
  <si>
    <t>PROPRIETE</t>
  </si>
  <si>
    <t>JSC 28 février 2012</t>
  </si>
  <si>
    <t>Cas 1 =  fonds choisi, location ou achat des murs?</t>
  </si>
  <si>
    <t>Multiple valor/CA TTC</t>
  </si>
  <si>
    <t>Location</t>
  </si>
  <si>
    <t>Propr</t>
  </si>
  <si>
    <t>Loc</t>
  </si>
  <si>
    <t>An Fi</t>
  </si>
  <si>
    <t>Total</t>
  </si>
  <si>
    <t>Ppal</t>
  </si>
  <si>
    <t>Int</t>
  </si>
  <si>
    <t>VP10</t>
  </si>
  <si>
    <t>Dividendes</t>
  </si>
  <si>
    <t>Rbst defi</t>
  </si>
  <si>
    <t>prix m²</t>
  </si>
  <si>
    <t>taux cap</t>
  </si>
  <si>
    <t>return</t>
  </si>
  <si>
    <t>Delta</t>
  </si>
  <si>
    <t>IS</t>
  </si>
  <si>
    <t>VEA10</t>
  </si>
  <si>
    <t>VEA15</t>
  </si>
  <si>
    <t>+V/fonds</t>
  </si>
  <si>
    <t>+V/immob</t>
  </si>
  <si>
    <t>+V tot</t>
  </si>
  <si>
    <t>I/+V</t>
  </si>
  <si>
    <t>VE</t>
  </si>
  <si>
    <t>Coeff</t>
  </si>
  <si>
    <t xml:space="preserve">Loc </t>
  </si>
  <si>
    <t>Emprunt</t>
  </si>
  <si>
    <t>CB</t>
  </si>
  <si>
    <t>Loyer</t>
  </si>
  <si>
    <t>Frais fi</t>
  </si>
  <si>
    <t>Taux cap</t>
  </si>
  <si>
    <t>Taux int</t>
  </si>
  <si>
    <t>Amort</t>
  </si>
  <si>
    <t>Durée prêt</t>
  </si>
  <si>
    <t>Avant impôt</t>
  </si>
  <si>
    <t>Amortissmt immob</t>
  </si>
  <si>
    <t xml:space="preserve">Durée </t>
  </si>
  <si>
    <t>Val résid</t>
  </si>
  <si>
    <t>Coût de l'emprunt</t>
  </si>
  <si>
    <t>Coût de la location</t>
  </si>
  <si>
    <t>annuité Crédit bail</t>
  </si>
  <si>
    <t>Amort CB</t>
  </si>
  <si>
    <t>Frais fi CB</t>
  </si>
  <si>
    <t>Total avant IS</t>
  </si>
  <si>
    <t>Après IS</t>
  </si>
  <si>
    <t>Investissement</t>
  </si>
  <si>
    <t>cash in</t>
  </si>
  <si>
    <t>cash out</t>
  </si>
  <si>
    <t>Plcmt</t>
  </si>
  <si>
    <t>sortie</t>
  </si>
  <si>
    <t>emprunt</t>
  </si>
  <si>
    <t>Flux cash</t>
  </si>
  <si>
    <t>Crédit bail</t>
  </si>
  <si>
    <t>Comparaison des 3 systèmes de financement de l'immobilier :</t>
  </si>
  <si>
    <t>JSC le 6 mars 2012</t>
  </si>
  <si>
    <t>Pcmt</t>
  </si>
  <si>
    <t>Prop</t>
  </si>
  <si>
    <t>reval bien</t>
  </si>
  <si>
    <t>k</t>
  </si>
  <si>
    <t>Rbsmt/an</t>
  </si>
  <si>
    <t>amortissement</t>
  </si>
  <si>
    <t>rbsmt annuel</t>
  </si>
  <si>
    <t>marge CB</t>
  </si>
  <si>
    <t>Fonds commerce</t>
  </si>
  <si>
    <t>Placement</t>
  </si>
  <si>
    <t>Murs</t>
  </si>
  <si>
    <t>Apport perso</t>
  </si>
  <si>
    <t>levier</t>
  </si>
  <si>
    <t>dette</t>
  </si>
  <si>
    <t>Total à investir</t>
  </si>
  <si>
    <t>Total investi</t>
  </si>
  <si>
    <t>Placement FC</t>
  </si>
  <si>
    <t>Répartition des apports</t>
  </si>
  <si>
    <t>CB1</t>
  </si>
  <si>
    <t>CB2</t>
  </si>
  <si>
    <t>Problème du traitement du crédit  bail</t>
  </si>
  <si>
    <t>Service de la dette</t>
  </si>
  <si>
    <t>frais financiers totaux</t>
  </si>
  <si>
    <t>FFI Fonds commerce</t>
  </si>
  <si>
    <t>FFI Placement FC</t>
  </si>
  <si>
    <t>FFI Murs</t>
  </si>
  <si>
    <t>Répartition des dettes</t>
  </si>
  <si>
    <t>Check</t>
  </si>
  <si>
    <t>Apport % invstmt</t>
  </si>
  <si>
    <t>Apport Keuros</t>
  </si>
  <si>
    <t>Taux intérêt</t>
  </si>
  <si>
    <t>Tx cap</t>
  </si>
  <si>
    <t>Tx plcmt</t>
  </si>
  <si>
    <t>charges</t>
  </si>
  <si>
    <t>Amortissement</t>
  </si>
  <si>
    <t>amrtsmt</t>
  </si>
  <si>
    <t>Bien</t>
  </si>
  <si>
    <t>total bilan</t>
  </si>
  <si>
    <t>EBIT</t>
  </si>
  <si>
    <t>Invstmt</t>
  </si>
  <si>
    <t>TDP</t>
  </si>
  <si>
    <t>TFP</t>
  </si>
  <si>
    <t>Durée</t>
  </si>
  <si>
    <t>dividendes</t>
  </si>
  <si>
    <t>VT</t>
  </si>
  <si>
    <t>Réév</t>
  </si>
  <si>
    <t>rééval bien</t>
  </si>
  <si>
    <t>Revenu</t>
  </si>
  <si>
    <t>tx plcmt</t>
  </si>
  <si>
    <t>+V</t>
  </si>
  <si>
    <t>DR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</si>
</sst>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9"/>
      <color indexed="81"/>
      <name val="Tahoma"/>
      <family val="2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43">
    <xf numFmtId="0" fontId="0" fillId="0" borderId="0" xfId="0"/>
    <xf numFmtId="0" fontId="2" fillId="0" borderId="0" xfId="0" applyFont="1"/>
    <xf numFmtId="1" fontId="2" fillId="0" borderId="2" xfId="0" applyNumberFormat="1" applyFont="1" applyBorder="1" applyAlignment="1">
      <alignment horizontal="right"/>
    </xf>
    <xf numFmtId="0" fontId="2" fillId="0" borderId="2" xfId="0" applyFont="1" applyBorder="1" applyAlignment="1">
      <alignment horizontal="right"/>
    </xf>
    <xf numFmtId="0" fontId="2" fillId="0" borderId="2" xfId="0" applyFont="1" applyFill="1" applyBorder="1" applyAlignment="1">
      <alignment horizontal="right"/>
    </xf>
    <xf numFmtId="0" fontId="2" fillId="0" borderId="1" xfId="0" applyFont="1" applyFill="1" applyBorder="1" applyAlignment="1">
      <alignment horizontal="right"/>
    </xf>
    <xf numFmtId="9" fontId="2" fillId="0" borderId="1" xfId="0" applyNumberFormat="1" applyFont="1" applyBorder="1"/>
    <xf numFmtId="0" fontId="2" fillId="0" borderId="1" xfId="0" quotePrefix="1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/>
    <xf numFmtId="0" fontId="0" fillId="0" borderId="1" xfId="0" applyBorder="1"/>
    <xf numFmtId="0" fontId="2" fillId="2" borderId="1" xfId="0" applyFont="1" applyFill="1" applyBorder="1"/>
    <xf numFmtId="0" fontId="0" fillId="0" borderId="1" xfId="0" applyFill="1" applyBorder="1"/>
    <xf numFmtId="1" fontId="0" fillId="0" borderId="1" xfId="0" applyNumberFormat="1" applyBorder="1"/>
    <xf numFmtId="1" fontId="0" fillId="0" borderId="1" xfId="0" applyNumberFormat="1" applyFill="1" applyBorder="1"/>
    <xf numFmtId="0" fontId="0" fillId="2" borderId="1" xfId="0" applyFill="1" applyBorder="1"/>
    <xf numFmtId="164" fontId="0" fillId="0" borderId="1" xfId="1" applyNumberFormat="1" applyFont="1" applyBorder="1"/>
    <xf numFmtId="0" fontId="0" fillId="0" borderId="3" xfId="0" applyFill="1" applyBorder="1"/>
    <xf numFmtId="1" fontId="2" fillId="0" borderId="1" xfId="1" applyNumberFormat="1" applyFont="1" applyBorder="1"/>
    <xf numFmtId="164" fontId="0" fillId="0" borderId="1" xfId="0" applyNumberFormat="1" applyFill="1" applyBorder="1"/>
    <xf numFmtId="9" fontId="0" fillId="0" borderId="1" xfId="1" applyFont="1" applyBorder="1"/>
    <xf numFmtId="1" fontId="2" fillId="0" borderId="1" xfId="0" applyNumberFormat="1" applyFont="1" applyBorder="1"/>
    <xf numFmtId="9" fontId="0" fillId="0" borderId="0" xfId="0" applyNumberFormat="1"/>
    <xf numFmtId="1" fontId="2" fillId="0" borderId="1" xfId="0" applyNumberFormat="1" applyFont="1" applyBorder="1" applyAlignment="1">
      <alignment horizontal="right"/>
    </xf>
    <xf numFmtId="0" fontId="2" fillId="0" borderId="4" xfId="0" applyFont="1" applyFill="1" applyBorder="1"/>
    <xf numFmtId="164" fontId="0" fillId="2" borderId="1" xfId="0" applyNumberFormat="1" applyFill="1" applyBorder="1"/>
    <xf numFmtId="164" fontId="2" fillId="0" borderId="1" xfId="0" applyNumberFormat="1" applyFont="1" applyBorder="1"/>
    <xf numFmtId="9" fontId="2" fillId="2" borderId="1" xfId="0" applyNumberFormat="1" applyFont="1" applyFill="1" applyBorder="1"/>
    <xf numFmtId="9" fontId="0" fillId="2" borderId="1" xfId="0" applyNumberFormat="1" applyFill="1" applyBorder="1"/>
    <xf numFmtId="10" fontId="0" fillId="2" borderId="1" xfId="0" applyNumberFormat="1" applyFill="1" applyBorder="1"/>
    <xf numFmtId="0" fontId="0" fillId="0" borderId="0" xfId="0" applyFill="1"/>
    <xf numFmtId="0" fontId="0" fillId="0" borderId="0" xfId="0" applyBorder="1"/>
    <xf numFmtId="1" fontId="0" fillId="0" borderId="0" xfId="0" applyNumberFormat="1" applyBorder="1"/>
    <xf numFmtId="0" fontId="2" fillId="0" borderId="1" xfId="0" applyFont="1" applyBorder="1" applyAlignment="1">
      <alignment horizontal="right"/>
    </xf>
    <xf numFmtId="10" fontId="0" fillId="0" borderId="1" xfId="0" applyNumberFormat="1" applyBorder="1"/>
    <xf numFmtId="9" fontId="0" fillId="0" borderId="1" xfId="0" applyNumberFormat="1" applyFill="1" applyBorder="1"/>
    <xf numFmtId="1" fontId="0" fillId="0" borderId="0" xfId="0" applyNumberFormat="1"/>
    <xf numFmtId="164" fontId="0" fillId="0" borderId="1" xfId="0" applyNumberFormat="1" applyBorder="1"/>
    <xf numFmtId="0" fontId="2" fillId="0" borderId="0" xfId="0" applyFont="1" applyFill="1" applyBorder="1"/>
    <xf numFmtId="9" fontId="3" fillId="3" borderId="1" xfId="1" applyFont="1" applyFill="1" applyBorder="1"/>
    <xf numFmtId="9" fontId="0" fillId="2" borderId="1" xfId="1" applyFont="1" applyFill="1" applyBorder="1"/>
    <xf numFmtId="0" fontId="2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1" fontId="0" fillId="2" borderId="1" xfId="0" applyNumberFormat="1" applyFill="1" applyBorder="1"/>
    <xf numFmtId="0" fontId="0" fillId="0" borderId="6" xfId="0" applyBorder="1"/>
    <xf numFmtId="0" fontId="0" fillId="2" borderId="7" xfId="0" applyFill="1" applyBorder="1"/>
    <xf numFmtId="0" fontId="0" fillId="2" borderId="8" xfId="0" applyFill="1" applyBorder="1"/>
    <xf numFmtId="0" fontId="0" fillId="0" borderId="9" xfId="0" applyBorder="1"/>
    <xf numFmtId="1" fontId="0" fillId="0" borderId="10" xfId="0" applyNumberFormat="1" applyBorder="1"/>
    <xf numFmtId="0" fontId="0" fillId="0" borderId="10" xfId="0" applyBorder="1"/>
    <xf numFmtId="0" fontId="0" fillId="2" borderId="10" xfId="0" applyFill="1" applyBorder="1"/>
    <xf numFmtId="0" fontId="2" fillId="0" borderId="9" xfId="0" applyFont="1" applyBorder="1"/>
    <xf numFmtId="1" fontId="0" fillId="0" borderId="10" xfId="0" applyNumberFormat="1" applyFill="1" applyBorder="1"/>
    <xf numFmtId="0" fontId="0" fillId="0" borderId="11" xfId="0" applyBorder="1"/>
    <xf numFmtId="9" fontId="0" fillId="0" borderId="12" xfId="1" applyFont="1" applyBorder="1"/>
    <xf numFmtId="9" fontId="0" fillId="0" borderId="13" xfId="1" applyFont="1" applyBorder="1"/>
    <xf numFmtId="1" fontId="0" fillId="0" borderId="7" xfId="0" applyNumberFormat="1" applyFill="1" applyBorder="1"/>
    <xf numFmtId="1" fontId="0" fillId="0" borderId="8" xfId="0" applyNumberFormat="1" applyFill="1" applyBorder="1"/>
    <xf numFmtId="1" fontId="0" fillId="0" borderId="12" xfId="0" applyNumberFormat="1" applyBorder="1"/>
    <xf numFmtId="1" fontId="0" fillId="0" borderId="13" xfId="0" applyNumberFormat="1" applyBorder="1"/>
    <xf numFmtId="0" fontId="2" fillId="0" borderId="14" xfId="0" applyFont="1" applyBorder="1"/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6" xfId="0" applyFont="1" applyBorder="1" applyAlignment="1">
      <alignment horizontal="right"/>
    </xf>
    <xf numFmtId="0" fontId="2" fillId="0" borderId="7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2" fillId="0" borderId="11" xfId="0" applyFont="1" applyBorder="1"/>
    <xf numFmtId="0" fontId="2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164" fontId="0" fillId="0" borderId="0" xfId="0" applyNumberFormat="1"/>
    <xf numFmtId="9" fontId="3" fillId="2" borderId="1" xfId="1" applyFont="1" applyFill="1" applyBorder="1"/>
    <xf numFmtId="164" fontId="0" fillId="4" borderId="1" xfId="0" applyNumberFormat="1" applyFill="1" applyBorder="1"/>
    <xf numFmtId="1" fontId="0" fillId="0" borderId="1" xfId="1" applyNumberFormat="1" applyFont="1" applyBorder="1"/>
    <xf numFmtId="0" fontId="2" fillId="0" borderId="0" xfId="0" quotePrefix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1" fontId="2" fillId="0" borderId="1" xfId="0" quotePrefix="1" applyNumberFormat="1" applyFont="1" applyFill="1" applyBorder="1"/>
    <xf numFmtId="1" fontId="2" fillId="0" borderId="1" xfId="0" applyNumberFormat="1" applyFont="1" applyFill="1" applyBorder="1"/>
    <xf numFmtId="1" fontId="2" fillId="0" borderId="0" xfId="0" applyNumberFormat="1" applyFont="1" applyFill="1" applyBorder="1"/>
    <xf numFmtId="1" fontId="2" fillId="0" borderId="0" xfId="0" applyNumberFormat="1" applyFont="1" applyBorder="1"/>
    <xf numFmtId="0" fontId="0" fillId="0" borderId="17" xfId="0" applyFill="1" applyBorder="1"/>
    <xf numFmtId="9" fontId="0" fillId="0" borderId="0" xfId="0" applyNumberFormat="1" applyBorder="1"/>
    <xf numFmtId="1" fontId="0" fillId="2" borderId="1" xfId="1" applyNumberFormat="1" applyFont="1" applyFill="1" applyBorder="1"/>
    <xf numFmtId="165" fontId="0" fillId="0" borderId="17" xfId="0" applyNumberFormat="1" applyFill="1" applyBorder="1"/>
    <xf numFmtId="2" fontId="0" fillId="0" borderId="17" xfId="0" applyNumberFormat="1" applyFill="1" applyBorder="1"/>
    <xf numFmtId="9" fontId="0" fillId="0" borderId="0" xfId="0" applyNumberFormat="1" applyFill="1"/>
    <xf numFmtId="165" fontId="0" fillId="0" borderId="0" xfId="0" applyNumberFormat="1"/>
    <xf numFmtId="9" fontId="0" fillId="0" borderId="1" xfId="0" applyNumberFormat="1" applyBorder="1"/>
    <xf numFmtId="164" fontId="0" fillId="0" borderId="0" xfId="1" applyNumberFormat="1" applyFont="1"/>
    <xf numFmtId="1" fontId="0" fillId="0" borderId="9" xfId="0" applyNumberFormat="1" applyBorder="1"/>
    <xf numFmtId="164" fontId="2" fillId="0" borderId="9" xfId="0" applyNumberFormat="1" applyFont="1" applyBorder="1"/>
    <xf numFmtId="164" fontId="2" fillId="0" borderId="10" xfId="0" applyNumberFormat="1" applyFont="1" applyBorder="1"/>
    <xf numFmtId="1" fontId="0" fillId="2" borderId="9" xfId="0" applyNumberFormat="1" applyFill="1" applyBorder="1"/>
    <xf numFmtId="1" fontId="0" fillId="2" borderId="10" xfId="0" applyNumberFormat="1" applyFill="1" applyBorder="1"/>
    <xf numFmtId="1" fontId="0" fillId="2" borderId="11" xfId="0" applyNumberFormat="1" applyFill="1" applyBorder="1"/>
    <xf numFmtId="1" fontId="0" fillId="2" borderId="13" xfId="0" applyNumberFormat="1" applyFill="1" applyBorder="1"/>
    <xf numFmtId="0" fontId="2" fillId="0" borderId="18" xfId="0" applyFont="1" applyBorder="1" applyAlignment="1">
      <alignment horizontal="right"/>
    </xf>
    <xf numFmtId="0" fontId="2" fillId="0" borderId="19" xfId="0" applyFont="1" applyBorder="1" applyAlignment="1">
      <alignment horizontal="right"/>
    </xf>
    <xf numFmtId="1" fontId="0" fillId="0" borderId="8" xfId="0" applyNumberFormat="1" applyBorder="1"/>
    <xf numFmtId="0" fontId="2" fillId="0" borderId="20" xfId="0" applyFont="1" applyFill="1" applyBorder="1"/>
    <xf numFmtId="0" fontId="2" fillId="0" borderId="21" xfId="0" applyFont="1" applyBorder="1"/>
    <xf numFmtId="0" fontId="2" fillId="0" borderId="21" xfId="0" applyFont="1" applyFill="1" applyBorder="1"/>
    <xf numFmtId="9" fontId="2" fillId="2" borderId="21" xfId="0" applyNumberFormat="1" applyFont="1" applyFill="1" applyBorder="1"/>
    <xf numFmtId="0" fontId="2" fillId="2" borderId="22" xfId="0" applyFont="1" applyFill="1" applyBorder="1"/>
    <xf numFmtId="1" fontId="0" fillId="0" borderId="6" xfId="0" applyNumberForma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65" fontId="0" fillId="0" borderId="1" xfId="0" applyNumberFormat="1" applyBorder="1"/>
    <xf numFmtId="0" fontId="5" fillId="2" borderId="1" xfId="0" applyFont="1" applyFill="1" applyBorder="1" applyAlignment="1">
      <alignment horizontal="left"/>
    </xf>
    <xf numFmtId="0" fontId="5" fillId="2" borderId="1" xfId="0" applyFont="1" applyFill="1" applyBorder="1"/>
    <xf numFmtId="0" fontId="5" fillId="0" borderId="1" xfId="0" applyFont="1" applyBorder="1"/>
    <xf numFmtId="0" fontId="5" fillId="0" borderId="1" xfId="0" applyFont="1" applyFill="1" applyBorder="1"/>
    <xf numFmtId="0" fontId="6" fillId="0" borderId="1" xfId="0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9" fontId="5" fillId="2" borderId="1" xfId="0" applyNumberFormat="1" applyFont="1" applyFill="1" applyBorder="1"/>
    <xf numFmtId="0" fontId="2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0" fillId="0" borderId="1" xfId="0" applyBorder="1" applyAlignment="1">
      <alignment horizontal="right"/>
    </xf>
    <xf numFmtId="10" fontId="0" fillId="0" borderId="0" xfId="0" applyNumberFormat="1"/>
    <xf numFmtId="0" fontId="2" fillId="0" borderId="0" xfId="0" applyFont="1" applyBorder="1"/>
    <xf numFmtId="0" fontId="0" fillId="0" borderId="0" xfId="0" applyFill="1" applyBorder="1"/>
    <xf numFmtId="1" fontId="0" fillId="0" borderId="0" xfId="1" applyNumberFormat="1" applyFont="1"/>
    <xf numFmtId="1" fontId="0" fillId="0" borderId="3" xfId="0" applyNumberFormat="1" applyFill="1" applyBorder="1"/>
    <xf numFmtId="0" fontId="0" fillId="5" borderId="1" xfId="0" applyFill="1" applyBorder="1"/>
    <xf numFmtId="0" fontId="2" fillId="4" borderId="1" xfId="0" applyFont="1" applyFill="1" applyBorder="1"/>
    <xf numFmtId="0" fontId="0" fillId="4" borderId="1" xfId="0" applyFill="1" applyBorder="1"/>
    <xf numFmtId="1" fontId="0" fillId="4" borderId="1" xfId="0" applyNumberFormat="1" applyFill="1" applyBorder="1"/>
    <xf numFmtId="0" fontId="0" fillId="4" borderId="0" xfId="0" applyFill="1"/>
    <xf numFmtId="1" fontId="0" fillId="4" borderId="0" xfId="0" applyNumberFormat="1" applyFill="1"/>
    <xf numFmtId="1" fontId="2" fillId="4" borderId="1" xfId="0" applyNumberFormat="1" applyFont="1" applyFill="1" applyBorder="1"/>
    <xf numFmtId="0" fontId="0" fillId="4" borderId="1" xfId="0" applyFill="1" applyBorder="1" applyAlignment="1">
      <alignment horizontal="right"/>
    </xf>
    <xf numFmtId="164" fontId="0" fillId="2" borderId="1" xfId="1" applyNumberFormat="1" applyFont="1" applyFill="1" applyBorder="1"/>
    <xf numFmtId="164" fontId="0" fillId="0" borderId="0" xfId="1" applyNumberFormat="1" applyFont="1" applyFill="1" applyBorder="1"/>
    <xf numFmtId="1" fontId="2" fillId="0" borderId="3" xfId="0" quotePrefix="1" applyNumberFormat="1" applyFont="1" applyFill="1" applyBorder="1" applyAlignment="1">
      <alignment horizontal="center"/>
    </xf>
    <xf numFmtId="1" fontId="2" fillId="0" borderId="1" xfId="0" applyNumberFormat="1" applyFont="1" applyBorder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colors>
    <mruColors>
      <color rgb="FFFFFFFF"/>
      <color rgb="FFCCFFFF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K115"/>
  <sheetViews>
    <sheetView topLeftCell="A2" zoomScale="76" zoomScaleNormal="76" workbookViewId="0">
      <selection activeCell="F21" sqref="F21"/>
    </sheetView>
  </sheetViews>
  <sheetFormatPr baseColWidth="10" defaultColWidth="8.42578125" defaultRowHeight="15" x14ac:dyDescent="0.25"/>
  <cols>
    <col min="1" max="1" width="20.5703125" customWidth="1"/>
    <col min="2" max="2" width="9.42578125" bestFit="1" customWidth="1"/>
    <col min="4" max="4" width="8.85546875" customWidth="1"/>
    <col min="6" max="6" width="10.28515625" customWidth="1"/>
    <col min="8" max="8" width="7.85546875" customWidth="1"/>
    <col min="9" max="9" width="10.42578125" customWidth="1"/>
    <col min="10" max="10" width="7.85546875" customWidth="1"/>
  </cols>
  <sheetData>
    <row r="1" spans="1:26" x14ac:dyDescent="0.25">
      <c r="A1" t="str">
        <f>REPT("-",300)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</row>
    <row r="2" spans="1:26" x14ac:dyDescent="0.25">
      <c r="A2" s="1" t="s">
        <v>0</v>
      </c>
      <c r="C2" s="30"/>
      <c r="D2" s="30"/>
      <c r="E2" t="s">
        <v>72</v>
      </c>
      <c r="I2" s="1" t="s">
        <v>73</v>
      </c>
    </row>
    <row r="3" spans="1:26" ht="15.75" thickBot="1" x14ac:dyDescent="0.3">
      <c r="A3" t="str">
        <f>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  <c r="V3" s="10"/>
      <c r="W3" s="121" t="s">
        <v>41</v>
      </c>
      <c r="X3" s="121"/>
      <c r="Y3" s="121" t="s">
        <v>75</v>
      </c>
      <c r="Z3" s="121"/>
    </row>
    <row r="4" spans="1:26" ht="15.75" thickBot="1" x14ac:dyDescent="0.3">
      <c r="A4" s="6" t="s">
        <v>12</v>
      </c>
      <c r="B4" s="7" t="s">
        <v>76</v>
      </c>
      <c r="C4" s="7" t="s">
        <v>77</v>
      </c>
      <c r="E4" s="61" t="s">
        <v>13</v>
      </c>
      <c r="F4" s="62" t="str">
        <f>B4</f>
        <v>Propr</v>
      </c>
      <c r="G4" s="63" t="str">
        <f>C4</f>
        <v>Loc</v>
      </c>
      <c r="I4" s="122" t="s">
        <v>41</v>
      </c>
      <c r="J4" s="123"/>
      <c r="K4" s="23" t="s">
        <v>2</v>
      </c>
      <c r="L4" s="3" t="s">
        <v>3</v>
      </c>
      <c r="M4" s="3" t="s">
        <v>4</v>
      </c>
      <c r="N4" s="4" t="s">
        <v>5</v>
      </c>
      <c r="O4" s="4" t="s">
        <v>6</v>
      </c>
      <c r="P4" s="4" t="s">
        <v>7</v>
      </c>
      <c r="Q4" s="4" t="s">
        <v>8</v>
      </c>
      <c r="R4" s="4" t="s">
        <v>9</v>
      </c>
      <c r="S4" s="4" t="s">
        <v>10</v>
      </c>
      <c r="T4" s="4" t="s">
        <v>11</v>
      </c>
      <c r="V4" s="10"/>
      <c r="W4" s="5" t="s">
        <v>42</v>
      </c>
      <c r="X4" s="5" t="s">
        <v>52</v>
      </c>
      <c r="Y4" s="5" t="str">
        <f>W4</f>
        <v>VE10</v>
      </c>
      <c r="Z4" s="5" t="str">
        <f>X4</f>
        <v>VE15</v>
      </c>
    </row>
    <row r="5" spans="1:26" x14ac:dyDescent="0.25">
      <c r="A5" s="8" t="s">
        <v>15</v>
      </c>
      <c r="B5" s="9">
        <f>C5</f>
        <v>1500</v>
      </c>
      <c r="C5" s="11">
        <v>1500</v>
      </c>
      <c r="E5" s="45" t="s">
        <v>16</v>
      </c>
      <c r="F5" s="57">
        <f>B21*(F7+F8+F9+F10)</f>
        <v>518.70000000000005</v>
      </c>
      <c r="G5" s="58">
        <f>B21*(G7+G8+G9+G10)</f>
        <v>428.70000000000005</v>
      </c>
      <c r="H5" s="36">
        <f>F5-G5</f>
        <v>90</v>
      </c>
      <c r="I5" s="9" t="s">
        <v>14</v>
      </c>
      <c r="J5" s="10"/>
      <c r="K5" s="13">
        <f t="shared" ref="K5:T9" si="0">C38</f>
        <v>147.40000000000006</v>
      </c>
      <c r="L5" s="13">
        <f t="shared" si="0"/>
        <v>147.40000000000006</v>
      </c>
      <c r="M5" s="13">
        <f t="shared" si="0"/>
        <v>147.40000000000006</v>
      </c>
      <c r="N5" s="13">
        <f t="shared" si="0"/>
        <v>147.40000000000006</v>
      </c>
      <c r="O5" s="13">
        <f t="shared" si="0"/>
        <v>147.40000000000006</v>
      </c>
      <c r="P5" s="13">
        <f t="shared" si="0"/>
        <v>147.40000000000006</v>
      </c>
      <c r="Q5" s="13">
        <f t="shared" si="0"/>
        <v>147.40000000000006</v>
      </c>
      <c r="R5" s="13">
        <f t="shared" si="0"/>
        <v>147.40000000000006</v>
      </c>
      <c r="S5" s="13">
        <f t="shared" si="0"/>
        <v>147.40000000000006</v>
      </c>
      <c r="T5" s="13">
        <f t="shared" si="0"/>
        <v>147.40000000000006</v>
      </c>
      <c r="V5" s="8" t="s">
        <v>27</v>
      </c>
      <c r="W5" s="13">
        <f>1.1*L29*B24</f>
        <v>1419.0000000000002</v>
      </c>
      <c r="X5" s="13">
        <f>1.1*Q29*B24</f>
        <v>1419.0000000000002</v>
      </c>
      <c r="Y5" s="13">
        <f>W5</f>
        <v>1419.0000000000002</v>
      </c>
      <c r="Z5" s="13">
        <f>X5</f>
        <v>1419.0000000000002</v>
      </c>
    </row>
    <row r="6" spans="1:26" ht="15.75" thickBot="1" x14ac:dyDescent="0.3">
      <c r="A6" s="10" t="s">
        <v>18</v>
      </c>
      <c r="B6" s="14">
        <f>C6</f>
        <v>420.00000000000006</v>
      </c>
      <c r="C6" s="14">
        <f>C5*B26</f>
        <v>420.00000000000006</v>
      </c>
      <c r="E6" s="54" t="s">
        <v>19</v>
      </c>
      <c r="F6" s="59">
        <f>F11-F5</f>
        <v>1210.3000000000002</v>
      </c>
      <c r="G6" s="60">
        <f>G11-G5</f>
        <v>1000.3000000000002</v>
      </c>
      <c r="I6" s="12" t="s">
        <v>17</v>
      </c>
      <c r="J6" s="10"/>
      <c r="K6" s="13">
        <f t="shared" si="0"/>
        <v>-60.515000000000015</v>
      </c>
      <c r="L6" s="13">
        <f t="shared" si="0"/>
        <v>-57.710596465326581</v>
      </c>
      <c r="M6" s="13">
        <f t="shared" si="0"/>
        <v>-54.765972753919485</v>
      </c>
      <c r="N6" s="13">
        <f t="shared" si="0"/>
        <v>-51.674117856942033</v>
      </c>
      <c r="O6" s="13">
        <f t="shared" si="0"/>
        <v>-48.427670215115711</v>
      </c>
      <c r="P6" s="13">
        <f t="shared" si="0"/>
        <v>-45.018900191198071</v>
      </c>
      <c r="Q6" s="13">
        <f t="shared" si="0"/>
        <v>-41.439691666084549</v>
      </c>
      <c r="R6" s="13">
        <f t="shared" si="0"/>
        <v>-37.681522714715349</v>
      </c>
      <c r="S6" s="13">
        <f t="shared" si="0"/>
        <v>-33.735445315777696</v>
      </c>
      <c r="T6" s="13">
        <f t="shared" si="0"/>
        <v>-29.592064046893157</v>
      </c>
      <c r="V6" s="8" t="s">
        <v>24</v>
      </c>
      <c r="W6" s="13">
        <f>B16</f>
        <v>300</v>
      </c>
      <c r="X6" s="13">
        <f>B16</f>
        <v>300</v>
      </c>
      <c r="Y6" s="13">
        <v>0</v>
      </c>
      <c r="Z6" s="13">
        <v>0</v>
      </c>
    </row>
    <row r="7" spans="1:26" x14ac:dyDescent="0.25">
      <c r="A7" s="10" t="s">
        <v>21</v>
      </c>
      <c r="B7" s="10">
        <v>260</v>
      </c>
      <c r="C7" s="10">
        <v>260</v>
      </c>
      <c r="E7" s="45" t="s">
        <v>24</v>
      </c>
      <c r="F7" s="46">
        <f>B16</f>
        <v>300</v>
      </c>
      <c r="G7" s="47">
        <v>0</v>
      </c>
      <c r="I7" s="9" t="s">
        <v>20</v>
      </c>
      <c r="J7" s="10"/>
      <c r="K7" s="13">
        <f t="shared" si="0"/>
        <v>86.885000000000048</v>
      </c>
      <c r="L7" s="13">
        <f t="shared" si="0"/>
        <v>89.689403534673488</v>
      </c>
      <c r="M7" s="13">
        <f t="shared" si="0"/>
        <v>92.634027246080578</v>
      </c>
      <c r="N7" s="13">
        <f t="shared" si="0"/>
        <v>95.72588214305803</v>
      </c>
      <c r="O7" s="13">
        <f t="shared" si="0"/>
        <v>98.972329784884352</v>
      </c>
      <c r="P7" s="13">
        <f t="shared" si="0"/>
        <v>102.38109980880199</v>
      </c>
      <c r="Q7" s="13">
        <f t="shared" si="0"/>
        <v>105.96030833391552</v>
      </c>
      <c r="R7" s="13">
        <f t="shared" si="0"/>
        <v>109.71847728528471</v>
      </c>
      <c r="S7" s="13">
        <f t="shared" si="0"/>
        <v>113.66455468422237</v>
      </c>
      <c r="T7" s="13">
        <f t="shared" si="0"/>
        <v>117.80793595310691</v>
      </c>
      <c r="V7" s="79" t="s">
        <v>92</v>
      </c>
      <c r="W7" s="13">
        <f>W5-B17</f>
        <v>0</v>
      </c>
      <c r="X7" s="13">
        <f>X5-B17</f>
        <v>0</v>
      </c>
      <c r="Y7" s="13">
        <f>W7</f>
        <v>0</v>
      </c>
      <c r="Z7" s="13">
        <f>W7</f>
        <v>0</v>
      </c>
    </row>
    <row r="8" spans="1:26" x14ac:dyDescent="0.25">
      <c r="A8" s="10" t="s">
        <v>23</v>
      </c>
      <c r="B8" s="10">
        <v>0</v>
      </c>
      <c r="C8" s="10">
        <f>B19*B16</f>
        <v>24</v>
      </c>
      <c r="D8">
        <f>C8*15</f>
        <v>360</v>
      </c>
      <c r="E8" s="48" t="s">
        <v>27</v>
      </c>
      <c r="F8" s="13">
        <f>B17</f>
        <v>1419.0000000000002</v>
      </c>
      <c r="G8" s="49">
        <f>B17</f>
        <v>1419.0000000000002</v>
      </c>
      <c r="I8" s="12" t="s">
        <v>22</v>
      </c>
      <c r="J8" s="10"/>
      <c r="K8" s="13">
        <f t="shared" si="0"/>
        <v>-28.672050000000016</v>
      </c>
      <c r="L8" s="13">
        <f t="shared" si="0"/>
        <v>-29.597503166442252</v>
      </c>
      <c r="M8" s="13">
        <f t="shared" si="0"/>
        <v>-30.569228991206593</v>
      </c>
      <c r="N8" s="13">
        <f t="shared" si="0"/>
        <v>-31.589541107209151</v>
      </c>
      <c r="O8" s="13">
        <f t="shared" si="0"/>
        <v>-32.660868829011839</v>
      </c>
      <c r="P8" s="13">
        <f t="shared" si="0"/>
        <v>-33.785762936904661</v>
      </c>
      <c r="Q8" s="13">
        <f t="shared" si="0"/>
        <v>-34.966901750192122</v>
      </c>
      <c r="R8" s="13">
        <f t="shared" si="0"/>
        <v>-36.207097504143952</v>
      </c>
      <c r="S8" s="13">
        <f t="shared" si="0"/>
        <v>-37.509303045793381</v>
      </c>
      <c r="T8" s="13">
        <f t="shared" si="0"/>
        <v>-38.876618864525284</v>
      </c>
      <c r="V8" s="79" t="s">
        <v>93</v>
      </c>
      <c r="W8" s="13">
        <f>W6-L58</f>
        <v>96.000000000000057</v>
      </c>
      <c r="X8" s="13">
        <f>W6-Q58</f>
        <v>144.00000000000003</v>
      </c>
      <c r="Y8" s="13">
        <v>0</v>
      </c>
      <c r="Z8" s="13">
        <v>0</v>
      </c>
    </row>
    <row r="9" spans="1:26" x14ac:dyDescent="0.25">
      <c r="A9" s="10" t="s">
        <v>26</v>
      </c>
      <c r="B9" s="10">
        <f>B8/B5</f>
        <v>0</v>
      </c>
      <c r="C9" s="16">
        <f>C8/C5</f>
        <v>1.6E-2</v>
      </c>
      <c r="E9" s="48" t="s">
        <v>30</v>
      </c>
      <c r="F9" s="10">
        <f>B18</f>
        <v>0</v>
      </c>
      <c r="G9" s="50">
        <f>B18</f>
        <v>0</v>
      </c>
      <c r="I9" s="9" t="s">
        <v>25</v>
      </c>
      <c r="J9" s="10"/>
      <c r="K9" s="13">
        <f t="shared" si="0"/>
        <v>58.212950000000035</v>
      </c>
      <c r="L9" s="13">
        <f t="shared" si="0"/>
        <v>60.091900368231236</v>
      </c>
      <c r="M9" s="13">
        <f t="shared" si="0"/>
        <v>62.064798254873985</v>
      </c>
      <c r="N9" s="13">
        <f t="shared" si="0"/>
        <v>64.136341035848886</v>
      </c>
      <c r="O9" s="13">
        <f t="shared" si="0"/>
        <v>66.311460955872519</v>
      </c>
      <c r="P9" s="13">
        <f t="shared" si="0"/>
        <v>68.595336871897331</v>
      </c>
      <c r="Q9" s="13">
        <f t="shared" si="0"/>
        <v>70.993406583723399</v>
      </c>
      <c r="R9" s="13">
        <f t="shared" si="0"/>
        <v>73.511379781140761</v>
      </c>
      <c r="S9" s="13">
        <f t="shared" si="0"/>
        <v>76.155251638428979</v>
      </c>
      <c r="T9" s="13">
        <f t="shared" si="0"/>
        <v>78.931317088581622</v>
      </c>
      <c r="V9" s="79" t="s">
        <v>94</v>
      </c>
      <c r="W9" s="13">
        <f>W8+W7</f>
        <v>96.000000000000057</v>
      </c>
      <c r="X9" s="13">
        <f>X8+X7</f>
        <v>144.00000000000003</v>
      </c>
      <c r="Y9" s="13">
        <f t="shared" ref="Y9:Z9" si="1">Y8+Y7</f>
        <v>0</v>
      </c>
      <c r="Z9" s="13">
        <f t="shared" si="1"/>
        <v>0</v>
      </c>
    </row>
    <row r="10" spans="1:26" x14ac:dyDescent="0.25">
      <c r="A10" s="17" t="s">
        <v>29</v>
      </c>
      <c r="B10" s="15">
        <v>3</v>
      </c>
      <c r="C10" s="15">
        <v>0</v>
      </c>
      <c r="E10" s="48" t="s">
        <v>32</v>
      </c>
      <c r="F10" s="15">
        <v>10</v>
      </c>
      <c r="G10" s="51">
        <f>F10</f>
        <v>10</v>
      </c>
      <c r="I10" s="10" t="s">
        <v>28</v>
      </c>
      <c r="J10" s="10"/>
      <c r="K10" s="13">
        <f t="shared" ref="K10:T12" si="2">C45</f>
        <v>67.812950000000029</v>
      </c>
      <c r="L10" s="13">
        <f t="shared" si="2"/>
        <v>69.691900368231245</v>
      </c>
      <c r="M10" s="13">
        <f t="shared" si="2"/>
        <v>71.664798254873986</v>
      </c>
      <c r="N10" s="13">
        <f t="shared" si="2"/>
        <v>73.736341035848881</v>
      </c>
      <c r="O10" s="13">
        <f t="shared" si="2"/>
        <v>75.911460955872514</v>
      </c>
      <c r="P10" s="13">
        <f t="shared" si="2"/>
        <v>78.195336871897325</v>
      </c>
      <c r="Q10" s="13">
        <f t="shared" si="2"/>
        <v>80.593406583723407</v>
      </c>
      <c r="R10" s="13">
        <f t="shared" si="2"/>
        <v>83.111379781140755</v>
      </c>
      <c r="S10" s="13">
        <f t="shared" si="2"/>
        <v>85.755251638428973</v>
      </c>
      <c r="T10" s="13">
        <f t="shared" si="2"/>
        <v>88.531317088581631</v>
      </c>
      <c r="V10" s="80" t="s">
        <v>95</v>
      </c>
      <c r="W10" s="13">
        <f>W9*$B$25</f>
        <v>31.680000000000021</v>
      </c>
      <c r="X10" s="13">
        <f>X9*$B$25</f>
        <v>47.52000000000001</v>
      </c>
      <c r="Y10" s="13">
        <f t="shared" ref="Y10:Z10" si="3">Y9*$B$25</f>
        <v>0</v>
      </c>
      <c r="Z10" s="13">
        <f t="shared" si="3"/>
        <v>0</v>
      </c>
    </row>
    <row r="11" spans="1:26" x14ac:dyDescent="0.25">
      <c r="A11" s="8" t="s">
        <v>31</v>
      </c>
      <c r="B11" s="18">
        <f>B6-B7-B8-B10</f>
        <v>157.00000000000006</v>
      </c>
      <c r="C11" s="18">
        <f>C6-C7-C8-C10</f>
        <v>136.00000000000006</v>
      </c>
      <c r="E11" s="52" t="s">
        <v>34</v>
      </c>
      <c r="F11" s="14">
        <f>SUM(F7:F10)</f>
        <v>1729.0000000000002</v>
      </c>
      <c r="G11" s="53">
        <f>SUM(G7:G10)</f>
        <v>1429.0000000000002</v>
      </c>
      <c r="I11" s="10" t="s">
        <v>83</v>
      </c>
      <c r="J11" s="13">
        <f>B46</f>
        <v>518.70000000000005</v>
      </c>
      <c r="K11" s="13">
        <f t="shared" si="2"/>
        <v>0</v>
      </c>
      <c r="L11" s="13">
        <f t="shared" si="2"/>
        <v>-21.724879306531562</v>
      </c>
      <c r="M11" s="13">
        <f t="shared" si="2"/>
        <v>-10.799426140089345</v>
      </c>
      <c r="N11" s="13">
        <f t="shared" si="2"/>
        <v>-9.8277003153249893</v>
      </c>
      <c r="O11" s="13">
        <f t="shared" si="2"/>
        <v>-8.8073881993224319</v>
      </c>
      <c r="P11" s="13">
        <f t="shared" si="2"/>
        <v>-7.736060477519743</v>
      </c>
      <c r="Q11" s="13">
        <f t="shared" si="2"/>
        <v>-6.6111663696269147</v>
      </c>
      <c r="R11" s="13">
        <f t="shared" si="2"/>
        <v>-5.4300275563394678</v>
      </c>
      <c r="S11" s="13">
        <f t="shared" si="2"/>
        <v>-4.18983180238763</v>
      </c>
      <c r="T11" s="13">
        <f t="shared" si="2"/>
        <v>-2.8876262607381875</v>
      </c>
      <c r="V11" s="80" t="s">
        <v>96</v>
      </c>
      <c r="W11" s="21">
        <f>W5+W6-W10</f>
        <v>1687.3200000000002</v>
      </c>
      <c r="X11" s="21">
        <f>X5+X6-X10</f>
        <v>1671.4800000000002</v>
      </c>
      <c r="Y11" s="21">
        <f t="shared" ref="Y11:Z11" si="4">Y5+Y6-Y10</f>
        <v>1419.0000000000002</v>
      </c>
      <c r="Z11" s="21">
        <f t="shared" si="4"/>
        <v>1419.0000000000002</v>
      </c>
    </row>
    <row r="12" spans="1:26" ht="15.75" thickBot="1" x14ac:dyDescent="0.3">
      <c r="A12" s="10" t="s">
        <v>33</v>
      </c>
      <c r="B12" s="19">
        <f>B11/B5</f>
        <v>0.1046666666666667</v>
      </c>
      <c r="C12" s="19">
        <f>C11/C5</f>
        <v>9.0666666666666701E-2</v>
      </c>
      <c r="E12" s="54" t="s">
        <v>37</v>
      </c>
      <c r="F12" s="55">
        <f>F6/F11</f>
        <v>0.70000000000000007</v>
      </c>
      <c r="G12" s="56">
        <f>G6/G11</f>
        <v>0.70000000000000007</v>
      </c>
      <c r="I12" s="10" t="s">
        <v>84</v>
      </c>
      <c r="J12" s="13">
        <f>B47</f>
        <v>1210.3000000000002</v>
      </c>
      <c r="K12" s="13">
        <f t="shared" si="2"/>
        <v>-56.088070693468467</v>
      </c>
      <c r="L12" s="13">
        <f t="shared" si="2"/>
        <v>-58.8924742281419</v>
      </c>
      <c r="M12" s="13">
        <f t="shared" si="2"/>
        <v>-61.837097939548997</v>
      </c>
      <c r="N12" s="13">
        <f t="shared" si="2"/>
        <v>-64.928952836526449</v>
      </c>
      <c r="O12" s="13">
        <f t="shared" si="2"/>
        <v>-68.175400478352771</v>
      </c>
      <c r="P12" s="13">
        <f t="shared" si="2"/>
        <v>-71.58417050227041</v>
      </c>
      <c r="Q12" s="13">
        <f t="shared" si="2"/>
        <v>-75.16337902738394</v>
      </c>
      <c r="R12" s="13">
        <f t="shared" si="2"/>
        <v>-78.921547978753125</v>
      </c>
      <c r="S12" s="13">
        <f t="shared" si="2"/>
        <v>-82.867625377690786</v>
      </c>
      <c r="T12" s="13">
        <f t="shared" si="2"/>
        <v>-87.011006646575325</v>
      </c>
      <c r="V12" s="81"/>
      <c r="W12" s="82"/>
      <c r="X12" s="82"/>
      <c r="Y12" s="82"/>
      <c r="Z12" s="82"/>
    </row>
    <row r="13" spans="1:26" x14ac:dyDescent="0.25">
      <c r="A13" s="12" t="s">
        <v>36</v>
      </c>
      <c r="B13" s="15">
        <f>B16/B20*0.8</f>
        <v>9.6000000000000014</v>
      </c>
      <c r="C13" s="15">
        <v>0</v>
      </c>
      <c r="E13" s="64" t="s">
        <v>78</v>
      </c>
      <c r="F13" s="65" t="str">
        <f>F4</f>
        <v>Propr</v>
      </c>
      <c r="G13" s="66" t="str">
        <f>G4</f>
        <v>Loc</v>
      </c>
      <c r="I13" s="10" t="s">
        <v>38</v>
      </c>
      <c r="J13" s="13">
        <f t="shared" ref="J13:T13" si="5">B52</f>
        <v>10</v>
      </c>
      <c r="K13" s="13">
        <f t="shared" si="5"/>
        <v>21.724879306531562</v>
      </c>
      <c r="L13" s="13">
        <f t="shared" si="5"/>
        <v>10.799426140089345</v>
      </c>
      <c r="M13" s="13">
        <f t="shared" si="5"/>
        <v>9.8277003153249893</v>
      </c>
      <c r="N13" s="13">
        <f t="shared" si="5"/>
        <v>8.8073881993224319</v>
      </c>
      <c r="O13" s="13">
        <f t="shared" si="5"/>
        <v>7.736060477519743</v>
      </c>
      <c r="P13" s="13">
        <f t="shared" si="5"/>
        <v>6.6111663696269147</v>
      </c>
      <c r="Q13" s="13">
        <f t="shared" si="5"/>
        <v>5.4300275563394678</v>
      </c>
      <c r="R13" s="13">
        <f t="shared" si="5"/>
        <v>4.18983180238763</v>
      </c>
      <c r="S13" s="13">
        <f t="shared" si="5"/>
        <v>2.8876262607381875</v>
      </c>
      <c r="T13" s="13">
        <f t="shared" si="5"/>
        <v>1.5203104420063056</v>
      </c>
    </row>
    <row r="14" spans="1:26" x14ac:dyDescent="0.25">
      <c r="A14" s="9" t="s">
        <v>39</v>
      </c>
      <c r="B14" s="21">
        <f>B11-B13</f>
        <v>147.40000000000006</v>
      </c>
      <c r="C14" s="8">
        <f>C11-C13</f>
        <v>136.00000000000006</v>
      </c>
      <c r="E14" s="52" t="s">
        <v>79</v>
      </c>
      <c r="F14" s="13">
        <f>F6*B23/(1-(1+B23)^-B22)</f>
        <v>116.60307069346848</v>
      </c>
      <c r="G14" s="49">
        <f>G6*B23/(1-(1+B23)^-B22)</f>
        <v>96.371190295527171</v>
      </c>
      <c r="H14" s="89">
        <f>(F14-G14)*15</f>
        <v>303.47820596911964</v>
      </c>
      <c r="I14" s="8" t="s">
        <v>32</v>
      </c>
      <c r="J14" s="21">
        <f t="shared" ref="J14:S14" si="6">-J11</f>
        <v>-518.70000000000005</v>
      </c>
      <c r="K14" s="21">
        <f t="shared" si="6"/>
        <v>0</v>
      </c>
      <c r="L14" s="21">
        <f t="shared" si="6"/>
        <v>21.724879306531562</v>
      </c>
      <c r="M14" s="21">
        <f t="shared" si="6"/>
        <v>10.799426140089345</v>
      </c>
      <c r="N14" s="21">
        <f t="shared" si="6"/>
        <v>9.8277003153249893</v>
      </c>
      <c r="O14" s="21">
        <f t="shared" si="6"/>
        <v>8.8073881993224319</v>
      </c>
      <c r="P14" s="21">
        <f t="shared" si="6"/>
        <v>7.736060477519743</v>
      </c>
      <c r="Q14" s="21">
        <f t="shared" si="6"/>
        <v>6.6111663696269147</v>
      </c>
      <c r="R14" s="21">
        <f t="shared" si="6"/>
        <v>5.4300275563394678</v>
      </c>
      <c r="S14" s="21">
        <f t="shared" si="6"/>
        <v>4.18983180238763</v>
      </c>
      <c r="T14" s="21">
        <f>F20</f>
        <v>1184.0100361507186</v>
      </c>
      <c r="V14" s="75"/>
      <c r="W14" s="75"/>
    </row>
    <row r="15" spans="1:26" x14ac:dyDescent="0.25">
      <c r="E15" s="52" t="s">
        <v>80</v>
      </c>
      <c r="F15" s="13">
        <f>F14-F16</f>
        <v>56.088070693468467</v>
      </c>
      <c r="G15" s="49">
        <f>G14-G16</f>
        <v>46.356190295527156</v>
      </c>
    </row>
    <row r="16" spans="1:26" ht="15.75" thickBot="1" x14ac:dyDescent="0.3">
      <c r="A16" s="12" t="s">
        <v>40</v>
      </c>
      <c r="B16" s="15">
        <v>300</v>
      </c>
      <c r="E16" s="67" t="s">
        <v>81</v>
      </c>
      <c r="F16" s="59">
        <f>B23*F6</f>
        <v>60.515000000000015</v>
      </c>
      <c r="G16" s="60">
        <f>B23*G6</f>
        <v>50.015000000000015</v>
      </c>
      <c r="I16" s="121" t="s">
        <v>1</v>
      </c>
      <c r="J16" s="121"/>
      <c r="K16" s="2" t="s">
        <v>2</v>
      </c>
      <c r="L16" s="3" t="s">
        <v>3</v>
      </c>
      <c r="M16" s="3" t="s">
        <v>4</v>
      </c>
      <c r="N16" s="4" t="s">
        <v>5</v>
      </c>
      <c r="O16" s="4" t="s">
        <v>6</v>
      </c>
      <c r="P16" s="4" t="s">
        <v>7</v>
      </c>
      <c r="Q16" s="4" t="s">
        <v>8</v>
      </c>
      <c r="R16" s="4" t="s">
        <v>9</v>
      </c>
      <c r="S16" s="4" t="s">
        <v>10</v>
      </c>
      <c r="T16" s="4" t="s">
        <v>11</v>
      </c>
    </row>
    <row r="17" spans="1:37" x14ac:dyDescent="0.25">
      <c r="A17" s="12" t="s">
        <v>27</v>
      </c>
      <c r="B17" s="44">
        <f>B5*1.1*B24+B18</f>
        <v>1419.0000000000002</v>
      </c>
      <c r="I17" s="9" t="s">
        <v>14</v>
      </c>
      <c r="J17" s="10"/>
      <c r="K17" s="10">
        <f t="shared" ref="K17:T21" si="7">C82</f>
        <v>136.00000000000006</v>
      </c>
      <c r="L17" s="10">
        <f t="shared" si="7"/>
        <v>136.00000000000006</v>
      </c>
      <c r="M17" s="10">
        <f t="shared" si="7"/>
        <v>136.00000000000006</v>
      </c>
      <c r="N17" s="10">
        <f t="shared" si="7"/>
        <v>136.00000000000006</v>
      </c>
      <c r="O17" s="10">
        <f t="shared" si="7"/>
        <v>136.00000000000006</v>
      </c>
      <c r="P17" s="10">
        <f t="shared" si="7"/>
        <v>136.00000000000006</v>
      </c>
      <c r="Q17" s="10">
        <f t="shared" si="7"/>
        <v>136.00000000000006</v>
      </c>
      <c r="R17" s="10">
        <f t="shared" si="7"/>
        <v>136.00000000000006</v>
      </c>
      <c r="S17" s="10">
        <f t="shared" si="7"/>
        <v>136.00000000000006</v>
      </c>
      <c r="T17" s="10">
        <f t="shared" si="7"/>
        <v>136.00000000000006</v>
      </c>
    </row>
    <row r="18" spans="1:37" x14ac:dyDescent="0.25">
      <c r="A18" s="12" t="s">
        <v>30</v>
      </c>
      <c r="B18" s="15">
        <v>0</v>
      </c>
      <c r="F18" s="33" t="str">
        <f>F13</f>
        <v>Propr</v>
      </c>
      <c r="G18" s="33" t="str">
        <f>G13</f>
        <v>Loc</v>
      </c>
      <c r="H18" s="22"/>
      <c r="I18" s="12" t="s">
        <v>17</v>
      </c>
      <c r="J18" s="10"/>
      <c r="K18" s="13">
        <f t="shared" si="7"/>
        <v>-50.015000000000015</v>
      </c>
      <c r="L18" s="13">
        <f t="shared" si="7"/>
        <v>-47.697190485223651</v>
      </c>
      <c r="M18" s="13">
        <f t="shared" si="7"/>
        <v>-45.263490494708478</v>
      </c>
      <c r="N18" s="13">
        <f t="shared" si="7"/>
        <v>-42.708105504667543</v>
      </c>
      <c r="O18" s="13">
        <f t="shared" si="7"/>
        <v>-40.024951265124557</v>
      </c>
      <c r="P18" s="13">
        <f t="shared" si="7"/>
        <v>-37.207639313604425</v>
      </c>
      <c r="Q18" s="13">
        <f t="shared" si="7"/>
        <v>-34.249461764508283</v>
      </c>
      <c r="R18" s="13">
        <f t="shared" si="7"/>
        <v>-31.143375337957337</v>
      </c>
      <c r="S18" s="13">
        <f t="shared" si="7"/>
        <v>-27.881984590078844</v>
      </c>
      <c r="T18" s="13">
        <f t="shared" si="7"/>
        <v>-24.457524304806427</v>
      </c>
      <c r="W18">
        <f>POWER(H26/H5,1/15)-1</f>
        <v>3.3911224525685402E-2</v>
      </c>
    </row>
    <row r="19" spans="1:37" x14ac:dyDescent="0.25">
      <c r="A19" s="12" t="s">
        <v>44</v>
      </c>
      <c r="B19" s="25">
        <v>0.08</v>
      </c>
      <c r="E19" s="24" t="s">
        <v>42</v>
      </c>
      <c r="F19" s="13">
        <f>W11</f>
        <v>1687.3200000000002</v>
      </c>
      <c r="G19" s="13">
        <f>Y11</f>
        <v>1419.0000000000002</v>
      </c>
      <c r="H19" s="22"/>
      <c r="I19" s="9" t="s">
        <v>20</v>
      </c>
      <c r="J19" s="10"/>
      <c r="K19" s="13">
        <f t="shared" si="7"/>
        <v>85.985000000000042</v>
      </c>
      <c r="L19" s="13">
        <f t="shared" si="7"/>
        <v>88.302809514776413</v>
      </c>
      <c r="M19" s="13">
        <f t="shared" si="7"/>
        <v>90.736509505291579</v>
      </c>
      <c r="N19" s="13">
        <f t="shared" si="7"/>
        <v>93.291894495332514</v>
      </c>
      <c r="O19" s="13">
        <f t="shared" si="7"/>
        <v>95.9750487348755</v>
      </c>
      <c r="P19" s="13">
        <f t="shared" si="7"/>
        <v>98.792360686395625</v>
      </c>
      <c r="Q19" s="13">
        <f t="shared" si="7"/>
        <v>101.75053823549177</v>
      </c>
      <c r="R19" s="13">
        <f t="shared" si="7"/>
        <v>104.85662466204272</v>
      </c>
      <c r="S19" s="13">
        <f t="shared" si="7"/>
        <v>108.11801540992121</v>
      </c>
      <c r="T19" s="13">
        <f t="shared" si="7"/>
        <v>111.54247569519363</v>
      </c>
    </row>
    <row r="20" spans="1:37" x14ac:dyDescent="0.25">
      <c r="A20" s="12" t="s">
        <v>46</v>
      </c>
      <c r="B20" s="15">
        <v>25</v>
      </c>
      <c r="D20" t="s">
        <v>47</v>
      </c>
      <c r="E20" s="8" t="s">
        <v>43</v>
      </c>
      <c r="F20" s="13">
        <f>F19-L56+L61</f>
        <v>1184.0100361507186</v>
      </c>
      <c r="G20" s="13">
        <f>G19-L100+L105</f>
        <v>1004.5829726196514</v>
      </c>
      <c r="H20" s="22"/>
      <c r="I20" s="12" t="s">
        <v>22</v>
      </c>
      <c r="J20" s="10"/>
      <c r="K20" s="13">
        <f t="shared" si="7"/>
        <v>-28.375050000000016</v>
      </c>
      <c r="L20" s="13">
        <f t="shared" si="7"/>
        <v>-29.139927139876217</v>
      </c>
      <c r="M20" s="13">
        <f t="shared" si="7"/>
        <v>-29.943048136746224</v>
      </c>
      <c r="N20" s="13">
        <f t="shared" si="7"/>
        <v>-30.786325183459731</v>
      </c>
      <c r="O20" s="13">
        <f t="shared" si="7"/>
        <v>-31.671766082508917</v>
      </c>
      <c r="P20" s="13">
        <f t="shared" si="7"/>
        <v>-32.60147902651056</v>
      </c>
      <c r="Q20" s="13">
        <f t="shared" si="7"/>
        <v>-33.57767761771229</v>
      </c>
      <c r="R20" s="13">
        <f t="shared" si="7"/>
        <v>-34.602686138474098</v>
      </c>
      <c r="S20" s="13">
        <f t="shared" si="7"/>
        <v>-35.678945085274002</v>
      </c>
      <c r="T20" s="13">
        <f t="shared" si="7"/>
        <v>-36.809016979413897</v>
      </c>
    </row>
    <row r="21" spans="1:37" x14ac:dyDescent="0.25">
      <c r="A21" s="12" t="s">
        <v>49</v>
      </c>
      <c r="B21" s="28">
        <v>0.3</v>
      </c>
      <c r="E21" s="9" t="s">
        <v>45</v>
      </c>
      <c r="F21" s="26">
        <f>IRR(J14:T14)</f>
        <v>9.7290908641655571E-2</v>
      </c>
      <c r="G21" s="26">
        <f>IRR(J26:T26)</f>
        <v>0.10251494201656164</v>
      </c>
      <c r="H21" s="22"/>
      <c r="I21" s="9" t="s">
        <v>25</v>
      </c>
      <c r="J21" s="10"/>
      <c r="K21" s="13">
        <f t="shared" si="7"/>
        <v>57.609950000000026</v>
      </c>
      <c r="L21" s="13">
        <f t="shared" si="7"/>
        <v>59.162882374900192</v>
      </c>
      <c r="M21" s="13">
        <f t="shared" si="7"/>
        <v>60.793461368545351</v>
      </c>
      <c r="N21" s="13">
        <f t="shared" si="7"/>
        <v>62.505569311872783</v>
      </c>
      <c r="O21" s="13">
        <f t="shared" si="7"/>
        <v>64.30328265236659</v>
      </c>
      <c r="P21" s="13">
        <f t="shared" si="7"/>
        <v>66.190881659885065</v>
      </c>
      <c r="Q21" s="13">
        <f t="shared" si="7"/>
        <v>68.172860617779492</v>
      </c>
      <c r="R21" s="13">
        <f t="shared" si="7"/>
        <v>70.253938523568621</v>
      </c>
      <c r="S21" s="13">
        <f t="shared" si="7"/>
        <v>72.439070324647219</v>
      </c>
      <c r="T21" s="13">
        <f t="shared" si="7"/>
        <v>74.733458715779733</v>
      </c>
    </row>
    <row r="22" spans="1:37" x14ac:dyDescent="0.25">
      <c r="A22" s="12" t="s">
        <v>50</v>
      </c>
      <c r="B22" s="15">
        <v>15</v>
      </c>
      <c r="E22" s="27" t="s">
        <v>82</v>
      </c>
      <c r="F22" s="44">
        <f>SUM(J14:T14)</f>
        <v>740.43651631786065</v>
      </c>
      <c r="G22" s="44">
        <f>SUM(J26:T26)</f>
        <v>652.21549093014642</v>
      </c>
      <c r="H22" s="22"/>
      <c r="I22" s="10" t="s">
        <v>28</v>
      </c>
      <c r="J22" s="10"/>
      <c r="K22" s="13">
        <f t="shared" ref="K22:T24" si="8">C89</f>
        <v>57.609950000000026</v>
      </c>
      <c r="L22" s="13">
        <f t="shared" si="8"/>
        <v>59.162882374900192</v>
      </c>
      <c r="M22" s="13">
        <f t="shared" si="8"/>
        <v>60.793461368545351</v>
      </c>
      <c r="N22" s="13">
        <f t="shared" si="8"/>
        <v>62.505569311872783</v>
      </c>
      <c r="O22" s="13">
        <f t="shared" si="8"/>
        <v>64.30328265236659</v>
      </c>
      <c r="P22" s="13">
        <f t="shared" si="8"/>
        <v>66.190881659885065</v>
      </c>
      <c r="Q22" s="13">
        <f t="shared" si="8"/>
        <v>68.172860617779492</v>
      </c>
      <c r="R22" s="13">
        <f t="shared" si="8"/>
        <v>70.253938523568621</v>
      </c>
      <c r="S22" s="13">
        <f t="shared" si="8"/>
        <v>72.439070324647219</v>
      </c>
      <c r="T22" s="13">
        <f t="shared" si="8"/>
        <v>74.733458715779733</v>
      </c>
      <c r="V22" s="87">
        <f>F5/F22</f>
        <v>0.70053271086555691</v>
      </c>
      <c r="W22" s="87">
        <f>G5/G22</f>
        <v>0.65729809543256412</v>
      </c>
    </row>
    <row r="23" spans="1:37" x14ac:dyDescent="0.25">
      <c r="A23" s="12" t="s">
        <v>51</v>
      </c>
      <c r="B23" s="29">
        <v>0.05</v>
      </c>
      <c r="E23" s="9" t="s">
        <v>52</v>
      </c>
      <c r="F23" s="13">
        <f>X11</f>
        <v>1671.4800000000002</v>
      </c>
      <c r="G23" s="13">
        <f>Z11</f>
        <v>1419.0000000000002</v>
      </c>
      <c r="H23" s="22"/>
      <c r="I23" s="10" t="str">
        <f>I11</f>
        <v>Dividendes</v>
      </c>
      <c r="J23" s="13">
        <f>B90</f>
        <v>428.70000000000005</v>
      </c>
      <c r="K23" s="13">
        <f t="shared" si="8"/>
        <v>0</v>
      </c>
      <c r="L23" s="13">
        <f t="shared" si="8"/>
        <v>-21.25375970447287</v>
      </c>
      <c r="M23" s="13">
        <f t="shared" si="8"/>
        <v>-10.488882564596672</v>
      </c>
      <c r="N23" s="13">
        <f t="shared" si="8"/>
        <v>-9.685761567726658</v>
      </c>
      <c r="O23" s="13">
        <f t="shared" si="8"/>
        <v>-8.8424845210131551</v>
      </c>
      <c r="P23" s="13">
        <f t="shared" si="8"/>
        <v>-7.957043621963976</v>
      </c>
      <c r="Q23" s="13">
        <f t="shared" si="8"/>
        <v>-7.0273306779623184</v>
      </c>
      <c r="R23" s="13">
        <f t="shared" si="8"/>
        <v>-6.0511320867606031</v>
      </c>
      <c r="S23" s="13">
        <f t="shared" si="8"/>
        <v>-5.0261235659987875</v>
      </c>
      <c r="T23" s="13">
        <f t="shared" si="8"/>
        <v>-3.9498646191988911</v>
      </c>
      <c r="V23" s="86">
        <f>F22/F5</f>
        <v>1.4274850902599974</v>
      </c>
      <c r="W23" s="86">
        <f>G22/G5</f>
        <v>1.5213797315841995</v>
      </c>
    </row>
    <row r="24" spans="1:37" x14ac:dyDescent="0.25">
      <c r="A24" s="12" t="s">
        <v>74</v>
      </c>
      <c r="B24" s="40">
        <v>0.86</v>
      </c>
      <c r="D24" s="22"/>
      <c r="E24" s="9" t="s">
        <v>53</v>
      </c>
      <c r="F24" s="13">
        <f>F23-Q56+Q61</f>
        <v>1665.0672632745723</v>
      </c>
      <c r="G24" s="13">
        <f>G23-Q100+Q105</f>
        <v>1415.2632141234033</v>
      </c>
      <c r="H24" s="22"/>
      <c r="I24" s="10" t="str">
        <f>I12</f>
        <v>Rbst defi</v>
      </c>
      <c r="J24" s="13">
        <f>B91</f>
        <v>1000.3000000000002</v>
      </c>
      <c r="K24" s="13">
        <f t="shared" si="8"/>
        <v>-46.356190295527156</v>
      </c>
      <c r="L24" s="13">
        <f t="shared" si="8"/>
        <v>-48.673999810303521</v>
      </c>
      <c r="M24" s="13">
        <f t="shared" si="8"/>
        <v>-51.107699800818693</v>
      </c>
      <c r="N24" s="13">
        <f t="shared" si="8"/>
        <v>-53.663084790859628</v>
      </c>
      <c r="O24" s="13">
        <f t="shared" si="8"/>
        <v>-56.346239030402614</v>
      </c>
      <c r="P24" s="13">
        <f t="shared" si="8"/>
        <v>-59.163550981922747</v>
      </c>
      <c r="Q24" s="13">
        <f t="shared" si="8"/>
        <v>-62.121728531018888</v>
      </c>
      <c r="R24" s="13">
        <f t="shared" si="8"/>
        <v>-65.227814957569834</v>
      </c>
      <c r="S24" s="13">
        <f t="shared" si="8"/>
        <v>-68.489205705448327</v>
      </c>
      <c r="T24" s="13">
        <f t="shared" si="8"/>
        <v>-71.913665990720745</v>
      </c>
    </row>
    <row r="25" spans="1:37" x14ac:dyDescent="0.25">
      <c r="A25" s="12" t="s">
        <v>54</v>
      </c>
      <c r="B25" s="28">
        <v>0.33</v>
      </c>
      <c r="D25" s="22"/>
      <c r="E25" s="9" t="s">
        <v>55</v>
      </c>
      <c r="F25" s="26">
        <f>B70</f>
        <v>8.8442189464083221E-2</v>
      </c>
      <c r="G25" s="26">
        <f>B114</f>
        <v>9.2736741815200752E-2</v>
      </c>
      <c r="H25" s="22"/>
      <c r="I25" s="10" t="s">
        <v>38</v>
      </c>
      <c r="J25" s="13">
        <f t="shared" ref="J25:T25" si="9">B96</f>
        <v>10</v>
      </c>
      <c r="K25" s="13">
        <f t="shared" si="9"/>
        <v>21.25375970447287</v>
      </c>
      <c r="L25" s="13">
        <f t="shared" si="9"/>
        <v>10.488882564596672</v>
      </c>
      <c r="M25" s="13">
        <f t="shared" si="9"/>
        <v>9.685761567726658</v>
      </c>
      <c r="N25" s="13">
        <f t="shared" si="9"/>
        <v>8.8424845210131551</v>
      </c>
      <c r="O25" s="13">
        <f t="shared" si="9"/>
        <v>7.957043621963976</v>
      </c>
      <c r="P25" s="13">
        <f t="shared" si="9"/>
        <v>7.0273306779623184</v>
      </c>
      <c r="Q25" s="13">
        <f t="shared" si="9"/>
        <v>6.0511320867606031</v>
      </c>
      <c r="R25" s="13">
        <f t="shared" si="9"/>
        <v>5.0261235659987875</v>
      </c>
      <c r="S25" s="13">
        <f t="shared" si="9"/>
        <v>3.9498646191988911</v>
      </c>
      <c r="T25" s="13">
        <f t="shared" si="9"/>
        <v>2.8197927250589885</v>
      </c>
    </row>
    <row r="26" spans="1:37" x14ac:dyDescent="0.25">
      <c r="A26" s="10" t="s">
        <v>18</v>
      </c>
      <c r="B26" s="39">
        <v>0.28000000000000003</v>
      </c>
      <c r="D26" s="22"/>
      <c r="E26" s="11" t="s">
        <v>48</v>
      </c>
      <c r="F26" s="44">
        <f>SUM(B69:Q69)</f>
        <v>1216.8901395306427</v>
      </c>
      <c r="G26" s="44">
        <f>SUM(B113:Q113)</f>
        <v>1068.4705375299532</v>
      </c>
      <c r="H26" s="36">
        <f>F26-G26</f>
        <v>148.41960200068957</v>
      </c>
      <c r="I26" s="8" t="s">
        <v>32</v>
      </c>
      <c r="J26" s="21">
        <f t="shared" ref="J26:S26" si="10">-J23</f>
        <v>-428.70000000000005</v>
      </c>
      <c r="K26" s="21">
        <f t="shared" si="10"/>
        <v>0</v>
      </c>
      <c r="L26" s="21">
        <f t="shared" si="10"/>
        <v>21.25375970447287</v>
      </c>
      <c r="M26" s="21">
        <f t="shared" si="10"/>
        <v>10.488882564596672</v>
      </c>
      <c r="N26" s="21">
        <f t="shared" si="10"/>
        <v>9.685761567726658</v>
      </c>
      <c r="O26" s="21">
        <f t="shared" si="10"/>
        <v>8.8424845210131551</v>
      </c>
      <c r="P26" s="21">
        <f t="shared" si="10"/>
        <v>7.957043621963976</v>
      </c>
      <c r="Q26" s="21">
        <f t="shared" si="10"/>
        <v>7.0273306779623184</v>
      </c>
      <c r="R26" s="21">
        <f t="shared" si="10"/>
        <v>6.0511320867606031</v>
      </c>
      <c r="S26" s="21">
        <f t="shared" si="10"/>
        <v>5.0261235659987875</v>
      </c>
      <c r="T26" s="21">
        <f>G20</f>
        <v>1004.5829726196514</v>
      </c>
    </row>
    <row r="27" spans="1:37" x14ac:dyDescent="0.25">
      <c r="A27" s="30" t="str">
        <f>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  <c r="B27" s="30"/>
      <c r="C27" s="30"/>
      <c r="J27" s="31"/>
      <c r="K27" s="32"/>
      <c r="L27" s="32"/>
      <c r="M27" s="32"/>
    </row>
    <row r="28" spans="1:37" x14ac:dyDescent="0.25">
      <c r="A28" s="38" t="s">
        <v>71</v>
      </c>
      <c r="C28" s="23" t="s">
        <v>2</v>
      </c>
      <c r="D28" s="33" t="s">
        <v>3</v>
      </c>
      <c r="E28" s="33" t="s">
        <v>4</v>
      </c>
      <c r="F28" s="5" t="s">
        <v>5</v>
      </c>
      <c r="G28" s="5" t="s">
        <v>6</v>
      </c>
      <c r="H28" s="5" t="s">
        <v>7</v>
      </c>
      <c r="I28" s="5" t="s">
        <v>8</v>
      </c>
      <c r="J28" s="5" t="s">
        <v>9</v>
      </c>
      <c r="K28" s="5" t="s">
        <v>10</v>
      </c>
      <c r="L28" s="5" t="s">
        <v>11</v>
      </c>
      <c r="M28" s="5" t="s">
        <v>56</v>
      </c>
      <c r="N28" s="5" t="s">
        <v>57</v>
      </c>
      <c r="O28" s="5" t="s">
        <v>58</v>
      </c>
      <c r="P28" s="5" t="s">
        <v>59</v>
      </c>
      <c r="Q28" s="5" t="s">
        <v>60</v>
      </c>
      <c r="U28" s="36"/>
    </row>
    <row r="29" spans="1:37" x14ac:dyDescent="0.25">
      <c r="A29" s="8" t="s">
        <v>15</v>
      </c>
      <c r="B29" s="10"/>
      <c r="C29" s="10">
        <f t="shared" ref="C29:C38" si="11">B5</f>
        <v>1500</v>
      </c>
      <c r="D29" s="10">
        <f>C29</f>
        <v>1500</v>
      </c>
      <c r="E29" s="10">
        <f t="shared" ref="E29:Q29" si="12">D29</f>
        <v>1500</v>
      </c>
      <c r="F29" s="10">
        <f t="shared" si="12"/>
        <v>1500</v>
      </c>
      <c r="G29" s="10">
        <f t="shared" si="12"/>
        <v>1500</v>
      </c>
      <c r="H29" s="10">
        <f t="shared" si="12"/>
        <v>1500</v>
      </c>
      <c r="I29" s="10">
        <f t="shared" si="12"/>
        <v>1500</v>
      </c>
      <c r="J29" s="10">
        <f t="shared" si="12"/>
        <v>1500</v>
      </c>
      <c r="K29" s="10">
        <f t="shared" si="12"/>
        <v>1500</v>
      </c>
      <c r="L29" s="10">
        <f t="shared" si="12"/>
        <v>1500</v>
      </c>
      <c r="M29" s="10">
        <f t="shared" si="12"/>
        <v>1500</v>
      </c>
      <c r="N29" s="10">
        <f t="shared" si="12"/>
        <v>1500</v>
      </c>
      <c r="O29" s="10">
        <f t="shared" si="12"/>
        <v>1500</v>
      </c>
      <c r="P29" s="10">
        <f t="shared" si="12"/>
        <v>1500</v>
      </c>
      <c r="Q29" s="10">
        <f t="shared" si="12"/>
        <v>1500</v>
      </c>
      <c r="U29" s="36" t="s">
        <v>97</v>
      </c>
      <c r="V29">
        <v>1</v>
      </c>
      <c r="W29">
        <f>V29/(1+$B$23)</f>
        <v>0.95238095238095233</v>
      </c>
      <c r="X29">
        <f t="shared" ref="X29:AJ29" si="13">W29/(1+$B$23)</f>
        <v>0.90702947845804982</v>
      </c>
      <c r="Y29">
        <f t="shared" si="13"/>
        <v>0.86383759853147601</v>
      </c>
      <c r="Z29">
        <f t="shared" si="13"/>
        <v>0.82270247479188185</v>
      </c>
      <c r="AA29">
        <f t="shared" si="13"/>
        <v>0.78352616646845885</v>
      </c>
      <c r="AB29">
        <f t="shared" si="13"/>
        <v>0.74621539663662739</v>
      </c>
      <c r="AC29">
        <f t="shared" si="13"/>
        <v>0.71068133013012125</v>
      </c>
      <c r="AD29">
        <f t="shared" si="13"/>
        <v>0.67683936202868689</v>
      </c>
      <c r="AE29">
        <f t="shared" si="13"/>
        <v>0.64460891621779703</v>
      </c>
      <c r="AF29">
        <f t="shared" si="13"/>
        <v>0.6139132535407591</v>
      </c>
      <c r="AG29">
        <f t="shared" si="13"/>
        <v>0.58467928908643718</v>
      </c>
      <c r="AH29">
        <f t="shared" si="13"/>
        <v>0.55683741817755916</v>
      </c>
      <c r="AI29">
        <f t="shared" si="13"/>
        <v>0.5303213506452944</v>
      </c>
      <c r="AJ29">
        <f t="shared" si="13"/>
        <v>0.50506795299551843</v>
      </c>
    </row>
    <row r="30" spans="1:37" x14ac:dyDescent="0.25">
      <c r="A30" s="10" t="s">
        <v>61</v>
      </c>
      <c r="B30" s="13"/>
      <c r="C30" s="10">
        <f t="shared" si="11"/>
        <v>420.00000000000006</v>
      </c>
      <c r="D30" s="10">
        <f t="shared" ref="D30:Q38" si="14">C30</f>
        <v>420.00000000000006</v>
      </c>
      <c r="E30" s="10">
        <f t="shared" si="14"/>
        <v>420.00000000000006</v>
      </c>
      <c r="F30" s="10">
        <f t="shared" si="14"/>
        <v>420.00000000000006</v>
      </c>
      <c r="G30" s="10">
        <f t="shared" si="14"/>
        <v>420.00000000000006</v>
      </c>
      <c r="H30" s="10">
        <f t="shared" si="14"/>
        <v>420.00000000000006</v>
      </c>
      <c r="I30" s="10">
        <f t="shared" si="14"/>
        <v>420.00000000000006</v>
      </c>
      <c r="J30" s="10">
        <f t="shared" si="14"/>
        <v>420.00000000000006</v>
      </c>
      <c r="K30" s="10">
        <f t="shared" si="14"/>
        <v>420.00000000000006</v>
      </c>
      <c r="L30" s="10">
        <f t="shared" si="14"/>
        <v>420.00000000000006</v>
      </c>
      <c r="M30" s="10">
        <f t="shared" si="14"/>
        <v>420.00000000000006</v>
      </c>
      <c r="N30" s="10">
        <f t="shared" si="14"/>
        <v>420.00000000000006</v>
      </c>
      <c r="O30" s="10">
        <f t="shared" si="14"/>
        <v>420.00000000000006</v>
      </c>
      <c r="P30" s="10">
        <f t="shared" si="14"/>
        <v>420.00000000000006</v>
      </c>
      <c r="Q30" s="10">
        <f t="shared" si="14"/>
        <v>420.00000000000006</v>
      </c>
      <c r="S30">
        <f>AK30</f>
        <v>373.63726058788546</v>
      </c>
      <c r="V30">
        <f>J14*V29</f>
        <v>-518.70000000000005</v>
      </c>
      <c r="W30">
        <f t="shared" ref="W30:AE30" si="15">K14*W29</f>
        <v>0</v>
      </c>
      <c r="X30">
        <f t="shared" si="15"/>
        <v>19.705105946967404</v>
      </c>
      <c r="Y30">
        <f t="shared" si="15"/>
        <v>9.3289503423728277</v>
      </c>
      <c r="Z30">
        <f t="shared" si="15"/>
        <v>8.0852733709308264</v>
      </c>
      <c r="AA30">
        <f t="shared" si="15"/>
        <v>6.9008191124146476</v>
      </c>
      <c r="AB30">
        <f t="shared" si="15"/>
        <v>5.7727674376373326</v>
      </c>
      <c r="AC30">
        <f t="shared" si="15"/>
        <v>4.6984325092779802</v>
      </c>
      <c r="AD30">
        <f t="shared" si="15"/>
        <v>3.6752563870309949</v>
      </c>
      <c r="AE30">
        <f t="shared" si="15"/>
        <v>2.7008029372719493</v>
      </c>
      <c r="AF30">
        <f>M69*AF29</f>
        <v>0.93333872984408062</v>
      </c>
      <c r="AG30">
        <f t="shared" ref="AG30:AI30" si="16">N69/AG29</f>
        <v>0.14474402277876441</v>
      </c>
      <c r="AH30">
        <f t="shared" si="16"/>
        <v>-2.5552105720029097</v>
      </c>
      <c r="AI30">
        <f t="shared" si="16"/>
        <v>-5.6676500556056046</v>
      </c>
      <c r="AJ30" s="36">
        <f>Q69*AJ29</f>
        <v>838.61463041896718</v>
      </c>
      <c r="AK30">
        <f>SUM(V30:AJ30)</f>
        <v>373.63726058788546</v>
      </c>
    </row>
    <row r="31" spans="1:37" x14ac:dyDescent="0.25">
      <c r="A31" s="10" t="s">
        <v>21</v>
      </c>
      <c r="B31" s="13"/>
      <c r="C31" s="10">
        <f t="shared" si="11"/>
        <v>260</v>
      </c>
      <c r="D31" s="10">
        <f t="shared" si="14"/>
        <v>260</v>
      </c>
      <c r="E31" s="10">
        <f t="shared" si="14"/>
        <v>260</v>
      </c>
      <c r="F31" s="10">
        <f t="shared" si="14"/>
        <v>260</v>
      </c>
      <c r="G31" s="10">
        <f t="shared" si="14"/>
        <v>260</v>
      </c>
      <c r="H31" s="10">
        <f t="shared" si="14"/>
        <v>260</v>
      </c>
      <c r="I31" s="10">
        <f t="shared" si="14"/>
        <v>260</v>
      </c>
      <c r="J31" s="10">
        <f t="shared" si="14"/>
        <v>260</v>
      </c>
      <c r="K31" s="10">
        <f t="shared" si="14"/>
        <v>260</v>
      </c>
      <c r="L31" s="10">
        <f t="shared" si="14"/>
        <v>260</v>
      </c>
      <c r="M31" s="10">
        <f t="shared" si="14"/>
        <v>260</v>
      </c>
      <c r="N31" s="10">
        <f t="shared" si="14"/>
        <v>260</v>
      </c>
      <c r="O31" s="10">
        <f t="shared" si="14"/>
        <v>260</v>
      </c>
      <c r="P31" s="10">
        <f t="shared" si="14"/>
        <v>260</v>
      </c>
      <c r="Q31" s="10">
        <f t="shared" si="14"/>
        <v>260</v>
      </c>
      <c r="S31" s="36">
        <f>AK31</f>
        <v>348.86122447131515</v>
      </c>
      <c r="V31">
        <f>J26*V29</f>
        <v>-428.70000000000005</v>
      </c>
      <c r="W31">
        <f t="shared" ref="W31:AE31" si="17">K26*W29</f>
        <v>0</v>
      </c>
      <c r="X31">
        <f t="shared" si="17"/>
        <v>19.277786580020742</v>
      </c>
      <c r="Y31">
        <f t="shared" si="17"/>
        <v>9.0606911258798579</v>
      </c>
      <c r="Z31">
        <f t="shared" si="17"/>
        <v>7.9685000120128189</v>
      </c>
      <c r="AA31">
        <f t="shared" si="17"/>
        <v>6.9283179988061239</v>
      </c>
      <c r="AB31">
        <f t="shared" si="17"/>
        <v>5.9376684624187943</v>
      </c>
      <c r="AC31">
        <f t="shared" si="17"/>
        <v>4.9941927134784674</v>
      </c>
      <c r="AD31">
        <f t="shared" si="17"/>
        <v>4.0956443811543632</v>
      </c>
      <c r="AE31">
        <f t="shared" si="17"/>
        <v>3.2398840646552078</v>
      </c>
      <c r="AF31" s="36">
        <f>M111*AF29</f>
        <v>1.7311081261515269</v>
      </c>
      <c r="AG31" s="36">
        <f t="shared" ref="AG31:AI31" si="18">N111*AG29</f>
        <v>0.95490829259220056</v>
      </c>
      <c r="AH31" s="36">
        <f t="shared" si="18"/>
        <v>0.21567035586903835</v>
      </c>
      <c r="AI31" s="36">
        <f t="shared" si="18"/>
        <v>-0.48836577434349654</v>
      </c>
      <c r="AJ31" s="36">
        <f>Q113*AJ29</f>
        <v>713.64521813261945</v>
      </c>
      <c r="AK31" s="36">
        <f>SUM(V31:AJ31)</f>
        <v>348.86122447131515</v>
      </c>
    </row>
    <row r="32" spans="1:37" x14ac:dyDescent="0.25">
      <c r="A32" s="10" t="s">
        <v>23</v>
      </c>
      <c r="B32" s="10"/>
      <c r="C32" s="10">
        <f t="shared" si="11"/>
        <v>0</v>
      </c>
      <c r="D32" s="10">
        <f t="shared" si="14"/>
        <v>0</v>
      </c>
      <c r="E32" s="10">
        <f t="shared" si="14"/>
        <v>0</v>
      </c>
      <c r="F32" s="10">
        <f t="shared" si="14"/>
        <v>0</v>
      </c>
      <c r="G32" s="10">
        <f t="shared" si="14"/>
        <v>0</v>
      </c>
      <c r="H32" s="10">
        <f t="shared" si="14"/>
        <v>0</v>
      </c>
      <c r="I32" s="10">
        <f t="shared" si="14"/>
        <v>0</v>
      </c>
      <c r="J32" s="10">
        <f t="shared" si="14"/>
        <v>0</v>
      </c>
      <c r="K32" s="10">
        <f t="shared" si="14"/>
        <v>0</v>
      </c>
      <c r="L32" s="10">
        <f t="shared" si="14"/>
        <v>0</v>
      </c>
      <c r="M32" s="10">
        <f t="shared" si="14"/>
        <v>0</v>
      </c>
      <c r="N32" s="10">
        <f t="shared" si="14"/>
        <v>0</v>
      </c>
      <c r="O32" s="10">
        <f t="shared" si="14"/>
        <v>0</v>
      </c>
      <c r="P32" s="10">
        <f t="shared" si="14"/>
        <v>0</v>
      </c>
      <c r="Q32" s="10">
        <f t="shared" si="14"/>
        <v>0</v>
      </c>
    </row>
    <row r="33" spans="1:36" x14ac:dyDescent="0.25">
      <c r="A33" s="10" t="s">
        <v>26</v>
      </c>
      <c r="B33" s="10"/>
      <c r="C33" s="10">
        <f t="shared" si="11"/>
        <v>0</v>
      </c>
      <c r="D33" s="16">
        <f t="shared" si="14"/>
        <v>0</v>
      </c>
      <c r="E33" s="16">
        <f t="shared" si="14"/>
        <v>0</v>
      </c>
      <c r="F33" s="16">
        <f t="shared" si="14"/>
        <v>0</v>
      </c>
      <c r="G33" s="16">
        <f t="shared" si="14"/>
        <v>0</v>
      </c>
      <c r="H33" s="16">
        <f t="shared" si="14"/>
        <v>0</v>
      </c>
      <c r="I33" s="16">
        <f t="shared" si="14"/>
        <v>0</v>
      </c>
      <c r="J33" s="16">
        <f t="shared" si="14"/>
        <v>0</v>
      </c>
      <c r="K33" s="16">
        <f t="shared" si="14"/>
        <v>0</v>
      </c>
      <c r="L33" s="16">
        <f t="shared" si="14"/>
        <v>0</v>
      </c>
      <c r="M33" s="16">
        <f t="shared" si="14"/>
        <v>0</v>
      </c>
      <c r="N33" s="16">
        <f t="shared" si="14"/>
        <v>0</v>
      </c>
      <c r="O33" s="16">
        <f t="shared" si="14"/>
        <v>0</v>
      </c>
      <c r="P33" s="16">
        <f t="shared" si="14"/>
        <v>0</v>
      </c>
      <c r="Q33" s="16">
        <f t="shared" si="14"/>
        <v>0</v>
      </c>
    </row>
    <row r="34" spans="1:36" x14ac:dyDescent="0.25">
      <c r="A34" s="17" t="s">
        <v>29</v>
      </c>
      <c r="B34" s="10"/>
      <c r="C34" s="10">
        <f t="shared" si="11"/>
        <v>3</v>
      </c>
      <c r="D34" s="10">
        <f t="shared" si="14"/>
        <v>3</v>
      </c>
      <c r="E34" s="10">
        <f t="shared" si="14"/>
        <v>3</v>
      </c>
      <c r="F34" s="10">
        <f t="shared" si="14"/>
        <v>3</v>
      </c>
      <c r="G34" s="10">
        <f t="shared" si="14"/>
        <v>3</v>
      </c>
      <c r="H34" s="10">
        <f t="shared" si="14"/>
        <v>3</v>
      </c>
      <c r="I34" s="10">
        <f t="shared" si="14"/>
        <v>3</v>
      </c>
      <c r="J34" s="10">
        <f t="shared" si="14"/>
        <v>3</v>
      </c>
      <c r="K34" s="10">
        <f t="shared" si="14"/>
        <v>3</v>
      </c>
      <c r="L34" s="10">
        <f t="shared" si="14"/>
        <v>3</v>
      </c>
      <c r="M34" s="10">
        <f t="shared" si="14"/>
        <v>3</v>
      </c>
      <c r="N34" s="10">
        <f t="shared" si="14"/>
        <v>3</v>
      </c>
      <c r="O34" s="10">
        <f t="shared" si="14"/>
        <v>3</v>
      </c>
      <c r="P34" s="10">
        <f t="shared" si="14"/>
        <v>3</v>
      </c>
      <c r="Q34" s="10">
        <f t="shared" si="14"/>
        <v>3</v>
      </c>
      <c r="U34" t="s">
        <v>97</v>
      </c>
      <c r="V34">
        <f>V29</f>
        <v>1</v>
      </c>
      <c r="W34">
        <f t="shared" ref="W34:AJ34" si="19">W29</f>
        <v>0.95238095238095233</v>
      </c>
      <c r="X34">
        <f t="shared" si="19"/>
        <v>0.90702947845804982</v>
      </c>
      <c r="Y34">
        <f t="shared" si="19"/>
        <v>0.86383759853147601</v>
      </c>
      <c r="Z34">
        <f t="shared" si="19"/>
        <v>0.82270247479188185</v>
      </c>
      <c r="AA34">
        <f t="shared" si="19"/>
        <v>0.78352616646845885</v>
      </c>
      <c r="AB34">
        <f t="shared" si="19"/>
        <v>0.74621539663662739</v>
      </c>
      <c r="AC34">
        <f t="shared" si="19"/>
        <v>0.71068133013012125</v>
      </c>
      <c r="AD34">
        <f t="shared" si="19"/>
        <v>0.67683936202868689</v>
      </c>
      <c r="AE34">
        <f t="shared" si="19"/>
        <v>0.64460891621779703</v>
      </c>
      <c r="AF34">
        <f t="shared" si="19"/>
        <v>0.6139132535407591</v>
      </c>
      <c r="AG34">
        <f t="shared" si="19"/>
        <v>0.58467928908643718</v>
      </c>
      <c r="AH34">
        <f t="shared" si="19"/>
        <v>0.55683741817755916</v>
      </c>
      <c r="AI34">
        <f t="shared" si="19"/>
        <v>0.5303213506452944</v>
      </c>
      <c r="AJ34">
        <f t="shared" si="19"/>
        <v>0.50506795299551843</v>
      </c>
    </row>
    <row r="35" spans="1:36" x14ac:dyDescent="0.25">
      <c r="A35" s="8" t="s">
        <v>31</v>
      </c>
      <c r="B35" s="10"/>
      <c r="C35" s="10">
        <f t="shared" si="11"/>
        <v>157.00000000000006</v>
      </c>
      <c r="D35" s="10">
        <f t="shared" si="14"/>
        <v>157.00000000000006</v>
      </c>
      <c r="E35" s="10">
        <f t="shared" si="14"/>
        <v>157.00000000000006</v>
      </c>
      <c r="F35" s="10">
        <f t="shared" si="14"/>
        <v>157.00000000000006</v>
      </c>
      <c r="G35" s="10">
        <f t="shared" si="14"/>
        <v>157.00000000000006</v>
      </c>
      <c r="H35" s="10">
        <f t="shared" si="14"/>
        <v>157.00000000000006</v>
      </c>
      <c r="I35" s="10">
        <f t="shared" si="14"/>
        <v>157.00000000000006</v>
      </c>
      <c r="J35" s="10">
        <f t="shared" si="14"/>
        <v>157.00000000000006</v>
      </c>
      <c r="K35" s="10">
        <f t="shared" si="14"/>
        <v>157.00000000000006</v>
      </c>
      <c r="L35" s="10">
        <f t="shared" si="14"/>
        <v>157.00000000000006</v>
      </c>
      <c r="M35" s="10">
        <f t="shared" si="14"/>
        <v>157.00000000000006</v>
      </c>
      <c r="N35" s="10">
        <f t="shared" si="14"/>
        <v>157.00000000000006</v>
      </c>
      <c r="O35" s="10">
        <f t="shared" si="14"/>
        <v>157.00000000000006</v>
      </c>
      <c r="P35" s="10">
        <f t="shared" si="14"/>
        <v>157.00000000000006</v>
      </c>
      <c r="Q35" s="10">
        <f t="shared" si="14"/>
        <v>157.00000000000006</v>
      </c>
      <c r="S35">
        <f>SUM(V35:AF35)</f>
        <v>269.04686156210346</v>
      </c>
      <c r="V35">
        <f>V30</f>
        <v>-518.70000000000005</v>
      </c>
      <c r="W35">
        <f>W30</f>
        <v>0</v>
      </c>
      <c r="X35">
        <f t="shared" ref="X35:AE35" si="20">X30</f>
        <v>19.705105946967404</v>
      </c>
      <c r="Y35">
        <f t="shared" si="20"/>
        <v>9.3289503423728277</v>
      </c>
      <c r="Z35">
        <f t="shared" si="20"/>
        <v>8.0852733709308264</v>
      </c>
      <c r="AA35">
        <f t="shared" si="20"/>
        <v>6.9008191124146476</v>
      </c>
      <c r="AB35">
        <f t="shared" si="20"/>
        <v>5.7727674376373326</v>
      </c>
      <c r="AC35">
        <f t="shared" si="20"/>
        <v>4.6984325092779802</v>
      </c>
      <c r="AD35">
        <f t="shared" si="20"/>
        <v>3.6752563870309949</v>
      </c>
      <c r="AE35">
        <f t="shared" si="20"/>
        <v>2.7008029372719493</v>
      </c>
      <c r="AF35">
        <f>T14*AF29</f>
        <v>726.87945351819951</v>
      </c>
    </row>
    <row r="36" spans="1:36" x14ac:dyDescent="0.25">
      <c r="A36" s="10" t="s">
        <v>33</v>
      </c>
      <c r="B36" s="10"/>
      <c r="C36" s="10">
        <f t="shared" si="11"/>
        <v>0.1046666666666667</v>
      </c>
      <c r="D36" s="20">
        <f t="shared" si="14"/>
        <v>0.1046666666666667</v>
      </c>
      <c r="E36" s="20">
        <f t="shared" si="14"/>
        <v>0.1046666666666667</v>
      </c>
      <c r="F36" s="20">
        <f t="shared" si="14"/>
        <v>0.1046666666666667</v>
      </c>
      <c r="G36" s="20">
        <f t="shared" si="14"/>
        <v>0.1046666666666667</v>
      </c>
      <c r="H36" s="20">
        <f t="shared" si="14"/>
        <v>0.1046666666666667</v>
      </c>
      <c r="I36" s="20">
        <f t="shared" si="14"/>
        <v>0.1046666666666667</v>
      </c>
      <c r="J36" s="20">
        <f t="shared" si="14"/>
        <v>0.1046666666666667</v>
      </c>
      <c r="K36" s="20">
        <f t="shared" si="14"/>
        <v>0.1046666666666667</v>
      </c>
      <c r="L36" s="20">
        <f t="shared" si="14"/>
        <v>0.1046666666666667</v>
      </c>
      <c r="M36" s="20">
        <f t="shared" si="14"/>
        <v>0.1046666666666667</v>
      </c>
      <c r="N36" s="20">
        <f t="shared" si="14"/>
        <v>0.1046666666666667</v>
      </c>
      <c r="O36" s="20">
        <f t="shared" si="14"/>
        <v>0.1046666666666667</v>
      </c>
      <c r="P36" s="20">
        <f t="shared" si="14"/>
        <v>0.1046666666666667</v>
      </c>
      <c r="Q36" s="20">
        <f t="shared" si="14"/>
        <v>0.1046666666666667</v>
      </c>
      <c r="S36">
        <f>SUM(V36:AF36)</f>
        <v>249.52948651100394</v>
      </c>
      <c r="V36">
        <f>V31</f>
        <v>-428.70000000000005</v>
      </c>
      <c r="W36">
        <f>W31</f>
        <v>0</v>
      </c>
      <c r="X36">
        <f t="shared" ref="X36:AE36" si="21">X31</f>
        <v>19.277786580020742</v>
      </c>
      <c r="Y36">
        <f t="shared" si="21"/>
        <v>9.0606911258798579</v>
      </c>
      <c r="Z36">
        <f t="shared" si="21"/>
        <v>7.9685000120128189</v>
      </c>
      <c r="AA36">
        <f t="shared" si="21"/>
        <v>6.9283179988061239</v>
      </c>
      <c r="AB36">
        <f t="shared" si="21"/>
        <v>5.9376684624187943</v>
      </c>
      <c r="AC36">
        <f t="shared" si="21"/>
        <v>4.9941927134784674</v>
      </c>
      <c r="AD36">
        <f t="shared" si="21"/>
        <v>4.0956443811543632</v>
      </c>
      <c r="AE36">
        <f t="shared" si="21"/>
        <v>3.2398840646552078</v>
      </c>
      <c r="AF36">
        <f>T26*AF29</f>
        <v>616.72680117257755</v>
      </c>
    </row>
    <row r="37" spans="1:36" x14ac:dyDescent="0.25">
      <c r="A37" s="12" t="s">
        <v>36</v>
      </c>
      <c r="B37" s="10"/>
      <c r="C37" s="10">
        <f t="shared" si="11"/>
        <v>9.6000000000000014</v>
      </c>
      <c r="D37" s="10">
        <f t="shared" si="14"/>
        <v>9.6000000000000014</v>
      </c>
      <c r="E37" s="10">
        <f t="shared" si="14"/>
        <v>9.6000000000000014</v>
      </c>
      <c r="F37" s="10">
        <f t="shared" si="14"/>
        <v>9.6000000000000014</v>
      </c>
      <c r="G37" s="10">
        <f t="shared" si="14"/>
        <v>9.6000000000000014</v>
      </c>
      <c r="H37" s="10">
        <f t="shared" si="14"/>
        <v>9.6000000000000014</v>
      </c>
      <c r="I37" s="10">
        <f t="shared" si="14"/>
        <v>9.6000000000000014</v>
      </c>
      <c r="J37" s="10">
        <f t="shared" si="14"/>
        <v>9.6000000000000014</v>
      </c>
      <c r="K37" s="10">
        <f t="shared" si="14"/>
        <v>9.6000000000000014</v>
      </c>
      <c r="L37" s="10">
        <f t="shared" si="14"/>
        <v>9.6000000000000014</v>
      </c>
      <c r="M37" s="10">
        <f t="shared" si="14"/>
        <v>9.6000000000000014</v>
      </c>
      <c r="N37" s="10">
        <f t="shared" si="14"/>
        <v>9.6000000000000014</v>
      </c>
      <c r="O37" s="10">
        <f t="shared" si="14"/>
        <v>9.6000000000000014</v>
      </c>
      <c r="P37" s="10">
        <f t="shared" si="14"/>
        <v>9.6000000000000014</v>
      </c>
      <c r="Q37" s="10">
        <f t="shared" si="14"/>
        <v>9.6000000000000014</v>
      </c>
    </row>
    <row r="38" spans="1:36" x14ac:dyDescent="0.25">
      <c r="A38" s="9" t="s">
        <v>39</v>
      </c>
      <c r="B38" s="10"/>
      <c r="C38" s="10">
        <f t="shared" si="11"/>
        <v>147.40000000000006</v>
      </c>
      <c r="D38" s="10">
        <f t="shared" si="14"/>
        <v>147.40000000000006</v>
      </c>
      <c r="E38" s="10">
        <f t="shared" si="14"/>
        <v>147.40000000000006</v>
      </c>
      <c r="F38" s="10">
        <f t="shared" si="14"/>
        <v>147.40000000000006</v>
      </c>
      <c r="G38" s="10">
        <f t="shared" si="14"/>
        <v>147.40000000000006</v>
      </c>
      <c r="H38" s="10">
        <f t="shared" si="14"/>
        <v>147.40000000000006</v>
      </c>
      <c r="I38" s="10">
        <f t="shared" si="14"/>
        <v>147.40000000000006</v>
      </c>
      <c r="J38" s="10">
        <f t="shared" si="14"/>
        <v>147.40000000000006</v>
      </c>
      <c r="K38" s="10">
        <f t="shared" si="14"/>
        <v>147.40000000000006</v>
      </c>
      <c r="L38" s="10">
        <f t="shared" si="14"/>
        <v>147.40000000000006</v>
      </c>
      <c r="M38" s="10">
        <f t="shared" si="14"/>
        <v>147.40000000000006</v>
      </c>
      <c r="N38" s="10">
        <f t="shared" si="14"/>
        <v>147.40000000000006</v>
      </c>
      <c r="O38" s="10">
        <f t="shared" si="14"/>
        <v>147.40000000000006</v>
      </c>
      <c r="P38" s="10">
        <f t="shared" si="14"/>
        <v>147.40000000000006</v>
      </c>
      <c r="Q38" s="10">
        <f t="shared" si="14"/>
        <v>147.40000000000006</v>
      </c>
    </row>
    <row r="39" spans="1:36" x14ac:dyDescent="0.25">
      <c r="A39" s="12" t="s">
        <v>62</v>
      </c>
      <c r="B39" s="34">
        <f>B23</f>
        <v>0.05</v>
      </c>
      <c r="C39" s="13">
        <f t="shared" ref="C39:Q39" si="22">-$B$83*(B56)</f>
        <v>-60.515000000000015</v>
      </c>
      <c r="D39" s="13">
        <f t="shared" si="22"/>
        <v>-57.710596465326581</v>
      </c>
      <c r="E39" s="13">
        <f t="shared" si="22"/>
        <v>-54.765972753919485</v>
      </c>
      <c r="F39" s="13">
        <f t="shared" si="22"/>
        <v>-51.674117856942033</v>
      </c>
      <c r="G39" s="13">
        <f t="shared" si="22"/>
        <v>-48.427670215115711</v>
      </c>
      <c r="H39" s="13">
        <f t="shared" si="22"/>
        <v>-45.018900191198071</v>
      </c>
      <c r="I39" s="13">
        <f t="shared" si="22"/>
        <v>-41.439691666084549</v>
      </c>
      <c r="J39" s="13">
        <f t="shared" si="22"/>
        <v>-37.681522714715349</v>
      </c>
      <c r="K39" s="13">
        <f t="shared" si="22"/>
        <v>-33.735445315777696</v>
      </c>
      <c r="L39" s="13">
        <f t="shared" si="22"/>
        <v>-29.592064046893157</v>
      </c>
      <c r="M39" s="13">
        <f t="shared" si="22"/>
        <v>-25.241513714564391</v>
      </c>
      <c r="N39" s="13">
        <f t="shared" si="22"/>
        <v>-20.673435865619183</v>
      </c>
      <c r="O39" s="13">
        <f t="shared" si="22"/>
        <v>-15.876954124226717</v>
      </c>
      <c r="P39" s="13">
        <f t="shared" si="22"/>
        <v>-10.84064829576463</v>
      </c>
      <c r="Q39" s="13">
        <f t="shared" si="22"/>
        <v>-5.5525271758794368</v>
      </c>
    </row>
    <row r="40" spans="1:36" x14ac:dyDescent="0.25">
      <c r="A40" s="9" t="s">
        <v>20</v>
      </c>
      <c r="B40" s="10"/>
      <c r="C40" s="13">
        <f>C38+C39</f>
        <v>86.885000000000048</v>
      </c>
      <c r="D40" s="13">
        <f t="shared" ref="D40:Q40" si="23">D38+D39</f>
        <v>89.689403534673488</v>
      </c>
      <c r="E40" s="13">
        <f t="shared" si="23"/>
        <v>92.634027246080578</v>
      </c>
      <c r="F40" s="13">
        <f t="shared" si="23"/>
        <v>95.72588214305803</v>
      </c>
      <c r="G40" s="13">
        <f t="shared" si="23"/>
        <v>98.972329784884352</v>
      </c>
      <c r="H40" s="13">
        <f t="shared" si="23"/>
        <v>102.38109980880199</v>
      </c>
      <c r="I40" s="13">
        <f t="shared" si="23"/>
        <v>105.96030833391552</v>
      </c>
      <c r="J40" s="13">
        <f t="shared" si="23"/>
        <v>109.71847728528471</v>
      </c>
      <c r="K40" s="13">
        <f t="shared" si="23"/>
        <v>113.66455468422237</v>
      </c>
      <c r="L40" s="13">
        <f t="shared" si="23"/>
        <v>117.80793595310691</v>
      </c>
      <c r="M40" s="13">
        <f t="shared" si="23"/>
        <v>122.15848628543567</v>
      </c>
      <c r="N40" s="13">
        <f t="shared" si="23"/>
        <v>126.72656413438088</v>
      </c>
      <c r="O40" s="13">
        <f t="shared" si="23"/>
        <v>131.52304587577333</v>
      </c>
      <c r="P40" s="13">
        <f t="shared" si="23"/>
        <v>136.55935170423544</v>
      </c>
      <c r="Q40" s="13">
        <f t="shared" si="23"/>
        <v>141.84747282412062</v>
      </c>
    </row>
    <row r="41" spans="1:36" x14ac:dyDescent="0.25">
      <c r="A41" s="12" t="s">
        <v>22</v>
      </c>
      <c r="B41" s="35">
        <f>B25</f>
        <v>0.33</v>
      </c>
      <c r="C41" s="13">
        <f t="shared" ref="C41:Q41" si="24">-$B$85*C40</f>
        <v>-28.672050000000016</v>
      </c>
      <c r="D41" s="13">
        <f t="shared" si="24"/>
        <v>-29.597503166442252</v>
      </c>
      <c r="E41" s="13">
        <f t="shared" si="24"/>
        <v>-30.569228991206593</v>
      </c>
      <c r="F41" s="13">
        <f t="shared" si="24"/>
        <v>-31.589541107209151</v>
      </c>
      <c r="G41" s="13">
        <f t="shared" si="24"/>
        <v>-32.660868829011839</v>
      </c>
      <c r="H41" s="13">
        <f t="shared" si="24"/>
        <v>-33.785762936904661</v>
      </c>
      <c r="I41" s="13">
        <f t="shared" si="24"/>
        <v>-34.966901750192122</v>
      </c>
      <c r="J41" s="13">
        <f t="shared" si="24"/>
        <v>-36.207097504143952</v>
      </c>
      <c r="K41" s="13">
        <f t="shared" si="24"/>
        <v>-37.509303045793381</v>
      </c>
      <c r="L41" s="13">
        <f t="shared" si="24"/>
        <v>-38.876618864525284</v>
      </c>
      <c r="M41" s="13">
        <f t="shared" si="24"/>
        <v>-40.312300474193776</v>
      </c>
      <c r="N41" s="13">
        <f t="shared" si="24"/>
        <v>-41.819766164345694</v>
      </c>
      <c r="O41" s="13">
        <f t="shared" si="24"/>
        <v>-43.402605139005203</v>
      </c>
      <c r="P41" s="13">
        <f t="shared" si="24"/>
        <v>-45.064586062397694</v>
      </c>
      <c r="Q41" s="13">
        <f t="shared" si="24"/>
        <v>-46.809666031959807</v>
      </c>
    </row>
    <row r="42" spans="1:36" x14ac:dyDescent="0.25">
      <c r="A42" s="9" t="s">
        <v>25</v>
      </c>
      <c r="B42" s="8"/>
      <c r="C42" s="21">
        <f>C40+C41</f>
        <v>58.212950000000035</v>
      </c>
      <c r="D42" s="21">
        <f t="shared" ref="D42:Q42" si="25">D40+D41</f>
        <v>60.091900368231236</v>
      </c>
      <c r="E42" s="21">
        <f t="shared" si="25"/>
        <v>62.064798254873985</v>
      </c>
      <c r="F42" s="21">
        <f t="shared" si="25"/>
        <v>64.136341035848886</v>
      </c>
      <c r="G42" s="21">
        <f t="shared" si="25"/>
        <v>66.311460955872519</v>
      </c>
      <c r="H42" s="21">
        <f t="shared" si="25"/>
        <v>68.595336871897331</v>
      </c>
      <c r="I42" s="21">
        <f t="shared" si="25"/>
        <v>70.993406583723399</v>
      </c>
      <c r="J42" s="21">
        <f t="shared" si="25"/>
        <v>73.511379781140761</v>
      </c>
      <c r="K42" s="21">
        <f t="shared" si="25"/>
        <v>76.155251638428979</v>
      </c>
      <c r="L42" s="21">
        <f t="shared" si="25"/>
        <v>78.931317088581622</v>
      </c>
      <c r="M42" s="21">
        <f t="shared" si="25"/>
        <v>81.846185811241895</v>
      </c>
      <c r="N42" s="21">
        <f t="shared" si="25"/>
        <v>84.906797970035186</v>
      </c>
      <c r="O42" s="21">
        <f t="shared" si="25"/>
        <v>88.120440736768131</v>
      </c>
      <c r="P42" s="21">
        <f t="shared" si="25"/>
        <v>91.494765641837745</v>
      </c>
      <c r="Q42" s="21">
        <f t="shared" si="25"/>
        <v>95.037806792160808</v>
      </c>
    </row>
    <row r="43" spans="1:36" x14ac:dyDescent="0.25">
      <c r="A43" t="str">
        <f>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</row>
    <row r="44" spans="1:36" x14ac:dyDescent="0.25">
      <c r="B44" s="10"/>
      <c r="C44" s="23" t="str">
        <f>C28</f>
        <v>A1</v>
      </c>
      <c r="D44" s="23" t="str">
        <f t="shared" ref="D44:Q44" si="26">D28</f>
        <v>A2</v>
      </c>
      <c r="E44" s="23" t="str">
        <f t="shared" si="26"/>
        <v>A3</v>
      </c>
      <c r="F44" s="23" t="str">
        <f t="shared" si="26"/>
        <v>A4</v>
      </c>
      <c r="G44" s="23" t="str">
        <f t="shared" si="26"/>
        <v>A5</v>
      </c>
      <c r="H44" s="23" t="str">
        <f t="shared" si="26"/>
        <v>A6</v>
      </c>
      <c r="I44" s="23" t="str">
        <f t="shared" si="26"/>
        <v>A7</v>
      </c>
      <c r="J44" s="23" t="str">
        <f t="shared" si="26"/>
        <v>A8</v>
      </c>
      <c r="K44" s="23" t="str">
        <f t="shared" si="26"/>
        <v>A9</v>
      </c>
      <c r="L44" s="23" t="str">
        <f t="shared" si="26"/>
        <v>A10</v>
      </c>
      <c r="M44" s="23" t="str">
        <f t="shared" si="26"/>
        <v>A11</v>
      </c>
      <c r="N44" s="23" t="str">
        <f t="shared" si="26"/>
        <v>A12</v>
      </c>
      <c r="O44" s="23" t="str">
        <f t="shared" si="26"/>
        <v>A13</v>
      </c>
      <c r="P44" s="23" t="str">
        <f t="shared" si="26"/>
        <v>A14</v>
      </c>
      <c r="Q44" s="23" t="str">
        <f t="shared" si="26"/>
        <v>A15</v>
      </c>
    </row>
    <row r="45" spans="1:36" x14ac:dyDescent="0.25">
      <c r="A45" s="10" t="s">
        <v>28</v>
      </c>
      <c r="B45" s="10"/>
      <c r="C45" s="13">
        <f>C42+C37</f>
        <v>67.812950000000029</v>
      </c>
      <c r="D45" s="13">
        <f>D42+D37</f>
        <v>69.691900368231245</v>
      </c>
      <c r="E45" s="13">
        <f t="shared" ref="E45:Q45" si="27">E42+E37</f>
        <v>71.664798254873986</v>
      </c>
      <c r="F45" s="13">
        <f t="shared" si="27"/>
        <v>73.736341035848881</v>
      </c>
      <c r="G45" s="13">
        <f t="shared" si="27"/>
        <v>75.911460955872514</v>
      </c>
      <c r="H45" s="13">
        <f t="shared" si="27"/>
        <v>78.195336871897325</v>
      </c>
      <c r="I45" s="13">
        <f t="shared" si="27"/>
        <v>80.593406583723407</v>
      </c>
      <c r="J45" s="13">
        <f t="shared" si="27"/>
        <v>83.111379781140755</v>
      </c>
      <c r="K45" s="13">
        <f t="shared" si="27"/>
        <v>85.755251638428973</v>
      </c>
      <c r="L45" s="13">
        <f t="shared" si="27"/>
        <v>88.531317088581631</v>
      </c>
      <c r="M45" s="13">
        <f t="shared" si="27"/>
        <v>91.446185811241889</v>
      </c>
      <c r="N45" s="13">
        <f t="shared" si="27"/>
        <v>94.506797970035194</v>
      </c>
      <c r="O45" s="13">
        <f t="shared" si="27"/>
        <v>97.720440736768126</v>
      </c>
      <c r="P45" s="13">
        <f t="shared" si="27"/>
        <v>101.09476564183774</v>
      </c>
      <c r="Q45" s="13">
        <f t="shared" si="27"/>
        <v>104.6378067921608</v>
      </c>
    </row>
    <row r="46" spans="1:36" x14ac:dyDescent="0.25">
      <c r="A46" s="10" t="s">
        <v>16</v>
      </c>
      <c r="B46" s="14">
        <f>F5</f>
        <v>518.70000000000005</v>
      </c>
      <c r="C46" s="13"/>
      <c r="D46" s="13">
        <f>-C52</f>
        <v>-21.724879306531562</v>
      </c>
      <c r="E46" s="13">
        <f t="shared" ref="E46:Q46" si="28">-D52</f>
        <v>-10.799426140089345</v>
      </c>
      <c r="F46" s="13">
        <f t="shared" si="28"/>
        <v>-9.8277003153249893</v>
      </c>
      <c r="G46" s="13">
        <f t="shared" si="28"/>
        <v>-8.8073881993224319</v>
      </c>
      <c r="H46" s="13">
        <f t="shared" si="28"/>
        <v>-7.736060477519743</v>
      </c>
      <c r="I46" s="13">
        <f t="shared" si="28"/>
        <v>-6.6111663696269147</v>
      </c>
      <c r="J46" s="13">
        <f t="shared" si="28"/>
        <v>-5.4300275563394678</v>
      </c>
      <c r="K46" s="13">
        <f t="shared" si="28"/>
        <v>-4.18983180238763</v>
      </c>
      <c r="L46" s="13">
        <f t="shared" si="28"/>
        <v>-2.8876262607381875</v>
      </c>
      <c r="M46" s="13">
        <f t="shared" si="28"/>
        <v>-1.5203104420063056</v>
      </c>
      <c r="N46" s="13">
        <f t="shared" si="28"/>
        <v>-8.4628832337799054E-2</v>
      </c>
      <c r="O46" s="13">
        <f t="shared" si="28"/>
        <v>1.4228368578141044</v>
      </c>
      <c r="P46" s="13">
        <f t="shared" si="28"/>
        <v>3.0056758324736421</v>
      </c>
      <c r="Q46" s="13">
        <f t="shared" si="28"/>
        <v>4.6676567558661191</v>
      </c>
    </row>
    <row r="47" spans="1:36" x14ac:dyDescent="0.25">
      <c r="A47" s="10" t="s">
        <v>19</v>
      </c>
      <c r="B47" s="14">
        <f>F6</f>
        <v>1210.3000000000002</v>
      </c>
      <c r="C47" s="13">
        <f>-F15</f>
        <v>-56.088070693468467</v>
      </c>
      <c r="D47" s="13">
        <f t="shared" ref="D47:Q47" si="29">-$F$14-D39</f>
        <v>-58.8924742281419</v>
      </c>
      <c r="E47" s="13">
        <f t="shared" si="29"/>
        <v>-61.837097939548997</v>
      </c>
      <c r="F47" s="13">
        <f t="shared" si="29"/>
        <v>-64.928952836526449</v>
      </c>
      <c r="G47" s="13">
        <f t="shared" si="29"/>
        <v>-68.175400478352771</v>
      </c>
      <c r="H47" s="13">
        <f t="shared" si="29"/>
        <v>-71.58417050227041</v>
      </c>
      <c r="I47" s="13">
        <f t="shared" si="29"/>
        <v>-75.16337902738394</v>
      </c>
      <c r="J47" s="13">
        <f t="shared" si="29"/>
        <v>-78.921547978753125</v>
      </c>
      <c r="K47" s="13">
        <f t="shared" si="29"/>
        <v>-82.867625377690786</v>
      </c>
      <c r="L47" s="13">
        <f t="shared" si="29"/>
        <v>-87.011006646575325</v>
      </c>
      <c r="M47" s="13">
        <f t="shared" si="29"/>
        <v>-91.36155697890409</v>
      </c>
      <c r="N47" s="13">
        <f t="shared" si="29"/>
        <v>-95.929634827849299</v>
      </c>
      <c r="O47" s="13">
        <f t="shared" si="29"/>
        <v>-100.72611656924177</v>
      </c>
      <c r="P47" s="13">
        <f t="shared" si="29"/>
        <v>-105.76242239770386</v>
      </c>
      <c r="Q47" s="13">
        <f t="shared" si="29"/>
        <v>-111.05054351758905</v>
      </c>
      <c r="S47" s="36"/>
      <c r="T47" s="36"/>
      <c r="U47" s="36"/>
      <c r="V47" s="36"/>
      <c r="W47" s="36"/>
      <c r="X47" s="36"/>
      <c r="Y47" s="36"/>
    </row>
    <row r="48" spans="1:36" x14ac:dyDescent="0.25">
      <c r="A48" s="10" t="s">
        <v>24</v>
      </c>
      <c r="B48" s="14">
        <f>-F7</f>
        <v>-300</v>
      </c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</row>
    <row r="49" spans="1:17" x14ac:dyDescent="0.25">
      <c r="A49" s="10" t="s">
        <v>27</v>
      </c>
      <c r="B49" s="14">
        <f>-F8</f>
        <v>-1419.0000000000002</v>
      </c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</row>
    <row r="50" spans="1:17" x14ac:dyDescent="0.25">
      <c r="A50" s="10" t="s">
        <v>63</v>
      </c>
      <c r="B50" s="14">
        <f>-F9</f>
        <v>0</v>
      </c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</row>
    <row r="51" spans="1:17" x14ac:dyDescent="0.25">
      <c r="A51" s="10" t="s">
        <v>35</v>
      </c>
      <c r="B51" s="14">
        <v>0</v>
      </c>
      <c r="C51" s="13">
        <f>B52</f>
        <v>10</v>
      </c>
      <c r="D51" s="13">
        <f t="shared" ref="D51:Q51" si="30">C52</f>
        <v>21.724879306531562</v>
      </c>
      <c r="E51" s="13">
        <f t="shared" si="30"/>
        <v>10.799426140089345</v>
      </c>
      <c r="F51" s="13">
        <f t="shared" si="30"/>
        <v>9.8277003153249893</v>
      </c>
      <c r="G51" s="13">
        <f t="shared" si="30"/>
        <v>8.8073881993224319</v>
      </c>
      <c r="H51" s="13">
        <f t="shared" si="30"/>
        <v>7.736060477519743</v>
      </c>
      <c r="I51" s="13">
        <f t="shared" si="30"/>
        <v>6.6111663696269147</v>
      </c>
      <c r="J51" s="13">
        <f t="shared" si="30"/>
        <v>5.4300275563394678</v>
      </c>
      <c r="K51" s="13">
        <f t="shared" si="30"/>
        <v>4.18983180238763</v>
      </c>
      <c r="L51" s="13">
        <f t="shared" si="30"/>
        <v>2.8876262607381875</v>
      </c>
      <c r="M51" s="13">
        <f t="shared" si="30"/>
        <v>1.5203104420063056</v>
      </c>
      <c r="N51" s="13">
        <f t="shared" si="30"/>
        <v>8.4628832337799054E-2</v>
      </c>
      <c r="O51" s="13">
        <f t="shared" si="30"/>
        <v>-1.4228368578141044</v>
      </c>
      <c r="P51" s="13">
        <f t="shared" si="30"/>
        <v>-3.0056758324736421</v>
      </c>
      <c r="Q51" s="13">
        <f t="shared" si="30"/>
        <v>-4.6676567558661191</v>
      </c>
    </row>
    <row r="52" spans="1:17" x14ac:dyDescent="0.25">
      <c r="A52" s="10" t="s">
        <v>64</v>
      </c>
      <c r="B52" s="13">
        <f>SUM(B45:B51)</f>
        <v>10</v>
      </c>
      <c r="C52" s="13">
        <f>SUM(C45:C51)</f>
        <v>21.724879306531562</v>
      </c>
      <c r="D52" s="13">
        <f t="shared" ref="D52:Q52" si="31">SUM(D45:D51)</f>
        <v>10.799426140089345</v>
      </c>
      <c r="E52" s="13">
        <f t="shared" si="31"/>
        <v>9.8277003153249893</v>
      </c>
      <c r="F52" s="13">
        <f t="shared" si="31"/>
        <v>8.8073881993224319</v>
      </c>
      <c r="G52" s="13">
        <f t="shared" si="31"/>
        <v>7.736060477519743</v>
      </c>
      <c r="H52" s="13">
        <f t="shared" si="31"/>
        <v>6.6111663696269147</v>
      </c>
      <c r="I52" s="13">
        <f t="shared" si="31"/>
        <v>5.4300275563394678</v>
      </c>
      <c r="J52" s="13">
        <f t="shared" si="31"/>
        <v>4.18983180238763</v>
      </c>
      <c r="K52" s="13">
        <f t="shared" si="31"/>
        <v>2.8876262607381875</v>
      </c>
      <c r="L52" s="13">
        <f t="shared" si="31"/>
        <v>1.5203104420063056</v>
      </c>
      <c r="M52" s="13">
        <f t="shared" si="31"/>
        <v>8.4628832337799054E-2</v>
      </c>
      <c r="N52" s="13">
        <f t="shared" si="31"/>
        <v>-1.4228368578141044</v>
      </c>
      <c r="O52" s="13">
        <f t="shared" si="31"/>
        <v>-3.0056758324736421</v>
      </c>
      <c r="P52" s="13">
        <f t="shared" si="31"/>
        <v>-4.6676567558661191</v>
      </c>
      <c r="Q52" s="13">
        <f t="shared" si="31"/>
        <v>-6.4127367254282461</v>
      </c>
    </row>
    <row r="53" spans="1:17" x14ac:dyDescent="0.25">
      <c r="A53" t="str">
        <f>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  <c r="B53" s="36"/>
      <c r="C53" s="36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</row>
    <row r="54" spans="1:17" x14ac:dyDescent="0.25">
      <c r="B54" s="13"/>
      <c r="C54" s="23" t="str">
        <f>C44</f>
        <v>A1</v>
      </c>
      <c r="D54" s="23" t="str">
        <f t="shared" ref="D54:Q54" si="32">D44</f>
        <v>A2</v>
      </c>
      <c r="E54" s="23" t="str">
        <f t="shared" si="32"/>
        <v>A3</v>
      </c>
      <c r="F54" s="23" t="str">
        <f t="shared" si="32"/>
        <v>A4</v>
      </c>
      <c r="G54" s="23" t="str">
        <f t="shared" si="32"/>
        <v>A5</v>
      </c>
      <c r="H54" s="23" t="str">
        <f t="shared" si="32"/>
        <v>A6</v>
      </c>
      <c r="I54" s="23" t="str">
        <f t="shared" si="32"/>
        <v>A7</v>
      </c>
      <c r="J54" s="23" t="str">
        <f t="shared" si="32"/>
        <v>A8</v>
      </c>
      <c r="K54" s="23" t="str">
        <f t="shared" si="32"/>
        <v>A9</v>
      </c>
      <c r="L54" s="23" t="str">
        <f t="shared" si="32"/>
        <v>A10</v>
      </c>
      <c r="M54" s="23" t="str">
        <f t="shared" si="32"/>
        <v>A11</v>
      </c>
      <c r="N54" s="23" t="str">
        <f t="shared" si="32"/>
        <v>A12</v>
      </c>
      <c r="O54" s="23" t="str">
        <f t="shared" si="32"/>
        <v>A13</v>
      </c>
      <c r="P54" s="23" t="str">
        <f t="shared" si="32"/>
        <v>A14</v>
      </c>
      <c r="Q54" s="23" t="str">
        <f t="shared" si="32"/>
        <v>A15</v>
      </c>
    </row>
    <row r="55" spans="1:17" x14ac:dyDescent="0.25">
      <c r="A55" s="10" t="s">
        <v>16</v>
      </c>
      <c r="B55" s="13">
        <f>B46</f>
        <v>518.70000000000005</v>
      </c>
      <c r="C55" s="13">
        <f>B55+C42+C46</f>
        <v>576.91295000000014</v>
      </c>
      <c r="D55" s="13">
        <f t="shared" ref="D55:Q55" si="33">C55+D42+D46</f>
        <v>615.27997106169983</v>
      </c>
      <c r="E55" s="13">
        <f t="shared" si="33"/>
        <v>666.54534317648438</v>
      </c>
      <c r="F55" s="13">
        <f t="shared" si="33"/>
        <v>720.85398389700822</v>
      </c>
      <c r="G55" s="13">
        <f t="shared" si="33"/>
        <v>778.35805665355826</v>
      </c>
      <c r="H55" s="13">
        <f t="shared" si="33"/>
        <v>839.21733304793588</v>
      </c>
      <c r="I55" s="13">
        <f t="shared" si="33"/>
        <v>903.59957326203244</v>
      </c>
      <c r="J55" s="13">
        <f t="shared" si="33"/>
        <v>971.68092548683364</v>
      </c>
      <c r="K55" s="13">
        <f t="shared" si="33"/>
        <v>1043.6463453228748</v>
      </c>
      <c r="L55" s="13">
        <f t="shared" si="33"/>
        <v>1119.6900361507182</v>
      </c>
      <c r="M55" s="13">
        <f t="shared" si="33"/>
        <v>1200.0159115199538</v>
      </c>
      <c r="N55" s="13">
        <f t="shared" si="33"/>
        <v>1284.8380806576511</v>
      </c>
      <c r="O55" s="13">
        <f t="shared" si="33"/>
        <v>1374.3813582522334</v>
      </c>
      <c r="P55" s="13">
        <f t="shared" si="33"/>
        <v>1468.8817997265448</v>
      </c>
      <c r="Q55" s="13">
        <f t="shared" si="33"/>
        <v>1568.5872632745718</v>
      </c>
    </row>
    <row r="56" spans="1:17" x14ac:dyDescent="0.25">
      <c r="A56" s="10" t="s">
        <v>19</v>
      </c>
      <c r="B56" s="13">
        <f>B47</f>
        <v>1210.3000000000002</v>
      </c>
      <c r="C56" s="13">
        <f>B56+C47</f>
        <v>1154.2119293065316</v>
      </c>
      <c r="D56" s="13">
        <f t="shared" ref="D56:Q56" si="34">C56+D47</f>
        <v>1095.3194550783896</v>
      </c>
      <c r="E56" s="13">
        <f t="shared" si="34"/>
        <v>1033.4823571388406</v>
      </c>
      <c r="F56" s="13">
        <f t="shared" si="34"/>
        <v>968.55340430231411</v>
      </c>
      <c r="G56" s="13">
        <f t="shared" si="34"/>
        <v>900.37800382396131</v>
      </c>
      <c r="H56" s="13">
        <f t="shared" si="34"/>
        <v>828.79383332169095</v>
      </c>
      <c r="I56" s="13">
        <f t="shared" si="34"/>
        <v>753.63045429430701</v>
      </c>
      <c r="J56" s="13">
        <f t="shared" si="34"/>
        <v>674.70890631555392</v>
      </c>
      <c r="K56" s="13">
        <f t="shared" si="34"/>
        <v>591.84128093786308</v>
      </c>
      <c r="L56" s="13">
        <f t="shared" si="34"/>
        <v>504.83027429128776</v>
      </c>
      <c r="M56" s="13">
        <f t="shared" si="34"/>
        <v>413.46871731238366</v>
      </c>
      <c r="N56" s="13">
        <f t="shared" si="34"/>
        <v>317.53908248453433</v>
      </c>
      <c r="O56" s="13">
        <f t="shared" si="34"/>
        <v>216.81296591529258</v>
      </c>
      <c r="P56" s="13">
        <f t="shared" si="34"/>
        <v>111.05054351758872</v>
      </c>
      <c r="Q56" s="13">
        <f t="shared" si="34"/>
        <v>-3.2684965844964609E-13</v>
      </c>
    </row>
    <row r="57" spans="1:17" x14ac:dyDescent="0.25">
      <c r="B57" s="36"/>
      <c r="C57" s="36"/>
      <c r="D57" s="36"/>
      <c r="E57" s="36"/>
      <c r="F57" s="36"/>
      <c r="G57" s="36"/>
      <c r="H57" s="36"/>
      <c r="I57" s="36"/>
      <c r="J57" s="36"/>
      <c r="K57" s="36"/>
      <c r="L57" s="36"/>
      <c r="M57" s="36"/>
      <c r="N57" s="36"/>
      <c r="O57" s="36"/>
      <c r="P57" s="36"/>
      <c r="Q57" s="36"/>
    </row>
    <row r="58" spans="1:17" x14ac:dyDescent="0.25">
      <c r="A58" s="10" t="s">
        <v>24</v>
      </c>
      <c r="B58" s="13">
        <f>-B48</f>
        <v>300</v>
      </c>
      <c r="C58" s="10">
        <f>B58-C37</f>
        <v>290.39999999999998</v>
      </c>
      <c r="D58" s="10">
        <f t="shared" ref="D58:Q58" si="35">C58-D37</f>
        <v>280.79999999999995</v>
      </c>
      <c r="E58" s="10">
        <f t="shared" si="35"/>
        <v>271.19999999999993</v>
      </c>
      <c r="F58" s="10">
        <f t="shared" si="35"/>
        <v>261.59999999999991</v>
      </c>
      <c r="G58" s="10">
        <f t="shared" si="35"/>
        <v>251.99999999999991</v>
      </c>
      <c r="H58" s="10">
        <f t="shared" si="35"/>
        <v>242.39999999999992</v>
      </c>
      <c r="I58" s="10">
        <f t="shared" si="35"/>
        <v>232.79999999999993</v>
      </c>
      <c r="J58" s="10">
        <f t="shared" si="35"/>
        <v>223.19999999999993</v>
      </c>
      <c r="K58" s="10">
        <f t="shared" si="35"/>
        <v>213.59999999999994</v>
      </c>
      <c r="L58" s="10">
        <f t="shared" si="35"/>
        <v>203.99999999999994</v>
      </c>
      <c r="M58" s="10">
        <f t="shared" si="35"/>
        <v>194.39999999999995</v>
      </c>
      <c r="N58" s="10">
        <f t="shared" si="35"/>
        <v>184.79999999999995</v>
      </c>
      <c r="O58" s="10">
        <f t="shared" si="35"/>
        <v>175.19999999999996</v>
      </c>
      <c r="P58" s="10">
        <f t="shared" si="35"/>
        <v>165.59999999999997</v>
      </c>
      <c r="Q58" s="10">
        <f t="shared" si="35"/>
        <v>155.99999999999997</v>
      </c>
    </row>
    <row r="59" spans="1:17" x14ac:dyDescent="0.25">
      <c r="A59" s="10" t="s">
        <v>27</v>
      </c>
      <c r="B59" s="13">
        <f>-B49</f>
        <v>1419.0000000000002</v>
      </c>
      <c r="C59" s="13">
        <f>B59</f>
        <v>1419.0000000000002</v>
      </c>
      <c r="D59" s="13">
        <f t="shared" ref="D59:Q59" si="36">C59</f>
        <v>1419.0000000000002</v>
      </c>
      <c r="E59" s="13">
        <f t="shared" si="36"/>
        <v>1419.0000000000002</v>
      </c>
      <c r="F59" s="13">
        <f t="shared" si="36"/>
        <v>1419.0000000000002</v>
      </c>
      <c r="G59" s="13">
        <f t="shared" si="36"/>
        <v>1419.0000000000002</v>
      </c>
      <c r="H59" s="13">
        <f t="shared" si="36"/>
        <v>1419.0000000000002</v>
      </c>
      <c r="I59" s="13">
        <f t="shared" si="36"/>
        <v>1419.0000000000002</v>
      </c>
      <c r="J59" s="13">
        <f t="shared" si="36"/>
        <v>1419.0000000000002</v>
      </c>
      <c r="K59" s="13">
        <f t="shared" si="36"/>
        <v>1419.0000000000002</v>
      </c>
      <c r="L59" s="13">
        <f t="shared" si="36"/>
        <v>1419.0000000000002</v>
      </c>
      <c r="M59" s="13">
        <f t="shared" si="36"/>
        <v>1419.0000000000002</v>
      </c>
      <c r="N59" s="13">
        <f t="shared" si="36"/>
        <v>1419.0000000000002</v>
      </c>
      <c r="O59" s="13">
        <f t="shared" si="36"/>
        <v>1419.0000000000002</v>
      </c>
      <c r="P59" s="13">
        <f t="shared" si="36"/>
        <v>1419.0000000000002</v>
      </c>
      <c r="Q59" s="13">
        <f t="shared" si="36"/>
        <v>1419.0000000000002</v>
      </c>
    </row>
    <row r="60" spans="1:17" x14ac:dyDescent="0.25">
      <c r="A60" s="10" t="s">
        <v>30</v>
      </c>
      <c r="B60" s="13">
        <f>-B50</f>
        <v>0</v>
      </c>
      <c r="C60" s="13">
        <f>B60-C50</f>
        <v>0</v>
      </c>
      <c r="D60" s="13">
        <f t="shared" ref="D60:Q60" si="37">C60-D50</f>
        <v>0</v>
      </c>
      <c r="E60" s="13">
        <f t="shared" si="37"/>
        <v>0</v>
      </c>
      <c r="F60" s="13">
        <f t="shared" si="37"/>
        <v>0</v>
      </c>
      <c r="G60" s="13">
        <f t="shared" si="37"/>
        <v>0</v>
      </c>
      <c r="H60" s="13">
        <f t="shared" si="37"/>
        <v>0</v>
      </c>
      <c r="I60" s="13">
        <f t="shared" si="37"/>
        <v>0</v>
      </c>
      <c r="J60" s="13">
        <f t="shared" si="37"/>
        <v>0</v>
      </c>
      <c r="K60" s="13">
        <f t="shared" si="37"/>
        <v>0</v>
      </c>
      <c r="L60" s="13">
        <f t="shared" si="37"/>
        <v>0</v>
      </c>
      <c r="M60" s="13">
        <f t="shared" si="37"/>
        <v>0</v>
      </c>
      <c r="N60" s="13">
        <f t="shared" si="37"/>
        <v>0</v>
      </c>
      <c r="O60" s="13">
        <f t="shared" si="37"/>
        <v>0</v>
      </c>
      <c r="P60" s="13">
        <f t="shared" si="37"/>
        <v>0</v>
      </c>
      <c r="Q60" s="13">
        <f t="shared" si="37"/>
        <v>0</v>
      </c>
    </row>
    <row r="61" spans="1:17" x14ac:dyDescent="0.25">
      <c r="A61" s="10" t="s">
        <v>32</v>
      </c>
      <c r="B61" s="13">
        <f>B52</f>
        <v>10</v>
      </c>
      <c r="C61" s="13">
        <f>C52</f>
        <v>21.724879306531562</v>
      </c>
      <c r="D61" s="13">
        <f t="shared" ref="D61:Q61" si="38">D52</f>
        <v>10.799426140089345</v>
      </c>
      <c r="E61" s="13">
        <f t="shared" si="38"/>
        <v>9.8277003153249893</v>
      </c>
      <c r="F61" s="13">
        <f t="shared" si="38"/>
        <v>8.8073881993224319</v>
      </c>
      <c r="G61" s="13">
        <f t="shared" si="38"/>
        <v>7.736060477519743</v>
      </c>
      <c r="H61" s="13">
        <f t="shared" si="38"/>
        <v>6.6111663696269147</v>
      </c>
      <c r="I61" s="13">
        <f t="shared" si="38"/>
        <v>5.4300275563394678</v>
      </c>
      <c r="J61" s="13">
        <f t="shared" si="38"/>
        <v>4.18983180238763</v>
      </c>
      <c r="K61" s="13">
        <f t="shared" si="38"/>
        <v>2.8876262607381875</v>
      </c>
      <c r="L61" s="13">
        <f t="shared" si="38"/>
        <v>1.5203104420063056</v>
      </c>
      <c r="M61" s="13">
        <f t="shared" si="38"/>
        <v>8.4628832337799054E-2</v>
      </c>
      <c r="N61" s="13">
        <f t="shared" si="38"/>
        <v>-1.4228368578141044</v>
      </c>
      <c r="O61" s="13">
        <f t="shared" si="38"/>
        <v>-3.0056758324736421</v>
      </c>
      <c r="P61" s="13">
        <f t="shared" si="38"/>
        <v>-4.6676567558661191</v>
      </c>
      <c r="Q61" s="13">
        <f t="shared" si="38"/>
        <v>-6.4127367254282461</v>
      </c>
    </row>
    <row r="62" spans="1:17" x14ac:dyDescent="0.25">
      <c r="A62" s="8" t="s">
        <v>34</v>
      </c>
      <c r="B62" s="21">
        <f>SUM(B58:B61)</f>
        <v>1729.0000000000002</v>
      </c>
      <c r="C62" s="21">
        <f>SUM(C58:C61)</f>
        <v>1731.1248793065317</v>
      </c>
      <c r="D62" s="21">
        <f t="shared" ref="D62:Q62" si="39">SUM(D58:D61)</f>
        <v>1710.5994261400895</v>
      </c>
      <c r="E62" s="21">
        <f t="shared" si="39"/>
        <v>1700.0277003153253</v>
      </c>
      <c r="F62" s="21">
        <f t="shared" si="39"/>
        <v>1689.4073881993227</v>
      </c>
      <c r="G62" s="21">
        <f t="shared" si="39"/>
        <v>1678.7360604775199</v>
      </c>
      <c r="H62" s="21">
        <f t="shared" si="39"/>
        <v>1668.0111663696271</v>
      </c>
      <c r="I62" s="21">
        <f t="shared" si="39"/>
        <v>1657.2300275563396</v>
      </c>
      <c r="J62" s="21">
        <f t="shared" si="39"/>
        <v>1646.389831802388</v>
      </c>
      <c r="K62" s="21">
        <f t="shared" si="39"/>
        <v>1635.4876262607384</v>
      </c>
      <c r="L62" s="21">
        <f t="shared" si="39"/>
        <v>1624.5203104420066</v>
      </c>
      <c r="M62" s="21">
        <f t="shared" si="39"/>
        <v>1613.4846288323379</v>
      </c>
      <c r="N62" s="21">
        <f t="shared" si="39"/>
        <v>1602.377163142186</v>
      </c>
      <c r="O62" s="21">
        <f t="shared" si="39"/>
        <v>1591.1943241675267</v>
      </c>
      <c r="P62" s="21">
        <f t="shared" si="39"/>
        <v>1579.932343244134</v>
      </c>
      <c r="Q62" s="21">
        <f t="shared" si="39"/>
        <v>1568.587263274572</v>
      </c>
    </row>
    <row r="63" spans="1:17" x14ac:dyDescent="0.25">
      <c r="A63" s="10" t="s">
        <v>65</v>
      </c>
      <c r="B63" s="13">
        <f>B62-B55-B56</f>
        <v>0</v>
      </c>
      <c r="C63" s="13">
        <f>C62-C55-C56</f>
        <v>0</v>
      </c>
      <c r="D63" s="13">
        <f t="shared" ref="D63:Q63" si="40">D62-D55-D56</f>
        <v>0</v>
      </c>
      <c r="E63" s="13">
        <f t="shared" si="40"/>
        <v>0</v>
      </c>
      <c r="F63" s="13">
        <f t="shared" si="40"/>
        <v>0</v>
      </c>
      <c r="G63" s="13">
        <f t="shared" si="40"/>
        <v>0</v>
      </c>
      <c r="H63" s="13">
        <f t="shared" si="40"/>
        <v>0</v>
      </c>
      <c r="I63" s="13">
        <f t="shared" si="40"/>
        <v>0</v>
      </c>
      <c r="J63" s="13">
        <f t="shared" si="40"/>
        <v>0</v>
      </c>
      <c r="K63" s="13">
        <f t="shared" si="40"/>
        <v>0</v>
      </c>
      <c r="L63" s="13">
        <f t="shared" si="40"/>
        <v>5.6843418860808015E-13</v>
      </c>
      <c r="M63" s="13">
        <f t="shared" si="40"/>
        <v>4.5474735088646412E-13</v>
      </c>
      <c r="N63" s="13">
        <f t="shared" si="40"/>
        <v>5.6843418860808015E-13</v>
      </c>
      <c r="O63" s="13">
        <f t="shared" si="40"/>
        <v>6.8212102632969618E-13</v>
      </c>
      <c r="P63" s="13">
        <f t="shared" si="40"/>
        <v>4.5474735088646412E-13</v>
      </c>
      <c r="Q63" s="13">
        <f t="shared" si="40"/>
        <v>5.5422333389287814E-13</v>
      </c>
    </row>
    <row r="64" spans="1:17" x14ac:dyDescent="0.25">
      <c r="A64" t="str">
        <f>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  <c r="C64" s="36"/>
      <c r="D64" s="36"/>
      <c r="E64" s="36"/>
      <c r="F64" s="36"/>
      <c r="G64" s="36"/>
      <c r="H64" s="36"/>
      <c r="I64" s="36"/>
      <c r="J64" s="36"/>
      <c r="K64" s="36"/>
      <c r="L64" s="36"/>
      <c r="M64" s="36"/>
      <c r="N64" s="36"/>
      <c r="O64" s="36"/>
      <c r="P64" s="36"/>
      <c r="Q64" s="36"/>
    </row>
    <row r="65" spans="1:17" x14ac:dyDescent="0.25">
      <c r="A65" s="10"/>
      <c r="B65" s="10"/>
      <c r="C65" s="23" t="str">
        <f>C54</f>
        <v>A1</v>
      </c>
      <c r="D65" s="23" t="str">
        <f t="shared" ref="D65:Q65" si="41">D54</f>
        <v>A2</v>
      </c>
      <c r="E65" s="23" t="str">
        <f t="shared" si="41"/>
        <v>A3</v>
      </c>
      <c r="F65" s="23" t="str">
        <f t="shared" si="41"/>
        <v>A4</v>
      </c>
      <c r="G65" s="23" t="str">
        <f t="shared" si="41"/>
        <v>A5</v>
      </c>
      <c r="H65" s="23" t="str">
        <f t="shared" si="41"/>
        <v>A6</v>
      </c>
      <c r="I65" s="23" t="str">
        <f t="shared" si="41"/>
        <v>A7</v>
      </c>
      <c r="J65" s="23" t="str">
        <f t="shared" si="41"/>
        <v>A8</v>
      </c>
      <c r="K65" s="23" t="str">
        <f t="shared" si="41"/>
        <v>A9</v>
      </c>
      <c r="L65" s="23" t="str">
        <f t="shared" si="41"/>
        <v>A10</v>
      </c>
      <c r="M65" s="23" t="str">
        <f t="shared" si="41"/>
        <v>A11</v>
      </c>
      <c r="N65" s="23" t="str">
        <f t="shared" si="41"/>
        <v>A12</v>
      </c>
      <c r="O65" s="23" t="str">
        <f t="shared" si="41"/>
        <v>A13</v>
      </c>
      <c r="P65" s="23" t="str">
        <f t="shared" si="41"/>
        <v>A14</v>
      </c>
      <c r="Q65" s="23" t="str">
        <f t="shared" si="41"/>
        <v>A15</v>
      </c>
    </row>
    <row r="66" spans="1:17" x14ac:dyDescent="0.25">
      <c r="A66" s="10" t="s">
        <v>66</v>
      </c>
      <c r="B66" s="10">
        <f>-B46</f>
        <v>-518.70000000000005</v>
      </c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</row>
    <row r="67" spans="1:17" x14ac:dyDescent="0.25">
      <c r="A67" s="10" t="s">
        <v>67</v>
      </c>
      <c r="B67" s="10"/>
      <c r="C67" s="10"/>
      <c r="D67" s="13">
        <f>-D46</f>
        <v>21.724879306531562</v>
      </c>
      <c r="E67" s="13">
        <f t="shared" ref="E67:Q67" si="42">-E46</f>
        <v>10.799426140089345</v>
      </c>
      <c r="F67" s="13">
        <f t="shared" si="42"/>
        <v>9.8277003153249893</v>
      </c>
      <c r="G67" s="13">
        <f t="shared" si="42"/>
        <v>8.8073881993224319</v>
      </c>
      <c r="H67" s="13">
        <f t="shared" si="42"/>
        <v>7.736060477519743</v>
      </c>
      <c r="I67" s="13">
        <f t="shared" si="42"/>
        <v>6.6111663696269147</v>
      </c>
      <c r="J67" s="13">
        <f t="shared" si="42"/>
        <v>5.4300275563394678</v>
      </c>
      <c r="K67" s="13">
        <f t="shared" si="42"/>
        <v>4.18983180238763</v>
      </c>
      <c r="L67" s="13">
        <f t="shared" si="42"/>
        <v>2.8876262607381875</v>
      </c>
      <c r="M67" s="13">
        <f t="shared" si="42"/>
        <v>1.5203104420063056</v>
      </c>
      <c r="N67" s="13">
        <f t="shared" si="42"/>
        <v>8.4628832337799054E-2</v>
      </c>
      <c r="O67" s="13">
        <f t="shared" si="42"/>
        <v>-1.4228368578141044</v>
      </c>
      <c r="P67" s="13">
        <f t="shared" si="42"/>
        <v>-3.0056758324736421</v>
      </c>
      <c r="Q67" s="13">
        <f t="shared" si="42"/>
        <v>-4.6676567558661191</v>
      </c>
    </row>
    <row r="68" spans="1:17" x14ac:dyDescent="0.25">
      <c r="A68" s="10" t="s">
        <v>68</v>
      </c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3">
        <f>F24</f>
        <v>1665.0672632745723</v>
      </c>
    </row>
    <row r="69" spans="1:17" x14ac:dyDescent="0.25">
      <c r="A69" s="10" t="s">
        <v>69</v>
      </c>
      <c r="B69" s="10">
        <f>SUM(B66:B68)</f>
        <v>-518.70000000000005</v>
      </c>
      <c r="C69" s="10">
        <f t="shared" ref="C69:Q69" si="43">SUM(C66:C68)</f>
        <v>0</v>
      </c>
      <c r="D69" s="13">
        <f t="shared" si="43"/>
        <v>21.724879306531562</v>
      </c>
      <c r="E69" s="13">
        <f t="shared" si="43"/>
        <v>10.799426140089345</v>
      </c>
      <c r="F69" s="13">
        <f t="shared" si="43"/>
        <v>9.8277003153249893</v>
      </c>
      <c r="G69" s="13">
        <f t="shared" si="43"/>
        <v>8.8073881993224319</v>
      </c>
      <c r="H69" s="13">
        <f t="shared" si="43"/>
        <v>7.736060477519743</v>
      </c>
      <c r="I69" s="13">
        <f t="shared" si="43"/>
        <v>6.6111663696269147</v>
      </c>
      <c r="J69" s="13">
        <f t="shared" si="43"/>
        <v>5.4300275563394678</v>
      </c>
      <c r="K69" s="13">
        <f t="shared" si="43"/>
        <v>4.18983180238763</v>
      </c>
      <c r="L69" s="13">
        <f t="shared" si="43"/>
        <v>2.8876262607381875</v>
      </c>
      <c r="M69" s="13">
        <f t="shared" si="43"/>
        <v>1.5203104420063056</v>
      </c>
      <c r="N69" s="13">
        <f t="shared" si="43"/>
        <v>8.4628832337799054E-2</v>
      </c>
      <c r="O69" s="13">
        <f t="shared" si="43"/>
        <v>-1.4228368578141044</v>
      </c>
      <c r="P69" s="13">
        <f t="shared" si="43"/>
        <v>-3.0056758324736421</v>
      </c>
      <c r="Q69" s="13">
        <f t="shared" si="43"/>
        <v>1660.3996065187062</v>
      </c>
    </row>
    <row r="70" spans="1:17" x14ac:dyDescent="0.25">
      <c r="A70" s="10" t="s">
        <v>70</v>
      </c>
      <c r="B70" s="37">
        <f>IRR(B69:Q69)</f>
        <v>8.8442189464083221E-2</v>
      </c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</row>
    <row r="71" spans="1:17" x14ac:dyDescent="0.25">
      <c r="A71" t="str">
        <f>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</row>
    <row r="72" spans="1:17" x14ac:dyDescent="0.25">
      <c r="A72" s="38" t="s">
        <v>75</v>
      </c>
      <c r="C72" s="23" t="s">
        <v>2</v>
      </c>
      <c r="D72" s="33" t="s">
        <v>3</v>
      </c>
      <c r="E72" s="33" t="s">
        <v>4</v>
      </c>
      <c r="F72" s="5" t="s">
        <v>5</v>
      </c>
      <c r="G72" s="5" t="s">
        <v>6</v>
      </c>
      <c r="H72" s="5" t="s">
        <v>7</v>
      </c>
      <c r="I72" s="5" t="s">
        <v>8</v>
      </c>
      <c r="J72" s="5" t="s">
        <v>9</v>
      </c>
      <c r="K72" s="5" t="s">
        <v>10</v>
      </c>
      <c r="L72" s="5" t="s">
        <v>11</v>
      </c>
      <c r="M72" s="5" t="s">
        <v>56</v>
      </c>
      <c r="N72" s="5" t="s">
        <v>57</v>
      </c>
      <c r="O72" s="5" t="s">
        <v>58</v>
      </c>
      <c r="P72" s="5" t="s">
        <v>59</v>
      </c>
      <c r="Q72" s="5" t="s">
        <v>60</v>
      </c>
    </row>
    <row r="73" spans="1:17" x14ac:dyDescent="0.25">
      <c r="A73" s="8" t="s">
        <v>15</v>
      </c>
      <c r="B73" s="10"/>
      <c r="C73" s="10">
        <f t="shared" ref="C73:C82" si="44">C5</f>
        <v>1500</v>
      </c>
      <c r="D73" s="10">
        <f>C73</f>
        <v>1500</v>
      </c>
      <c r="E73" s="10">
        <f t="shared" ref="E73:Q73" si="45">D73</f>
        <v>1500</v>
      </c>
      <c r="F73" s="10">
        <f t="shared" si="45"/>
        <v>1500</v>
      </c>
      <c r="G73" s="10">
        <f t="shared" si="45"/>
        <v>1500</v>
      </c>
      <c r="H73" s="10">
        <f t="shared" si="45"/>
        <v>1500</v>
      </c>
      <c r="I73" s="10">
        <f t="shared" si="45"/>
        <v>1500</v>
      </c>
      <c r="J73" s="10">
        <f t="shared" si="45"/>
        <v>1500</v>
      </c>
      <c r="K73" s="10">
        <f t="shared" si="45"/>
        <v>1500</v>
      </c>
      <c r="L73" s="10">
        <f t="shared" si="45"/>
        <v>1500</v>
      </c>
      <c r="M73" s="10">
        <f t="shared" si="45"/>
        <v>1500</v>
      </c>
      <c r="N73" s="10">
        <f t="shared" si="45"/>
        <v>1500</v>
      </c>
      <c r="O73" s="10">
        <f t="shared" si="45"/>
        <v>1500</v>
      </c>
      <c r="P73" s="10">
        <f t="shared" si="45"/>
        <v>1500</v>
      </c>
      <c r="Q73" s="10">
        <f t="shared" si="45"/>
        <v>1500</v>
      </c>
    </row>
    <row r="74" spans="1:17" x14ac:dyDescent="0.25">
      <c r="A74" s="10" t="s">
        <v>61</v>
      </c>
      <c r="B74" s="13"/>
      <c r="C74" s="10">
        <f t="shared" si="44"/>
        <v>420.00000000000006</v>
      </c>
      <c r="D74" s="10">
        <f t="shared" ref="D74:Q82" si="46">C74</f>
        <v>420.00000000000006</v>
      </c>
      <c r="E74" s="10">
        <f t="shared" si="46"/>
        <v>420.00000000000006</v>
      </c>
      <c r="F74" s="10">
        <f t="shared" si="46"/>
        <v>420.00000000000006</v>
      </c>
      <c r="G74" s="10">
        <f t="shared" si="46"/>
        <v>420.00000000000006</v>
      </c>
      <c r="H74" s="10">
        <f t="shared" si="46"/>
        <v>420.00000000000006</v>
      </c>
      <c r="I74" s="10">
        <f t="shared" si="46"/>
        <v>420.00000000000006</v>
      </c>
      <c r="J74" s="10">
        <f t="shared" si="46"/>
        <v>420.00000000000006</v>
      </c>
      <c r="K74" s="10">
        <f t="shared" si="46"/>
        <v>420.00000000000006</v>
      </c>
      <c r="L74" s="10">
        <f t="shared" si="46"/>
        <v>420.00000000000006</v>
      </c>
      <c r="M74" s="10">
        <f t="shared" si="46"/>
        <v>420.00000000000006</v>
      </c>
      <c r="N74" s="10">
        <f t="shared" si="46"/>
        <v>420.00000000000006</v>
      </c>
      <c r="O74" s="10">
        <f t="shared" si="46"/>
        <v>420.00000000000006</v>
      </c>
      <c r="P74" s="10">
        <f t="shared" si="46"/>
        <v>420.00000000000006</v>
      </c>
      <c r="Q74" s="10">
        <f t="shared" si="46"/>
        <v>420.00000000000006</v>
      </c>
    </row>
    <row r="75" spans="1:17" x14ac:dyDescent="0.25">
      <c r="A75" s="10" t="s">
        <v>21</v>
      </c>
      <c r="B75" s="13"/>
      <c r="C75" s="10">
        <f t="shared" si="44"/>
        <v>260</v>
      </c>
      <c r="D75" s="10">
        <f t="shared" si="46"/>
        <v>260</v>
      </c>
      <c r="E75" s="10">
        <f t="shared" si="46"/>
        <v>260</v>
      </c>
      <c r="F75" s="10">
        <f t="shared" si="46"/>
        <v>260</v>
      </c>
      <c r="G75" s="10">
        <f t="shared" si="46"/>
        <v>260</v>
      </c>
      <c r="H75" s="10">
        <f t="shared" si="46"/>
        <v>260</v>
      </c>
      <c r="I75" s="10">
        <f t="shared" si="46"/>
        <v>260</v>
      </c>
      <c r="J75" s="10">
        <f t="shared" si="46"/>
        <v>260</v>
      </c>
      <c r="K75" s="10">
        <f t="shared" si="46"/>
        <v>260</v>
      </c>
      <c r="L75" s="10">
        <f t="shared" si="46"/>
        <v>260</v>
      </c>
      <c r="M75" s="10">
        <f t="shared" si="46"/>
        <v>260</v>
      </c>
      <c r="N75" s="10">
        <f t="shared" si="46"/>
        <v>260</v>
      </c>
      <c r="O75" s="10">
        <f t="shared" si="46"/>
        <v>260</v>
      </c>
      <c r="P75" s="10">
        <f t="shared" si="46"/>
        <v>260</v>
      </c>
      <c r="Q75" s="10">
        <f t="shared" si="46"/>
        <v>260</v>
      </c>
    </row>
    <row r="76" spans="1:17" x14ac:dyDescent="0.25">
      <c r="A76" s="10" t="s">
        <v>23</v>
      </c>
      <c r="B76" s="10"/>
      <c r="C76" s="10">
        <f t="shared" si="44"/>
        <v>24</v>
      </c>
      <c r="D76" s="10">
        <f t="shared" si="46"/>
        <v>24</v>
      </c>
      <c r="E76" s="10">
        <f t="shared" si="46"/>
        <v>24</v>
      </c>
      <c r="F76" s="10">
        <f t="shared" si="46"/>
        <v>24</v>
      </c>
      <c r="G76" s="10">
        <f t="shared" si="46"/>
        <v>24</v>
      </c>
      <c r="H76" s="10">
        <f t="shared" si="46"/>
        <v>24</v>
      </c>
      <c r="I76" s="10">
        <f t="shared" si="46"/>
        <v>24</v>
      </c>
      <c r="J76" s="10">
        <f t="shared" si="46"/>
        <v>24</v>
      </c>
      <c r="K76" s="10">
        <f t="shared" si="46"/>
        <v>24</v>
      </c>
      <c r="L76" s="10">
        <f t="shared" si="46"/>
        <v>24</v>
      </c>
      <c r="M76" s="10">
        <f t="shared" si="46"/>
        <v>24</v>
      </c>
      <c r="N76" s="10">
        <f t="shared" si="46"/>
        <v>24</v>
      </c>
      <c r="O76" s="10">
        <f t="shared" si="46"/>
        <v>24</v>
      </c>
      <c r="P76" s="10">
        <f t="shared" si="46"/>
        <v>24</v>
      </c>
      <c r="Q76" s="10">
        <f t="shared" si="46"/>
        <v>24</v>
      </c>
    </row>
    <row r="77" spans="1:17" x14ac:dyDescent="0.25">
      <c r="A77" s="10" t="s">
        <v>26</v>
      </c>
      <c r="B77" s="10"/>
      <c r="C77" s="16">
        <f t="shared" si="44"/>
        <v>1.6E-2</v>
      </c>
      <c r="D77" s="16">
        <f t="shared" si="46"/>
        <v>1.6E-2</v>
      </c>
      <c r="E77" s="16">
        <f t="shared" si="46"/>
        <v>1.6E-2</v>
      </c>
      <c r="F77" s="16">
        <f t="shared" si="46"/>
        <v>1.6E-2</v>
      </c>
      <c r="G77" s="16">
        <f t="shared" si="46"/>
        <v>1.6E-2</v>
      </c>
      <c r="H77" s="16">
        <f t="shared" si="46"/>
        <v>1.6E-2</v>
      </c>
      <c r="I77" s="16">
        <f t="shared" si="46"/>
        <v>1.6E-2</v>
      </c>
      <c r="J77" s="16">
        <f t="shared" si="46"/>
        <v>1.6E-2</v>
      </c>
      <c r="K77" s="16">
        <f t="shared" si="46"/>
        <v>1.6E-2</v>
      </c>
      <c r="L77" s="16">
        <f t="shared" si="46"/>
        <v>1.6E-2</v>
      </c>
      <c r="M77" s="16">
        <f t="shared" si="46"/>
        <v>1.6E-2</v>
      </c>
      <c r="N77" s="16">
        <f t="shared" si="46"/>
        <v>1.6E-2</v>
      </c>
      <c r="O77" s="16">
        <f t="shared" si="46"/>
        <v>1.6E-2</v>
      </c>
      <c r="P77" s="16">
        <f t="shared" si="46"/>
        <v>1.6E-2</v>
      </c>
      <c r="Q77" s="16">
        <f t="shared" si="46"/>
        <v>1.6E-2</v>
      </c>
    </row>
    <row r="78" spans="1:17" x14ac:dyDescent="0.25">
      <c r="A78" s="17" t="s">
        <v>29</v>
      </c>
      <c r="B78" s="10"/>
      <c r="C78" s="10">
        <f t="shared" si="44"/>
        <v>0</v>
      </c>
      <c r="D78" s="10">
        <f t="shared" si="46"/>
        <v>0</v>
      </c>
      <c r="E78" s="10">
        <f t="shared" si="46"/>
        <v>0</v>
      </c>
      <c r="F78" s="10">
        <f t="shared" si="46"/>
        <v>0</v>
      </c>
      <c r="G78" s="10">
        <f t="shared" si="46"/>
        <v>0</v>
      </c>
      <c r="H78" s="10">
        <f t="shared" si="46"/>
        <v>0</v>
      </c>
      <c r="I78" s="10">
        <f t="shared" si="46"/>
        <v>0</v>
      </c>
      <c r="J78" s="10">
        <f t="shared" si="46"/>
        <v>0</v>
      </c>
      <c r="K78" s="10">
        <f t="shared" si="46"/>
        <v>0</v>
      </c>
      <c r="L78" s="10">
        <f t="shared" si="46"/>
        <v>0</v>
      </c>
      <c r="M78" s="10">
        <f t="shared" si="46"/>
        <v>0</v>
      </c>
      <c r="N78" s="10">
        <f t="shared" si="46"/>
        <v>0</v>
      </c>
      <c r="O78" s="10">
        <f t="shared" si="46"/>
        <v>0</v>
      </c>
      <c r="P78" s="10">
        <f t="shared" si="46"/>
        <v>0</v>
      </c>
      <c r="Q78" s="10">
        <f t="shared" si="46"/>
        <v>0</v>
      </c>
    </row>
    <row r="79" spans="1:17" x14ac:dyDescent="0.25">
      <c r="A79" s="8" t="s">
        <v>31</v>
      </c>
      <c r="B79" s="10"/>
      <c r="C79" s="10">
        <f t="shared" si="44"/>
        <v>136.00000000000006</v>
      </c>
      <c r="D79" s="10">
        <f t="shared" si="46"/>
        <v>136.00000000000006</v>
      </c>
      <c r="E79" s="10">
        <f t="shared" si="46"/>
        <v>136.00000000000006</v>
      </c>
      <c r="F79" s="10">
        <f t="shared" si="46"/>
        <v>136.00000000000006</v>
      </c>
      <c r="G79" s="10">
        <f t="shared" si="46"/>
        <v>136.00000000000006</v>
      </c>
      <c r="H79" s="10">
        <f t="shared" si="46"/>
        <v>136.00000000000006</v>
      </c>
      <c r="I79" s="10">
        <f t="shared" si="46"/>
        <v>136.00000000000006</v>
      </c>
      <c r="J79" s="10">
        <f t="shared" si="46"/>
        <v>136.00000000000006</v>
      </c>
      <c r="K79" s="10">
        <f t="shared" si="46"/>
        <v>136.00000000000006</v>
      </c>
      <c r="L79" s="10">
        <f t="shared" si="46"/>
        <v>136.00000000000006</v>
      </c>
      <c r="M79" s="10">
        <f t="shared" si="46"/>
        <v>136.00000000000006</v>
      </c>
      <c r="N79" s="10">
        <f t="shared" si="46"/>
        <v>136.00000000000006</v>
      </c>
      <c r="O79" s="10">
        <f t="shared" si="46"/>
        <v>136.00000000000006</v>
      </c>
      <c r="P79" s="10">
        <f t="shared" si="46"/>
        <v>136.00000000000006</v>
      </c>
      <c r="Q79" s="10">
        <f t="shared" si="46"/>
        <v>136.00000000000006</v>
      </c>
    </row>
    <row r="80" spans="1:17" x14ac:dyDescent="0.25">
      <c r="A80" s="10" t="s">
        <v>33</v>
      </c>
      <c r="B80" s="10"/>
      <c r="C80" s="20">
        <f t="shared" si="44"/>
        <v>9.0666666666666701E-2</v>
      </c>
      <c r="D80" s="20">
        <f t="shared" si="46"/>
        <v>9.0666666666666701E-2</v>
      </c>
      <c r="E80" s="20">
        <f t="shared" si="46"/>
        <v>9.0666666666666701E-2</v>
      </c>
      <c r="F80" s="20">
        <f t="shared" si="46"/>
        <v>9.0666666666666701E-2</v>
      </c>
      <c r="G80" s="20">
        <f t="shared" si="46"/>
        <v>9.0666666666666701E-2</v>
      </c>
      <c r="H80" s="20">
        <f t="shared" si="46"/>
        <v>9.0666666666666701E-2</v>
      </c>
      <c r="I80" s="20">
        <f t="shared" si="46"/>
        <v>9.0666666666666701E-2</v>
      </c>
      <c r="J80" s="20">
        <f t="shared" si="46"/>
        <v>9.0666666666666701E-2</v>
      </c>
      <c r="K80" s="20">
        <f t="shared" si="46"/>
        <v>9.0666666666666701E-2</v>
      </c>
      <c r="L80" s="20">
        <f t="shared" si="46"/>
        <v>9.0666666666666701E-2</v>
      </c>
      <c r="M80" s="20">
        <f t="shared" si="46"/>
        <v>9.0666666666666701E-2</v>
      </c>
      <c r="N80" s="20">
        <f t="shared" si="46"/>
        <v>9.0666666666666701E-2</v>
      </c>
      <c r="O80" s="20">
        <f t="shared" si="46"/>
        <v>9.0666666666666701E-2</v>
      </c>
      <c r="P80" s="20">
        <f t="shared" si="46"/>
        <v>9.0666666666666701E-2</v>
      </c>
      <c r="Q80" s="20">
        <f t="shared" si="46"/>
        <v>9.0666666666666701E-2</v>
      </c>
    </row>
    <row r="81" spans="1:17" x14ac:dyDescent="0.25">
      <c r="A81" s="12" t="s">
        <v>36</v>
      </c>
      <c r="B81" s="10"/>
      <c r="C81" s="10">
        <f t="shared" si="44"/>
        <v>0</v>
      </c>
      <c r="D81" s="10">
        <f t="shared" si="46"/>
        <v>0</v>
      </c>
      <c r="E81" s="10">
        <f t="shared" si="46"/>
        <v>0</v>
      </c>
      <c r="F81" s="10">
        <f t="shared" si="46"/>
        <v>0</v>
      </c>
      <c r="G81" s="10">
        <f t="shared" si="46"/>
        <v>0</v>
      </c>
      <c r="H81" s="10">
        <f t="shared" si="46"/>
        <v>0</v>
      </c>
      <c r="I81" s="10">
        <f t="shared" si="46"/>
        <v>0</v>
      </c>
      <c r="J81" s="10">
        <f t="shared" si="46"/>
        <v>0</v>
      </c>
      <c r="K81" s="10">
        <f t="shared" si="46"/>
        <v>0</v>
      </c>
      <c r="L81" s="10">
        <f t="shared" si="46"/>
        <v>0</v>
      </c>
      <c r="M81" s="10">
        <f t="shared" si="46"/>
        <v>0</v>
      </c>
      <c r="N81" s="10">
        <f t="shared" si="46"/>
        <v>0</v>
      </c>
      <c r="O81" s="10">
        <f t="shared" si="46"/>
        <v>0</v>
      </c>
      <c r="P81" s="10">
        <f t="shared" si="46"/>
        <v>0</v>
      </c>
      <c r="Q81" s="10">
        <f t="shared" si="46"/>
        <v>0</v>
      </c>
    </row>
    <row r="82" spans="1:17" x14ac:dyDescent="0.25">
      <c r="A82" s="9" t="s">
        <v>39</v>
      </c>
      <c r="B82" s="10"/>
      <c r="C82" s="10">
        <f t="shared" si="44"/>
        <v>136.00000000000006</v>
      </c>
      <c r="D82" s="10">
        <f t="shared" si="46"/>
        <v>136.00000000000006</v>
      </c>
      <c r="E82" s="10">
        <f t="shared" si="46"/>
        <v>136.00000000000006</v>
      </c>
      <c r="F82" s="10">
        <f t="shared" si="46"/>
        <v>136.00000000000006</v>
      </c>
      <c r="G82" s="10">
        <f t="shared" si="46"/>
        <v>136.00000000000006</v>
      </c>
      <c r="H82" s="10">
        <f t="shared" si="46"/>
        <v>136.00000000000006</v>
      </c>
      <c r="I82" s="10">
        <f t="shared" si="46"/>
        <v>136.00000000000006</v>
      </c>
      <c r="J82" s="10">
        <f t="shared" si="46"/>
        <v>136.00000000000006</v>
      </c>
      <c r="K82" s="10">
        <f t="shared" si="46"/>
        <v>136.00000000000006</v>
      </c>
      <c r="L82" s="10">
        <f t="shared" si="46"/>
        <v>136.00000000000006</v>
      </c>
      <c r="M82" s="10">
        <f t="shared" si="46"/>
        <v>136.00000000000006</v>
      </c>
      <c r="N82" s="10">
        <f t="shared" si="46"/>
        <v>136.00000000000006</v>
      </c>
      <c r="O82" s="10">
        <f t="shared" si="46"/>
        <v>136.00000000000006</v>
      </c>
      <c r="P82" s="10">
        <f t="shared" si="46"/>
        <v>136.00000000000006</v>
      </c>
      <c r="Q82" s="10">
        <f t="shared" si="46"/>
        <v>136.00000000000006</v>
      </c>
    </row>
    <row r="83" spans="1:17" x14ac:dyDescent="0.25">
      <c r="A83" s="12" t="s">
        <v>62</v>
      </c>
      <c r="B83" s="34">
        <f>B23</f>
        <v>0.05</v>
      </c>
      <c r="C83" s="13">
        <f>-$B$83*(B100)</f>
        <v>-50.015000000000015</v>
      </c>
      <c r="D83" s="13">
        <f t="shared" ref="D83:Q83" si="47">-$B$83*(C100)</f>
        <v>-47.697190485223651</v>
      </c>
      <c r="E83" s="13">
        <f t="shared" si="47"/>
        <v>-45.263490494708478</v>
      </c>
      <c r="F83" s="13">
        <f t="shared" si="47"/>
        <v>-42.708105504667543</v>
      </c>
      <c r="G83" s="13">
        <f t="shared" si="47"/>
        <v>-40.024951265124557</v>
      </c>
      <c r="H83" s="13">
        <f t="shared" si="47"/>
        <v>-37.207639313604425</v>
      </c>
      <c r="I83" s="13">
        <f t="shared" si="47"/>
        <v>-34.249461764508283</v>
      </c>
      <c r="J83" s="13">
        <f t="shared" si="47"/>
        <v>-31.143375337957337</v>
      </c>
      <c r="K83" s="13">
        <f t="shared" si="47"/>
        <v>-27.881984590078844</v>
      </c>
      <c r="L83" s="13">
        <f t="shared" si="47"/>
        <v>-24.457524304806427</v>
      </c>
      <c r="M83" s="13">
        <f t="shared" si="47"/>
        <v>-20.861841005270392</v>
      </c>
      <c r="N83" s="13">
        <f t="shared" si="47"/>
        <v>-17.086373540757553</v>
      </c>
      <c r="O83" s="13">
        <f t="shared" si="47"/>
        <v>-13.122132703019071</v>
      </c>
      <c r="P83" s="13">
        <f t="shared" si="47"/>
        <v>-8.9596798233936656</v>
      </c>
      <c r="Q83" s="13">
        <f t="shared" si="47"/>
        <v>-4.5891042997869906</v>
      </c>
    </row>
    <row r="84" spans="1:17" x14ac:dyDescent="0.25">
      <c r="A84" s="9" t="s">
        <v>20</v>
      </c>
      <c r="B84" s="10"/>
      <c r="C84" s="13">
        <f>C82+C83</f>
        <v>85.985000000000042</v>
      </c>
      <c r="D84" s="13">
        <f t="shared" ref="D84:Q84" si="48">D82+D83</f>
        <v>88.302809514776413</v>
      </c>
      <c r="E84" s="13">
        <f t="shared" si="48"/>
        <v>90.736509505291579</v>
      </c>
      <c r="F84" s="13">
        <f t="shared" si="48"/>
        <v>93.291894495332514</v>
      </c>
      <c r="G84" s="13">
        <f t="shared" si="48"/>
        <v>95.9750487348755</v>
      </c>
      <c r="H84" s="13">
        <f t="shared" si="48"/>
        <v>98.792360686395625</v>
      </c>
      <c r="I84" s="13">
        <f t="shared" si="48"/>
        <v>101.75053823549177</v>
      </c>
      <c r="J84" s="13">
        <f t="shared" si="48"/>
        <v>104.85662466204272</v>
      </c>
      <c r="K84" s="13">
        <f t="shared" si="48"/>
        <v>108.11801540992121</v>
      </c>
      <c r="L84" s="13">
        <f t="shared" si="48"/>
        <v>111.54247569519363</v>
      </c>
      <c r="M84" s="13">
        <f t="shared" si="48"/>
        <v>115.13815899472966</v>
      </c>
      <c r="N84" s="13">
        <f t="shared" si="48"/>
        <v>118.91362645924251</v>
      </c>
      <c r="O84" s="13">
        <f t="shared" si="48"/>
        <v>122.87786729698098</v>
      </c>
      <c r="P84" s="13">
        <f t="shared" si="48"/>
        <v>127.04032017660639</v>
      </c>
      <c r="Q84" s="13">
        <f t="shared" si="48"/>
        <v>131.41089570021308</v>
      </c>
    </row>
    <row r="85" spans="1:17" x14ac:dyDescent="0.25">
      <c r="A85" s="12" t="s">
        <v>22</v>
      </c>
      <c r="B85" s="35">
        <f>B25</f>
        <v>0.33</v>
      </c>
      <c r="C85" s="13">
        <f t="shared" ref="C85:Q85" si="49">-$B$85*C84</f>
        <v>-28.375050000000016</v>
      </c>
      <c r="D85" s="13">
        <f t="shared" si="49"/>
        <v>-29.139927139876217</v>
      </c>
      <c r="E85" s="13">
        <f t="shared" si="49"/>
        <v>-29.943048136746224</v>
      </c>
      <c r="F85" s="13">
        <f t="shared" si="49"/>
        <v>-30.786325183459731</v>
      </c>
      <c r="G85" s="13">
        <f t="shared" si="49"/>
        <v>-31.671766082508917</v>
      </c>
      <c r="H85" s="13">
        <f t="shared" si="49"/>
        <v>-32.60147902651056</v>
      </c>
      <c r="I85" s="13">
        <f t="shared" si="49"/>
        <v>-33.57767761771229</v>
      </c>
      <c r="J85" s="13">
        <f t="shared" si="49"/>
        <v>-34.602686138474098</v>
      </c>
      <c r="K85" s="13">
        <f t="shared" si="49"/>
        <v>-35.678945085274002</v>
      </c>
      <c r="L85" s="13">
        <f t="shared" si="49"/>
        <v>-36.809016979413897</v>
      </c>
      <c r="M85" s="13">
        <f t="shared" si="49"/>
        <v>-37.995592468260789</v>
      </c>
      <c r="N85" s="13">
        <f t="shared" si="49"/>
        <v>-39.241496731550029</v>
      </c>
      <c r="O85" s="13">
        <f t="shared" si="49"/>
        <v>-40.549696208003724</v>
      </c>
      <c r="P85" s="13">
        <f t="shared" si="49"/>
        <v>-41.923305658280107</v>
      </c>
      <c r="Q85" s="13">
        <f t="shared" si="49"/>
        <v>-43.365595581070316</v>
      </c>
    </row>
    <row r="86" spans="1:17" x14ac:dyDescent="0.25">
      <c r="A86" s="9" t="s">
        <v>25</v>
      </c>
      <c r="B86" s="8"/>
      <c r="C86" s="21">
        <f>C84+C85</f>
        <v>57.609950000000026</v>
      </c>
      <c r="D86" s="21">
        <f t="shared" ref="D86:Q86" si="50">D84+D85</f>
        <v>59.162882374900192</v>
      </c>
      <c r="E86" s="21">
        <f t="shared" si="50"/>
        <v>60.793461368545351</v>
      </c>
      <c r="F86" s="21">
        <f t="shared" si="50"/>
        <v>62.505569311872783</v>
      </c>
      <c r="G86" s="21">
        <f t="shared" si="50"/>
        <v>64.30328265236659</v>
      </c>
      <c r="H86" s="21">
        <f t="shared" si="50"/>
        <v>66.190881659885065</v>
      </c>
      <c r="I86" s="21">
        <f t="shared" si="50"/>
        <v>68.172860617779492</v>
      </c>
      <c r="J86" s="21">
        <f t="shared" si="50"/>
        <v>70.253938523568621</v>
      </c>
      <c r="K86" s="21">
        <f t="shared" si="50"/>
        <v>72.439070324647219</v>
      </c>
      <c r="L86" s="21">
        <f t="shared" si="50"/>
        <v>74.733458715779733</v>
      </c>
      <c r="M86" s="21">
        <f t="shared" si="50"/>
        <v>77.142566526468869</v>
      </c>
      <c r="N86" s="21">
        <f t="shared" si="50"/>
        <v>79.672129727692479</v>
      </c>
      <c r="O86" s="21">
        <f t="shared" si="50"/>
        <v>82.328171088977257</v>
      </c>
      <c r="P86" s="21">
        <f t="shared" si="50"/>
        <v>85.117014518326272</v>
      </c>
      <c r="Q86" s="21">
        <f t="shared" si="50"/>
        <v>88.045300119142752</v>
      </c>
    </row>
    <row r="87" spans="1:17" x14ac:dyDescent="0.25">
      <c r="A87" t="str">
        <f>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</row>
    <row r="88" spans="1:17" x14ac:dyDescent="0.25">
      <c r="B88" s="10"/>
      <c r="C88" s="23" t="str">
        <f>C72</f>
        <v>A1</v>
      </c>
      <c r="D88" s="23" t="str">
        <f t="shared" ref="D88:Q88" si="51">D72</f>
        <v>A2</v>
      </c>
      <c r="E88" s="23" t="str">
        <f t="shared" si="51"/>
        <v>A3</v>
      </c>
      <c r="F88" s="23" t="str">
        <f t="shared" si="51"/>
        <v>A4</v>
      </c>
      <c r="G88" s="23" t="str">
        <f t="shared" si="51"/>
        <v>A5</v>
      </c>
      <c r="H88" s="23" t="str">
        <f t="shared" si="51"/>
        <v>A6</v>
      </c>
      <c r="I88" s="23" t="str">
        <f t="shared" si="51"/>
        <v>A7</v>
      </c>
      <c r="J88" s="23" t="str">
        <f t="shared" si="51"/>
        <v>A8</v>
      </c>
      <c r="K88" s="23" t="str">
        <f t="shared" si="51"/>
        <v>A9</v>
      </c>
      <c r="L88" s="23" t="str">
        <f t="shared" si="51"/>
        <v>A10</v>
      </c>
      <c r="M88" s="23" t="str">
        <f t="shared" si="51"/>
        <v>A11</v>
      </c>
      <c r="N88" s="23" t="str">
        <f t="shared" si="51"/>
        <v>A12</v>
      </c>
      <c r="O88" s="23" t="str">
        <f t="shared" si="51"/>
        <v>A13</v>
      </c>
      <c r="P88" s="23" t="str">
        <f t="shared" si="51"/>
        <v>A14</v>
      </c>
      <c r="Q88" s="23" t="str">
        <f t="shared" si="51"/>
        <v>A15</v>
      </c>
    </row>
    <row r="89" spans="1:17" x14ac:dyDescent="0.25">
      <c r="A89" s="10" t="s">
        <v>28</v>
      </c>
      <c r="B89" s="10"/>
      <c r="C89" s="13">
        <f>C86+C81</f>
        <v>57.609950000000026</v>
      </c>
      <c r="D89" s="13">
        <f>D86+D81</f>
        <v>59.162882374900192</v>
      </c>
      <c r="E89" s="13">
        <f t="shared" ref="E89:Q89" si="52">E86+E81</f>
        <v>60.793461368545351</v>
      </c>
      <c r="F89" s="13">
        <f t="shared" si="52"/>
        <v>62.505569311872783</v>
      </c>
      <c r="G89" s="13">
        <f t="shared" si="52"/>
        <v>64.30328265236659</v>
      </c>
      <c r="H89" s="13">
        <f t="shared" si="52"/>
        <v>66.190881659885065</v>
      </c>
      <c r="I89" s="13">
        <f t="shared" si="52"/>
        <v>68.172860617779492</v>
      </c>
      <c r="J89" s="13">
        <f t="shared" si="52"/>
        <v>70.253938523568621</v>
      </c>
      <c r="K89" s="13">
        <f t="shared" si="52"/>
        <v>72.439070324647219</v>
      </c>
      <c r="L89" s="13">
        <f t="shared" si="52"/>
        <v>74.733458715779733</v>
      </c>
      <c r="M89" s="13">
        <f t="shared" si="52"/>
        <v>77.142566526468869</v>
      </c>
      <c r="N89" s="13">
        <f t="shared" si="52"/>
        <v>79.672129727692479</v>
      </c>
      <c r="O89" s="13">
        <f t="shared" si="52"/>
        <v>82.328171088977257</v>
      </c>
      <c r="P89" s="13">
        <f t="shared" si="52"/>
        <v>85.117014518326272</v>
      </c>
      <c r="Q89" s="13">
        <f t="shared" si="52"/>
        <v>88.045300119142752</v>
      </c>
    </row>
    <row r="90" spans="1:17" x14ac:dyDescent="0.25">
      <c r="A90" s="10" t="s">
        <v>16</v>
      </c>
      <c r="B90" s="13">
        <f>G5</f>
        <v>428.70000000000005</v>
      </c>
      <c r="C90" s="13"/>
      <c r="D90" s="13">
        <f>-C96</f>
        <v>-21.25375970447287</v>
      </c>
      <c r="E90" s="13">
        <f t="shared" ref="E90:Q90" si="53">-D96</f>
        <v>-10.488882564596672</v>
      </c>
      <c r="F90" s="13">
        <f t="shared" si="53"/>
        <v>-9.685761567726658</v>
      </c>
      <c r="G90" s="13">
        <f t="shared" si="53"/>
        <v>-8.8424845210131551</v>
      </c>
      <c r="H90" s="13">
        <f t="shared" si="53"/>
        <v>-7.957043621963976</v>
      </c>
      <c r="I90" s="13">
        <f t="shared" si="53"/>
        <v>-7.0273306779623184</v>
      </c>
      <c r="J90" s="13">
        <f t="shared" si="53"/>
        <v>-6.0511320867606031</v>
      </c>
      <c r="K90" s="13">
        <f t="shared" si="53"/>
        <v>-5.0261235659987875</v>
      </c>
      <c r="L90" s="13">
        <f t="shared" si="53"/>
        <v>-3.9498646191988911</v>
      </c>
      <c r="M90" s="13">
        <f t="shared" si="53"/>
        <v>-2.8197927250589885</v>
      </c>
      <c r="N90" s="13">
        <f t="shared" si="53"/>
        <v>-1.63321723621209</v>
      </c>
      <c r="O90" s="13">
        <f t="shared" si="53"/>
        <v>-0.3873129729228566</v>
      </c>
      <c r="P90" s="13">
        <f t="shared" si="53"/>
        <v>0.92088650353083779</v>
      </c>
      <c r="Q90" s="13">
        <f t="shared" si="53"/>
        <v>2.2944959538072283</v>
      </c>
    </row>
    <row r="91" spans="1:17" x14ac:dyDescent="0.25">
      <c r="A91" s="10" t="s">
        <v>19</v>
      </c>
      <c r="B91" s="13">
        <f>G6</f>
        <v>1000.3000000000002</v>
      </c>
      <c r="C91" s="13">
        <f t="shared" ref="C91:Q91" si="54">-$G$14-C83</f>
        <v>-46.356190295527156</v>
      </c>
      <c r="D91" s="13">
        <f t="shared" si="54"/>
        <v>-48.673999810303521</v>
      </c>
      <c r="E91" s="13">
        <f t="shared" si="54"/>
        <v>-51.107699800818693</v>
      </c>
      <c r="F91" s="13">
        <f t="shared" si="54"/>
        <v>-53.663084790859628</v>
      </c>
      <c r="G91" s="13">
        <f t="shared" si="54"/>
        <v>-56.346239030402614</v>
      </c>
      <c r="H91" s="13">
        <f t="shared" si="54"/>
        <v>-59.163550981922747</v>
      </c>
      <c r="I91" s="13">
        <f t="shared" si="54"/>
        <v>-62.121728531018888</v>
      </c>
      <c r="J91" s="13">
        <f t="shared" si="54"/>
        <v>-65.227814957569834</v>
      </c>
      <c r="K91" s="13">
        <f t="shared" si="54"/>
        <v>-68.489205705448327</v>
      </c>
      <c r="L91" s="13">
        <f t="shared" si="54"/>
        <v>-71.913665990720745</v>
      </c>
      <c r="M91" s="13">
        <f t="shared" si="54"/>
        <v>-75.509349290256779</v>
      </c>
      <c r="N91" s="13">
        <f t="shared" si="54"/>
        <v>-79.284816754769622</v>
      </c>
      <c r="O91" s="13">
        <f t="shared" si="54"/>
        <v>-83.249057592508095</v>
      </c>
      <c r="P91" s="13">
        <f t="shared" si="54"/>
        <v>-87.4115104721335</v>
      </c>
      <c r="Q91" s="13">
        <f t="shared" si="54"/>
        <v>-91.782085995740175</v>
      </c>
    </row>
    <row r="92" spans="1:17" x14ac:dyDescent="0.25">
      <c r="A92" s="10" t="s">
        <v>24</v>
      </c>
      <c r="B92" s="14">
        <f>-G7</f>
        <v>0</v>
      </c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13"/>
    </row>
    <row r="93" spans="1:17" x14ac:dyDescent="0.25">
      <c r="A93" s="10" t="s">
        <v>27</v>
      </c>
      <c r="B93" s="14">
        <f>-G8</f>
        <v>-1419.0000000000002</v>
      </c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/>
    </row>
    <row r="94" spans="1:17" x14ac:dyDescent="0.25">
      <c r="A94" s="10" t="s">
        <v>63</v>
      </c>
      <c r="B94" s="14">
        <f>-G9</f>
        <v>0</v>
      </c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3"/>
    </row>
    <row r="95" spans="1:17" x14ac:dyDescent="0.25">
      <c r="A95" s="10" t="s">
        <v>35</v>
      </c>
      <c r="B95" s="13">
        <v>0</v>
      </c>
      <c r="C95" s="13">
        <f>B96</f>
        <v>10</v>
      </c>
      <c r="D95" s="13">
        <f t="shared" ref="D95:Q95" si="55">C96</f>
        <v>21.25375970447287</v>
      </c>
      <c r="E95" s="13">
        <f t="shared" si="55"/>
        <v>10.488882564596672</v>
      </c>
      <c r="F95" s="13">
        <f t="shared" si="55"/>
        <v>9.685761567726658</v>
      </c>
      <c r="G95" s="13">
        <f t="shared" si="55"/>
        <v>8.8424845210131551</v>
      </c>
      <c r="H95" s="13">
        <f t="shared" si="55"/>
        <v>7.957043621963976</v>
      </c>
      <c r="I95" s="13">
        <f t="shared" si="55"/>
        <v>7.0273306779623184</v>
      </c>
      <c r="J95" s="13">
        <f t="shared" si="55"/>
        <v>6.0511320867606031</v>
      </c>
      <c r="K95" s="13">
        <f t="shared" si="55"/>
        <v>5.0261235659987875</v>
      </c>
      <c r="L95" s="13">
        <f t="shared" si="55"/>
        <v>3.9498646191988911</v>
      </c>
      <c r="M95" s="13">
        <f t="shared" si="55"/>
        <v>2.8197927250589885</v>
      </c>
      <c r="N95" s="13">
        <f t="shared" si="55"/>
        <v>1.63321723621209</v>
      </c>
      <c r="O95" s="13">
        <f t="shared" si="55"/>
        <v>0.3873129729228566</v>
      </c>
      <c r="P95" s="13">
        <f t="shared" si="55"/>
        <v>-0.92088650353083779</v>
      </c>
      <c r="Q95" s="13">
        <f t="shared" si="55"/>
        <v>-2.2944959538072283</v>
      </c>
    </row>
    <row r="96" spans="1:17" x14ac:dyDescent="0.25">
      <c r="A96" s="10" t="s">
        <v>64</v>
      </c>
      <c r="B96" s="13">
        <f>SUM(B89:B95)</f>
        <v>10</v>
      </c>
      <c r="C96" s="13">
        <f>SUM(C89:C95)</f>
        <v>21.25375970447287</v>
      </c>
      <c r="D96" s="13">
        <f t="shared" ref="D96:Q96" si="56">SUM(D89:D95)</f>
        <v>10.488882564596672</v>
      </c>
      <c r="E96" s="13">
        <f t="shared" si="56"/>
        <v>9.685761567726658</v>
      </c>
      <c r="F96" s="13">
        <f t="shared" si="56"/>
        <v>8.8424845210131551</v>
      </c>
      <c r="G96" s="13">
        <f t="shared" si="56"/>
        <v>7.957043621963976</v>
      </c>
      <c r="H96" s="13">
        <f t="shared" si="56"/>
        <v>7.0273306779623184</v>
      </c>
      <c r="I96" s="13">
        <f t="shared" si="56"/>
        <v>6.0511320867606031</v>
      </c>
      <c r="J96" s="13">
        <f t="shared" si="56"/>
        <v>5.0261235659987875</v>
      </c>
      <c r="K96" s="13">
        <f t="shared" si="56"/>
        <v>3.9498646191988911</v>
      </c>
      <c r="L96" s="13">
        <f t="shared" si="56"/>
        <v>2.8197927250589885</v>
      </c>
      <c r="M96" s="13">
        <f t="shared" si="56"/>
        <v>1.63321723621209</v>
      </c>
      <c r="N96" s="13">
        <f t="shared" si="56"/>
        <v>0.3873129729228566</v>
      </c>
      <c r="O96" s="13">
        <f t="shared" si="56"/>
        <v>-0.92088650353083779</v>
      </c>
      <c r="P96" s="13">
        <f t="shared" si="56"/>
        <v>-2.2944959538072283</v>
      </c>
      <c r="Q96" s="13">
        <f t="shared" si="56"/>
        <v>-3.7367858765974233</v>
      </c>
    </row>
    <row r="97" spans="1:23" x14ac:dyDescent="0.25">
      <c r="A97" t="str">
        <f>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  <c r="B97" s="36"/>
      <c r="C97" s="36"/>
      <c r="D97" s="36"/>
      <c r="E97" s="36"/>
      <c r="F97" s="36"/>
      <c r="G97" s="36"/>
      <c r="H97" s="36"/>
      <c r="I97" s="36"/>
      <c r="J97" s="36"/>
      <c r="K97" s="36"/>
      <c r="L97" s="36"/>
      <c r="M97" s="36"/>
      <c r="N97" s="36"/>
      <c r="O97" s="36"/>
      <c r="P97" s="36"/>
      <c r="Q97" s="36"/>
    </row>
    <row r="98" spans="1:23" x14ac:dyDescent="0.25">
      <c r="B98" s="13"/>
      <c r="C98" s="23" t="str">
        <f>C88</f>
        <v>A1</v>
      </c>
      <c r="D98" s="23" t="str">
        <f t="shared" ref="D98:Q98" si="57">D88</f>
        <v>A2</v>
      </c>
      <c r="E98" s="23" t="str">
        <f t="shared" si="57"/>
        <v>A3</v>
      </c>
      <c r="F98" s="23" t="str">
        <f t="shared" si="57"/>
        <v>A4</v>
      </c>
      <c r="G98" s="23" t="str">
        <f t="shared" si="57"/>
        <v>A5</v>
      </c>
      <c r="H98" s="23" t="str">
        <f t="shared" si="57"/>
        <v>A6</v>
      </c>
      <c r="I98" s="23" t="str">
        <f t="shared" si="57"/>
        <v>A7</v>
      </c>
      <c r="J98" s="23" t="str">
        <f t="shared" si="57"/>
        <v>A8</v>
      </c>
      <c r="K98" s="23" t="str">
        <f t="shared" si="57"/>
        <v>A9</v>
      </c>
      <c r="L98" s="23" t="str">
        <f t="shared" si="57"/>
        <v>A10</v>
      </c>
      <c r="M98" s="23" t="str">
        <f t="shared" si="57"/>
        <v>A11</v>
      </c>
      <c r="N98" s="23" t="str">
        <f t="shared" si="57"/>
        <v>A12</v>
      </c>
      <c r="O98" s="23" t="str">
        <f t="shared" si="57"/>
        <v>A13</v>
      </c>
      <c r="P98" s="23" t="str">
        <f t="shared" si="57"/>
        <v>A14</v>
      </c>
      <c r="Q98" s="23" t="str">
        <f t="shared" si="57"/>
        <v>A15</v>
      </c>
    </row>
    <row r="99" spans="1:23" x14ac:dyDescent="0.25">
      <c r="A99" s="10" t="s">
        <v>16</v>
      </c>
      <c r="B99" s="13">
        <f>B90</f>
        <v>428.70000000000005</v>
      </c>
      <c r="C99" s="13">
        <f>B99+C86+C90</f>
        <v>486.30995000000007</v>
      </c>
      <c r="D99" s="13">
        <f t="shared" ref="D99:Q99" si="58">C99+D86+D90</f>
        <v>524.21907267042741</v>
      </c>
      <c r="E99" s="13">
        <f t="shared" si="58"/>
        <v>574.52365147437604</v>
      </c>
      <c r="F99" s="13">
        <f t="shared" si="58"/>
        <v>627.34345921852218</v>
      </c>
      <c r="G99" s="13">
        <f t="shared" si="58"/>
        <v>682.80425734987557</v>
      </c>
      <c r="H99" s="13">
        <f t="shared" si="58"/>
        <v>741.0380953877966</v>
      </c>
      <c r="I99" s="13">
        <f t="shared" si="58"/>
        <v>802.18362532761375</v>
      </c>
      <c r="J99" s="13">
        <f t="shared" si="58"/>
        <v>866.38643176442179</v>
      </c>
      <c r="K99" s="13">
        <f t="shared" si="58"/>
        <v>933.79937852307023</v>
      </c>
      <c r="L99" s="13">
        <f t="shared" si="58"/>
        <v>1004.5829726196511</v>
      </c>
      <c r="M99" s="13">
        <f t="shared" si="58"/>
        <v>1078.9057464210609</v>
      </c>
      <c r="N99" s="13">
        <f t="shared" si="58"/>
        <v>1156.9446589125414</v>
      </c>
      <c r="O99" s="13">
        <f t="shared" si="58"/>
        <v>1238.8855170285958</v>
      </c>
      <c r="P99" s="13">
        <f t="shared" si="58"/>
        <v>1324.9234180504529</v>
      </c>
      <c r="Q99" s="13">
        <f t="shared" si="58"/>
        <v>1415.2632141234028</v>
      </c>
    </row>
    <row r="100" spans="1:23" x14ac:dyDescent="0.25">
      <c r="A100" s="10" t="s">
        <v>19</v>
      </c>
      <c r="B100" s="13">
        <f>B91</f>
        <v>1000.3000000000002</v>
      </c>
      <c r="C100" s="13">
        <f>B100+C91</f>
        <v>953.94380970447298</v>
      </c>
      <c r="D100" s="13">
        <f t="shared" ref="D100:Q100" si="59">C100+D91</f>
        <v>905.2698098941695</v>
      </c>
      <c r="E100" s="13">
        <f t="shared" si="59"/>
        <v>854.16211009335075</v>
      </c>
      <c r="F100" s="13">
        <f t="shared" si="59"/>
        <v>800.49902530249108</v>
      </c>
      <c r="G100" s="13">
        <f t="shared" si="59"/>
        <v>744.15278627208841</v>
      </c>
      <c r="H100" s="13">
        <f t="shared" si="59"/>
        <v>684.98923529016565</v>
      </c>
      <c r="I100" s="13">
        <f t="shared" si="59"/>
        <v>622.86750675914675</v>
      </c>
      <c r="J100" s="13">
        <f t="shared" si="59"/>
        <v>557.63969180157687</v>
      </c>
      <c r="K100" s="13">
        <f t="shared" si="59"/>
        <v>489.15048609612853</v>
      </c>
      <c r="L100" s="13">
        <f t="shared" si="59"/>
        <v>417.23682010540779</v>
      </c>
      <c r="M100" s="13">
        <f t="shared" si="59"/>
        <v>341.72747081515104</v>
      </c>
      <c r="N100" s="13">
        <f t="shared" si="59"/>
        <v>262.44265406038141</v>
      </c>
      <c r="O100" s="13">
        <f t="shared" si="59"/>
        <v>179.19359646787331</v>
      </c>
      <c r="P100" s="13">
        <f t="shared" si="59"/>
        <v>91.782085995739806</v>
      </c>
      <c r="Q100" s="13">
        <f t="shared" si="59"/>
        <v>-3.694822225952521E-13</v>
      </c>
      <c r="S100" s="36"/>
      <c r="T100" s="36"/>
      <c r="U100" s="36"/>
      <c r="V100" s="36"/>
      <c r="W100" s="36"/>
    </row>
    <row r="101" spans="1:23" x14ac:dyDescent="0.25">
      <c r="B101" s="36"/>
      <c r="C101" s="36"/>
      <c r="D101" s="36"/>
      <c r="E101" s="36"/>
      <c r="F101" s="36"/>
      <c r="G101" s="36"/>
      <c r="H101" s="36"/>
      <c r="I101" s="36"/>
      <c r="J101" s="36"/>
      <c r="K101" s="36"/>
      <c r="L101" s="36"/>
      <c r="M101" s="36"/>
      <c r="N101" s="36"/>
      <c r="O101" s="36"/>
      <c r="P101" s="36"/>
      <c r="Q101" s="36"/>
    </row>
    <row r="102" spans="1:23" x14ac:dyDescent="0.25">
      <c r="A102" s="10" t="s">
        <v>24</v>
      </c>
      <c r="B102" s="13">
        <f>-B92</f>
        <v>0</v>
      </c>
      <c r="C102" s="10">
        <f>B102-C81</f>
        <v>0</v>
      </c>
      <c r="D102" s="10">
        <f t="shared" ref="D102:Q102" si="60">C102-D81</f>
        <v>0</v>
      </c>
      <c r="E102" s="10">
        <f t="shared" si="60"/>
        <v>0</v>
      </c>
      <c r="F102" s="10">
        <f t="shared" si="60"/>
        <v>0</v>
      </c>
      <c r="G102" s="10">
        <f t="shared" si="60"/>
        <v>0</v>
      </c>
      <c r="H102" s="10">
        <f t="shared" si="60"/>
        <v>0</v>
      </c>
      <c r="I102" s="10">
        <f t="shared" si="60"/>
        <v>0</v>
      </c>
      <c r="J102" s="10">
        <f t="shared" si="60"/>
        <v>0</v>
      </c>
      <c r="K102" s="10">
        <f t="shared" si="60"/>
        <v>0</v>
      </c>
      <c r="L102" s="10">
        <f t="shared" si="60"/>
        <v>0</v>
      </c>
      <c r="M102" s="10">
        <f t="shared" si="60"/>
        <v>0</v>
      </c>
      <c r="N102" s="10">
        <f t="shared" si="60"/>
        <v>0</v>
      </c>
      <c r="O102" s="10">
        <f t="shared" si="60"/>
        <v>0</v>
      </c>
      <c r="P102" s="10">
        <f t="shared" si="60"/>
        <v>0</v>
      </c>
      <c r="Q102" s="10">
        <f t="shared" si="60"/>
        <v>0</v>
      </c>
    </row>
    <row r="103" spans="1:23" x14ac:dyDescent="0.25">
      <c r="A103" s="10" t="s">
        <v>27</v>
      </c>
      <c r="B103" s="13">
        <f>-B93</f>
        <v>1419.0000000000002</v>
      </c>
      <c r="C103" s="13">
        <f>B103</f>
        <v>1419.0000000000002</v>
      </c>
      <c r="D103" s="13">
        <f t="shared" ref="D103:Q103" si="61">C103</f>
        <v>1419.0000000000002</v>
      </c>
      <c r="E103" s="13">
        <f t="shared" si="61"/>
        <v>1419.0000000000002</v>
      </c>
      <c r="F103" s="13">
        <f t="shared" si="61"/>
        <v>1419.0000000000002</v>
      </c>
      <c r="G103" s="13">
        <f t="shared" si="61"/>
        <v>1419.0000000000002</v>
      </c>
      <c r="H103" s="13">
        <f t="shared" si="61"/>
        <v>1419.0000000000002</v>
      </c>
      <c r="I103" s="13">
        <f t="shared" si="61"/>
        <v>1419.0000000000002</v>
      </c>
      <c r="J103" s="13">
        <f t="shared" si="61"/>
        <v>1419.0000000000002</v>
      </c>
      <c r="K103" s="13">
        <f t="shared" si="61"/>
        <v>1419.0000000000002</v>
      </c>
      <c r="L103" s="13">
        <f t="shared" si="61"/>
        <v>1419.0000000000002</v>
      </c>
      <c r="M103" s="13">
        <f t="shared" si="61"/>
        <v>1419.0000000000002</v>
      </c>
      <c r="N103" s="13">
        <f t="shared" si="61"/>
        <v>1419.0000000000002</v>
      </c>
      <c r="O103" s="13">
        <f t="shared" si="61"/>
        <v>1419.0000000000002</v>
      </c>
      <c r="P103" s="13">
        <f t="shared" si="61"/>
        <v>1419.0000000000002</v>
      </c>
      <c r="Q103" s="13">
        <f t="shared" si="61"/>
        <v>1419.0000000000002</v>
      </c>
    </row>
    <row r="104" spans="1:23" x14ac:dyDescent="0.25">
      <c r="A104" s="10" t="s">
        <v>30</v>
      </c>
      <c r="B104" s="13">
        <f>-B94</f>
        <v>0</v>
      </c>
      <c r="C104" s="13">
        <f>B104-C94</f>
        <v>0</v>
      </c>
      <c r="D104" s="13">
        <f t="shared" ref="D104:Q104" si="62">C104-D94</f>
        <v>0</v>
      </c>
      <c r="E104" s="13">
        <f t="shared" si="62"/>
        <v>0</v>
      </c>
      <c r="F104" s="13">
        <f t="shared" si="62"/>
        <v>0</v>
      </c>
      <c r="G104" s="13">
        <f t="shared" si="62"/>
        <v>0</v>
      </c>
      <c r="H104" s="13">
        <f t="shared" si="62"/>
        <v>0</v>
      </c>
      <c r="I104" s="13">
        <f t="shared" si="62"/>
        <v>0</v>
      </c>
      <c r="J104" s="13">
        <f t="shared" si="62"/>
        <v>0</v>
      </c>
      <c r="K104" s="13">
        <f t="shared" si="62"/>
        <v>0</v>
      </c>
      <c r="L104" s="13">
        <f t="shared" si="62"/>
        <v>0</v>
      </c>
      <c r="M104" s="13">
        <f t="shared" si="62"/>
        <v>0</v>
      </c>
      <c r="N104" s="13">
        <f t="shared" si="62"/>
        <v>0</v>
      </c>
      <c r="O104" s="13">
        <f t="shared" si="62"/>
        <v>0</v>
      </c>
      <c r="P104" s="13">
        <f t="shared" si="62"/>
        <v>0</v>
      </c>
      <c r="Q104" s="13">
        <f t="shared" si="62"/>
        <v>0</v>
      </c>
    </row>
    <row r="105" spans="1:23" x14ac:dyDescent="0.25">
      <c r="A105" s="10" t="s">
        <v>32</v>
      </c>
      <c r="B105" s="13">
        <f>B96</f>
        <v>10</v>
      </c>
      <c r="C105" s="13">
        <f>C96</f>
        <v>21.25375970447287</v>
      </c>
      <c r="D105" s="13">
        <f t="shared" ref="D105:Q105" si="63">D96</f>
        <v>10.488882564596672</v>
      </c>
      <c r="E105" s="13">
        <f t="shared" si="63"/>
        <v>9.685761567726658</v>
      </c>
      <c r="F105" s="13">
        <f t="shared" si="63"/>
        <v>8.8424845210131551</v>
      </c>
      <c r="G105" s="13">
        <f t="shared" si="63"/>
        <v>7.957043621963976</v>
      </c>
      <c r="H105" s="13">
        <f t="shared" si="63"/>
        <v>7.0273306779623184</v>
      </c>
      <c r="I105" s="13">
        <f t="shared" si="63"/>
        <v>6.0511320867606031</v>
      </c>
      <c r="J105" s="13">
        <f t="shared" si="63"/>
        <v>5.0261235659987875</v>
      </c>
      <c r="K105" s="13">
        <f t="shared" si="63"/>
        <v>3.9498646191988911</v>
      </c>
      <c r="L105" s="13">
        <f t="shared" si="63"/>
        <v>2.8197927250589885</v>
      </c>
      <c r="M105" s="13">
        <f t="shared" si="63"/>
        <v>1.63321723621209</v>
      </c>
      <c r="N105" s="13">
        <f t="shared" si="63"/>
        <v>0.3873129729228566</v>
      </c>
      <c r="O105" s="13">
        <f t="shared" si="63"/>
        <v>-0.92088650353083779</v>
      </c>
      <c r="P105" s="13">
        <f t="shared" si="63"/>
        <v>-2.2944959538072283</v>
      </c>
      <c r="Q105" s="13">
        <f t="shared" si="63"/>
        <v>-3.7367858765974233</v>
      </c>
    </row>
    <row r="106" spans="1:23" x14ac:dyDescent="0.25">
      <c r="A106" s="8" t="s">
        <v>34</v>
      </c>
      <c r="B106" s="21">
        <f>SUM(B102:B105)</f>
        <v>1429.0000000000002</v>
      </c>
      <c r="C106" s="21">
        <f>SUM(C102:C105)</f>
        <v>1440.2537597044732</v>
      </c>
      <c r="D106" s="21">
        <f t="shared" ref="D106:Q106" si="64">SUM(D102:D105)</f>
        <v>1429.4888825645969</v>
      </c>
      <c r="E106" s="21">
        <f t="shared" si="64"/>
        <v>1428.6857615677268</v>
      </c>
      <c r="F106" s="21">
        <f t="shared" si="64"/>
        <v>1427.8424845210134</v>
      </c>
      <c r="G106" s="21">
        <f t="shared" si="64"/>
        <v>1426.9570436219642</v>
      </c>
      <c r="H106" s="21">
        <f t="shared" si="64"/>
        <v>1426.0273306779625</v>
      </c>
      <c r="I106" s="21">
        <f t="shared" si="64"/>
        <v>1425.0511320867608</v>
      </c>
      <c r="J106" s="21">
        <f t="shared" si="64"/>
        <v>1424.0261235659991</v>
      </c>
      <c r="K106" s="21">
        <f t="shared" si="64"/>
        <v>1422.9498646191992</v>
      </c>
      <c r="L106" s="21">
        <f t="shared" si="64"/>
        <v>1421.8197927250592</v>
      </c>
      <c r="M106" s="21">
        <f t="shared" si="64"/>
        <v>1420.6332172362122</v>
      </c>
      <c r="N106" s="21">
        <f t="shared" si="64"/>
        <v>1419.3873129729232</v>
      </c>
      <c r="O106" s="21">
        <f t="shared" si="64"/>
        <v>1418.0791134964693</v>
      </c>
      <c r="P106" s="21">
        <f t="shared" si="64"/>
        <v>1416.705504046193</v>
      </c>
      <c r="Q106" s="21">
        <f t="shared" si="64"/>
        <v>1415.2632141234028</v>
      </c>
    </row>
    <row r="107" spans="1:23" x14ac:dyDescent="0.25">
      <c r="A107" s="10" t="s">
        <v>65</v>
      </c>
      <c r="B107" s="13">
        <f>B106-B99-B100</f>
        <v>0</v>
      </c>
      <c r="C107" s="13">
        <f>C106-C99-C100</f>
        <v>0</v>
      </c>
      <c r="D107" s="13">
        <f t="shared" ref="D107:Q107" si="65">D106-D99-D100</f>
        <v>0</v>
      </c>
      <c r="E107" s="13">
        <f t="shared" si="65"/>
        <v>0</v>
      </c>
      <c r="F107" s="13">
        <f t="shared" si="65"/>
        <v>0</v>
      </c>
      <c r="G107" s="13">
        <f t="shared" si="65"/>
        <v>0</v>
      </c>
      <c r="H107" s="13">
        <f t="shared" si="65"/>
        <v>0</v>
      </c>
      <c r="I107" s="13">
        <f t="shared" si="65"/>
        <v>0</v>
      </c>
      <c r="J107" s="13">
        <f t="shared" si="65"/>
        <v>0</v>
      </c>
      <c r="K107" s="13">
        <f t="shared" si="65"/>
        <v>0</v>
      </c>
      <c r="L107" s="13">
        <f t="shared" si="65"/>
        <v>0</v>
      </c>
      <c r="M107" s="13">
        <f t="shared" si="65"/>
        <v>0</v>
      </c>
      <c r="N107" s="13">
        <f t="shared" si="65"/>
        <v>0</v>
      </c>
      <c r="O107" s="13">
        <f t="shared" si="65"/>
        <v>0</v>
      </c>
      <c r="P107" s="13">
        <f t="shared" si="65"/>
        <v>2.8421709430404007E-13</v>
      </c>
      <c r="Q107" s="13">
        <f t="shared" si="65"/>
        <v>3.694822225952521E-13</v>
      </c>
    </row>
    <row r="108" spans="1:23" x14ac:dyDescent="0.25">
      <c r="A108" t="str">
        <f>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  <c r="B108" s="36"/>
      <c r="C108" s="36"/>
      <c r="D108" s="36"/>
      <c r="E108" s="36"/>
      <c r="F108" s="36"/>
      <c r="G108" s="36"/>
      <c r="H108" s="36"/>
      <c r="I108" s="36"/>
      <c r="J108" s="36"/>
      <c r="K108" s="36"/>
      <c r="L108" s="36"/>
      <c r="M108" s="36"/>
      <c r="N108" s="36"/>
      <c r="O108" s="36"/>
      <c r="P108" s="36"/>
      <c r="Q108" s="36"/>
    </row>
    <row r="109" spans="1:23" x14ac:dyDescent="0.25">
      <c r="A109" s="10"/>
      <c r="B109" s="13"/>
      <c r="C109" s="23" t="str">
        <f>C98</f>
        <v>A1</v>
      </c>
      <c r="D109" s="23" t="str">
        <f t="shared" ref="D109:Q109" si="66">D98</f>
        <v>A2</v>
      </c>
      <c r="E109" s="23" t="str">
        <f t="shared" si="66"/>
        <v>A3</v>
      </c>
      <c r="F109" s="23" t="str">
        <f t="shared" si="66"/>
        <v>A4</v>
      </c>
      <c r="G109" s="23" t="str">
        <f t="shared" si="66"/>
        <v>A5</v>
      </c>
      <c r="H109" s="23" t="str">
        <f t="shared" si="66"/>
        <v>A6</v>
      </c>
      <c r="I109" s="23" t="str">
        <f t="shared" si="66"/>
        <v>A7</v>
      </c>
      <c r="J109" s="23" t="str">
        <f t="shared" si="66"/>
        <v>A8</v>
      </c>
      <c r="K109" s="23" t="str">
        <f t="shared" si="66"/>
        <v>A9</v>
      </c>
      <c r="L109" s="23" t="str">
        <f t="shared" si="66"/>
        <v>A10</v>
      </c>
      <c r="M109" s="23" t="str">
        <f t="shared" si="66"/>
        <v>A11</v>
      </c>
      <c r="N109" s="23" t="str">
        <f t="shared" si="66"/>
        <v>A12</v>
      </c>
      <c r="O109" s="23" t="str">
        <f t="shared" si="66"/>
        <v>A13</v>
      </c>
      <c r="P109" s="23" t="str">
        <f t="shared" si="66"/>
        <v>A14</v>
      </c>
      <c r="Q109" s="23" t="str">
        <f t="shared" si="66"/>
        <v>A15</v>
      </c>
    </row>
    <row r="110" spans="1:23" x14ac:dyDescent="0.25">
      <c r="A110" s="10" t="s">
        <v>66</v>
      </c>
      <c r="B110" s="13">
        <f>-B90</f>
        <v>-428.70000000000005</v>
      </c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</row>
    <row r="111" spans="1:23" x14ac:dyDescent="0.25">
      <c r="A111" s="10" t="s">
        <v>67</v>
      </c>
      <c r="B111" s="13"/>
      <c r="C111" s="10"/>
      <c r="D111" s="13">
        <f>-D90</f>
        <v>21.25375970447287</v>
      </c>
      <c r="E111" s="13">
        <f t="shared" ref="E111:Q111" si="67">-E90</f>
        <v>10.488882564596672</v>
      </c>
      <c r="F111" s="13">
        <f t="shared" si="67"/>
        <v>9.685761567726658</v>
      </c>
      <c r="G111" s="13">
        <f t="shared" si="67"/>
        <v>8.8424845210131551</v>
      </c>
      <c r="H111" s="13">
        <f t="shared" si="67"/>
        <v>7.957043621963976</v>
      </c>
      <c r="I111" s="13">
        <f t="shared" si="67"/>
        <v>7.0273306779623184</v>
      </c>
      <c r="J111" s="13">
        <f t="shared" si="67"/>
        <v>6.0511320867606031</v>
      </c>
      <c r="K111" s="13">
        <f t="shared" si="67"/>
        <v>5.0261235659987875</v>
      </c>
      <c r="L111" s="13">
        <f t="shared" si="67"/>
        <v>3.9498646191988911</v>
      </c>
      <c r="M111" s="13">
        <f t="shared" si="67"/>
        <v>2.8197927250589885</v>
      </c>
      <c r="N111" s="13">
        <f t="shared" si="67"/>
        <v>1.63321723621209</v>
      </c>
      <c r="O111" s="13">
        <f t="shared" si="67"/>
        <v>0.3873129729228566</v>
      </c>
      <c r="P111" s="13">
        <f t="shared" si="67"/>
        <v>-0.92088650353083779</v>
      </c>
      <c r="Q111" s="13">
        <f t="shared" si="67"/>
        <v>-2.2944959538072283</v>
      </c>
    </row>
    <row r="112" spans="1:23" x14ac:dyDescent="0.25">
      <c r="A112" s="10" t="s">
        <v>68</v>
      </c>
      <c r="B112" s="13"/>
      <c r="C112" s="10"/>
      <c r="D112" s="13"/>
      <c r="E112" s="13"/>
      <c r="F112" s="13"/>
      <c r="G112" s="13"/>
      <c r="H112" s="13"/>
      <c r="I112" s="13"/>
      <c r="J112" s="13"/>
      <c r="K112" s="13"/>
      <c r="L112" s="13"/>
      <c r="M112" s="13"/>
      <c r="N112" s="13"/>
      <c r="O112" s="13"/>
      <c r="P112" s="13"/>
      <c r="Q112" s="13">
        <f>G24</f>
        <v>1415.2632141234033</v>
      </c>
    </row>
    <row r="113" spans="1:17" x14ac:dyDescent="0.25">
      <c r="A113" s="10" t="s">
        <v>69</v>
      </c>
      <c r="B113" s="13">
        <f>SUM(B110:B112)</f>
        <v>-428.70000000000005</v>
      </c>
      <c r="C113" s="10">
        <f t="shared" ref="C113:Q113" si="68">SUM(C110:C112)</f>
        <v>0</v>
      </c>
      <c r="D113" s="13">
        <f t="shared" si="68"/>
        <v>21.25375970447287</v>
      </c>
      <c r="E113" s="13">
        <f t="shared" si="68"/>
        <v>10.488882564596672</v>
      </c>
      <c r="F113" s="13">
        <f t="shared" si="68"/>
        <v>9.685761567726658</v>
      </c>
      <c r="G113" s="13">
        <f t="shared" si="68"/>
        <v>8.8424845210131551</v>
      </c>
      <c r="H113" s="13">
        <f t="shared" si="68"/>
        <v>7.957043621963976</v>
      </c>
      <c r="I113" s="13">
        <f t="shared" si="68"/>
        <v>7.0273306779623184</v>
      </c>
      <c r="J113" s="13">
        <f t="shared" si="68"/>
        <v>6.0511320867606031</v>
      </c>
      <c r="K113" s="13">
        <f t="shared" si="68"/>
        <v>5.0261235659987875</v>
      </c>
      <c r="L113" s="13">
        <f t="shared" si="68"/>
        <v>3.9498646191988911</v>
      </c>
      <c r="M113" s="13">
        <f t="shared" si="68"/>
        <v>2.8197927250589885</v>
      </c>
      <c r="N113" s="13">
        <f t="shared" si="68"/>
        <v>1.63321723621209</v>
      </c>
      <c r="O113" s="13">
        <f t="shared" si="68"/>
        <v>0.3873129729228566</v>
      </c>
      <c r="P113" s="13">
        <f t="shared" si="68"/>
        <v>-0.92088650353083779</v>
      </c>
      <c r="Q113" s="13">
        <f t="shared" si="68"/>
        <v>1412.9687181695961</v>
      </c>
    </row>
    <row r="114" spans="1:17" x14ac:dyDescent="0.25">
      <c r="A114" s="10" t="s">
        <v>70</v>
      </c>
      <c r="B114" s="37">
        <f>IRR(B113:Q113)</f>
        <v>9.2736741815200752E-2</v>
      </c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</row>
    <row r="115" spans="1:17" x14ac:dyDescent="0.25">
      <c r="A115" t="str">
        <f>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</row>
  </sheetData>
  <mergeCells count="4">
    <mergeCell ref="I16:J16"/>
    <mergeCell ref="I4:J4"/>
    <mergeCell ref="W3:X3"/>
    <mergeCell ref="Y3:Z3"/>
  </mergeCell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A115"/>
  <sheetViews>
    <sheetView zoomScale="76" zoomScaleNormal="76" workbookViewId="0">
      <selection activeCell="H24" sqref="H24"/>
    </sheetView>
  </sheetViews>
  <sheetFormatPr baseColWidth="10" defaultColWidth="8.42578125" defaultRowHeight="15" x14ac:dyDescent="0.25"/>
  <cols>
    <col min="1" max="1" width="20.5703125" customWidth="1"/>
    <col min="2" max="2" width="9.42578125" bestFit="1" customWidth="1"/>
    <col min="4" max="4" width="7.28515625" customWidth="1"/>
    <col min="6" max="6" width="10.28515625" customWidth="1"/>
    <col min="8" max="8" width="7.85546875" customWidth="1"/>
    <col min="9" max="9" width="10.42578125" customWidth="1"/>
    <col min="10" max="10" width="7.85546875" customWidth="1"/>
  </cols>
  <sheetData>
    <row r="1" spans="1:27" x14ac:dyDescent="0.25">
      <c r="A1" t="str">
        <f>REPT("-",300)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</row>
    <row r="2" spans="1:27" x14ac:dyDescent="0.25">
      <c r="A2" s="1" t="s">
        <v>0</v>
      </c>
      <c r="C2" s="30"/>
      <c r="D2" s="30"/>
      <c r="E2" t="s">
        <v>72</v>
      </c>
      <c r="I2" s="1" t="s">
        <v>73</v>
      </c>
    </row>
    <row r="3" spans="1:27" ht="15.75" thickBot="1" x14ac:dyDescent="0.3">
      <c r="A3" t="str">
        <f>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  <c r="W3" s="10"/>
      <c r="X3" s="121" t="s">
        <v>41</v>
      </c>
      <c r="Y3" s="121"/>
      <c r="Z3" s="121" t="s">
        <v>75</v>
      </c>
      <c r="AA3" s="121"/>
    </row>
    <row r="4" spans="1:27" ht="15.75" thickBot="1" x14ac:dyDescent="0.3">
      <c r="A4" s="6" t="s">
        <v>12</v>
      </c>
      <c r="B4" s="7" t="s">
        <v>76</v>
      </c>
      <c r="C4" s="7" t="s">
        <v>77</v>
      </c>
      <c r="D4" s="33" t="s">
        <v>88</v>
      </c>
      <c r="F4" s="61" t="s">
        <v>13</v>
      </c>
      <c r="G4" s="62" t="str">
        <f>B4</f>
        <v>Propr</v>
      </c>
      <c r="H4" s="63" t="str">
        <f>C4</f>
        <v>Loc</v>
      </c>
      <c r="J4" s="42" t="s">
        <v>41</v>
      </c>
      <c r="K4" s="43"/>
      <c r="L4" s="23" t="s">
        <v>2</v>
      </c>
      <c r="M4" s="3" t="s">
        <v>3</v>
      </c>
      <c r="N4" s="3" t="s">
        <v>4</v>
      </c>
      <c r="O4" s="4" t="s">
        <v>5</v>
      </c>
      <c r="P4" s="4" t="s">
        <v>6</v>
      </c>
      <c r="Q4" s="4" t="s">
        <v>7</v>
      </c>
      <c r="R4" s="4" t="s">
        <v>8</v>
      </c>
      <c r="S4" s="4" t="s">
        <v>9</v>
      </c>
      <c r="T4" s="4" t="s">
        <v>10</v>
      </c>
      <c r="U4" s="4" t="s">
        <v>11</v>
      </c>
      <c r="W4" s="10"/>
      <c r="X4" s="5" t="s">
        <v>90</v>
      </c>
      <c r="Y4" s="5" t="s">
        <v>91</v>
      </c>
      <c r="Z4" s="5" t="s">
        <v>90</v>
      </c>
      <c r="AA4" s="5" t="s">
        <v>91</v>
      </c>
    </row>
    <row r="5" spans="1:27" x14ac:dyDescent="0.25">
      <c r="A5" s="8" t="s">
        <v>15</v>
      </c>
      <c r="B5" s="9">
        <f>C5</f>
        <v>1500</v>
      </c>
      <c r="C5" s="11">
        <v>1500</v>
      </c>
      <c r="D5" s="25"/>
      <c r="F5" s="45" t="s">
        <v>16</v>
      </c>
      <c r="G5" s="57">
        <f>B21*(G7+G8+G9+G10)</f>
        <v>345.80000000000007</v>
      </c>
      <c r="H5" s="58">
        <f>B21*(H7+H8+H9+H10)</f>
        <v>285.80000000000007</v>
      </c>
      <c r="J5" s="9" t="s">
        <v>14</v>
      </c>
      <c r="K5" s="10"/>
      <c r="L5" s="13">
        <f t="shared" ref="L5:U9" si="0">C38</f>
        <v>132.4</v>
      </c>
      <c r="M5" s="13">
        <f t="shared" si="0"/>
        <v>132.4</v>
      </c>
      <c r="N5" s="13">
        <f t="shared" si="0"/>
        <v>132.4</v>
      </c>
      <c r="O5" s="13">
        <f t="shared" si="0"/>
        <v>132.4</v>
      </c>
      <c r="P5" s="13">
        <f t="shared" si="0"/>
        <v>132.4</v>
      </c>
      <c r="Q5" s="13">
        <f t="shared" si="0"/>
        <v>132.4</v>
      </c>
      <c r="R5" s="13">
        <f t="shared" si="0"/>
        <v>132.4</v>
      </c>
      <c r="S5" s="13">
        <f t="shared" si="0"/>
        <v>132.4</v>
      </c>
      <c r="T5" s="13">
        <f t="shared" si="0"/>
        <v>132.4</v>
      </c>
      <c r="U5" s="13">
        <f t="shared" si="0"/>
        <v>132.4</v>
      </c>
      <c r="W5" s="8" t="s">
        <v>27</v>
      </c>
      <c r="X5" s="13">
        <f>L29*B24*1.1</f>
        <v>1419.0000000000002</v>
      </c>
      <c r="Y5" s="13">
        <f>Q29*B24*1.1</f>
        <v>1419.0000000000002</v>
      </c>
      <c r="Z5" s="13">
        <f>X5</f>
        <v>1419.0000000000002</v>
      </c>
      <c r="AA5" s="13">
        <f>Y5</f>
        <v>1419.0000000000002</v>
      </c>
    </row>
    <row r="6" spans="1:27" ht="15.75" thickBot="1" x14ac:dyDescent="0.3">
      <c r="A6" s="10" t="s">
        <v>18</v>
      </c>
      <c r="B6" s="14">
        <f>C6</f>
        <v>405</v>
      </c>
      <c r="C6" s="14">
        <f>C5*B26</f>
        <v>405</v>
      </c>
      <c r="D6" s="73"/>
      <c r="F6" s="54" t="s">
        <v>19</v>
      </c>
      <c r="G6" s="59">
        <f>G11-G5</f>
        <v>1383.2000000000003</v>
      </c>
      <c r="H6" s="60">
        <f>H11-H5</f>
        <v>1143.2000000000003</v>
      </c>
      <c r="J6" s="12" t="s">
        <v>17</v>
      </c>
      <c r="K6" s="10"/>
      <c r="L6" s="13">
        <f t="shared" si="0"/>
        <v>-62.244000000000007</v>
      </c>
      <c r="M6" s="13">
        <f t="shared" si="0"/>
        <v>-59.249204127704331</v>
      </c>
      <c r="N6" s="13">
        <f t="shared" si="0"/>
        <v>-56.119642441155349</v>
      </c>
      <c r="O6" s="13">
        <f t="shared" si="0"/>
        <v>-52.849250478711653</v>
      </c>
      <c r="P6" s="13">
        <f t="shared" si="0"/>
        <v>-49.43169087795799</v>
      </c>
      <c r="Q6" s="13">
        <f t="shared" si="0"/>
        <v>-45.860341095170426</v>
      </c>
      <c r="R6" s="13">
        <f t="shared" si="0"/>
        <v>-42.128280572157415</v>
      </c>
      <c r="S6" s="13">
        <f t="shared" si="0"/>
        <v>-38.228277325608815</v>
      </c>
      <c r="T6" s="13">
        <f t="shared" si="0"/>
        <v>-34.152773932965538</v>
      </c>
      <c r="U6" s="13">
        <f t="shared" si="0"/>
        <v>-29.893872887653306</v>
      </c>
      <c r="W6" s="8" t="s">
        <v>24</v>
      </c>
      <c r="X6" s="13">
        <f>B16*(1+$D$16)^10</f>
        <v>300</v>
      </c>
      <c r="Y6" s="13">
        <f>B16*(1+D16)^15</f>
        <v>300</v>
      </c>
      <c r="Z6" s="13">
        <v>0</v>
      </c>
      <c r="AA6" s="13">
        <v>0</v>
      </c>
    </row>
    <row r="7" spans="1:27" x14ac:dyDescent="0.25">
      <c r="A7" s="10" t="s">
        <v>21</v>
      </c>
      <c r="B7" s="10">
        <v>260</v>
      </c>
      <c r="C7" s="10">
        <v>260</v>
      </c>
      <c r="D7" s="25"/>
      <c r="F7" s="45" t="s">
        <v>24</v>
      </c>
      <c r="G7" s="46">
        <f>B16</f>
        <v>300</v>
      </c>
      <c r="H7" s="47">
        <v>0</v>
      </c>
      <c r="J7" s="9" t="s">
        <v>20</v>
      </c>
      <c r="K7" s="10"/>
      <c r="L7" s="13">
        <f t="shared" si="0"/>
        <v>70.156000000000006</v>
      </c>
      <c r="M7" s="13">
        <f t="shared" si="0"/>
        <v>73.150795872295674</v>
      </c>
      <c r="N7" s="13">
        <f t="shared" si="0"/>
        <v>76.280357558844656</v>
      </c>
      <c r="O7" s="13">
        <f t="shared" si="0"/>
        <v>79.550749521288353</v>
      </c>
      <c r="P7" s="13">
        <f t="shared" si="0"/>
        <v>82.968309122042015</v>
      </c>
      <c r="Q7" s="13">
        <f t="shared" si="0"/>
        <v>86.539658904829579</v>
      </c>
      <c r="R7" s="13">
        <f t="shared" si="0"/>
        <v>90.271719427842584</v>
      </c>
      <c r="S7" s="13">
        <f t="shared" si="0"/>
        <v>94.171722674391191</v>
      </c>
      <c r="T7" s="13">
        <f t="shared" si="0"/>
        <v>98.247226067034461</v>
      </c>
      <c r="U7" s="13">
        <f t="shared" si="0"/>
        <v>102.5061271123467</v>
      </c>
      <c r="W7" s="79" t="s">
        <v>92</v>
      </c>
      <c r="X7" s="13">
        <f>X5-$B$17</f>
        <v>0</v>
      </c>
      <c r="Y7" s="13">
        <f>Y5-$B$17</f>
        <v>0</v>
      </c>
      <c r="Z7" s="13">
        <f>X7</f>
        <v>0</v>
      </c>
      <c r="AA7" s="13">
        <f>Y7</f>
        <v>0</v>
      </c>
    </row>
    <row r="8" spans="1:27" x14ac:dyDescent="0.25">
      <c r="A8" s="10" t="s">
        <v>23</v>
      </c>
      <c r="B8" s="10">
        <v>0</v>
      </c>
      <c r="C8" s="10">
        <f>B19*B16</f>
        <v>24</v>
      </c>
      <c r="D8" s="25"/>
      <c r="F8" s="48" t="s">
        <v>27</v>
      </c>
      <c r="G8" s="13">
        <f>B17</f>
        <v>1419.0000000000002</v>
      </c>
      <c r="H8" s="49">
        <f>B17</f>
        <v>1419.0000000000002</v>
      </c>
      <c r="J8" s="12" t="s">
        <v>89</v>
      </c>
      <c r="K8" s="10"/>
      <c r="L8" s="13">
        <f t="shared" si="0"/>
        <v>-21.046800000000001</v>
      </c>
      <c r="M8" s="13">
        <f t="shared" si="0"/>
        <v>-21.945238761688703</v>
      </c>
      <c r="N8" s="13">
        <f t="shared" si="0"/>
        <v>-22.884107267653395</v>
      </c>
      <c r="O8" s="13">
        <f t="shared" si="0"/>
        <v>-23.865224856386504</v>
      </c>
      <c r="P8" s="13">
        <f t="shared" si="0"/>
        <v>-24.890492736612604</v>
      </c>
      <c r="Q8" s="13">
        <f t="shared" si="0"/>
        <v>-25.961897671448874</v>
      </c>
      <c r="R8" s="13">
        <f t="shared" si="0"/>
        <v>-27.081515828352774</v>
      </c>
      <c r="S8" s="13">
        <f t="shared" si="0"/>
        <v>-28.251516802317358</v>
      </c>
      <c r="T8" s="13">
        <f t="shared" si="0"/>
        <v>-29.474167820110338</v>
      </c>
      <c r="U8" s="13">
        <f t="shared" si="0"/>
        <v>-30.751838133704009</v>
      </c>
      <c r="W8" s="79" t="s">
        <v>93</v>
      </c>
      <c r="X8" s="13">
        <f>X6-L58</f>
        <v>96.000000000000057</v>
      </c>
      <c r="Y8" s="13">
        <f>Y6-Q58</f>
        <v>144.00000000000003</v>
      </c>
      <c r="Z8" s="13">
        <v>0</v>
      </c>
      <c r="AA8" s="13">
        <v>0</v>
      </c>
    </row>
    <row r="9" spans="1:27" x14ac:dyDescent="0.25">
      <c r="A9" s="10" t="s">
        <v>26</v>
      </c>
      <c r="B9" s="10">
        <f>B8/B5</f>
        <v>0</v>
      </c>
      <c r="C9" s="16">
        <f>C8/C5</f>
        <v>1.6E-2</v>
      </c>
      <c r="D9" s="73"/>
      <c r="F9" s="48" t="s">
        <v>30</v>
      </c>
      <c r="G9" s="10">
        <f>B18</f>
        <v>0</v>
      </c>
      <c r="H9" s="50">
        <f>B18</f>
        <v>0</v>
      </c>
      <c r="J9" s="9" t="s">
        <v>25</v>
      </c>
      <c r="K9" s="10"/>
      <c r="L9" s="13">
        <f t="shared" si="0"/>
        <v>49.109200000000001</v>
      </c>
      <c r="M9" s="13">
        <f t="shared" si="0"/>
        <v>51.205557110606975</v>
      </c>
      <c r="N9" s="13">
        <f t="shared" si="0"/>
        <v>53.396250291191265</v>
      </c>
      <c r="O9" s="13">
        <f t="shared" si="0"/>
        <v>55.685524664901848</v>
      </c>
      <c r="P9" s="13">
        <f t="shared" si="0"/>
        <v>58.077816385429415</v>
      </c>
      <c r="Q9" s="13">
        <f t="shared" si="0"/>
        <v>60.577761233380706</v>
      </c>
      <c r="R9" s="13">
        <f t="shared" si="0"/>
        <v>63.190203599489806</v>
      </c>
      <c r="S9" s="13">
        <f t="shared" si="0"/>
        <v>65.920205872073836</v>
      </c>
      <c r="T9" s="13">
        <f t="shared" si="0"/>
        <v>68.773058246924123</v>
      </c>
      <c r="U9" s="13">
        <f t="shared" si="0"/>
        <v>71.754288978642691</v>
      </c>
      <c r="W9" s="79" t="s">
        <v>94</v>
      </c>
      <c r="X9" s="13">
        <f>X8+X7</f>
        <v>96.000000000000057</v>
      </c>
      <c r="Y9" s="13">
        <f>Y8+Y7</f>
        <v>144.00000000000003</v>
      </c>
      <c r="Z9" s="13">
        <f t="shared" ref="Z9:AA9" si="1">Z8+Z7</f>
        <v>0</v>
      </c>
      <c r="AA9" s="13">
        <f t="shared" si="1"/>
        <v>0</v>
      </c>
    </row>
    <row r="10" spans="1:27" x14ac:dyDescent="0.25">
      <c r="A10" s="17" t="s">
        <v>29</v>
      </c>
      <c r="B10" s="15">
        <v>3</v>
      </c>
      <c r="C10" s="15">
        <v>0</v>
      </c>
      <c r="D10" s="25"/>
      <c r="F10" s="48" t="s">
        <v>32</v>
      </c>
      <c r="G10" s="15">
        <v>10</v>
      </c>
      <c r="H10" s="51">
        <f>G10</f>
        <v>10</v>
      </c>
      <c r="J10" s="10" t="s">
        <v>28</v>
      </c>
      <c r="K10" s="10"/>
      <c r="L10" s="13">
        <f t="shared" ref="L10:U12" si="2">C45</f>
        <v>58.709200000000003</v>
      </c>
      <c r="M10" s="13">
        <f t="shared" si="2"/>
        <v>60.805557110606976</v>
      </c>
      <c r="N10" s="13">
        <f t="shared" si="2"/>
        <v>62.996250291191267</v>
      </c>
      <c r="O10" s="13">
        <f t="shared" si="2"/>
        <v>65.285524664901857</v>
      </c>
      <c r="P10" s="13">
        <f t="shared" si="2"/>
        <v>67.677816385429423</v>
      </c>
      <c r="Q10" s="13">
        <f t="shared" si="2"/>
        <v>70.177761233380707</v>
      </c>
      <c r="R10" s="13">
        <f t="shared" si="2"/>
        <v>72.790203599489814</v>
      </c>
      <c r="S10" s="13">
        <f t="shared" si="2"/>
        <v>75.520205872073831</v>
      </c>
      <c r="T10" s="13">
        <f t="shared" si="2"/>
        <v>78.373058246924131</v>
      </c>
      <c r="U10" s="13">
        <f t="shared" si="2"/>
        <v>81.3542889786427</v>
      </c>
      <c r="W10" s="80" t="s">
        <v>95</v>
      </c>
      <c r="X10" s="13">
        <f>X9*$B$25</f>
        <v>28.800000000000015</v>
      </c>
      <c r="Y10" s="13">
        <f>Y9*$B$25</f>
        <v>43.20000000000001</v>
      </c>
      <c r="Z10" s="13">
        <f>Z9*$B$25</f>
        <v>0</v>
      </c>
      <c r="AA10" s="13">
        <f>AA9*$B$25</f>
        <v>0</v>
      </c>
    </row>
    <row r="11" spans="1:27" x14ac:dyDescent="0.25">
      <c r="A11" s="8" t="s">
        <v>31</v>
      </c>
      <c r="B11" s="18">
        <f>B6-B7-B8-B10</f>
        <v>142</v>
      </c>
      <c r="C11" s="18">
        <f>C6-C7-C8-C10</f>
        <v>121</v>
      </c>
      <c r="D11" s="73"/>
      <c r="F11" s="52" t="s">
        <v>34</v>
      </c>
      <c r="G11" s="14">
        <f>SUM(G7:G10)</f>
        <v>1729.0000000000002</v>
      </c>
      <c r="H11" s="53">
        <f>SUM(H7:H10)</f>
        <v>1429.0000000000002</v>
      </c>
      <c r="J11" s="10" t="s">
        <v>83</v>
      </c>
      <c r="K11" s="13">
        <f>B46</f>
        <v>345.80000000000007</v>
      </c>
      <c r="L11" s="13">
        <f t="shared" si="2"/>
        <v>0</v>
      </c>
      <c r="M11" s="13">
        <f t="shared" si="2"/>
        <v>-2.15818061565178</v>
      </c>
      <c r="N11" s="13">
        <f t="shared" si="2"/>
        <v>8.7402581460371422</v>
      </c>
      <c r="O11" s="13">
        <f t="shared" si="2"/>
        <v>9.679126652001834</v>
      </c>
      <c r="P11" s="13">
        <f t="shared" si="2"/>
        <v>10.660244240734947</v>
      </c>
      <c r="Q11" s="13">
        <f t="shared" si="2"/>
        <v>11.685512120961029</v>
      </c>
      <c r="R11" s="13">
        <f t="shared" si="2"/>
        <v>12.75691705579731</v>
      </c>
      <c r="S11" s="13">
        <f t="shared" si="2"/>
        <v>13.876535212701206</v>
      </c>
      <c r="T11" s="13">
        <f t="shared" si="2"/>
        <v>15.046536186665797</v>
      </c>
      <c r="U11" s="13">
        <f t="shared" si="2"/>
        <v>16.269187204458767</v>
      </c>
      <c r="W11" s="80" t="s">
        <v>96</v>
      </c>
      <c r="X11" s="21">
        <f>X5+X6-X10</f>
        <v>1690.2000000000003</v>
      </c>
      <c r="Y11" s="21">
        <f>Y5+Y6-Y10</f>
        <v>1675.8000000000002</v>
      </c>
      <c r="Z11" s="21">
        <f t="shared" ref="Z11:AA11" si="3">Z5+Z6-Z10</f>
        <v>1419.0000000000002</v>
      </c>
      <c r="AA11" s="21">
        <f t="shared" si="3"/>
        <v>1419.0000000000002</v>
      </c>
    </row>
    <row r="12" spans="1:27" ht="15.75" thickBot="1" x14ac:dyDescent="0.3">
      <c r="A12" s="10" t="s">
        <v>33</v>
      </c>
      <c r="B12" s="19">
        <f>B11/B5</f>
        <v>9.4666666666666663E-2</v>
      </c>
      <c r="C12" s="19">
        <f>C11/C5</f>
        <v>8.0666666666666664E-2</v>
      </c>
      <c r="D12" s="73"/>
      <c r="F12" s="54" t="s">
        <v>37</v>
      </c>
      <c r="G12" s="55">
        <f>G6/G11</f>
        <v>0.8</v>
      </c>
      <c r="H12" s="56">
        <f>H6/H11</f>
        <v>0.8</v>
      </c>
      <c r="J12" s="10" t="s">
        <v>84</v>
      </c>
      <c r="K12" s="13">
        <f>B47</f>
        <v>1383.2000000000003</v>
      </c>
      <c r="L12" s="13">
        <f t="shared" si="2"/>
        <v>-66.55101938434845</v>
      </c>
      <c r="M12" s="13">
        <f t="shared" si="2"/>
        <v>-69.545815256644119</v>
      </c>
      <c r="N12" s="13">
        <f t="shared" si="2"/>
        <v>-72.6753769431931</v>
      </c>
      <c r="O12" s="13">
        <f t="shared" si="2"/>
        <v>-75.945768905636797</v>
      </c>
      <c r="P12" s="13">
        <f t="shared" si="2"/>
        <v>-79.363328506390459</v>
      </c>
      <c r="Q12" s="13">
        <f t="shared" si="2"/>
        <v>-82.934678289178024</v>
      </c>
      <c r="R12" s="13">
        <f t="shared" si="2"/>
        <v>-86.666738812191028</v>
      </c>
      <c r="S12" s="13">
        <f t="shared" si="2"/>
        <v>-90.566742058739635</v>
      </c>
      <c r="T12" s="13">
        <f t="shared" si="2"/>
        <v>-94.642245451382905</v>
      </c>
      <c r="U12" s="13">
        <f t="shared" si="2"/>
        <v>-98.901146496695148</v>
      </c>
      <c r="W12" s="31"/>
      <c r="X12" s="31"/>
    </row>
    <row r="13" spans="1:27" x14ac:dyDescent="0.25">
      <c r="A13" s="12" t="s">
        <v>36</v>
      </c>
      <c r="B13" s="15">
        <f>B16/B20*0.8</f>
        <v>9.6000000000000014</v>
      </c>
      <c r="C13" s="15">
        <v>0</v>
      </c>
      <c r="D13" s="73"/>
      <c r="F13" s="64" t="s">
        <v>78</v>
      </c>
      <c r="G13" s="65" t="str">
        <f>G4</f>
        <v>Propr</v>
      </c>
      <c r="H13" s="66" t="str">
        <f>H4</f>
        <v>Loc</v>
      </c>
      <c r="J13" s="10" t="s">
        <v>38</v>
      </c>
      <c r="K13" s="13">
        <f t="shared" ref="K13:U13" si="4">B52</f>
        <v>10.000000000000227</v>
      </c>
      <c r="L13" s="13">
        <f t="shared" si="4"/>
        <v>2.15818061565178</v>
      </c>
      <c r="M13" s="13">
        <f t="shared" si="4"/>
        <v>-8.7402581460371422</v>
      </c>
      <c r="N13" s="13">
        <f t="shared" si="4"/>
        <v>-9.679126652001834</v>
      </c>
      <c r="O13" s="13">
        <f t="shared" si="4"/>
        <v>-10.660244240734947</v>
      </c>
      <c r="P13" s="13">
        <f t="shared" si="4"/>
        <v>-11.685512120961029</v>
      </c>
      <c r="Q13" s="13">
        <f t="shared" si="4"/>
        <v>-12.75691705579731</v>
      </c>
      <c r="R13" s="13">
        <f t="shared" si="4"/>
        <v>-13.876535212701206</v>
      </c>
      <c r="S13" s="13">
        <f t="shared" si="4"/>
        <v>-15.046536186665797</v>
      </c>
      <c r="T13" s="13">
        <f t="shared" si="4"/>
        <v>-16.269187204458767</v>
      </c>
      <c r="U13" s="13">
        <f t="shared" si="4"/>
        <v>-17.546857518052441</v>
      </c>
      <c r="W13" s="31"/>
      <c r="X13" s="31"/>
    </row>
    <row r="14" spans="1:27" x14ac:dyDescent="0.25">
      <c r="A14" s="9" t="s">
        <v>39</v>
      </c>
      <c r="B14" s="21">
        <f>B11-B13</f>
        <v>132.4</v>
      </c>
      <c r="C14" s="8">
        <f>C11-C13</f>
        <v>121</v>
      </c>
      <c r="D14" s="73"/>
      <c r="F14" s="52" t="s">
        <v>79</v>
      </c>
      <c r="G14" s="13">
        <f>G6*B23/(1-(1+B23)^-B22)</f>
        <v>128.79501938434845</v>
      </c>
      <c r="H14" s="49">
        <f>H6*B23/(1-(1+B23)^-B22)</f>
        <v>106.4477054368039</v>
      </c>
      <c r="J14" s="8" t="s">
        <v>32</v>
      </c>
      <c r="K14" s="21">
        <f t="shared" ref="K14:T14" si="5">-K11</f>
        <v>-345.80000000000007</v>
      </c>
      <c r="L14" s="21">
        <f t="shared" si="5"/>
        <v>0</v>
      </c>
      <c r="M14" s="21">
        <f t="shared" si="5"/>
        <v>2.15818061565178</v>
      </c>
      <c r="N14" s="21">
        <f t="shared" si="5"/>
        <v>-8.7402581460371422</v>
      </c>
      <c r="O14" s="21">
        <f t="shared" si="5"/>
        <v>-9.679126652001834</v>
      </c>
      <c r="P14" s="21">
        <f t="shared" si="5"/>
        <v>-10.660244240734947</v>
      </c>
      <c r="Q14" s="21">
        <f t="shared" si="5"/>
        <v>-11.685512120961029</v>
      </c>
      <c r="R14" s="21">
        <f t="shared" si="5"/>
        <v>-12.75691705579731</v>
      </c>
      <c r="S14" s="21">
        <f t="shared" si="5"/>
        <v>-13.876535212701206</v>
      </c>
      <c r="T14" s="21">
        <f t="shared" si="5"/>
        <v>-15.046536186665797</v>
      </c>
      <c r="U14" s="21">
        <f>G20</f>
        <v>1107.246002586347</v>
      </c>
      <c r="W14" s="75"/>
      <c r="X14" s="75"/>
    </row>
    <row r="15" spans="1:27" x14ac:dyDescent="0.25">
      <c r="D15" s="71"/>
      <c r="F15" s="52" t="s">
        <v>80</v>
      </c>
      <c r="G15" s="13">
        <f>G14-G16</f>
        <v>66.55101938434845</v>
      </c>
      <c r="H15" s="49">
        <f>H14-H16</f>
        <v>55.003705436803891</v>
      </c>
    </row>
    <row r="16" spans="1:27" ht="15.75" thickBot="1" x14ac:dyDescent="0.3">
      <c r="A16" s="12" t="s">
        <v>40</v>
      </c>
      <c r="B16" s="15">
        <v>300</v>
      </c>
      <c r="D16" s="25">
        <v>0</v>
      </c>
      <c r="F16" s="67" t="s">
        <v>81</v>
      </c>
      <c r="G16" s="59">
        <f>B23*G6</f>
        <v>62.244000000000007</v>
      </c>
      <c r="H16" s="60">
        <f>B23*H6</f>
        <v>51.44400000000001</v>
      </c>
      <c r="J16" s="41" t="s">
        <v>1</v>
      </c>
      <c r="K16" s="41"/>
      <c r="L16" s="2" t="s">
        <v>2</v>
      </c>
      <c r="M16" s="3" t="s">
        <v>3</v>
      </c>
      <c r="N16" s="3" t="s">
        <v>4</v>
      </c>
      <c r="O16" s="4" t="s">
        <v>5</v>
      </c>
      <c r="P16" s="4" t="s">
        <v>6</v>
      </c>
      <c r="Q16" s="4" t="s">
        <v>7</v>
      </c>
      <c r="R16" s="4" t="s">
        <v>8</v>
      </c>
      <c r="S16" s="4" t="s">
        <v>9</v>
      </c>
      <c r="T16" s="4" t="s">
        <v>10</v>
      </c>
      <c r="U16" s="4" t="s">
        <v>11</v>
      </c>
    </row>
    <row r="17" spans="1:25" x14ac:dyDescent="0.25">
      <c r="A17" s="12" t="s">
        <v>27</v>
      </c>
      <c r="B17" s="44">
        <f>B5*1.1*B24+B18</f>
        <v>1419.0000000000002</v>
      </c>
      <c r="D17" s="73"/>
      <c r="J17" s="9" t="s">
        <v>14</v>
      </c>
      <c r="K17" s="10"/>
      <c r="L17" s="10">
        <f t="shared" ref="L17:U21" si="6">C82</f>
        <v>120.98399999999999</v>
      </c>
      <c r="M17" s="10">
        <f t="shared" si="6"/>
        <v>120.98399999999999</v>
      </c>
      <c r="N17" s="10">
        <f t="shared" si="6"/>
        <v>120.98399999999999</v>
      </c>
      <c r="O17" s="10">
        <f t="shared" si="6"/>
        <v>120.98399999999999</v>
      </c>
      <c r="P17" s="10">
        <f t="shared" si="6"/>
        <v>120.98399999999999</v>
      </c>
      <c r="Q17" s="10">
        <f t="shared" si="6"/>
        <v>120.98399999999999</v>
      </c>
      <c r="R17" s="10">
        <f t="shared" si="6"/>
        <v>120.98399999999999</v>
      </c>
      <c r="S17" s="10">
        <f t="shared" si="6"/>
        <v>120.98399999999999</v>
      </c>
      <c r="T17" s="10">
        <f t="shared" si="6"/>
        <v>120.98399999999999</v>
      </c>
      <c r="U17" s="10">
        <f t="shared" si="6"/>
        <v>120.98399999999999</v>
      </c>
    </row>
    <row r="18" spans="1:25" x14ac:dyDescent="0.25">
      <c r="A18" s="12" t="s">
        <v>30</v>
      </c>
      <c r="B18" s="15">
        <v>0</v>
      </c>
      <c r="D18" s="73"/>
      <c r="G18" s="33" t="str">
        <f>G13</f>
        <v>Propr</v>
      </c>
      <c r="H18" s="33" t="str">
        <f>H13</f>
        <v>Loc</v>
      </c>
      <c r="I18" s="22"/>
      <c r="J18" s="12" t="s">
        <v>17</v>
      </c>
      <c r="K18" s="10"/>
      <c r="L18" s="13">
        <f t="shared" si="6"/>
        <v>-51.44400000000001</v>
      </c>
      <c r="M18" s="13">
        <f t="shared" si="6"/>
        <v>-48.968833255343839</v>
      </c>
      <c r="N18" s="13">
        <f t="shared" si="6"/>
        <v>-46.382284007178143</v>
      </c>
      <c r="O18" s="13">
        <f t="shared" si="6"/>
        <v>-43.679340042844977</v>
      </c>
      <c r="P18" s="13">
        <f t="shared" si="6"/>
        <v>-40.854763600116833</v>
      </c>
      <c r="Q18" s="13">
        <f t="shared" si="6"/>
        <v>-37.90308121746591</v>
      </c>
      <c r="R18" s="13">
        <f t="shared" si="6"/>
        <v>-34.818573127595705</v>
      </c>
      <c r="S18" s="13">
        <f t="shared" si="6"/>
        <v>-31.595262173681338</v>
      </c>
      <c r="T18" s="13">
        <f t="shared" si="6"/>
        <v>-28.226902226840821</v>
      </c>
      <c r="U18" s="13">
        <f t="shared" si="6"/>
        <v>-24.706966082392483</v>
      </c>
    </row>
    <row r="19" spans="1:25" x14ac:dyDescent="0.25">
      <c r="A19" s="12" t="s">
        <v>44</v>
      </c>
      <c r="B19" s="25">
        <v>0.08</v>
      </c>
      <c r="D19" s="73"/>
      <c r="F19" s="24" t="s">
        <v>42</v>
      </c>
      <c r="G19" s="13">
        <f>X11</f>
        <v>1690.2000000000003</v>
      </c>
      <c r="H19" s="13">
        <f>Z11</f>
        <v>1419.0000000000002</v>
      </c>
      <c r="I19" s="22"/>
      <c r="J19" s="9" t="s">
        <v>20</v>
      </c>
      <c r="K19" s="10"/>
      <c r="L19" s="13">
        <f t="shared" si="6"/>
        <v>69.539999999999992</v>
      </c>
      <c r="M19" s="13">
        <f t="shared" si="6"/>
        <v>72.015166744656156</v>
      </c>
      <c r="N19" s="13">
        <f t="shared" si="6"/>
        <v>74.601715992821852</v>
      </c>
      <c r="O19" s="13">
        <f t="shared" si="6"/>
        <v>77.304659957155025</v>
      </c>
      <c r="P19" s="13">
        <f t="shared" si="6"/>
        <v>80.129236399883155</v>
      </c>
      <c r="Q19" s="13">
        <f t="shared" si="6"/>
        <v>83.080918782534084</v>
      </c>
      <c r="R19" s="13">
        <f t="shared" si="6"/>
        <v>86.165426872404282</v>
      </c>
      <c r="S19" s="13">
        <f t="shared" si="6"/>
        <v>89.38873782631866</v>
      </c>
      <c r="T19" s="13">
        <f t="shared" si="6"/>
        <v>92.757097773159174</v>
      </c>
      <c r="U19" s="13">
        <f t="shared" si="6"/>
        <v>96.277033917607511</v>
      </c>
    </row>
    <row r="20" spans="1:25" x14ac:dyDescent="0.25">
      <c r="A20" s="12" t="s">
        <v>46</v>
      </c>
      <c r="B20" s="15">
        <v>25</v>
      </c>
      <c r="D20" s="73" t="s">
        <v>47</v>
      </c>
      <c r="F20" s="8" t="s">
        <v>43</v>
      </c>
      <c r="G20" s="13">
        <f>G19-L56+L61</f>
        <v>1107.246002586347</v>
      </c>
      <c r="H20" s="13">
        <f>H19-L100+L105</f>
        <v>937.35023302249249</v>
      </c>
      <c r="I20" s="22"/>
      <c r="J20" s="12" t="s">
        <v>22</v>
      </c>
      <c r="K20" s="10"/>
      <c r="L20" s="13">
        <f t="shared" si="6"/>
        <v>-20.861999999999998</v>
      </c>
      <c r="M20" s="13">
        <f t="shared" si="6"/>
        <v>-21.604550023396847</v>
      </c>
      <c r="N20" s="13">
        <f t="shared" si="6"/>
        <v>-22.380514797846555</v>
      </c>
      <c r="O20" s="13">
        <f t="shared" si="6"/>
        <v>-23.191397987146505</v>
      </c>
      <c r="P20" s="13">
        <f t="shared" si="6"/>
        <v>-24.038770919964946</v>
      </c>
      <c r="Q20" s="13">
        <f t="shared" si="6"/>
        <v>-24.924275634760225</v>
      </c>
      <c r="R20" s="13">
        <f t="shared" si="6"/>
        <v>-25.849628061721283</v>
      </c>
      <c r="S20" s="13">
        <f t="shared" si="6"/>
        <v>-26.816621347895598</v>
      </c>
      <c r="T20" s="13">
        <f t="shared" si="6"/>
        <v>-27.827129331947752</v>
      </c>
      <c r="U20" s="13">
        <f t="shared" si="6"/>
        <v>-28.883110175282251</v>
      </c>
    </row>
    <row r="21" spans="1:25" x14ac:dyDescent="0.25">
      <c r="A21" s="12" t="s">
        <v>49</v>
      </c>
      <c r="B21" s="28">
        <v>0.2</v>
      </c>
      <c r="D21" s="73"/>
      <c r="F21" s="9" t="s">
        <v>45</v>
      </c>
      <c r="G21" s="26">
        <f>IRR(K14:U14)</f>
        <v>0.11076973361164444</v>
      </c>
      <c r="H21" s="26">
        <f>IRR(K26:U26)</f>
        <v>0.11441035860460502</v>
      </c>
      <c r="I21" s="71">
        <f>H21-G21</f>
        <v>3.6406249929605838E-3</v>
      </c>
      <c r="J21" s="9" t="s">
        <v>25</v>
      </c>
      <c r="K21" s="10"/>
      <c r="L21" s="13">
        <f t="shared" si="6"/>
        <v>48.677999999999997</v>
      </c>
      <c r="M21" s="13">
        <f t="shared" si="6"/>
        <v>50.410616721259309</v>
      </c>
      <c r="N21" s="13">
        <f t="shared" si="6"/>
        <v>52.221201194975293</v>
      </c>
      <c r="O21" s="13">
        <f t="shared" si="6"/>
        <v>54.113261970008523</v>
      </c>
      <c r="P21" s="13">
        <f t="shared" si="6"/>
        <v>56.090465479918208</v>
      </c>
      <c r="Q21" s="13">
        <f t="shared" si="6"/>
        <v>58.156643147773863</v>
      </c>
      <c r="R21" s="13">
        <f t="shared" si="6"/>
        <v>60.315798810682999</v>
      </c>
      <c r="S21" s="13">
        <f t="shared" si="6"/>
        <v>62.572116478423062</v>
      </c>
      <c r="T21" s="13">
        <f t="shared" si="6"/>
        <v>64.929968441211429</v>
      </c>
      <c r="U21" s="13">
        <f t="shared" si="6"/>
        <v>67.393923742325256</v>
      </c>
    </row>
    <row r="22" spans="1:25" x14ac:dyDescent="0.25">
      <c r="A22" s="12" t="s">
        <v>50</v>
      </c>
      <c r="B22" s="15">
        <v>15</v>
      </c>
      <c r="D22" s="73"/>
      <c r="F22" s="27" t="s">
        <v>82</v>
      </c>
      <c r="G22" s="44">
        <f>SUM(K14:U14)</f>
        <v>681.15905358709938</v>
      </c>
      <c r="H22" s="44">
        <f>SUM(K26:U26)</f>
        <v>588.17283075532941</v>
      </c>
      <c r="I22" s="36">
        <f t="shared" ref="I22:I26" si="7">H22-G22</f>
        <v>-92.986222831769965</v>
      </c>
      <c r="J22" s="10" t="s">
        <v>28</v>
      </c>
      <c r="K22" s="10"/>
      <c r="L22" s="13">
        <f t="shared" ref="L22:U24" si="8">C89</f>
        <v>48.677999999999997</v>
      </c>
      <c r="M22" s="13">
        <f t="shared" si="8"/>
        <v>50.410616721259309</v>
      </c>
      <c r="N22" s="13">
        <f t="shared" si="8"/>
        <v>52.221201194975293</v>
      </c>
      <c r="O22" s="13">
        <f t="shared" si="8"/>
        <v>54.113261970008523</v>
      </c>
      <c r="P22" s="13">
        <f t="shared" si="8"/>
        <v>56.090465479918208</v>
      </c>
      <c r="Q22" s="13">
        <f t="shared" si="8"/>
        <v>58.156643147773863</v>
      </c>
      <c r="R22" s="13">
        <f t="shared" si="8"/>
        <v>60.315798810682999</v>
      </c>
      <c r="S22" s="13">
        <f t="shared" si="8"/>
        <v>62.572116478423062</v>
      </c>
      <c r="T22" s="13">
        <f t="shared" si="8"/>
        <v>64.929968441211429</v>
      </c>
      <c r="U22" s="13">
        <f t="shared" si="8"/>
        <v>67.393923742325256</v>
      </c>
    </row>
    <row r="23" spans="1:25" x14ac:dyDescent="0.25">
      <c r="A23" s="12" t="s">
        <v>51</v>
      </c>
      <c r="B23" s="29">
        <v>4.4999999999999998E-2</v>
      </c>
      <c r="D23" s="73"/>
      <c r="F23" s="9" t="s">
        <v>52</v>
      </c>
      <c r="G23" s="13">
        <f>Y11</f>
        <v>1675.8000000000002</v>
      </c>
      <c r="H23" s="13">
        <f>AA11</f>
        <v>1419.0000000000002</v>
      </c>
      <c r="I23" s="36">
        <f t="shared" si="7"/>
        <v>-256.79999999999995</v>
      </c>
      <c r="J23" s="10" t="str">
        <f>J11</f>
        <v>Dividendes</v>
      </c>
      <c r="K23" s="13">
        <f>B90</f>
        <v>285.80000000000007</v>
      </c>
      <c r="L23" s="13">
        <f t="shared" si="8"/>
        <v>0</v>
      </c>
      <c r="M23" s="13">
        <f t="shared" si="8"/>
        <v>-3.6742945631963337</v>
      </c>
      <c r="N23" s="13">
        <f t="shared" si="8"/>
        <v>7.0682554602007528</v>
      </c>
      <c r="O23" s="13">
        <f t="shared" si="8"/>
        <v>7.8442202346504644</v>
      </c>
      <c r="P23" s="13">
        <f t="shared" si="8"/>
        <v>8.6551034239504006</v>
      </c>
      <c r="Q23" s="13">
        <f t="shared" si="8"/>
        <v>9.5024763567688453</v>
      </c>
      <c r="R23" s="13">
        <f t="shared" si="8"/>
        <v>10.387981071564134</v>
      </c>
      <c r="S23" s="13">
        <f t="shared" si="8"/>
        <v>11.313333498525189</v>
      </c>
      <c r="T23" s="13">
        <f t="shared" si="8"/>
        <v>12.280326784699504</v>
      </c>
      <c r="U23" s="13">
        <f t="shared" si="8"/>
        <v>13.290834768751658</v>
      </c>
    </row>
    <row r="24" spans="1:25" x14ac:dyDescent="0.25">
      <c r="A24" s="12" t="s">
        <v>74</v>
      </c>
      <c r="B24" s="40">
        <v>0.86</v>
      </c>
      <c r="D24" s="73"/>
      <c r="F24" s="9" t="s">
        <v>53</v>
      </c>
      <c r="G24" s="13">
        <f>G23-Q56+Q61</f>
        <v>1650.9488397177504</v>
      </c>
      <c r="H24" s="13">
        <f>H23-Q100+Q105</f>
        <v>1398.6162563080768</v>
      </c>
      <c r="I24" s="36">
        <f t="shared" si="7"/>
        <v>-252.33258340967359</v>
      </c>
      <c r="J24" s="10" t="str">
        <f>J12</f>
        <v>Rbst defi</v>
      </c>
      <c r="K24" s="13">
        <f>B91</f>
        <v>1143.2000000000003</v>
      </c>
      <c r="L24" s="13">
        <f t="shared" si="8"/>
        <v>-55.003705436803891</v>
      </c>
      <c r="M24" s="13">
        <f t="shared" si="8"/>
        <v>-57.478872181460062</v>
      </c>
      <c r="N24" s="13">
        <f t="shared" si="8"/>
        <v>-60.065421429625758</v>
      </c>
      <c r="O24" s="13">
        <f t="shared" si="8"/>
        <v>-62.768365393958923</v>
      </c>
      <c r="P24" s="13">
        <f t="shared" si="8"/>
        <v>-65.592941836687061</v>
      </c>
      <c r="Q24" s="13">
        <f t="shared" si="8"/>
        <v>-68.54462421933799</v>
      </c>
      <c r="R24" s="13">
        <f t="shared" si="8"/>
        <v>-71.629132309208188</v>
      </c>
      <c r="S24" s="13">
        <f t="shared" si="8"/>
        <v>-74.852443263122566</v>
      </c>
      <c r="T24" s="13">
        <f t="shared" si="8"/>
        <v>-78.22080320996308</v>
      </c>
      <c r="U24" s="13">
        <f t="shared" si="8"/>
        <v>-81.740739354411417</v>
      </c>
    </row>
    <row r="25" spans="1:25" x14ac:dyDescent="0.25">
      <c r="A25" s="12" t="s">
        <v>54</v>
      </c>
      <c r="B25" s="28">
        <v>0.3</v>
      </c>
      <c r="D25" s="73"/>
      <c r="F25" s="9" t="s">
        <v>55</v>
      </c>
      <c r="G25" s="26">
        <f>B70</f>
        <v>9.3920971734369196E-2</v>
      </c>
      <c r="H25" s="26">
        <f>B114</f>
        <v>9.6549312238027207E-2</v>
      </c>
      <c r="I25" s="71">
        <f t="shared" si="7"/>
        <v>2.628340503658011E-3</v>
      </c>
      <c r="J25" s="10" t="s">
        <v>38</v>
      </c>
      <c r="K25" s="13">
        <f t="shared" ref="K25:U25" si="9">B96</f>
        <v>10.000000000000227</v>
      </c>
      <c r="L25" s="13">
        <f t="shared" si="9"/>
        <v>3.6742945631963337</v>
      </c>
      <c r="M25" s="13">
        <f t="shared" si="9"/>
        <v>-7.0682554602007528</v>
      </c>
      <c r="N25" s="13">
        <f t="shared" si="9"/>
        <v>-7.8442202346504644</v>
      </c>
      <c r="O25" s="13">
        <f t="shared" si="9"/>
        <v>-8.6551034239504006</v>
      </c>
      <c r="P25" s="13">
        <f t="shared" si="9"/>
        <v>-9.5024763567688453</v>
      </c>
      <c r="Q25" s="13">
        <f t="shared" si="9"/>
        <v>-10.387981071564134</v>
      </c>
      <c r="R25" s="13">
        <f t="shared" si="9"/>
        <v>-11.313333498525189</v>
      </c>
      <c r="S25" s="13">
        <f t="shared" si="9"/>
        <v>-12.280326784699504</v>
      </c>
      <c r="T25" s="13">
        <f t="shared" si="9"/>
        <v>-13.290834768751658</v>
      </c>
      <c r="U25" s="13">
        <f t="shared" si="9"/>
        <v>-14.346815612086154</v>
      </c>
    </row>
    <row r="26" spans="1:25" x14ac:dyDescent="0.25">
      <c r="A26" s="10" t="s">
        <v>18</v>
      </c>
      <c r="B26" s="72">
        <v>0.27</v>
      </c>
      <c r="D26" s="25"/>
      <c r="F26" s="11" t="s">
        <v>48</v>
      </c>
      <c r="G26" s="44">
        <f>SUM(B69:Q69)</f>
        <v>1106.8922964643446</v>
      </c>
      <c r="H26" s="44">
        <f>SUM(B113:Q113)</f>
        <v>952.87109291356137</v>
      </c>
      <c r="I26" s="36">
        <f t="shared" si="7"/>
        <v>-154.02120355078318</v>
      </c>
      <c r="J26" s="8" t="s">
        <v>32</v>
      </c>
      <c r="K26" s="21">
        <f t="shared" ref="K26:T26" si="10">-K23</f>
        <v>-285.80000000000007</v>
      </c>
      <c r="L26" s="21">
        <f t="shared" si="10"/>
        <v>0</v>
      </c>
      <c r="M26" s="21">
        <f t="shared" si="10"/>
        <v>3.6742945631963337</v>
      </c>
      <c r="N26" s="21">
        <f t="shared" si="10"/>
        <v>-7.0682554602007528</v>
      </c>
      <c r="O26" s="21">
        <f t="shared" si="10"/>
        <v>-7.8442202346504644</v>
      </c>
      <c r="P26" s="21">
        <f t="shared" si="10"/>
        <v>-8.6551034239504006</v>
      </c>
      <c r="Q26" s="21">
        <f t="shared" si="10"/>
        <v>-9.5024763567688453</v>
      </c>
      <c r="R26" s="21">
        <f t="shared" si="10"/>
        <v>-10.387981071564134</v>
      </c>
      <c r="S26" s="21">
        <f t="shared" si="10"/>
        <v>-11.313333498525189</v>
      </c>
      <c r="T26" s="21">
        <f t="shared" si="10"/>
        <v>-12.280326784699504</v>
      </c>
      <c r="U26" s="21">
        <f>H20</f>
        <v>937.35023302249249</v>
      </c>
    </row>
    <row r="27" spans="1:25" x14ac:dyDescent="0.25">
      <c r="A27" s="30" t="str">
        <f>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  <c r="B27" s="88"/>
      <c r="C27" s="30"/>
      <c r="J27" s="31"/>
      <c r="K27" s="32"/>
      <c r="L27" s="32"/>
      <c r="M27" s="32"/>
    </row>
    <row r="28" spans="1:25" x14ac:dyDescent="0.25">
      <c r="A28" s="38" t="s">
        <v>71</v>
      </c>
      <c r="C28" s="23" t="s">
        <v>2</v>
      </c>
      <c r="D28" s="33" t="s">
        <v>3</v>
      </c>
      <c r="E28" s="33" t="s">
        <v>4</v>
      </c>
      <c r="F28" s="5" t="s">
        <v>5</v>
      </c>
      <c r="G28" s="5" t="s">
        <v>6</v>
      </c>
      <c r="H28" s="5" t="s">
        <v>7</v>
      </c>
      <c r="I28" s="5" t="s">
        <v>8</v>
      </c>
      <c r="J28" s="5" t="s">
        <v>9</v>
      </c>
      <c r="K28" s="5" t="s">
        <v>10</v>
      </c>
      <c r="L28" s="5" t="s">
        <v>11</v>
      </c>
      <c r="M28" s="5" t="s">
        <v>56</v>
      </c>
      <c r="N28" s="5" t="s">
        <v>57</v>
      </c>
      <c r="O28" s="5" t="s">
        <v>58</v>
      </c>
      <c r="P28" s="5" t="s">
        <v>59</v>
      </c>
      <c r="Q28" s="5" t="s">
        <v>60</v>
      </c>
    </row>
    <row r="29" spans="1:25" x14ac:dyDescent="0.25">
      <c r="A29" s="8" t="s">
        <v>15</v>
      </c>
      <c r="B29" s="10"/>
      <c r="C29" s="13">
        <f t="shared" ref="C29:C37" si="11">B5</f>
        <v>1500</v>
      </c>
      <c r="D29" s="13">
        <f>C29*(1+$D$5)</f>
        <v>1500</v>
      </c>
      <c r="E29" s="13">
        <f t="shared" ref="E29:Q29" si="12">D29*(1+$D$5)</f>
        <v>1500</v>
      </c>
      <c r="F29" s="13">
        <f t="shared" si="12"/>
        <v>1500</v>
      </c>
      <c r="G29" s="13">
        <f t="shared" si="12"/>
        <v>1500</v>
      </c>
      <c r="H29" s="13">
        <f t="shared" si="12"/>
        <v>1500</v>
      </c>
      <c r="I29" s="13">
        <f t="shared" si="12"/>
        <v>1500</v>
      </c>
      <c r="J29" s="13">
        <f t="shared" si="12"/>
        <v>1500</v>
      </c>
      <c r="K29" s="13">
        <f t="shared" si="12"/>
        <v>1500</v>
      </c>
      <c r="L29" s="13">
        <f t="shared" si="12"/>
        <v>1500</v>
      </c>
      <c r="M29" s="13">
        <f t="shared" si="12"/>
        <v>1500</v>
      </c>
      <c r="N29" s="13">
        <f t="shared" si="12"/>
        <v>1500</v>
      </c>
      <c r="O29" s="13">
        <f t="shared" si="12"/>
        <v>1500</v>
      </c>
      <c r="P29" s="13">
        <f t="shared" si="12"/>
        <v>1500</v>
      </c>
      <c r="Q29" s="13">
        <f t="shared" si="12"/>
        <v>1500</v>
      </c>
    </row>
    <row r="30" spans="1:25" x14ac:dyDescent="0.25">
      <c r="A30" s="10" t="s">
        <v>18</v>
      </c>
      <c r="B30" s="13"/>
      <c r="C30" s="13">
        <f>C29*$B$26</f>
        <v>405</v>
      </c>
      <c r="D30" s="13">
        <f>D29*($B$26+$D$26/14)</f>
        <v>405</v>
      </c>
      <c r="E30" s="13">
        <f>E29*($B$26+2*$D$26/14)</f>
        <v>405</v>
      </c>
      <c r="F30" s="13">
        <f>F29*($B$26+3*$D$26/14)</f>
        <v>405</v>
      </c>
      <c r="G30" s="13">
        <f>G29*($B$26+4*$D$26/14)</f>
        <v>405</v>
      </c>
      <c r="H30" s="13">
        <f>H29*($B$26+5*$D$26/14)</f>
        <v>405</v>
      </c>
      <c r="I30" s="13">
        <f>I29*($B$26+6*$D$26/14)</f>
        <v>405</v>
      </c>
      <c r="J30" s="13">
        <f>J29*($B$26+7*$D$26/14)</f>
        <v>405</v>
      </c>
      <c r="K30" s="13">
        <f>K29*($B$26+8*$D$26/14)</f>
        <v>405</v>
      </c>
      <c r="L30" s="13">
        <f>L29*($B$26+9*$D$26/14)</f>
        <v>405</v>
      </c>
      <c r="M30" s="13">
        <f>M29*($B$26+10*$D$26/14)</f>
        <v>405</v>
      </c>
      <c r="N30" s="13">
        <f>N29*($B$26+11*$D$26/14)</f>
        <v>405</v>
      </c>
      <c r="O30" s="13">
        <f>O29*($B$26+12*$D$26/14)</f>
        <v>405</v>
      </c>
      <c r="P30" s="13">
        <f>P29*($B$26+13*$D$26/14)</f>
        <v>405</v>
      </c>
      <c r="Q30" s="13">
        <f>Q29*($B$26+$D$26)</f>
        <v>405</v>
      </c>
      <c r="R30" s="83"/>
      <c r="S30" s="31"/>
      <c r="U30" s="31"/>
      <c r="V30" s="84"/>
      <c r="W30" s="31"/>
      <c r="X30" s="31"/>
      <c r="Y30" s="31"/>
    </row>
    <row r="31" spans="1:25" x14ac:dyDescent="0.25">
      <c r="A31" s="10" t="s">
        <v>21</v>
      </c>
      <c r="B31" s="13"/>
      <c r="C31" s="13">
        <f t="shared" si="11"/>
        <v>260</v>
      </c>
      <c r="D31" s="13">
        <f>C31*(1+$D$7)</f>
        <v>260</v>
      </c>
      <c r="E31" s="13">
        <f t="shared" ref="E31:Q31" si="13">D31*(1+$D$7)</f>
        <v>260</v>
      </c>
      <c r="F31" s="13">
        <f t="shared" si="13"/>
        <v>260</v>
      </c>
      <c r="G31" s="13">
        <f t="shared" si="13"/>
        <v>260</v>
      </c>
      <c r="H31" s="13">
        <f t="shared" si="13"/>
        <v>260</v>
      </c>
      <c r="I31" s="13">
        <f t="shared" si="13"/>
        <v>260</v>
      </c>
      <c r="J31" s="13">
        <f t="shared" si="13"/>
        <v>260</v>
      </c>
      <c r="K31" s="13">
        <f t="shared" si="13"/>
        <v>260</v>
      </c>
      <c r="L31" s="13">
        <f t="shared" si="13"/>
        <v>260</v>
      </c>
      <c r="M31" s="13">
        <f t="shared" si="13"/>
        <v>260</v>
      </c>
      <c r="N31" s="13">
        <f t="shared" si="13"/>
        <v>260</v>
      </c>
      <c r="O31" s="13">
        <f t="shared" si="13"/>
        <v>260</v>
      </c>
      <c r="P31" s="13">
        <f t="shared" si="13"/>
        <v>260</v>
      </c>
      <c r="Q31" s="13">
        <f t="shared" si="13"/>
        <v>260</v>
      </c>
      <c r="U31" s="31"/>
      <c r="V31" s="31"/>
      <c r="W31" s="31"/>
      <c r="X31" s="31"/>
      <c r="Y31" s="31"/>
    </row>
    <row r="32" spans="1:25" x14ac:dyDescent="0.25">
      <c r="A32" s="10" t="s">
        <v>23</v>
      </c>
      <c r="B32" s="10"/>
      <c r="C32" s="13">
        <f t="shared" si="11"/>
        <v>0</v>
      </c>
      <c r="D32" s="13">
        <f t="shared" ref="D32:Q37" si="14">C32</f>
        <v>0</v>
      </c>
      <c r="E32" s="13">
        <f t="shared" si="14"/>
        <v>0</v>
      </c>
      <c r="F32" s="13">
        <f t="shared" si="14"/>
        <v>0</v>
      </c>
      <c r="G32" s="13">
        <f t="shared" si="14"/>
        <v>0</v>
      </c>
      <c r="H32" s="13">
        <f t="shared" si="14"/>
        <v>0</v>
      </c>
      <c r="I32" s="13">
        <f t="shared" si="14"/>
        <v>0</v>
      </c>
      <c r="J32" s="13">
        <f t="shared" si="14"/>
        <v>0</v>
      </c>
      <c r="K32" s="13">
        <f t="shared" si="14"/>
        <v>0</v>
      </c>
      <c r="L32" s="13">
        <f t="shared" si="14"/>
        <v>0</v>
      </c>
      <c r="M32" s="13">
        <f t="shared" si="14"/>
        <v>0</v>
      </c>
      <c r="N32" s="13">
        <f t="shared" si="14"/>
        <v>0</v>
      </c>
      <c r="O32" s="13">
        <f t="shared" si="14"/>
        <v>0</v>
      </c>
      <c r="P32" s="13">
        <f t="shared" si="14"/>
        <v>0</v>
      </c>
      <c r="Q32" s="13">
        <f t="shared" si="14"/>
        <v>0</v>
      </c>
      <c r="U32" s="31"/>
      <c r="V32" s="31"/>
      <c r="W32" s="31"/>
      <c r="X32" s="31"/>
      <c r="Y32" s="31"/>
    </row>
    <row r="33" spans="1:26" x14ac:dyDescent="0.25">
      <c r="A33" s="10" t="s">
        <v>26</v>
      </c>
      <c r="B33" s="10"/>
      <c r="C33" s="13">
        <f t="shared" si="11"/>
        <v>0</v>
      </c>
      <c r="D33" s="74">
        <f t="shared" si="14"/>
        <v>0</v>
      </c>
      <c r="E33" s="74">
        <f t="shared" si="14"/>
        <v>0</v>
      </c>
      <c r="F33" s="74">
        <f t="shared" si="14"/>
        <v>0</v>
      </c>
      <c r="G33" s="74">
        <f t="shared" si="14"/>
        <v>0</v>
      </c>
      <c r="H33" s="74">
        <f t="shared" si="14"/>
        <v>0</v>
      </c>
      <c r="I33" s="74">
        <f t="shared" si="14"/>
        <v>0</v>
      </c>
      <c r="J33" s="74">
        <f t="shared" si="14"/>
        <v>0</v>
      </c>
      <c r="K33" s="74">
        <f t="shared" si="14"/>
        <v>0</v>
      </c>
      <c r="L33" s="74">
        <f t="shared" si="14"/>
        <v>0</v>
      </c>
      <c r="M33" s="74">
        <f t="shared" si="14"/>
        <v>0</v>
      </c>
      <c r="N33" s="74">
        <f t="shared" si="14"/>
        <v>0</v>
      </c>
      <c r="O33" s="74">
        <f t="shared" si="14"/>
        <v>0</v>
      </c>
      <c r="P33" s="74">
        <f t="shared" si="14"/>
        <v>0</v>
      </c>
      <c r="Q33" s="74">
        <f t="shared" si="14"/>
        <v>0</v>
      </c>
    </row>
    <row r="34" spans="1:26" x14ac:dyDescent="0.25">
      <c r="A34" s="17" t="s">
        <v>29</v>
      </c>
      <c r="B34" s="10"/>
      <c r="C34" s="13">
        <f t="shared" si="11"/>
        <v>3</v>
      </c>
      <c r="D34" s="13">
        <f>C34*(1+$D$10)</f>
        <v>3</v>
      </c>
      <c r="E34" s="13">
        <f t="shared" ref="E34:Q34" si="15">D34*(1+$D$10)</f>
        <v>3</v>
      </c>
      <c r="F34" s="13">
        <f t="shared" si="15"/>
        <v>3</v>
      </c>
      <c r="G34" s="13">
        <f t="shared" si="15"/>
        <v>3</v>
      </c>
      <c r="H34" s="13">
        <f t="shared" si="15"/>
        <v>3</v>
      </c>
      <c r="I34" s="13">
        <f t="shared" si="15"/>
        <v>3</v>
      </c>
      <c r="J34" s="13">
        <f t="shared" si="15"/>
        <v>3</v>
      </c>
      <c r="K34" s="13">
        <f t="shared" si="15"/>
        <v>3</v>
      </c>
      <c r="L34" s="13">
        <f t="shared" si="15"/>
        <v>3</v>
      </c>
      <c r="M34" s="13">
        <f t="shared" si="15"/>
        <v>3</v>
      </c>
      <c r="N34" s="13">
        <f t="shared" si="15"/>
        <v>3</v>
      </c>
      <c r="O34" s="13">
        <f t="shared" si="15"/>
        <v>3</v>
      </c>
      <c r="P34" s="13">
        <f t="shared" si="15"/>
        <v>3</v>
      </c>
      <c r="Q34" s="13">
        <f t="shared" si="15"/>
        <v>3</v>
      </c>
    </row>
    <row r="35" spans="1:26" x14ac:dyDescent="0.25">
      <c r="A35" s="8" t="s">
        <v>31</v>
      </c>
      <c r="B35" s="10"/>
      <c r="C35" s="13">
        <f>C30-C31-C32-C33-C34</f>
        <v>142</v>
      </c>
      <c r="D35" s="13">
        <f t="shared" ref="D35:Q35" si="16">D30-D31-D32-D33-D34</f>
        <v>142</v>
      </c>
      <c r="E35" s="13">
        <f t="shared" si="16"/>
        <v>142</v>
      </c>
      <c r="F35" s="13">
        <f t="shared" si="16"/>
        <v>142</v>
      </c>
      <c r="G35" s="13">
        <f t="shared" si="16"/>
        <v>142</v>
      </c>
      <c r="H35" s="13">
        <f t="shared" si="16"/>
        <v>142</v>
      </c>
      <c r="I35" s="13">
        <f t="shared" si="16"/>
        <v>142</v>
      </c>
      <c r="J35" s="13">
        <f t="shared" si="16"/>
        <v>142</v>
      </c>
      <c r="K35" s="13">
        <f t="shared" si="16"/>
        <v>142</v>
      </c>
      <c r="L35" s="13">
        <f t="shared" si="16"/>
        <v>142</v>
      </c>
      <c r="M35" s="13">
        <f t="shared" si="16"/>
        <v>142</v>
      </c>
      <c r="N35" s="13">
        <f t="shared" si="16"/>
        <v>142</v>
      </c>
      <c r="O35" s="13">
        <f t="shared" si="16"/>
        <v>142</v>
      </c>
      <c r="P35" s="13">
        <f t="shared" si="16"/>
        <v>142</v>
      </c>
      <c r="Q35" s="13">
        <f t="shared" si="16"/>
        <v>142</v>
      </c>
    </row>
    <row r="36" spans="1:26" x14ac:dyDescent="0.25">
      <c r="A36" s="10" t="s">
        <v>33</v>
      </c>
      <c r="B36" s="10"/>
      <c r="C36" s="16">
        <f>C35/C29</f>
        <v>9.4666666666666663E-2</v>
      </c>
      <c r="D36" s="16">
        <f t="shared" si="14"/>
        <v>9.4666666666666663E-2</v>
      </c>
      <c r="E36" s="16">
        <f t="shared" si="14"/>
        <v>9.4666666666666663E-2</v>
      </c>
      <c r="F36" s="16">
        <f t="shared" si="14"/>
        <v>9.4666666666666663E-2</v>
      </c>
      <c r="G36" s="16">
        <f t="shared" si="14"/>
        <v>9.4666666666666663E-2</v>
      </c>
      <c r="H36" s="16">
        <f t="shared" si="14"/>
        <v>9.4666666666666663E-2</v>
      </c>
      <c r="I36" s="16">
        <f t="shared" si="14"/>
        <v>9.4666666666666663E-2</v>
      </c>
      <c r="J36" s="16">
        <f t="shared" si="14"/>
        <v>9.4666666666666663E-2</v>
      </c>
      <c r="K36" s="16">
        <f t="shared" si="14"/>
        <v>9.4666666666666663E-2</v>
      </c>
      <c r="L36" s="16">
        <f t="shared" si="14"/>
        <v>9.4666666666666663E-2</v>
      </c>
      <c r="M36" s="16">
        <f t="shared" si="14"/>
        <v>9.4666666666666663E-2</v>
      </c>
      <c r="N36" s="16">
        <f t="shared" si="14"/>
        <v>9.4666666666666663E-2</v>
      </c>
      <c r="O36" s="16">
        <f t="shared" si="14"/>
        <v>9.4666666666666663E-2</v>
      </c>
      <c r="P36" s="16">
        <f t="shared" si="14"/>
        <v>9.4666666666666663E-2</v>
      </c>
      <c r="Q36" s="16">
        <f t="shared" si="14"/>
        <v>9.4666666666666663E-2</v>
      </c>
    </row>
    <row r="37" spans="1:26" x14ac:dyDescent="0.25">
      <c r="A37" s="12" t="s">
        <v>36</v>
      </c>
      <c r="B37" s="10"/>
      <c r="C37" s="13">
        <f t="shared" si="11"/>
        <v>9.6000000000000014</v>
      </c>
      <c r="D37" s="13">
        <f t="shared" si="14"/>
        <v>9.6000000000000014</v>
      </c>
      <c r="E37" s="13">
        <f t="shared" si="14"/>
        <v>9.6000000000000014</v>
      </c>
      <c r="F37" s="13">
        <f t="shared" si="14"/>
        <v>9.6000000000000014</v>
      </c>
      <c r="G37" s="13">
        <f t="shared" si="14"/>
        <v>9.6000000000000014</v>
      </c>
      <c r="H37" s="13">
        <f t="shared" si="14"/>
        <v>9.6000000000000014</v>
      </c>
      <c r="I37" s="13">
        <f t="shared" si="14"/>
        <v>9.6000000000000014</v>
      </c>
      <c r="J37" s="13">
        <f t="shared" si="14"/>
        <v>9.6000000000000014</v>
      </c>
      <c r="K37" s="13">
        <f t="shared" si="14"/>
        <v>9.6000000000000014</v>
      </c>
      <c r="L37" s="13">
        <f t="shared" si="14"/>
        <v>9.6000000000000014</v>
      </c>
      <c r="M37" s="13">
        <f t="shared" si="14"/>
        <v>9.6000000000000014</v>
      </c>
      <c r="N37" s="13">
        <f t="shared" si="14"/>
        <v>9.6000000000000014</v>
      </c>
      <c r="O37" s="13">
        <f t="shared" si="14"/>
        <v>9.6000000000000014</v>
      </c>
      <c r="P37" s="13">
        <f t="shared" si="14"/>
        <v>9.6000000000000014</v>
      </c>
      <c r="Q37" s="13">
        <f t="shared" si="14"/>
        <v>9.6000000000000014</v>
      </c>
    </row>
    <row r="38" spans="1:26" x14ac:dyDescent="0.25">
      <c r="A38" s="9" t="s">
        <v>39</v>
      </c>
      <c r="B38" s="10"/>
      <c r="C38" s="13">
        <f>C35-C37</f>
        <v>132.4</v>
      </c>
      <c r="D38" s="13">
        <f t="shared" ref="D38:Q38" si="17">D35-D37</f>
        <v>132.4</v>
      </c>
      <c r="E38" s="13">
        <f t="shared" si="17"/>
        <v>132.4</v>
      </c>
      <c r="F38" s="13">
        <f t="shared" si="17"/>
        <v>132.4</v>
      </c>
      <c r="G38" s="13">
        <f t="shared" si="17"/>
        <v>132.4</v>
      </c>
      <c r="H38" s="13">
        <f t="shared" si="17"/>
        <v>132.4</v>
      </c>
      <c r="I38" s="13">
        <f t="shared" si="17"/>
        <v>132.4</v>
      </c>
      <c r="J38" s="13">
        <f t="shared" si="17"/>
        <v>132.4</v>
      </c>
      <c r="K38" s="13">
        <f t="shared" si="17"/>
        <v>132.4</v>
      </c>
      <c r="L38" s="13">
        <f t="shared" si="17"/>
        <v>132.4</v>
      </c>
      <c r="M38" s="13">
        <f t="shared" si="17"/>
        <v>132.4</v>
      </c>
      <c r="N38" s="13">
        <f t="shared" si="17"/>
        <v>132.4</v>
      </c>
      <c r="O38" s="13">
        <f t="shared" si="17"/>
        <v>132.4</v>
      </c>
      <c r="P38" s="13">
        <f t="shared" si="17"/>
        <v>132.4</v>
      </c>
      <c r="Q38" s="13">
        <f t="shared" si="17"/>
        <v>132.4</v>
      </c>
    </row>
    <row r="39" spans="1:26" x14ac:dyDescent="0.25">
      <c r="A39" s="12" t="s">
        <v>62</v>
      </c>
      <c r="B39" s="34">
        <f>B23</f>
        <v>4.4999999999999998E-2</v>
      </c>
      <c r="C39" s="13">
        <f t="shared" ref="C39:Q39" si="18">-$B$83*(B56)</f>
        <v>-62.244000000000007</v>
      </c>
      <c r="D39" s="13">
        <f t="shared" si="18"/>
        <v>-59.249204127704331</v>
      </c>
      <c r="E39" s="13">
        <f t="shared" si="18"/>
        <v>-56.119642441155349</v>
      </c>
      <c r="F39" s="13">
        <f t="shared" si="18"/>
        <v>-52.849250478711653</v>
      </c>
      <c r="G39" s="13">
        <f t="shared" si="18"/>
        <v>-49.43169087795799</v>
      </c>
      <c r="H39" s="13">
        <f t="shared" si="18"/>
        <v>-45.860341095170426</v>
      </c>
      <c r="I39" s="13">
        <f t="shared" si="18"/>
        <v>-42.128280572157415</v>
      </c>
      <c r="J39" s="13">
        <f t="shared" si="18"/>
        <v>-38.228277325608815</v>
      </c>
      <c r="K39" s="13">
        <f t="shared" si="18"/>
        <v>-34.152773932965538</v>
      </c>
      <c r="L39" s="13">
        <f t="shared" si="18"/>
        <v>-29.893872887653306</v>
      </c>
      <c r="M39" s="13">
        <f t="shared" si="18"/>
        <v>-25.443321295302027</v>
      </c>
      <c r="N39" s="13">
        <f t="shared" si="18"/>
        <v>-20.792494881294939</v>
      </c>
      <c r="O39" s="13">
        <f t="shared" si="18"/>
        <v>-15.93238127865753</v>
      </c>
      <c r="P39" s="13">
        <f t="shared" si="18"/>
        <v>-10.853562563901439</v>
      </c>
      <c r="Q39" s="13">
        <f t="shared" si="18"/>
        <v>-5.5461970069813242</v>
      </c>
    </row>
    <row r="40" spans="1:26" x14ac:dyDescent="0.25">
      <c r="A40" s="9" t="s">
        <v>20</v>
      </c>
      <c r="B40" s="10"/>
      <c r="C40" s="13">
        <f>C38+C39</f>
        <v>70.156000000000006</v>
      </c>
      <c r="D40" s="13">
        <f t="shared" ref="D40:Q40" si="19">D38+D39</f>
        <v>73.150795872295674</v>
      </c>
      <c r="E40" s="13">
        <f t="shared" si="19"/>
        <v>76.280357558844656</v>
      </c>
      <c r="F40" s="13">
        <f t="shared" si="19"/>
        <v>79.550749521288353</v>
      </c>
      <c r="G40" s="13">
        <f t="shared" si="19"/>
        <v>82.968309122042015</v>
      </c>
      <c r="H40" s="13">
        <f t="shared" si="19"/>
        <v>86.539658904829579</v>
      </c>
      <c r="I40" s="13">
        <f t="shared" si="19"/>
        <v>90.271719427842584</v>
      </c>
      <c r="J40" s="13">
        <f t="shared" si="19"/>
        <v>94.171722674391191</v>
      </c>
      <c r="K40" s="13">
        <f t="shared" si="19"/>
        <v>98.247226067034461</v>
      </c>
      <c r="L40" s="13">
        <f t="shared" si="19"/>
        <v>102.5061271123467</v>
      </c>
      <c r="M40" s="13">
        <f t="shared" si="19"/>
        <v>106.95667870469798</v>
      </c>
      <c r="N40" s="13">
        <f t="shared" si="19"/>
        <v>111.60750511870506</v>
      </c>
      <c r="O40" s="13">
        <f t="shared" si="19"/>
        <v>116.46761872134248</v>
      </c>
      <c r="P40" s="13">
        <f t="shared" si="19"/>
        <v>121.54643743609857</v>
      </c>
      <c r="Q40" s="13">
        <f t="shared" si="19"/>
        <v>126.85380299301868</v>
      </c>
    </row>
    <row r="41" spans="1:26" x14ac:dyDescent="0.25">
      <c r="A41" s="12" t="s">
        <v>89</v>
      </c>
      <c r="B41" s="35">
        <f>B25</f>
        <v>0.3</v>
      </c>
      <c r="C41" s="13">
        <f t="shared" ref="C41:Q41" si="20">-$B$85*C40</f>
        <v>-21.046800000000001</v>
      </c>
      <c r="D41" s="13">
        <f t="shared" si="20"/>
        <v>-21.945238761688703</v>
      </c>
      <c r="E41" s="13">
        <f t="shared" si="20"/>
        <v>-22.884107267653395</v>
      </c>
      <c r="F41" s="13">
        <f t="shared" si="20"/>
        <v>-23.865224856386504</v>
      </c>
      <c r="G41" s="13">
        <f t="shared" si="20"/>
        <v>-24.890492736612604</v>
      </c>
      <c r="H41" s="13">
        <f t="shared" si="20"/>
        <v>-25.961897671448874</v>
      </c>
      <c r="I41" s="13">
        <f t="shared" si="20"/>
        <v>-27.081515828352774</v>
      </c>
      <c r="J41" s="13">
        <f t="shared" si="20"/>
        <v>-28.251516802317358</v>
      </c>
      <c r="K41" s="13">
        <f t="shared" si="20"/>
        <v>-29.474167820110338</v>
      </c>
      <c r="L41" s="13">
        <f t="shared" si="20"/>
        <v>-30.751838133704009</v>
      </c>
      <c r="M41" s="13">
        <f t="shared" si="20"/>
        <v>-32.087003611409393</v>
      </c>
      <c r="N41" s="13">
        <f t="shared" si="20"/>
        <v>-33.482251535611518</v>
      </c>
      <c r="O41" s="13">
        <f t="shared" si="20"/>
        <v>-34.94028561640274</v>
      </c>
      <c r="P41" s="13">
        <f t="shared" si="20"/>
        <v>-36.463931230829573</v>
      </c>
      <c r="Q41" s="13">
        <f t="shared" si="20"/>
        <v>-38.0561408979056</v>
      </c>
    </row>
    <row r="42" spans="1:26" x14ac:dyDescent="0.25">
      <c r="A42" s="9" t="s">
        <v>25</v>
      </c>
      <c r="B42" s="8"/>
      <c r="C42" s="21">
        <f>C40+C41</f>
        <v>49.109200000000001</v>
      </c>
      <c r="D42" s="21">
        <f t="shared" ref="D42:Q42" si="21">D40+D41</f>
        <v>51.205557110606975</v>
      </c>
      <c r="E42" s="21">
        <f t="shared" si="21"/>
        <v>53.396250291191265</v>
      </c>
      <c r="F42" s="21">
        <f t="shared" si="21"/>
        <v>55.685524664901848</v>
      </c>
      <c r="G42" s="21">
        <f t="shared" si="21"/>
        <v>58.077816385429415</v>
      </c>
      <c r="H42" s="21">
        <f t="shared" si="21"/>
        <v>60.577761233380706</v>
      </c>
      <c r="I42" s="21">
        <f t="shared" si="21"/>
        <v>63.190203599489806</v>
      </c>
      <c r="J42" s="21">
        <f t="shared" si="21"/>
        <v>65.920205872073836</v>
      </c>
      <c r="K42" s="21">
        <f t="shared" si="21"/>
        <v>68.773058246924123</v>
      </c>
      <c r="L42" s="21">
        <f t="shared" si="21"/>
        <v>71.754288978642691</v>
      </c>
      <c r="M42" s="21">
        <f t="shared" si="21"/>
        <v>74.869675093288578</v>
      </c>
      <c r="N42" s="21">
        <f t="shared" si="21"/>
        <v>78.125253583093553</v>
      </c>
      <c r="O42" s="21">
        <f t="shared" si="21"/>
        <v>81.527333104939743</v>
      </c>
      <c r="P42" s="21">
        <f t="shared" si="21"/>
        <v>85.082506205268999</v>
      </c>
      <c r="Q42" s="21">
        <f t="shared" si="21"/>
        <v>88.797662095113083</v>
      </c>
    </row>
    <row r="43" spans="1:26" x14ac:dyDescent="0.25">
      <c r="A43" t="str">
        <f>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</row>
    <row r="44" spans="1:26" x14ac:dyDescent="0.25">
      <c r="B44" s="10"/>
      <c r="C44" s="23" t="str">
        <f>C28</f>
        <v>A1</v>
      </c>
      <c r="D44" s="23" t="str">
        <f t="shared" ref="D44:Q44" si="22">D28</f>
        <v>A2</v>
      </c>
      <c r="E44" s="23" t="str">
        <f t="shared" si="22"/>
        <v>A3</v>
      </c>
      <c r="F44" s="23" t="str">
        <f t="shared" si="22"/>
        <v>A4</v>
      </c>
      <c r="G44" s="23" t="str">
        <f t="shared" si="22"/>
        <v>A5</v>
      </c>
      <c r="H44" s="23" t="str">
        <f t="shared" si="22"/>
        <v>A6</v>
      </c>
      <c r="I44" s="23" t="str">
        <f t="shared" si="22"/>
        <v>A7</v>
      </c>
      <c r="J44" s="23" t="str">
        <f t="shared" si="22"/>
        <v>A8</v>
      </c>
      <c r="K44" s="23" t="str">
        <f t="shared" si="22"/>
        <v>A9</v>
      </c>
      <c r="L44" s="23" t="str">
        <f t="shared" si="22"/>
        <v>A10</v>
      </c>
      <c r="M44" s="23" t="str">
        <f t="shared" si="22"/>
        <v>A11</v>
      </c>
      <c r="N44" s="23" t="str">
        <f t="shared" si="22"/>
        <v>A12</v>
      </c>
      <c r="O44" s="23" t="str">
        <f t="shared" si="22"/>
        <v>A13</v>
      </c>
      <c r="P44" s="23" t="str">
        <f t="shared" si="22"/>
        <v>A14</v>
      </c>
      <c r="Q44" s="23" t="str">
        <f t="shared" si="22"/>
        <v>A15</v>
      </c>
    </row>
    <row r="45" spans="1:26" x14ac:dyDescent="0.25">
      <c r="A45" s="10" t="s">
        <v>28</v>
      </c>
      <c r="B45" s="10"/>
      <c r="C45" s="13">
        <f>C42+C37</f>
        <v>58.709200000000003</v>
      </c>
      <c r="D45" s="13">
        <f>D42+D37</f>
        <v>60.805557110606976</v>
      </c>
      <c r="E45" s="13">
        <f t="shared" ref="E45:Q45" si="23">E42+E37</f>
        <v>62.996250291191267</v>
      </c>
      <c r="F45" s="13">
        <f t="shared" si="23"/>
        <v>65.285524664901857</v>
      </c>
      <c r="G45" s="13">
        <f t="shared" si="23"/>
        <v>67.677816385429423</v>
      </c>
      <c r="H45" s="13">
        <f t="shared" si="23"/>
        <v>70.177761233380707</v>
      </c>
      <c r="I45" s="13">
        <f t="shared" si="23"/>
        <v>72.790203599489814</v>
      </c>
      <c r="J45" s="13">
        <f t="shared" si="23"/>
        <v>75.520205872073831</v>
      </c>
      <c r="K45" s="13">
        <f t="shared" si="23"/>
        <v>78.373058246924131</v>
      </c>
      <c r="L45" s="13">
        <f t="shared" si="23"/>
        <v>81.3542889786427</v>
      </c>
      <c r="M45" s="13">
        <f t="shared" si="23"/>
        <v>84.469675093288572</v>
      </c>
      <c r="N45" s="13">
        <f t="shared" si="23"/>
        <v>87.725253583093547</v>
      </c>
      <c r="O45" s="13">
        <f t="shared" si="23"/>
        <v>91.127333104939737</v>
      </c>
      <c r="P45" s="13">
        <f t="shared" si="23"/>
        <v>94.682506205268993</v>
      </c>
      <c r="Q45" s="13">
        <f t="shared" si="23"/>
        <v>98.397662095113077</v>
      </c>
    </row>
    <row r="46" spans="1:26" x14ac:dyDescent="0.25">
      <c r="A46" s="10" t="s">
        <v>16</v>
      </c>
      <c r="B46" s="14">
        <f>G5</f>
        <v>345.80000000000007</v>
      </c>
      <c r="C46" s="13"/>
      <c r="D46" s="13">
        <f>-C52</f>
        <v>-2.15818061565178</v>
      </c>
      <c r="E46" s="13">
        <f t="shared" ref="E46:Q46" si="24">-D52</f>
        <v>8.7402581460371422</v>
      </c>
      <c r="F46" s="13">
        <f t="shared" si="24"/>
        <v>9.679126652001834</v>
      </c>
      <c r="G46" s="13">
        <f t="shared" si="24"/>
        <v>10.660244240734947</v>
      </c>
      <c r="H46" s="13">
        <f t="shared" si="24"/>
        <v>11.685512120961029</v>
      </c>
      <c r="I46" s="13">
        <f t="shared" si="24"/>
        <v>12.75691705579731</v>
      </c>
      <c r="J46" s="13">
        <f t="shared" si="24"/>
        <v>13.876535212701206</v>
      </c>
      <c r="K46" s="13">
        <f t="shared" si="24"/>
        <v>15.046536186665797</v>
      </c>
      <c r="L46" s="13">
        <f t="shared" si="24"/>
        <v>16.269187204458767</v>
      </c>
      <c r="M46" s="13">
        <f t="shared" si="24"/>
        <v>17.546857518052441</v>
      </c>
      <c r="N46" s="13">
        <f t="shared" si="24"/>
        <v>18.882022995757858</v>
      </c>
      <c r="O46" s="13">
        <f t="shared" si="24"/>
        <v>20.277270919959953</v>
      </c>
      <c r="P46" s="13">
        <f t="shared" si="24"/>
        <v>21.735305000751175</v>
      </c>
      <c r="Q46" s="13">
        <f t="shared" si="24"/>
        <v>23.25895061517803</v>
      </c>
    </row>
    <row r="47" spans="1:26" x14ac:dyDescent="0.25">
      <c r="A47" s="10" t="s">
        <v>19</v>
      </c>
      <c r="B47" s="14">
        <f>G6</f>
        <v>1383.2000000000003</v>
      </c>
      <c r="C47" s="13">
        <f>-G15</f>
        <v>-66.55101938434845</v>
      </c>
      <c r="D47" s="13">
        <f t="shared" ref="D47:Q47" si="25">-$G$14-D39</f>
        <v>-69.545815256644119</v>
      </c>
      <c r="E47" s="13">
        <f t="shared" si="25"/>
        <v>-72.6753769431931</v>
      </c>
      <c r="F47" s="13">
        <f t="shared" si="25"/>
        <v>-75.945768905636797</v>
      </c>
      <c r="G47" s="13">
        <f t="shared" si="25"/>
        <v>-79.363328506390459</v>
      </c>
      <c r="H47" s="13">
        <f t="shared" si="25"/>
        <v>-82.934678289178024</v>
      </c>
      <c r="I47" s="13">
        <f t="shared" si="25"/>
        <v>-86.666738812191028</v>
      </c>
      <c r="J47" s="13">
        <f t="shared" si="25"/>
        <v>-90.566742058739635</v>
      </c>
      <c r="K47" s="13">
        <f t="shared" si="25"/>
        <v>-94.642245451382905</v>
      </c>
      <c r="L47" s="13">
        <f t="shared" si="25"/>
        <v>-98.901146496695148</v>
      </c>
      <c r="M47" s="13">
        <f t="shared" si="25"/>
        <v>-103.35169808904642</v>
      </c>
      <c r="N47" s="13">
        <f t="shared" si="25"/>
        <v>-108.00252450305351</v>
      </c>
      <c r="O47" s="13">
        <f t="shared" si="25"/>
        <v>-112.86263810569092</v>
      </c>
      <c r="P47" s="13">
        <f t="shared" si="25"/>
        <v>-117.94145682044702</v>
      </c>
      <c r="Q47" s="13">
        <f t="shared" si="25"/>
        <v>-123.24882237736712</v>
      </c>
      <c r="S47" s="36"/>
      <c r="T47" s="36"/>
      <c r="U47" s="36"/>
      <c r="V47" s="36"/>
      <c r="W47" s="36"/>
      <c r="X47" s="36"/>
      <c r="Y47" s="36"/>
      <c r="Z47" s="36"/>
    </row>
    <row r="48" spans="1:26" x14ac:dyDescent="0.25">
      <c r="A48" s="10" t="s">
        <v>24</v>
      </c>
      <c r="B48" s="14">
        <f>-G7</f>
        <v>-300</v>
      </c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</row>
    <row r="49" spans="1:17" x14ac:dyDescent="0.25">
      <c r="A49" s="10" t="s">
        <v>27</v>
      </c>
      <c r="B49" s="14">
        <f>-G8</f>
        <v>-1419.0000000000002</v>
      </c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</row>
    <row r="50" spans="1:17" x14ac:dyDescent="0.25">
      <c r="A50" s="10" t="s">
        <v>63</v>
      </c>
      <c r="B50" s="14">
        <f>-G9</f>
        <v>0</v>
      </c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</row>
    <row r="51" spans="1:17" x14ac:dyDescent="0.25">
      <c r="A51" s="10" t="s">
        <v>35</v>
      </c>
      <c r="B51" s="14">
        <v>0</v>
      </c>
      <c r="C51" s="13">
        <f>B52</f>
        <v>10.000000000000227</v>
      </c>
      <c r="D51" s="13">
        <f t="shared" ref="D51:Q51" si="26">C52</f>
        <v>2.15818061565178</v>
      </c>
      <c r="E51" s="13">
        <f t="shared" si="26"/>
        <v>-8.7402581460371422</v>
      </c>
      <c r="F51" s="13">
        <f t="shared" si="26"/>
        <v>-9.679126652001834</v>
      </c>
      <c r="G51" s="13">
        <f t="shared" si="26"/>
        <v>-10.660244240734947</v>
      </c>
      <c r="H51" s="13">
        <f t="shared" si="26"/>
        <v>-11.685512120961029</v>
      </c>
      <c r="I51" s="13">
        <f t="shared" si="26"/>
        <v>-12.75691705579731</v>
      </c>
      <c r="J51" s="13">
        <f t="shared" si="26"/>
        <v>-13.876535212701206</v>
      </c>
      <c r="K51" s="13">
        <f t="shared" si="26"/>
        <v>-15.046536186665797</v>
      </c>
      <c r="L51" s="13">
        <f t="shared" si="26"/>
        <v>-16.269187204458767</v>
      </c>
      <c r="M51" s="13">
        <f t="shared" si="26"/>
        <v>-17.546857518052441</v>
      </c>
      <c r="N51" s="13">
        <f t="shared" si="26"/>
        <v>-18.882022995757858</v>
      </c>
      <c r="O51" s="13">
        <f t="shared" si="26"/>
        <v>-20.277270919959953</v>
      </c>
      <c r="P51" s="13">
        <f t="shared" si="26"/>
        <v>-21.735305000751175</v>
      </c>
      <c r="Q51" s="13">
        <f t="shared" si="26"/>
        <v>-23.25895061517803</v>
      </c>
    </row>
    <row r="52" spans="1:17" x14ac:dyDescent="0.25">
      <c r="A52" s="10" t="s">
        <v>64</v>
      </c>
      <c r="B52" s="13">
        <f>SUM(B45:B51)</f>
        <v>10.000000000000227</v>
      </c>
      <c r="C52" s="13">
        <f>SUM(C45:C51)</f>
        <v>2.15818061565178</v>
      </c>
      <c r="D52" s="13">
        <f t="shared" ref="D52:Q52" si="27">SUM(D45:D51)</f>
        <v>-8.7402581460371422</v>
      </c>
      <c r="E52" s="13">
        <f t="shared" si="27"/>
        <v>-9.679126652001834</v>
      </c>
      <c r="F52" s="13">
        <f t="shared" si="27"/>
        <v>-10.660244240734947</v>
      </c>
      <c r="G52" s="13">
        <f t="shared" si="27"/>
        <v>-11.685512120961029</v>
      </c>
      <c r="H52" s="13">
        <f t="shared" si="27"/>
        <v>-12.75691705579731</v>
      </c>
      <c r="I52" s="13">
        <f t="shared" si="27"/>
        <v>-13.876535212701206</v>
      </c>
      <c r="J52" s="13">
        <f t="shared" si="27"/>
        <v>-15.046536186665797</v>
      </c>
      <c r="K52" s="13">
        <f t="shared" si="27"/>
        <v>-16.269187204458767</v>
      </c>
      <c r="L52" s="13">
        <f t="shared" si="27"/>
        <v>-17.546857518052441</v>
      </c>
      <c r="M52" s="13">
        <f t="shared" si="27"/>
        <v>-18.882022995757858</v>
      </c>
      <c r="N52" s="13">
        <f t="shared" si="27"/>
        <v>-20.277270919959953</v>
      </c>
      <c r="O52" s="13">
        <f t="shared" si="27"/>
        <v>-21.735305000751175</v>
      </c>
      <c r="P52" s="13">
        <f t="shared" si="27"/>
        <v>-23.25895061517803</v>
      </c>
      <c r="Q52" s="13">
        <f t="shared" si="27"/>
        <v>-24.851160282254035</v>
      </c>
    </row>
    <row r="53" spans="1:17" x14ac:dyDescent="0.25">
      <c r="A53" t="str">
        <f>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  <c r="B53" s="36"/>
      <c r="C53" s="36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</row>
    <row r="54" spans="1:17" x14ac:dyDescent="0.25">
      <c r="B54" s="13"/>
      <c r="C54" s="23" t="str">
        <f>C44</f>
        <v>A1</v>
      </c>
      <c r="D54" s="23" t="str">
        <f t="shared" ref="D54:Q54" si="28">D44</f>
        <v>A2</v>
      </c>
      <c r="E54" s="23" t="str">
        <f t="shared" si="28"/>
        <v>A3</v>
      </c>
      <c r="F54" s="23" t="str">
        <f t="shared" si="28"/>
        <v>A4</v>
      </c>
      <c r="G54" s="23" t="str">
        <f t="shared" si="28"/>
        <v>A5</v>
      </c>
      <c r="H54" s="23" t="str">
        <f t="shared" si="28"/>
        <v>A6</v>
      </c>
      <c r="I54" s="23" t="str">
        <f t="shared" si="28"/>
        <v>A7</v>
      </c>
      <c r="J54" s="23" t="str">
        <f t="shared" si="28"/>
        <v>A8</v>
      </c>
      <c r="K54" s="23" t="str">
        <f t="shared" si="28"/>
        <v>A9</v>
      </c>
      <c r="L54" s="23" t="str">
        <f t="shared" si="28"/>
        <v>A10</v>
      </c>
      <c r="M54" s="23" t="str">
        <f t="shared" si="28"/>
        <v>A11</v>
      </c>
      <c r="N54" s="23" t="str">
        <f t="shared" si="28"/>
        <v>A12</v>
      </c>
      <c r="O54" s="23" t="str">
        <f t="shared" si="28"/>
        <v>A13</v>
      </c>
      <c r="P54" s="23" t="str">
        <f t="shared" si="28"/>
        <v>A14</v>
      </c>
      <c r="Q54" s="23" t="str">
        <f t="shared" si="28"/>
        <v>A15</v>
      </c>
    </row>
    <row r="55" spans="1:17" x14ac:dyDescent="0.25">
      <c r="A55" s="10" t="s">
        <v>16</v>
      </c>
      <c r="B55" s="13">
        <f>B46</f>
        <v>345.80000000000007</v>
      </c>
      <c r="C55" s="13">
        <f>B55+C42+C46</f>
        <v>394.90920000000006</v>
      </c>
      <c r="D55" s="13">
        <f t="shared" ref="D55:Q55" si="29">C55+D42+D46</f>
        <v>443.95657649495524</v>
      </c>
      <c r="E55" s="13">
        <f t="shared" si="29"/>
        <v>506.09308493218367</v>
      </c>
      <c r="F55" s="13">
        <f t="shared" si="29"/>
        <v>571.45773624908736</v>
      </c>
      <c r="G55" s="13">
        <f t="shared" si="29"/>
        <v>640.19579687525174</v>
      </c>
      <c r="H55" s="13">
        <f t="shared" si="29"/>
        <v>712.45907022959341</v>
      </c>
      <c r="I55" s="13">
        <f t="shared" si="29"/>
        <v>788.40619088488052</v>
      </c>
      <c r="J55" s="13">
        <f t="shared" si="29"/>
        <v>868.20293196965565</v>
      </c>
      <c r="K55" s="13">
        <f t="shared" si="29"/>
        <v>952.02252640324559</v>
      </c>
      <c r="L55" s="13">
        <f t="shared" si="29"/>
        <v>1040.046002586347</v>
      </c>
      <c r="M55" s="13">
        <f t="shared" si="29"/>
        <v>1132.4625351976881</v>
      </c>
      <c r="N55" s="13">
        <f t="shared" si="29"/>
        <v>1229.4698117765395</v>
      </c>
      <c r="O55" s="13">
        <f t="shared" si="29"/>
        <v>1331.2744158014391</v>
      </c>
      <c r="P55" s="13">
        <f t="shared" si="29"/>
        <v>1438.0922270074593</v>
      </c>
      <c r="Q55" s="13">
        <f t="shared" si="29"/>
        <v>1550.1488397177504</v>
      </c>
    </row>
    <row r="56" spans="1:17" x14ac:dyDescent="0.25">
      <c r="A56" s="10" t="s">
        <v>19</v>
      </c>
      <c r="B56" s="13">
        <f>B47</f>
        <v>1383.2000000000003</v>
      </c>
      <c r="C56" s="13">
        <f>B56+C47</f>
        <v>1316.6489806156519</v>
      </c>
      <c r="D56" s="13">
        <f t="shared" ref="D56:Q56" si="30">C56+D47</f>
        <v>1247.1031653590078</v>
      </c>
      <c r="E56" s="13">
        <f t="shared" si="30"/>
        <v>1174.4277884158146</v>
      </c>
      <c r="F56" s="13">
        <f t="shared" si="30"/>
        <v>1098.4820195101777</v>
      </c>
      <c r="G56" s="13">
        <f t="shared" si="30"/>
        <v>1019.1186910037873</v>
      </c>
      <c r="H56" s="13">
        <f t="shared" si="30"/>
        <v>936.18401271460925</v>
      </c>
      <c r="I56" s="13">
        <f t="shared" si="30"/>
        <v>849.5172739024182</v>
      </c>
      <c r="J56" s="13">
        <f t="shared" si="30"/>
        <v>758.95053184367862</v>
      </c>
      <c r="K56" s="13">
        <f t="shared" si="30"/>
        <v>664.30828639229571</v>
      </c>
      <c r="L56" s="13">
        <f t="shared" si="30"/>
        <v>565.40713989560061</v>
      </c>
      <c r="M56" s="13">
        <f t="shared" si="30"/>
        <v>462.0554418065542</v>
      </c>
      <c r="N56" s="13">
        <f t="shared" si="30"/>
        <v>354.05291730350069</v>
      </c>
      <c r="O56" s="13">
        <f t="shared" si="30"/>
        <v>241.19027919780979</v>
      </c>
      <c r="P56" s="13">
        <f t="shared" si="30"/>
        <v>123.24882237736277</v>
      </c>
      <c r="Q56" s="13">
        <f t="shared" si="30"/>
        <v>-4.3485215428518131E-12</v>
      </c>
    </row>
    <row r="57" spans="1:17" x14ac:dyDescent="0.25">
      <c r="B57" s="36"/>
      <c r="C57" s="36"/>
      <c r="D57" s="36"/>
      <c r="E57" s="36"/>
      <c r="F57" s="36"/>
      <c r="G57" s="36"/>
      <c r="H57" s="36"/>
      <c r="I57" s="36"/>
      <c r="J57" s="36"/>
      <c r="K57" s="36"/>
      <c r="L57" s="36"/>
      <c r="M57" s="36"/>
      <c r="N57" s="36"/>
      <c r="O57" s="36"/>
      <c r="P57" s="36"/>
      <c r="Q57" s="36"/>
    </row>
    <row r="58" spans="1:17" x14ac:dyDescent="0.25">
      <c r="A58" s="10" t="s">
        <v>24</v>
      </c>
      <c r="B58" s="13">
        <f>-B48</f>
        <v>300</v>
      </c>
      <c r="C58" s="10">
        <f>B58-C37</f>
        <v>290.39999999999998</v>
      </c>
      <c r="D58" s="10">
        <f t="shared" ref="D58:Q58" si="31">C58-D37</f>
        <v>280.79999999999995</v>
      </c>
      <c r="E58" s="10">
        <f t="shared" si="31"/>
        <v>271.19999999999993</v>
      </c>
      <c r="F58" s="10">
        <f t="shared" si="31"/>
        <v>261.59999999999991</v>
      </c>
      <c r="G58" s="10">
        <f t="shared" si="31"/>
        <v>251.99999999999991</v>
      </c>
      <c r="H58" s="10">
        <f t="shared" si="31"/>
        <v>242.39999999999992</v>
      </c>
      <c r="I58" s="10">
        <f t="shared" si="31"/>
        <v>232.79999999999993</v>
      </c>
      <c r="J58" s="10">
        <f t="shared" si="31"/>
        <v>223.19999999999993</v>
      </c>
      <c r="K58" s="10">
        <f t="shared" si="31"/>
        <v>213.59999999999994</v>
      </c>
      <c r="L58" s="10">
        <f t="shared" si="31"/>
        <v>203.99999999999994</v>
      </c>
      <c r="M58" s="10">
        <f t="shared" si="31"/>
        <v>194.39999999999995</v>
      </c>
      <c r="N58" s="10">
        <f t="shared" si="31"/>
        <v>184.79999999999995</v>
      </c>
      <c r="O58" s="10">
        <f t="shared" si="31"/>
        <v>175.19999999999996</v>
      </c>
      <c r="P58" s="10">
        <f t="shared" si="31"/>
        <v>165.59999999999997</v>
      </c>
      <c r="Q58" s="10">
        <f t="shared" si="31"/>
        <v>155.99999999999997</v>
      </c>
    </row>
    <row r="59" spans="1:17" x14ac:dyDescent="0.25">
      <c r="A59" s="10" t="s">
        <v>27</v>
      </c>
      <c r="B59" s="13">
        <f>-B49</f>
        <v>1419.0000000000002</v>
      </c>
      <c r="C59" s="13">
        <f>B59</f>
        <v>1419.0000000000002</v>
      </c>
      <c r="D59" s="13">
        <f t="shared" ref="D59:Q59" si="32">C59</f>
        <v>1419.0000000000002</v>
      </c>
      <c r="E59" s="13">
        <f t="shared" si="32"/>
        <v>1419.0000000000002</v>
      </c>
      <c r="F59" s="13">
        <f t="shared" si="32"/>
        <v>1419.0000000000002</v>
      </c>
      <c r="G59" s="13">
        <f t="shared" si="32"/>
        <v>1419.0000000000002</v>
      </c>
      <c r="H59" s="13">
        <f t="shared" si="32"/>
        <v>1419.0000000000002</v>
      </c>
      <c r="I59" s="13">
        <f t="shared" si="32"/>
        <v>1419.0000000000002</v>
      </c>
      <c r="J59" s="13">
        <f t="shared" si="32"/>
        <v>1419.0000000000002</v>
      </c>
      <c r="K59" s="13">
        <f t="shared" si="32"/>
        <v>1419.0000000000002</v>
      </c>
      <c r="L59" s="13">
        <f t="shared" si="32"/>
        <v>1419.0000000000002</v>
      </c>
      <c r="M59" s="13">
        <f t="shared" si="32"/>
        <v>1419.0000000000002</v>
      </c>
      <c r="N59" s="13">
        <f t="shared" si="32"/>
        <v>1419.0000000000002</v>
      </c>
      <c r="O59" s="13">
        <f t="shared" si="32"/>
        <v>1419.0000000000002</v>
      </c>
      <c r="P59" s="13">
        <f t="shared" si="32"/>
        <v>1419.0000000000002</v>
      </c>
      <c r="Q59" s="13">
        <f t="shared" si="32"/>
        <v>1419.0000000000002</v>
      </c>
    </row>
    <row r="60" spans="1:17" x14ac:dyDescent="0.25">
      <c r="A60" s="10" t="s">
        <v>30</v>
      </c>
      <c r="B60" s="13">
        <f>-B50</f>
        <v>0</v>
      </c>
      <c r="C60" s="13">
        <f>B60-C50</f>
        <v>0</v>
      </c>
      <c r="D60" s="13">
        <f t="shared" ref="D60:Q60" si="33">C60-D50</f>
        <v>0</v>
      </c>
      <c r="E60" s="13">
        <f t="shared" si="33"/>
        <v>0</v>
      </c>
      <c r="F60" s="13">
        <f t="shared" si="33"/>
        <v>0</v>
      </c>
      <c r="G60" s="13">
        <f t="shared" si="33"/>
        <v>0</v>
      </c>
      <c r="H60" s="13">
        <f t="shared" si="33"/>
        <v>0</v>
      </c>
      <c r="I60" s="13">
        <f t="shared" si="33"/>
        <v>0</v>
      </c>
      <c r="J60" s="13">
        <f t="shared" si="33"/>
        <v>0</v>
      </c>
      <c r="K60" s="13">
        <f t="shared" si="33"/>
        <v>0</v>
      </c>
      <c r="L60" s="13">
        <f t="shared" si="33"/>
        <v>0</v>
      </c>
      <c r="M60" s="13">
        <f t="shared" si="33"/>
        <v>0</v>
      </c>
      <c r="N60" s="13">
        <f t="shared" si="33"/>
        <v>0</v>
      </c>
      <c r="O60" s="13">
        <f t="shared" si="33"/>
        <v>0</v>
      </c>
      <c r="P60" s="13">
        <f t="shared" si="33"/>
        <v>0</v>
      </c>
      <c r="Q60" s="13">
        <f t="shared" si="33"/>
        <v>0</v>
      </c>
    </row>
    <row r="61" spans="1:17" x14ac:dyDescent="0.25">
      <c r="A61" s="10" t="s">
        <v>32</v>
      </c>
      <c r="B61" s="13">
        <f>B52</f>
        <v>10.000000000000227</v>
      </c>
      <c r="C61" s="13">
        <f>C52</f>
        <v>2.15818061565178</v>
      </c>
      <c r="D61" s="13">
        <f t="shared" ref="D61:Q61" si="34">D52</f>
        <v>-8.7402581460371422</v>
      </c>
      <c r="E61" s="13">
        <f t="shared" si="34"/>
        <v>-9.679126652001834</v>
      </c>
      <c r="F61" s="13">
        <f t="shared" si="34"/>
        <v>-10.660244240734947</v>
      </c>
      <c r="G61" s="13">
        <f t="shared" si="34"/>
        <v>-11.685512120961029</v>
      </c>
      <c r="H61" s="13">
        <f t="shared" si="34"/>
        <v>-12.75691705579731</v>
      </c>
      <c r="I61" s="13">
        <f t="shared" si="34"/>
        <v>-13.876535212701206</v>
      </c>
      <c r="J61" s="13">
        <f t="shared" si="34"/>
        <v>-15.046536186665797</v>
      </c>
      <c r="K61" s="13">
        <f t="shared" si="34"/>
        <v>-16.269187204458767</v>
      </c>
      <c r="L61" s="13">
        <f t="shared" si="34"/>
        <v>-17.546857518052441</v>
      </c>
      <c r="M61" s="13">
        <f t="shared" si="34"/>
        <v>-18.882022995757858</v>
      </c>
      <c r="N61" s="13">
        <f t="shared" si="34"/>
        <v>-20.277270919959953</v>
      </c>
      <c r="O61" s="13">
        <f t="shared" si="34"/>
        <v>-21.735305000751175</v>
      </c>
      <c r="P61" s="13">
        <f t="shared" si="34"/>
        <v>-23.25895061517803</v>
      </c>
      <c r="Q61" s="13">
        <f t="shared" si="34"/>
        <v>-24.851160282254035</v>
      </c>
    </row>
    <row r="62" spans="1:17" x14ac:dyDescent="0.25">
      <c r="A62" s="8" t="s">
        <v>34</v>
      </c>
      <c r="B62" s="21">
        <f>SUM(B58:B61)</f>
        <v>1729.0000000000005</v>
      </c>
      <c r="C62" s="21">
        <f>SUM(C58:C61)</f>
        <v>1711.558180615652</v>
      </c>
      <c r="D62" s="21">
        <f t="shared" ref="D62:Q62" si="35">SUM(D58:D61)</f>
        <v>1691.059741853963</v>
      </c>
      <c r="E62" s="21">
        <f t="shared" si="35"/>
        <v>1680.5208733479985</v>
      </c>
      <c r="F62" s="21">
        <f t="shared" si="35"/>
        <v>1669.9397557592652</v>
      </c>
      <c r="G62" s="21">
        <f t="shared" si="35"/>
        <v>1659.3144878790392</v>
      </c>
      <c r="H62" s="21">
        <f t="shared" si="35"/>
        <v>1648.6430829442029</v>
      </c>
      <c r="I62" s="21">
        <f t="shared" si="35"/>
        <v>1637.9234647872991</v>
      </c>
      <c r="J62" s="21">
        <f t="shared" si="35"/>
        <v>1627.1534638133344</v>
      </c>
      <c r="K62" s="21">
        <f t="shared" si="35"/>
        <v>1616.3308127955413</v>
      </c>
      <c r="L62" s="21">
        <f t="shared" si="35"/>
        <v>1605.4531424819477</v>
      </c>
      <c r="M62" s="21">
        <f t="shared" si="35"/>
        <v>1594.5179770042423</v>
      </c>
      <c r="N62" s="21">
        <f t="shared" si="35"/>
        <v>1583.5227290800403</v>
      </c>
      <c r="O62" s="21">
        <f t="shared" si="35"/>
        <v>1572.4646949992491</v>
      </c>
      <c r="P62" s="21">
        <f t="shared" si="35"/>
        <v>1561.3410493848221</v>
      </c>
      <c r="Q62" s="21">
        <f t="shared" si="35"/>
        <v>1550.1488397177461</v>
      </c>
    </row>
    <row r="63" spans="1:17" x14ac:dyDescent="0.25">
      <c r="A63" s="10" t="s">
        <v>65</v>
      </c>
      <c r="B63" s="13">
        <f>B62-B55-B56</f>
        <v>0</v>
      </c>
      <c r="C63" s="13">
        <f>C62-C55-C56</f>
        <v>0</v>
      </c>
      <c r="D63" s="13">
        <f t="shared" ref="D63:Q63" si="36">D62-D55-D56</f>
        <v>0</v>
      </c>
      <c r="E63" s="13">
        <f t="shared" si="36"/>
        <v>0</v>
      </c>
      <c r="F63" s="13">
        <f t="shared" si="36"/>
        <v>0</v>
      </c>
      <c r="G63" s="13">
        <f t="shared" si="36"/>
        <v>0</v>
      </c>
      <c r="H63" s="13">
        <f t="shared" si="36"/>
        <v>0</v>
      </c>
      <c r="I63" s="13">
        <f t="shared" si="36"/>
        <v>0</v>
      </c>
      <c r="J63" s="13">
        <f t="shared" si="36"/>
        <v>0</v>
      </c>
      <c r="K63" s="13">
        <f t="shared" si="36"/>
        <v>0</v>
      </c>
      <c r="L63" s="13">
        <f t="shared" si="36"/>
        <v>0</v>
      </c>
      <c r="M63" s="13">
        <f t="shared" si="36"/>
        <v>0</v>
      </c>
      <c r="N63" s="13">
        <f t="shared" si="36"/>
        <v>0</v>
      </c>
      <c r="O63" s="13">
        <f t="shared" si="36"/>
        <v>2.2737367544323206E-13</v>
      </c>
      <c r="P63" s="13">
        <f t="shared" si="36"/>
        <v>0</v>
      </c>
      <c r="Q63" s="13">
        <f t="shared" si="36"/>
        <v>2.8421709430404007E-14</v>
      </c>
    </row>
    <row r="64" spans="1:17" x14ac:dyDescent="0.25">
      <c r="A64" t="str">
        <f>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  <c r="C64" s="36"/>
      <c r="D64" s="36"/>
      <c r="E64" s="36"/>
      <c r="F64" s="36"/>
      <c r="G64" s="36"/>
      <c r="H64" s="36"/>
      <c r="I64" s="36"/>
      <c r="J64" s="36"/>
      <c r="K64" s="36"/>
      <c r="L64" s="36"/>
      <c r="M64" s="36"/>
      <c r="N64" s="36"/>
      <c r="O64" s="36"/>
      <c r="P64" s="36"/>
      <c r="Q64" s="36"/>
    </row>
    <row r="65" spans="1:17" x14ac:dyDescent="0.25">
      <c r="A65" s="10"/>
      <c r="B65" s="10"/>
      <c r="C65" s="23" t="str">
        <f>C54</f>
        <v>A1</v>
      </c>
      <c r="D65" s="23" t="str">
        <f t="shared" ref="D65:Q65" si="37">D54</f>
        <v>A2</v>
      </c>
      <c r="E65" s="23" t="str">
        <f t="shared" si="37"/>
        <v>A3</v>
      </c>
      <c r="F65" s="23" t="str">
        <f t="shared" si="37"/>
        <v>A4</v>
      </c>
      <c r="G65" s="23" t="str">
        <f t="shared" si="37"/>
        <v>A5</v>
      </c>
      <c r="H65" s="23" t="str">
        <f t="shared" si="37"/>
        <v>A6</v>
      </c>
      <c r="I65" s="23" t="str">
        <f t="shared" si="37"/>
        <v>A7</v>
      </c>
      <c r="J65" s="23" t="str">
        <f t="shared" si="37"/>
        <v>A8</v>
      </c>
      <c r="K65" s="23" t="str">
        <f t="shared" si="37"/>
        <v>A9</v>
      </c>
      <c r="L65" s="23" t="str">
        <f t="shared" si="37"/>
        <v>A10</v>
      </c>
      <c r="M65" s="23" t="str">
        <f t="shared" si="37"/>
        <v>A11</v>
      </c>
      <c r="N65" s="23" t="str">
        <f t="shared" si="37"/>
        <v>A12</v>
      </c>
      <c r="O65" s="23" t="str">
        <f t="shared" si="37"/>
        <v>A13</v>
      </c>
      <c r="P65" s="23" t="str">
        <f t="shared" si="37"/>
        <v>A14</v>
      </c>
      <c r="Q65" s="23" t="str">
        <f t="shared" si="37"/>
        <v>A15</v>
      </c>
    </row>
    <row r="66" spans="1:17" x14ac:dyDescent="0.25">
      <c r="A66" s="10" t="s">
        <v>66</v>
      </c>
      <c r="B66" s="10">
        <f>-B46</f>
        <v>-345.80000000000007</v>
      </c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</row>
    <row r="67" spans="1:17" x14ac:dyDescent="0.25">
      <c r="A67" s="10" t="s">
        <v>67</v>
      </c>
      <c r="B67" s="10"/>
      <c r="C67" s="10"/>
      <c r="D67" s="13">
        <f>-D46</f>
        <v>2.15818061565178</v>
      </c>
      <c r="E67" s="13">
        <f t="shared" ref="E67:Q67" si="38">-E46</f>
        <v>-8.7402581460371422</v>
      </c>
      <c r="F67" s="13">
        <f t="shared" si="38"/>
        <v>-9.679126652001834</v>
      </c>
      <c r="G67" s="13">
        <f t="shared" si="38"/>
        <v>-10.660244240734947</v>
      </c>
      <c r="H67" s="13">
        <f t="shared" si="38"/>
        <v>-11.685512120961029</v>
      </c>
      <c r="I67" s="13">
        <f t="shared" si="38"/>
        <v>-12.75691705579731</v>
      </c>
      <c r="J67" s="13">
        <f t="shared" si="38"/>
        <v>-13.876535212701206</v>
      </c>
      <c r="K67" s="13">
        <f t="shared" si="38"/>
        <v>-15.046536186665797</v>
      </c>
      <c r="L67" s="13">
        <f t="shared" si="38"/>
        <v>-16.269187204458767</v>
      </c>
      <c r="M67" s="13">
        <f t="shared" si="38"/>
        <v>-17.546857518052441</v>
      </c>
      <c r="N67" s="13">
        <f t="shared" si="38"/>
        <v>-18.882022995757858</v>
      </c>
      <c r="O67" s="13">
        <f t="shared" si="38"/>
        <v>-20.277270919959953</v>
      </c>
      <c r="P67" s="13">
        <f t="shared" si="38"/>
        <v>-21.735305000751175</v>
      </c>
      <c r="Q67" s="13">
        <f t="shared" si="38"/>
        <v>-23.25895061517803</v>
      </c>
    </row>
    <row r="68" spans="1:17" x14ac:dyDescent="0.25">
      <c r="A68" s="10" t="s">
        <v>68</v>
      </c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3">
        <f>G24</f>
        <v>1650.9488397177504</v>
      </c>
    </row>
    <row r="69" spans="1:17" x14ac:dyDescent="0.25">
      <c r="A69" s="10" t="s">
        <v>69</v>
      </c>
      <c r="B69" s="10">
        <f>SUM(B66:B68)</f>
        <v>-345.80000000000007</v>
      </c>
      <c r="C69" s="10">
        <f t="shared" ref="C69:Q69" si="39">SUM(C66:C68)</f>
        <v>0</v>
      </c>
      <c r="D69" s="13">
        <f t="shared" si="39"/>
        <v>2.15818061565178</v>
      </c>
      <c r="E69" s="13">
        <f t="shared" si="39"/>
        <v>-8.7402581460371422</v>
      </c>
      <c r="F69" s="13">
        <f t="shared" si="39"/>
        <v>-9.679126652001834</v>
      </c>
      <c r="G69" s="13">
        <f t="shared" si="39"/>
        <v>-10.660244240734947</v>
      </c>
      <c r="H69" s="13">
        <f t="shared" si="39"/>
        <v>-11.685512120961029</v>
      </c>
      <c r="I69" s="13">
        <f t="shared" si="39"/>
        <v>-12.75691705579731</v>
      </c>
      <c r="J69" s="13">
        <f t="shared" si="39"/>
        <v>-13.876535212701206</v>
      </c>
      <c r="K69" s="13">
        <f t="shared" si="39"/>
        <v>-15.046536186665797</v>
      </c>
      <c r="L69" s="13">
        <f t="shared" si="39"/>
        <v>-16.269187204458767</v>
      </c>
      <c r="M69" s="13">
        <f t="shared" si="39"/>
        <v>-17.546857518052441</v>
      </c>
      <c r="N69" s="13">
        <f t="shared" si="39"/>
        <v>-18.882022995757858</v>
      </c>
      <c r="O69" s="13">
        <f t="shared" si="39"/>
        <v>-20.277270919959953</v>
      </c>
      <c r="P69" s="13">
        <f t="shared" si="39"/>
        <v>-21.735305000751175</v>
      </c>
      <c r="Q69" s="13">
        <f t="shared" si="39"/>
        <v>1627.6898891025724</v>
      </c>
    </row>
    <row r="70" spans="1:17" x14ac:dyDescent="0.25">
      <c r="A70" s="10" t="s">
        <v>70</v>
      </c>
      <c r="B70" s="37">
        <f>IRR(B69:Q69)</f>
        <v>9.3920971734369196E-2</v>
      </c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</row>
    <row r="71" spans="1:17" x14ac:dyDescent="0.25">
      <c r="A71" t="str">
        <f>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</row>
    <row r="72" spans="1:17" x14ac:dyDescent="0.25">
      <c r="A72" s="38" t="s">
        <v>75</v>
      </c>
      <c r="C72" s="23" t="s">
        <v>2</v>
      </c>
      <c r="D72" s="33" t="s">
        <v>3</v>
      </c>
      <c r="E72" s="33" t="s">
        <v>4</v>
      </c>
      <c r="F72" s="5" t="s">
        <v>5</v>
      </c>
      <c r="G72" s="5" t="s">
        <v>6</v>
      </c>
      <c r="H72" s="5" t="s">
        <v>7</v>
      </c>
      <c r="I72" s="5" t="s">
        <v>8</v>
      </c>
      <c r="J72" s="5" t="s">
        <v>9</v>
      </c>
      <c r="K72" s="5" t="s">
        <v>10</v>
      </c>
      <c r="L72" s="5" t="s">
        <v>11</v>
      </c>
      <c r="M72" s="5" t="s">
        <v>56</v>
      </c>
      <c r="N72" s="5" t="s">
        <v>57</v>
      </c>
      <c r="O72" s="5" t="s">
        <v>58</v>
      </c>
      <c r="P72" s="5" t="s">
        <v>59</v>
      </c>
      <c r="Q72" s="5" t="s">
        <v>60</v>
      </c>
    </row>
    <row r="73" spans="1:17" x14ac:dyDescent="0.25">
      <c r="A73" s="8" t="s">
        <v>15</v>
      </c>
      <c r="B73" s="10"/>
      <c r="C73" s="13">
        <f>C5</f>
        <v>1500</v>
      </c>
      <c r="D73" s="13">
        <f>C73*(1+$D$5)</f>
        <v>1500</v>
      </c>
      <c r="E73" s="13">
        <f t="shared" ref="E73:Q73" si="40">D73*(1+$D$5)</f>
        <v>1500</v>
      </c>
      <c r="F73" s="13">
        <f t="shared" si="40"/>
        <v>1500</v>
      </c>
      <c r="G73" s="13">
        <f t="shared" si="40"/>
        <v>1500</v>
      </c>
      <c r="H73" s="13">
        <f t="shared" si="40"/>
        <v>1500</v>
      </c>
      <c r="I73" s="13">
        <f t="shared" si="40"/>
        <v>1500</v>
      </c>
      <c r="J73" s="13">
        <f t="shared" si="40"/>
        <v>1500</v>
      </c>
      <c r="K73" s="13">
        <f t="shared" si="40"/>
        <v>1500</v>
      </c>
      <c r="L73" s="13">
        <f t="shared" si="40"/>
        <v>1500</v>
      </c>
      <c r="M73" s="13">
        <f t="shared" si="40"/>
        <v>1500</v>
      </c>
      <c r="N73" s="13">
        <f t="shared" si="40"/>
        <v>1500</v>
      </c>
      <c r="O73" s="13">
        <f t="shared" si="40"/>
        <v>1500</v>
      </c>
      <c r="P73" s="13">
        <f t="shared" si="40"/>
        <v>1500</v>
      </c>
      <c r="Q73" s="13">
        <f t="shared" si="40"/>
        <v>1500</v>
      </c>
    </row>
    <row r="74" spans="1:17" x14ac:dyDescent="0.25">
      <c r="A74" s="10" t="s">
        <v>61</v>
      </c>
      <c r="B74" s="13"/>
      <c r="C74" s="13">
        <f>C73*$B$26</f>
        <v>405</v>
      </c>
      <c r="D74" s="13">
        <f>D73*($B$26+$D$26/14)</f>
        <v>405</v>
      </c>
      <c r="E74" s="13">
        <f>E73*($B$26+2*$D$26/14)</f>
        <v>405</v>
      </c>
      <c r="F74" s="13">
        <f>F73*($B$26+3*$D$26/14)</f>
        <v>405</v>
      </c>
      <c r="G74" s="13">
        <f>G73*($B$26+4*$D$26/14)</f>
        <v>405</v>
      </c>
      <c r="H74" s="13">
        <f>H73*($B$26+5*$D$26/14)</f>
        <v>405</v>
      </c>
      <c r="I74" s="13">
        <f>I73*($B$26+6*$D$26/14)</f>
        <v>405</v>
      </c>
      <c r="J74" s="13">
        <f>J73*($B$26+7*$D$26/14)</f>
        <v>405</v>
      </c>
      <c r="K74" s="13">
        <f>K73*($B$26+8*$D$26/14)</f>
        <v>405</v>
      </c>
      <c r="L74" s="13">
        <f>L73*($B$26+9*$D$26/14)</f>
        <v>405</v>
      </c>
      <c r="M74" s="13">
        <f>M73*($B$26+10*$D$26/14)</f>
        <v>405</v>
      </c>
      <c r="N74" s="13">
        <f>N73*($B$26+11*$D$26/14)</f>
        <v>405</v>
      </c>
      <c r="O74" s="13">
        <f>O73*($B$26+12*$D$26/14)</f>
        <v>405</v>
      </c>
      <c r="P74" s="13">
        <f>P73*($B$26+13*$D$26/14)</f>
        <v>405</v>
      </c>
      <c r="Q74" s="13">
        <f>Q73*($B$26+$D$26)</f>
        <v>405</v>
      </c>
    </row>
    <row r="75" spans="1:17" x14ac:dyDescent="0.25">
      <c r="A75" s="10" t="s">
        <v>21</v>
      </c>
      <c r="B75" s="13"/>
      <c r="C75" s="13">
        <f>B7</f>
        <v>260</v>
      </c>
      <c r="D75" s="13">
        <f>C75*(1+$D$7)</f>
        <v>260</v>
      </c>
      <c r="E75" s="13">
        <f t="shared" ref="E75:Q75" si="41">D75*(1+$D$7)</f>
        <v>260</v>
      </c>
      <c r="F75" s="13">
        <f t="shared" si="41"/>
        <v>260</v>
      </c>
      <c r="G75" s="13">
        <f t="shared" si="41"/>
        <v>260</v>
      </c>
      <c r="H75" s="13">
        <f t="shared" si="41"/>
        <v>260</v>
      </c>
      <c r="I75" s="13">
        <f t="shared" si="41"/>
        <v>260</v>
      </c>
      <c r="J75" s="13">
        <f t="shared" si="41"/>
        <v>260</v>
      </c>
      <c r="K75" s="13">
        <f t="shared" si="41"/>
        <v>260</v>
      </c>
      <c r="L75" s="13">
        <f t="shared" si="41"/>
        <v>260</v>
      </c>
      <c r="M75" s="13">
        <f t="shared" si="41"/>
        <v>260</v>
      </c>
      <c r="N75" s="13">
        <f t="shared" si="41"/>
        <v>260</v>
      </c>
      <c r="O75" s="13">
        <f t="shared" si="41"/>
        <v>260</v>
      </c>
      <c r="P75" s="13">
        <f t="shared" si="41"/>
        <v>260</v>
      </c>
      <c r="Q75" s="13">
        <f t="shared" si="41"/>
        <v>260</v>
      </c>
    </row>
    <row r="76" spans="1:17" x14ac:dyDescent="0.25">
      <c r="A76" s="10" t="s">
        <v>23</v>
      </c>
      <c r="B76" s="10"/>
      <c r="C76" s="13">
        <f>C8</f>
        <v>24</v>
      </c>
      <c r="D76" s="13">
        <f>C76*(1+$D$8)</f>
        <v>24</v>
      </c>
      <c r="E76" s="13">
        <f t="shared" ref="E76:Q76" si="42">D76*(1+$D$8)</f>
        <v>24</v>
      </c>
      <c r="F76" s="13">
        <f t="shared" si="42"/>
        <v>24</v>
      </c>
      <c r="G76" s="13">
        <f t="shared" si="42"/>
        <v>24</v>
      </c>
      <c r="H76" s="13">
        <f t="shared" si="42"/>
        <v>24</v>
      </c>
      <c r="I76" s="13">
        <f t="shared" si="42"/>
        <v>24</v>
      </c>
      <c r="J76" s="13">
        <f t="shared" si="42"/>
        <v>24</v>
      </c>
      <c r="K76" s="13">
        <f t="shared" si="42"/>
        <v>24</v>
      </c>
      <c r="L76" s="13">
        <f t="shared" si="42"/>
        <v>24</v>
      </c>
      <c r="M76" s="13">
        <f t="shared" si="42"/>
        <v>24</v>
      </c>
      <c r="N76" s="13">
        <f t="shared" si="42"/>
        <v>24</v>
      </c>
      <c r="O76" s="13">
        <f t="shared" si="42"/>
        <v>24</v>
      </c>
      <c r="P76" s="13">
        <f t="shared" si="42"/>
        <v>24</v>
      </c>
      <c r="Q76" s="13">
        <f t="shared" si="42"/>
        <v>24</v>
      </c>
    </row>
    <row r="77" spans="1:17" x14ac:dyDescent="0.25">
      <c r="A77" s="10" t="s">
        <v>26</v>
      </c>
      <c r="B77" s="10"/>
      <c r="C77" s="16">
        <f>C76/C73</f>
        <v>1.6E-2</v>
      </c>
      <c r="D77" s="16">
        <f t="shared" ref="D77:Q77" si="43">D76/D73</f>
        <v>1.6E-2</v>
      </c>
      <c r="E77" s="16">
        <f t="shared" si="43"/>
        <v>1.6E-2</v>
      </c>
      <c r="F77" s="16">
        <f t="shared" si="43"/>
        <v>1.6E-2</v>
      </c>
      <c r="G77" s="16">
        <f t="shared" si="43"/>
        <v>1.6E-2</v>
      </c>
      <c r="H77" s="16">
        <f t="shared" si="43"/>
        <v>1.6E-2</v>
      </c>
      <c r="I77" s="16">
        <f t="shared" si="43"/>
        <v>1.6E-2</v>
      </c>
      <c r="J77" s="16">
        <f t="shared" si="43"/>
        <v>1.6E-2</v>
      </c>
      <c r="K77" s="16">
        <f t="shared" si="43"/>
        <v>1.6E-2</v>
      </c>
      <c r="L77" s="16">
        <f t="shared" si="43"/>
        <v>1.6E-2</v>
      </c>
      <c r="M77" s="16">
        <f t="shared" si="43"/>
        <v>1.6E-2</v>
      </c>
      <c r="N77" s="16">
        <f t="shared" si="43"/>
        <v>1.6E-2</v>
      </c>
      <c r="O77" s="16">
        <f t="shared" si="43"/>
        <v>1.6E-2</v>
      </c>
      <c r="P77" s="16">
        <f t="shared" si="43"/>
        <v>1.6E-2</v>
      </c>
      <c r="Q77" s="16">
        <f t="shared" si="43"/>
        <v>1.6E-2</v>
      </c>
    </row>
    <row r="78" spans="1:17" x14ac:dyDescent="0.25">
      <c r="A78" s="17" t="s">
        <v>29</v>
      </c>
      <c r="B78" s="10"/>
      <c r="C78" s="13">
        <f>C10</f>
        <v>0</v>
      </c>
      <c r="D78" s="13">
        <f>C78*(1+$D$10)</f>
        <v>0</v>
      </c>
      <c r="E78" s="13">
        <f t="shared" ref="E78:Q78" si="44">D78*(1+$D$10)</f>
        <v>0</v>
      </c>
      <c r="F78" s="13">
        <f t="shared" si="44"/>
        <v>0</v>
      </c>
      <c r="G78" s="13">
        <f t="shared" si="44"/>
        <v>0</v>
      </c>
      <c r="H78" s="13">
        <f t="shared" si="44"/>
        <v>0</v>
      </c>
      <c r="I78" s="13">
        <f t="shared" si="44"/>
        <v>0</v>
      </c>
      <c r="J78" s="13">
        <f t="shared" si="44"/>
        <v>0</v>
      </c>
      <c r="K78" s="13">
        <f t="shared" si="44"/>
        <v>0</v>
      </c>
      <c r="L78" s="13">
        <f t="shared" si="44"/>
        <v>0</v>
      </c>
      <c r="M78" s="13">
        <f t="shared" si="44"/>
        <v>0</v>
      </c>
      <c r="N78" s="13">
        <f t="shared" si="44"/>
        <v>0</v>
      </c>
      <c r="O78" s="13">
        <f t="shared" si="44"/>
        <v>0</v>
      </c>
      <c r="P78" s="13">
        <f t="shared" si="44"/>
        <v>0</v>
      </c>
      <c r="Q78" s="13">
        <f t="shared" si="44"/>
        <v>0</v>
      </c>
    </row>
    <row r="79" spans="1:17" x14ac:dyDescent="0.25">
      <c r="A79" s="8" t="s">
        <v>31</v>
      </c>
      <c r="B79" s="10"/>
      <c r="C79" s="13">
        <f>C74-C75-C76-C77-C78</f>
        <v>120.98399999999999</v>
      </c>
      <c r="D79" s="13">
        <f t="shared" ref="D79" si="45">D74-D75-D76-D77-D78</f>
        <v>120.98399999999999</v>
      </c>
      <c r="E79" s="13">
        <f t="shared" ref="E79" si="46">E74-E75-E76-E77-E78</f>
        <v>120.98399999999999</v>
      </c>
      <c r="F79" s="13">
        <f t="shared" ref="F79" si="47">F74-F75-F76-F77-F78</f>
        <v>120.98399999999999</v>
      </c>
      <c r="G79" s="13">
        <f t="shared" ref="G79" si="48">G74-G75-G76-G77-G78</f>
        <v>120.98399999999999</v>
      </c>
      <c r="H79" s="13">
        <f t="shared" ref="H79" si="49">H74-H75-H76-H77-H78</f>
        <v>120.98399999999999</v>
      </c>
      <c r="I79" s="13">
        <f t="shared" ref="I79" si="50">I74-I75-I76-I77-I78</f>
        <v>120.98399999999999</v>
      </c>
      <c r="J79" s="13">
        <f t="shared" ref="J79" si="51">J74-J75-J76-J77-J78</f>
        <v>120.98399999999999</v>
      </c>
      <c r="K79" s="13">
        <f t="shared" ref="K79" si="52">K74-K75-K76-K77-K78</f>
        <v>120.98399999999999</v>
      </c>
      <c r="L79" s="13">
        <f t="shared" ref="L79" si="53">L74-L75-L76-L77-L78</f>
        <v>120.98399999999999</v>
      </c>
      <c r="M79" s="13">
        <f t="shared" ref="M79" si="54">M74-M75-M76-M77-M78</f>
        <v>120.98399999999999</v>
      </c>
      <c r="N79" s="13">
        <f t="shared" ref="N79" si="55">N74-N75-N76-N77-N78</f>
        <v>120.98399999999999</v>
      </c>
      <c r="O79" s="13">
        <f t="shared" ref="O79" si="56">O74-O75-O76-O77-O78</f>
        <v>120.98399999999999</v>
      </c>
      <c r="P79" s="13">
        <f t="shared" ref="P79" si="57">P74-P75-P76-P77-P78</f>
        <v>120.98399999999999</v>
      </c>
      <c r="Q79" s="13">
        <f t="shared" ref="Q79" si="58">Q74-Q75-Q76-Q77-Q78</f>
        <v>120.98399999999999</v>
      </c>
    </row>
    <row r="80" spans="1:17" x14ac:dyDescent="0.25">
      <c r="A80" s="10" t="s">
        <v>33</v>
      </c>
      <c r="B80" s="10"/>
      <c r="C80" s="16">
        <f>C79/C73</f>
        <v>8.0655999999999992E-2</v>
      </c>
      <c r="D80" s="16">
        <f t="shared" ref="D80:D81" si="59">C80</f>
        <v>8.0655999999999992E-2</v>
      </c>
      <c r="E80" s="16">
        <f t="shared" ref="E80:E81" si="60">D80</f>
        <v>8.0655999999999992E-2</v>
      </c>
      <c r="F80" s="16">
        <f t="shared" ref="F80:F81" si="61">E80</f>
        <v>8.0655999999999992E-2</v>
      </c>
      <c r="G80" s="16">
        <f t="shared" ref="G80:G81" si="62">F80</f>
        <v>8.0655999999999992E-2</v>
      </c>
      <c r="H80" s="16">
        <f t="shared" ref="H80:H81" si="63">G80</f>
        <v>8.0655999999999992E-2</v>
      </c>
      <c r="I80" s="16">
        <f t="shared" ref="I80:I81" si="64">H80</f>
        <v>8.0655999999999992E-2</v>
      </c>
      <c r="J80" s="16">
        <f t="shared" ref="J80:J81" si="65">I80</f>
        <v>8.0655999999999992E-2</v>
      </c>
      <c r="K80" s="16">
        <f t="shared" ref="K80:K81" si="66">J80</f>
        <v>8.0655999999999992E-2</v>
      </c>
      <c r="L80" s="16">
        <f t="shared" ref="L80:L81" si="67">K80</f>
        <v>8.0655999999999992E-2</v>
      </c>
      <c r="M80" s="16">
        <f t="shared" ref="M80:M81" si="68">L80</f>
        <v>8.0655999999999992E-2</v>
      </c>
      <c r="N80" s="16">
        <f t="shared" ref="N80:N81" si="69">M80</f>
        <v>8.0655999999999992E-2</v>
      </c>
      <c r="O80" s="16">
        <f t="shared" ref="O80:O81" si="70">N80</f>
        <v>8.0655999999999992E-2</v>
      </c>
      <c r="P80" s="16">
        <f t="shared" ref="P80:P81" si="71">O80</f>
        <v>8.0655999999999992E-2</v>
      </c>
      <c r="Q80" s="16">
        <f t="shared" ref="Q80:Q81" si="72">P80</f>
        <v>8.0655999999999992E-2</v>
      </c>
    </row>
    <row r="81" spans="1:17" x14ac:dyDescent="0.25">
      <c r="A81" s="12" t="s">
        <v>36</v>
      </c>
      <c r="B81" s="10"/>
      <c r="C81" s="13">
        <f t="shared" ref="C81" si="73">B57</f>
        <v>0</v>
      </c>
      <c r="D81" s="13">
        <f t="shared" si="59"/>
        <v>0</v>
      </c>
      <c r="E81" s="13">
        <f t="shared" si="60"/>
        <v>0</v>
      </c>
      <c r="F81" s="13">
        <f t="shared" si="61"/>
        <v>0</v>
      </c>
      <c r="G81" s="13">
        <f t="shared" si="62"/>
        <v>0</v>
      </c>
      <c r="H81" s="13">
        <f t="shared" si="63"/>
        <v>0</v>
      </c>
      <c r="I81" s="13">
        <f t="shared" si="64"/>
        <v>0</v>
      </c>
      <c r="J81" s="13">
        <f t="shared" si="65"/>
        <v>0</v>
      </c>
      <c r="K81" s="13">
        <f t="shared" si="66"/>
        <v>0</v>
      </c>
      <c r="L81" s="13">
        <f t="shared" si="67"/>
        <v>0</v>
      </c>
      <c r="M81" s="13">
        <f t="shared" si="68"/>
        <v>0</v>
      </c>
      <c r="N81" s="13">
        <f t="shared" si="69"/>
        <v>0</v>
      </c>
      <c r="O81" s="13">
        <f t="shared" si="70"/>
        <v>0</v>
      </c>
      <c r="P81" s="13">
        <f t="shared" si="71"/>
        <v>0</v>
      </c>
      <c r="Q81" s="13">
        <f t="shared" si="72"/>
        <v>0</v>
      </c>
    </row>
    <row r="82" spans="1:17" x14ac:dyDescent="0.25">
      <c r="A82" s="9" t="s">
        <v>39</v>
      </c>
      <c r="B82" s="10"/>
      <c r="C82" s="13">
        <f>C79-C81</f>
        <v>120.98399999999999</v>
      </c>
      <c r="D82" s="13">
        <f t="shared" ref="D82" si="74">D79-D81</f>
        <v>120.98399999999999</v>
      </c>
      <c r="E82" s="13">
        <f t="shared" ref="E82" si="75">E79-E81</f>
        <v>120.98399999999999</v>
      </c>
      <c r="F82" s="13">
        <f t="shared" ref="F82" si="76">F79-F81</f>
        <v>120.98399999999999</v>
      </c>
      <c r="G82" s="13">
        <f t="shared" ref="G82" si="77">G79-G81</f>
        <v>120.98399999999999</v>
      </c>
      <c r="H82" s="13">
        <f t="shared" ref="H82" si="78">H79-H81</f>
        <v>120.98399999999999</v>
      </c>
      <c r="I82" s="13">
        <f t="shared" ref="I82" si="79">I79-I81</f>
        <v>120.98399999999999</v>
      </c>
      <c r="J82" s="13">
        <f t="shared" ref="J82" si="80">J79-J81</f>
        <v>120.98399999999999</v>
      </c>
      <c r="K82" s="13">
        <f t="shared" ref="K82" si="81">K79-K81</f>
        <v>120.98399999999999</v>
      </c>
      <c r="L82" s="13">
        <f t="shared" ref="L82" si="82">L79-L81</f>
        <v>120.98399999999999</v>
      </c>
      <c r="M82" s="13">
        <f t="shared" ref="M82" si="83">M79-M81</f>
        <v>120.98399999999999</v>
      </c>
      <c r="N82" s="13">
        <f t="shared" ref="N82" si="84">N79-N81</f>
        <v>120.98399999999999</v>
      </c>
      <c r="O82" s="13">
        <f t="shared" ref="O82" si="85">O79-O81</f>
        <v>120.98399999999999</v>
      </c>
      <c r="P82" s="13">
        <f t="shared" ref="P82" si="86">P79-P81</f>
        <v>120.98399999999999</v>
      </c>
      <c r="Q82" s="13">
        <f t="shared" ref="Q82" si="87">Q79-Q81</f>
        <v>120.98399999999999</v>
      </c>
    </row>
    <row r="83" spans="1:17" x14ac:dyDescent="0.25">
      <c r="A83" s="12" t="s">
        <v>62</v>
      </c>
      <c r="B83" s="34">
        <f>B23</f>
        <v>4.4999999999999998E-2</v>
      </c>
      <c r="C83" s="13">
        <f t="shared" ref="C83:Q83" si="88">-$B$83*(B100)</f>
        <v>-51.44400000000001</v>
      </c>
      <c r="D83" s="13">
        <f t="shared" si="88"/>
        <v>-48.968833255343839</v>
      </c>
      <c r="E83" s="13">
        <f t="shared" si="88"/>
        <v>-46.382284007178143</v>
      </c>
      <c r="F83" s="13">
        <f t="shared" si="88"/>
        <v>-43.679340042844977</v>
      </c>
      <c r="G83" s="13">
        <f t="shared" si="88"/>
        <v>-40.854763600116833</v>
      </c>
      <c r="H83" s="13">
        <f t="shared" si="88"/>
        <v>-37.90308121746591</v>
      </c>
      <c r="I83" s="13">
        <f t="shared" si="88"/>
        <v>-34.818573127595705</v>
      </c>
      <c r="J83" s="13">
        <f t="shared" si="88"/>
        <v>-31.595262173681338</v>
      </c>
      <c r="K83" s="13">
        <f t="shared" si="88"/>
        <v>-28.226902226840821</v>
      </c>
      <c r="L83" s="13">
        <f t="shared" si="88"/>
        <v>-24.706966082392483</v>
      </c>
      <c r="M83" s="13">
        <f t="shared" si="88"/>
        <v>-21.02863281144397</v>
      </c>
      <c r="N83" s="13">
        <f t="shared" si="88"/>
        <v>-17.184774543302773</v>
      </c>
      <c r="O83" s="13">
        <f t="shared" si="88"/>
        <v>-13.167942653095222</v>
      </c>
      <c r="P83" s="13">
        <f t="shared" si="88"/>
        <v>-8.9703533278283309</v>
      </c>
      <c r="Q83" s="13">
        <f t="shared" si="88"/>
        <v>-4.5838724829244315</v>
      </c>
    </row>
    <row r="84" spans="1:17" x14ac:dyDescent="0.25">
      <c r="A84" s="9" t="s">
        <v>20</v>
      </c>
      <c r="B84" s="10"/>
      <c r="C84" s="13">
        <f>C82+C83</f>
        <v>69.539999999999992</v>
      </c>
      <c r="D84" s="13">
        <f t="shared" ref="D84:Q84" si="89">D82+D83</f>
        <v>72.015166744656156</v>
      </c>
      <c r="E84" s="13">
        <f t="shared" si="89"/>
        <v>74.601715992821852</v>
      </c>
      <c r="F84" s="13">
        <f t="shared" si="89"/>
        <v>77.304659957155025</v>
      </c>
      <c r="G84" s="13">
        <f t="shared" si="89"/>
        <v>80.129236399883155</v>
      </c>
      <c r="H84" s="13">
        <f t="shared" si="89"/>
        <v>83.080918782534084</v>
      </c>
      <c r="I84" s="13">
        <f t="shared" si="89"/>
        <v>86.165426872404282</v>
      </c>
      <c r="J84" s="13">
        <f t="shared" si="89"/>
        <v>89.38873782631866</v>
      </c>
      <c r="K84" s="13">
        <f t="shared" si="89"/>
        <v>92.757097773159174</v>
      </c>
      <c r="L84" s="13">
        <f t="shared" si="89"/>
        <v>96.277033917607511</v>
      </c>
      <c r="M84" s="13">
        <f t="shared" si="89"/>
        <v>99.955367188556025</v>
      </c>
      <c r="N84" s="13">
        <f t="shared" si="89"/>
        <v>103.79922545669723</v>
      </c>
      <c r="O84" s="13">
        <f t="shared" si="89"/>
        <v>107.81605734690477</v>
      </c>
      <c r="P84" s="13">
        <f t="shared" si="89"/>
        <v>112.01364667217166</v>
      </c>
      <c r="Q84" s="13">
        <f t="shared" si="89"/>
        <v>116.40012751707556</v>
      </c>
    </row>
    <row r="85" spans="1:17" x14ac:dyDescent="0.25">
      <c r="A85" s="12" t="s">
        <v>22</v>
      </c>
      <c r="B85" s="35">
        <f>B25</f>
        <v>0.3</v>
      </c>
      <c r="C85" s="13">
        <f t="shared" ref="C85" si="90">-$B$85*C84</f>
        <v>-20.861999999999998</v>
      </c>
      <c r="D85" s="13">
        <f t="shared" ref="D85" si="91">-$B$85*D84</f>
        <v>-21.604550023396847</v>
      </c>
      <c r="E85" s="13">
        <f t="shared" ref="E85" si="92">-$B$85*E84</f>
        <v>-22.380514797846555</v>
      </c>
      <c r="F85" s="13">
        <f t="shared" ref="F85" si="93">-$B$85*F84</f>
        <v>-23.191397987146505</v>
      </c>
      <c r="G85" s="13">
        <f t="shared" ref="G85" si="94">-$B$85*G84</f>
        <v>-24.038770919964946</v>
      </c>
      <c r="H85" s="13">
        <f t="shared" ref="H85" si="95">-$B$85*H84</f>
        <v>-24.924275634760225</v>
      </c>
      <c r="I85" s="13">
        <f t="shared" ref="I85" si="96">-$B$85*I84</f>
        <v>-25.849628061721283</v>
      </c>
      <c r="J85" s="13">
        <f t="shared" ref="J85" si="97">-$B$85*J84</f>
        <v>-26.816621347895598</v>
      </c>
      <c r="K85" s="13">
        <f t="shared" ref="K85" si="98">-$B$85*K84</f>
        <v>-27.827129331947752</v>
      </c>
      <c r="L85" s="13">
        <f t="shared" ref="L85" si="99">-$B$85*L84</f>
        <v>-28.883110175282251</v>
      </c>
      <c r="M85" s="13">
        <f t="shared" ref="M85" si="100">-$B$85*M84</f>
        <v>-29.986610156566805</v>
      </c>
      <c r="N85" s="13">
        <f t="shared" ref="N85" si="101">-$B$85*N84</f>
        <v>-31.139767637009168</v>
      </c>
      <c r="O85" s="13">
        <f t="shared" ref="O85" si="102">-$B$85*O84</f>
        <v>-32.344817204071433</v>
      </c>
      <c r="P85" s="13">
        <f t="shared" ref="P85" si="103">-$B$85*P84</f>
        <v>-33.604094001651497</v>
      </c>
      <c r="Q85" s="13">
        <f t="shared" ref="Q85" si="104">-$B$85*Q84</f>
        <v>-34.92003825512267</v>
      </c>
    </row>
    <row r="86" spans="1:17" x14ac:dyDescent="0.25">
      <c r="A86" s="9" t="s">
        <v>25</v>
      </c>
      <c r="B86" s="8"/>
      <c r="C86" s="21">
        <f>C84+C85</f>
        <v>48.677999999999997</v>
      </c>
      <c r="D86" s="21">
        <f t="shared" ref="D86:Q86" si="105">D84+D85</f>
        <v>50.410616721259309</v>
      </c>
      <c r="E86" s="21">
        <f t="shared" si="105"/>
        <v>52.221201194975293</v>
      </c>
      <c r="F86" s="21">
        <f t="shared" si="105"/>
        <v>54.113261970008523</v>
      </c>
      <c r="G86" s="21">
        <f t="shared" si="105"/>
        <v>56.090465479918208</v>
      </c>
      <c r="H86" s="21">
        <f t="shared" si="105"/>
        <v>58.156643147773863</v>
      </c>
      <c r="I86" s="21">
        <f t="shared" si="105"/>
        <v>60.315798810682999</v>
      </c>
      <c r="J86" s="21">
        <f t="shared" si="105"/>
        <v>62.572116478423062</v>
      </c>
      <c r="K86" s="21">
        <f t="shared" si="105"/>
        <v>64.929968441211429</v>
      </c>
      <c r="L86" s="21">
        <f t="shared" si="105"/>
        <v>67.393923742325256</v>
      </c>
      <c r="M86" s="21">
        <f t="shared" si="105"/>
        <v>69.968757031989213</v>
      </c>
      <c r="N86" s="21">
        <f t="shared" si="105"/>
        <v>72.659457819688058</v>
      </c>
      <c r="O86" s="21">
        <f t="shared" si="105"/>
        <v>75.471240142833338</v>
      </c>
      <c r="P86" s="21">
        <f t="shared" si="105"/>
        <v>78.409552670520156</v>
      </c>
      <c r="Q86" s="21">
        <f t="shared" si="105"/>
        <v>81.480089261952884</v>
      </c>
    </row>
    <row r="87" spans="1:17" x14ac:dyDescent="0.25">
      <c r="A87" t="str">
        <f>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</row>
    <row r="88" spans="1:17" x14ac:dyDescent="0.25">
      <c r="B88" s="10"/>
      <c r="C88" s="23" t="str">
        <f>C72</f>
        <v>A1</v>
      </c>
      <c r="D88" s="23" t="str">
        <f t="shared" ref="D88:Q88" si="106">D72</f>
        <v>A2</v>
      </c>
      <c r="E88" s="23" t="str">
        <f t="shared" si="106"/>
        <v>A3</v>
      </c>
      <c r="F88" s="23" t="str">
        <f t="shared" si="106"/>
        <v>A4</v>
      </c>
      <c r="G88" s="23" t="str">
        <f t="shared" si="106"/>
        <v>A5</v>
      </c>
      <c r="H88" s="23" t="str">
        <f t="shared" si="106"/>
        <v>A6</v>
      </c>
      <c r="I88" s="23" t="str">
        <f t="shared" si="106"/>
        <v>A7</v>
      </c>
      <c r="J88" s="23" t="str">
        <f t="shared" si="106"/>
        <v>A8</v>
      </c>
      <c r="K88" s="23" t="str">
        <f t="shared" si="106"/>
        <v>A9</v>
      </c>
      <c r="L88" s="23" t="str">
        <f t="shared" si="106"/>
        <v>A10</v>
      </c>
      <c r="M88" s="23" t="str">
        <f t="shared" si="106"/>
        <v>A11</v>
      </c>
      <c r="N88" s="23" t="str">
        <f t="shared" si="106"/>
        <v>A12</v>
      </c>
      <c r="O88" s="23" t="str">
        <f t="shared" si="106"/>
        <v>A13</v>
      </c>
      <c r="P88" s="23" t="str">
        <f t="shared" si="106"/>
        <v>A14</v>
      </c>
      <c r="Q88" s="23" t="str">
        <f t="shared" si="106"/>
        <v>A15</v>
      </c>
    </row>
    <row r="89" spans="1:17" x14ac:dyDescent="0.25">
      <c r="A89" s="10" t="s">
        <v>28</v>
      </c>
      <c r="B89" s="10"/>
      <c r="C89" s="13">
        <f>C86+C81</f>
        <v>48.677999999999997</v>
      </c>
      <c r="D89" s="13">
        <f>D86+D81</f>
        <v>50.410616721259309</v>
      </c>
      <c r="E89" s="13">
        <f t="shared" ref="E89:Q89" si="107">E86+E81</f>
        <v>52.221201194975293</v>
      </c>
      <c r="F89" s="13">
        <f t="shared" si="107"/>
        <v>54.113261970008523</v>
      </c>
      <c r="G89" s="13">
        <f t="shared" si="107"/>
        <v>56.090465479918208</v>
      </c>
      <c r="H89" s="13">
        <f t="shared" si="107"/>
        <v>58.156643147773863</v>
      </c>
      <c r="I89" s="13">
        <f t="shared" si="107"/>
        <v>60.315798810682999</v>
      </c>
      <c r="J89" s="13">
        <f t="shared" si="107"/>
        <v>62.572116478423062</v>
      </c>
      <c r="K89" s="13">
        <f t="shared" si="107"/>
        <v>64.929968441211429</v>
      </c>
      <c r="L89" s="13">
        <f t="shared" si="107"/>
        <v>67.393923742325256</v>
      </c>
      <c r="M89" s="13">
        <f t="shared" si="107"/>
        <v>69.968757031989213</v>
      </c>
      <c r="N89" s="13">
        <f t="shared" si="107"/>
        <v>72.659457819688058</v>
      </c>
      <c r="O89" s="13">
        <f t="shared" si="107"/>
        <v>75.471240142833338</v>
      </c>
      <c r="P89" s="13">
        <f t="shared" si="107"/>
        <v>78.409552670520156</v>
      </c>
      <c r="Q89" s="13">
        <f t="shared" si="107"/>
        <v>81.480089261952884</v>
      </c>
    </row>
    <row r="90" spans="1:17" x14ac:dyDescent="0.25">
      <c r="A90" s="10" t="s">
        <v>16</v>
      </c>
      <c r="B90" s="13">
        <f>H5</f>
        <v>285.80000000000007</v>
      </c>
      <c r="C90" s="13"/>
      <c r="D90" s="13">
        <f>-C96</f>
        <v>-3.6742945631963337</v>
      </c>
      <c r="E90" s="13">
        <f t="shared" ref="E90:Q90" si="108">-D96</f>
        <v>7.0682554602007528</v>
      </c>
      <c r="F90" s="13">
        <f t="shared" si="108"/>
        <v>7.8442202346504644</v>
      </c>
      <c r="G90" s="13">
        <f t="shared" si="108"/>
        <v>8.6551034239504006</v>
      </c>
      <c r="H90" s="13">
        <f t="shared" si="108"/>
        <v>9.5024763567688453</v>
      </c>
      <c r="I90" s="13">
        <f t="shared" si="108"/>
        <v>10.387981071564134</v>
      </c>
      <c r="J90" s="13">
        <f t="shared" si="108"/>
        <v>11.313333498525189</v>
      </c>
      <c r="K90" s="13">
        <f t="shared" si="108"/>
        <v>12.280326784699504</v>
      </c>
      <c r="L90" s="13">
        <f t="shared" si="108"/>
        <v>13.290834768751658</v>
      </c>
      <c r="M90" s="13">
        <f t="shared" si="108"/>
        <v>14.346815612086154</v>
      </c>
      <c r="N90" s="13">
        <f t="shared" si="108"/>
        <v>15.450315593370725</v>
      </c>
      <c r="O90" s="13">
        <f t="shared" si="108"/>
        <v>16.603473073813085</v>
      </c>
      <c r="P90" s="13">
        <f t="shared" si="108"/>
        <v>17.808522640875346</v>
      </c>
      <c r="Q90" s="13">
        <f t="shared" si="108"/>
        <v>19.067799438455417</v>
      </c>
    </row>
    <row r="91" spans="1:17" x14ac:dyDescent="0.25">
      <c r="A91" s="10" t="s">
        <v>19</v>
      </c>
      <c r="B91" s="13">
        <f>H6</f>
        <v>1143.2000000000003</v>
      </c>
      <c r="C91" s="13">
        <f t="shared" ref="C91:Q91" si="109">-$H$14-C83</f>
        <v>-55.003705436803891</v>
      </c>
      <c r="D91" s="13">
        <f t="shared" si="109"/>
        <v>-57.478872181460062</v>
      </c>
      <c r="E91" s="13">
        <f t="shared" si="109"/>
        <v>-60.065421429625758</v>
      </c>
      <c r="F91" s="13">
        <f t="shared" si="109"/>
        <v>-62.768365393958923</v>
      </c>
      <c r="G91" s="13">
        <f t="shared" si="109"/>
        <v>-65.592941836687061</v>
      </c>
      <c r="H91" s="13">
        <f t="shared" si="109"/>
        <v>-68.54462421933799</v>
      </c>
      <c r="I91" s="13">
        <f t="shared" si="109"/>
        <v>-71.629132309208188</v>
      </c>
      <c r="J91" s="13">
        <f t="shared" si="109"/>
        <v>-74.852443263122566</v>
      </c>
      <c r="K91" s="13">
        <f t="shared" si="109"/>
        <v>-78.22080320996308</v>
      </c>
      <c r="L91" s="13">
        <f t="shared" si="109"/>
        <v>-81.740739354411417</v>
      </c>
      <c r="M91" s="13">
        <f t="shared" si="109"/>
        <v>-85.419072625359931</v>
      </c>
      <c r="N91" s="13">
        <f t="shared" si="109"/>
        <v>-89.262930893501135</v>
      </c>
      <c r="O91" s="13">
        <f t="shared" si="109"/>
        <v>-93.279762783708676</v>
      </c>
      <c r="P91" s="13">
        <f t="shared" si="109"/>
        <v>-97.477352108975566</v>
      </c>
      <c r="Q91" s="13">
        <f t="shared" si="109"/>
        <v>-101.86383295387947</v>
      </c>
    </row>
    <row r="92" spans="1:17" x14ac:dyDescent="0.25">
      <c r="A92" s="10" t="s">
        <v>24</v>
      </c>
      <c r="B92" s="14">
        <f>-H7</f>
        <v>0</v>
      </c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13"/>
    </row>
    <row r="93" spans="1:17" x14ac:dyDescent="0.25">
      <c r="A93" s="10" t="s">
        <v>27</v>
      </c>
      <c r="B93" s="14">
        <f>-H8</f>
        <v>-1419.0000000000002</v>
      </c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/>
    </row>
    <row r="94" spans="1:17" x14ac:dyDescent="0.25">
      <c r="A94" s="10" t="s">
        <v>63</v>
      </c>
      <c r="B94" s="14">
        <f>-H9</f>
        <v>0</v>
      </c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3"/>
    </row>
    <row r="95" spans="1:17" x14ac:dyDescent="0.25">
      <c r="A95" s="10" t="s">
        <v>35</v>
      </c>
      <c r="B95" s="13">
        <v>0</v>
      </c>
      <c r="C95" s="13">
        <f>B96</f>
        <v>10.000000000000227</v>
      </c>
      <c r="D95" s="13">
        <f t="shared" ref="D95:Q95" si="110">C96</f>
        <v>3.6742945631963337</v>
      </c>
      <c r="E95" s="13">
        <f t="shared" si="110"/>
        <v>-7.0682554602007528</v>
      </c>
      <c r="F95" s="13">
        <f t="shared" si="110"/>
        <v>-7.8442202346504644</v>
      </c>
      <c r="G95" s="13">
        <f t="shared" si="110"/>
        <v>-8.6551034239504006</v>
      </c>
      <c r="H95" s="13">
        <f t="shared" si="110"/>
        <v>-9.5024763567688453</v>
      </c>
      <c r="I95" s="13">
        <f t="shared" si="110"/>
        <v>-10.387981071564134</v>
      </c>
      <c r="J95" s="13">
        <f t="shared" si="110"/>
        <v>-11.313333498525189</v>
      </c>
      <c r="K95" s="13">
        <f t="shared" si="110"/>
        <v>-12.280326784699504</v>
      </c>
      <c r="L95" s="13">
        <f t="shared" si="110"/>
        <v>-13.290834768751658</v>
      </c>
      <c r="M95" s="13">
        <f t="shared" si="110"/>
        <v>-14.346815612086154</v>
      </c>
      <c r="N95" s="13">
        <f t="shared" si="110"/>
        <v>-15.450315593370725</v>
      </c>
      <c r="O95" s="13">
        <f t="shared" si="110"/>
        <v>-16.603473073813085</v>
      </c>
      <c r="P95" s="13">
        <f t="shared" si="110"/>
        <v>-17.808522640875346</v>
      </c>
      <c r="Q95" s="13">
        <f t="shared" si="110"/>
        <v>-19.067799438455417</v>
      </c>
    </row>
    <row r="96" spans="1:17" x14ac:dyDescent="0.25">
      <c r="A96" s="10" t="s">
        <v>64</v>
      </c>
      <c r="B96" s="13">
        <f>SUM(B89:B95)</f>
        <v>10.000000000000227</v>
      </c>
      <c r="C96" s="13">
        <f>SUM(C89:C95)</f>
        <v>3.6742945631963337</v>
      </c>
      <c r="D96" s="13">
        <f t="shared" ref="D96:Q96" si="111">SUM(D89:D95)</f>
        <v>-7.0682554602007528</v>
      </c>
      <c r="E96" s="13">
        <f t="shared" si="111"/>
        <v>-7.8442202346504644</v>
      </c>
      <c r="F96" s="13">
        <f t="shared" si="111"/>
        <v>-8.6551034239504006</v>
      </c>
      <c r="G96" s="13">
        <f t="shared" si="111"/>
        <v>-9.5024763567688453</v>
      </c>
      <c r="H96" s="13">
        <f t="shared" si="111"/>
        <v>-10.387981071564134</v>
      </c>
      <c r="I96" s="13">
        <f t="shared" si="111"/>
        <v>-11.313333498525189</v>
      </c>
      <c r="J96" s="13">
        <f t="shared" si="111"/>
        <v>-12.280326784699504</v>
      </c>
      <c r="K96" s="13">
        <f t="shared" si="111"/>
        <v>-13.290834768751658</v>
      </c>
      <c r="L96" s="13">
        <f t="shared" si="111"/>
        <v>-14.346815612086154</v>
      </c>
      <c r="M96" s="13">
        <f t="shared" si="111"/>
        <v>-15.450315593370725</v>
      </c>
      <c r="N96" s="13">
        <f t="shared" si="111"/>
        <v>-16.603473073813085</v>
      </c>
      <c r="O96" s="13">
        <f t="shared" si="111"/>
        <v>-17.808522640875346</v>
      </c>
      <c r="P96" s="13">
        <f t="shared" si="111"/>
        <v>-19.067799438455417</v>
      </c>
      <c r="Q96" s="13">
        <f t="shared" si="111"/>
        <v>-20.38374369192659</v>
      </c>
    </row>
    <row r="97" spans="1:24" x14ac:dyDescent="0.25">
      <c r="A97" t="str">
        <f>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  <c r="B97" s="36"/>
      <c r="C97" s="36"/>
      <c r="D97" s="36"/>
      <c r="E97" s="36"/>
      <c r="F97" s="36"/>
      <c r="G97" s="36"/>
      <c r="H97" s="36"/>
      <c r="I97" s="36"/>
      <c r="J97" s="36"/>
      <c r="K97" s="36"/>
      <c r="L97" s="36"/>
      <c r="M97" s="36"/>
      <c r="N97" s="36"/>
      <c r="O97" s="36"/>
      <c r="P97" s="36"/>
      <c r="Q97" s="36"/>
    </row>
    <row r="98" spans="1:24" x14ac:dyDescent="0.25">
      <c r="B98" s="13"/>
      <c r="C98" s="23" t="str">
        <f>C88</f>
        <v>A1</v>
      </c>
      <c r="D98" s="23" t="str">
        <f t="shared" ref="D98:Q98" si="112">D88</f>
        <v>A2</v>
      </c>
      <c r="E98" s="23" t="str">
        <f t="shared" si="112"/>
        <v>A3</v>
      </c>
      <c r="F98" s="23" t="str">
        <f t="shared" si="112"/>
        <v>A4</v>
      </c>
      <c r="G98" s="23" t="str">
        <f t="shared" si="112"/>
        <v>A5</v>
      </c>
      <c r="H98" s="23" t="str">
        <f t="shared" si="112"/>
        <v>A6</v>
      </c>
      <c r="I98" s="23" t="str">
        <f t="shared" si="112"/>
        <v>A7</v>
      </c>
      <c r="J98" s="23" t="str">
        <f t="shared" si="112"/>
        <v>A8</v>
      </c>
      <c r="K98" s="23" t="str">
        <f t="shared" si="112"/>
        <v>A9</v>
      </c>
      <c r="L98" s="23" t="str">
        <f t="shared" si="112"/>
        <v>A10</v>
      </c>
      <c r="M98" s="23" t="str">
        <f t="shared" si="112"/>
        <v>A11</v>
      </c>
      <c r="N98" s="23" t="str">
        <f t="shared" si="112"/>
        <v>A12</v>
      </c>
      <c r="O98" s="23" t="str">
        <f t="shared" si="112"/>
        <v>A13</v>
      </c>
      <c r="P98" s="23" t="str">
        <f t="shared" si="112"/>
        <v>A14</v>
      </c>
      <c r="Q98" s="23" t="str">
        <f t="shared" si="112"/>
        <v>A15</v>
      </c>
    </row>
    <row r="99" spans="1:24" x14ac:dyDescent="0.25">
      <c r="A99" s="10" t="s">
        <v>16</v>
      </c>
      <c r="B99" s="13">
        <f>B90</f>
        <v>285.80000000000007</v>
      </c>
      <c r="C99" s="13">
        <f>B99+C86+C90</f>
        <v>334.47800000000007</v>
      </c>
      <c r="D99" s="13">
        <f t="shared" ref="D99:Q99" si="113">C99+D86+D90</f>
        <v>381.21432215806306</v>
      </c>
      <c r="E99" s="13">
        <f t="shared" si="113"/>
        <v>440.50377881323908</v>
      </c>
      <c r="F99" s="13">
        <f t="shared" si="113"/>
        <v>502.4612610178981</v>
      </c>
      <c r="G99" s="13">
        <f t="shared" si="113"/>
        <v>567.20682992176671</v>
      </c>
      <c r="H99" s="13">
        <f t="shared" si="113"/>
        <v>634.86594942630938</v>
      </c>
      <c r="I99" s="13">
        <f t="shared" si="113"/>
        <v>705.56972930855648</v>
      </c>
      <c r="J99" s="13">
        <f t="shared" si="113"/>
        <v>779.45517928550464</v>
      </c>
      <c r="K99" s="13">
        <f t="shared" si="113"/>
        <v>856.66547451141548</v>
      </c>
      <c r="L99" s="13">
        <f t="shared" si="113"/>
        <v>937.35023302249238</v>
      </c>
      <c r="M99" s="13">
        <f t="shared" si="113"/>
        <v>1021.6658056665677</v>
      </c>
      <c r="N99" s="13">
        <f t="shared" si="113"/>
        <v>1109.7755790796266</v>
      </c>
      <c r="O99" s="13">
        <f t="shared" si="113"/>
        <v>1201.850292296273</v>
      </c>
      <c r="P99" s="13">
        <f t="shared" si="113"/>
        <v>1298.0683676076683</v>
      </c>
      <c r="Q99" s="13">
        <f t="shared" si="113"/>
        <v>1398.6162563080766</v>
      </c>
    </row>
    <row r="100" spans="1:24" x14ac:dyDescent="0.25">
      <c r="A100" s="10" t="s">
        <v>19</v>
      </c>
      <c r="B100" s="13">
        <f>B91</f>
        <v>1143.2000000000003</v>
      </c>
      <c r="C100" s="13">
        <f>B100+C91</f>
        <v>1088.1962945631965</v>
      </c>
      <c r="D100" s="13">
        <f t="shared" ref="D100:Q100" si="114">C100+D91</f>
        <v>1030.7174223817365</v>
      </c>
      <c r="E100" s="13">
        <f t="shared" si="114"/>
        <v>970.65200095211071</v>
      </c>
      <c r="F100" s="13">
        <f t="shared" si="114"/>
        <v>907.88363555815181</v>
      </c>
      <c r="G100" s="13">
        <f t="shared" si="114"/>
        <v>842.29069372146478</v>
      </c>
      <c r="H100" s="13">
        <f t="shared" si="114"/>
        <v>773.74606950212683</v>
      </c>
      <c r="I100" s="13">
        <f t="shared" si="114"/>
        <v>702.11693719291861</v>
      </c>
      <c r="J100" s="13">
        <f t="shared" si="114"/>
        <v>627.264493929796</v>
      </c>
      <c r="K100" s="13">
        <f t="shared" si="114"/>
        <v>549.04369071983297</v>
      </c>
      <c r="L100" s="13">
        <f t="shared" si="114"/>
        <v>467.30295136542156</v>
      </c>
      <c r="M100" s="13">
        <f t="shared" si="114"/>
        <v>381.88387874006162</v>
      </c>
      <c r="N100" s="13">
        <f t="shared" si="114"/>
        <v>292.62094784656051</v>
      </c>
      <c r="O100" s="13">
        <f t="shared" si="114"/>
        <v>199.34118506285182</v>
      </c>
      <c r="P100" s="13">
        <f t="shared" si="114"/>
        <v>101.86383295387625</v>
      </c>
      <c r="Q100" s="13">
        <f t="shared" si="114"/>
        <v>-3.2116531656356528E-12</v>
      </c>
      <c r="S100" s="36"/>
      <c r="T100" s="36"/>
      <c r="U100" s="36"/>
      <c r="V100" s="36"/>
      <c r="W100" s="36"/>
      <c r="X100" s="36"/>
    </row>
    <row r="101" spans="1:24" x14ac:dyDescent="0.25">
      <c r="B101" s="36"/>
      <c r="C101" s="36"/>
      <c r="D101" s="36"/>
      <c r="E101" s="36"/>
      <c r="F101" s="36"/>
      <c r="G101" s="36"/>
      <c r="H101" s="36"/>
      <c r="I101" s="36"/>
      <c r="J101" s="36"/>
      <c r="K101" s="36"/>
      <c r="L101" s="36"/>
      <c r="M101" s="36"/>
      <c r="N101" s="36"/>
      <c r="O101" s="36"/>
      <c r="P101" s="36"/>
      <c r="Q101" s="36"/>
    </row>
    <row r="102" spans="1:24" x14ac:dyDescent="0.25">
      <c r="A102" s="10" t="s">
        <v>24</v>
      </c>
      <c r="B102" s="13">
        <f>-B92</f>
        <v>0</v>
      </c>
      <c r="C102" s="10">
        <f>B102-C81</f>
        <v>0</v>
      </c>
      <c r="D102" s="10">
        <f t="shared" ref="D102:Q102" si="115">C102-D81</f>
        <v>0</v>
      </c>
      <c r="E102" s="10">
        <f t="shared" si="115"/>
        <v>0</v>
      </c>
      <c r="F102" s="10">
        <f t="shared" si="115"/>
        <v>0</v>
      </c>
      <c r="G102" s="10">
        <f t="shared" si="115"/>
        <v>0</v>
      </c>
      <c r="H102" s="10">
        <f t="shared" si="115"/>
        <v>0</v>
      </c>
      <c r="I102" s="10">
        <f t="shared" si="115"/>
        <v>0</v>
      </c>
      <c r="J102" s="10">
        <f t="shared" si="115"/>
        <v>0</v>
      </c>
      <c r="K102" s="10">
        <f t="shared" si="115"/>
        <v>0</v>
      </c>
      <c r="L102" s="10">
        <f t="shared" si="115"/>
        <v>0</v>
      </c>
      <c r="M102" s="10">
        <f t="shared" si="115"/>
        <v>0</v>
      </c>
      <c r="N102" s="10">
        <f t="shared" si="115"/>
        <v>0</v>
      </c>
      <c r="O102" s="10">
        <f t="shared" si="115"/>
        <v>0</v>
      </c>
      <c r="P102" s="10">
        <f t="shared" si="115"/>
        <v>0</v>
      </c>
      <c r="Q102" s="10">
        <f t="shared" si="115"/>
        <v>0</v>
      </c>
    </row>
    <row r="103" spans="1:24" x14ac:dyDescent="0.25">
      <c r="A103" s="10" t="s">
        <v>27</v>
      </c>
      <c r="B103" s="13">
        <f>-B93</f>
        <v>1419.0000000000002</v>
      </c>
      <c r="C103" s="13">
        <f>B103</f>
        <v>1419.0000000000002</v>
      </c>
      <c r="D103" s="13">
        <f t="shared" ref="D103:Q103" si="116">C103</f>
        <v>1419.0000000000002</v>
      </c>
      <c r="E103" s="13">
        <f t="shared" si="116"/>
        <v>1419.0000000000002</v>
      </c>
      <c r="F103" s="13">
        <f t="shared" si="116"/>
        <v>1419.0000000000002</v>
      </c>
      <c r="G103" s="13">
        <f t="shared" si="116"/>
        <v>1419.0000000000002</v>
      </c>
      <c r="H103" s="13">
        <f t="shared" si="116"/>
        <v>1419.0000000000002</v>
      </c>
      <c r="I103" s="13">
        <f t="shared" si="116"/>
        <v>1419.0000000000002</v>
      </c>
      <c r="J103" s="13">
        <f t="shared" si="116"/>
        <v>1419.0000000000002</v>
      </c>
      <c r="K103" s="13">
        <f t="shared" si="116"/>
        <v>1419.0000000000002</v>
      </c>
      <c r="L103" s="13">
        <f t="shared" si="116"/>
        <v>1419.0000000000002</v>
      </c>
      <c r="M103" s="13">
        <f t="shared" si="116"/>
        <v>1419.0000000000002</v>
      </c>
      <c r="N103" s="13">
        <f t="shared" si="116"/>
        <v>1419.0000000000002</v>
      </c>
      <c r="O103" s="13">
        <f t="shared" si="116"/>
        <v>1419.0000000000002</v>
      </c>
      <c r="P103" s="13">
        <f t="shared" si="116"/>
        <v>1419.0000000000002</v>
      </c>
      <c r="Q103" s="13">
        <f t="shared" si="116"/>
        <v>1419.0000000000002</v>
      </c>
    </row>
    <row r="104" spans="1:24" x14ac:dyDescent="0.25">
      <c r="A104" s="10" t="s">
        <v>30</v>
      </c>
      <c r="B104" s="13">
        <f>-B94</f>
        <v>0</v>
      </c>
      <c r="C104" s="13">
        <f>B104-C94</f>
        <v>0</v>
      </c>
      <c r="D104" s="13">
        <f t="shared" ref="D104:Q104" si="117">C104-D94</f>
        <v>0</v>
      </c>
      <c r="E104" s="13">
        <f t="shared" si="117"/>
        <v>0</v>
      </c>
      <c r="F104" s="13">
        <f t="shared" si="117"/>
        <v>0</v>
      </c>
      <c r="G104" s="13">
        <f t="shared" si="117"/>
        <v>0</v>
      </c>
      <c r="H104" s="13">
        <f t="shared" si="117"/>
        <v>0</v>
      </c>
      <c r="I104" s="13">
        <f t="shared" si="117"/>
        <v>0</v>
      </c>
      <c r="J104" s="13">
        <f t="shared" si="117"/>
        <v>0</v>
      </c>
      <c r="K104" s="13">
        <f t="shared" si="117"/>
        <v>0</v>
      </c>
      <c r="L104" s="13">
        <f t="shared" si="117"/>
        <v>0</v>
      </c>
      <c r="M104" s="13">
        <f t="shared" si="117"/>
        <v>0</v>
      </c>
      <c r="N104" s="13">
        <f t="shared" si="117"/>
        <v>0</v>
      </c>
      <c r="O104" s="13">
        <f t="shared" si="117"/>
        <v>0</v>
      </c>
      <c r="P104" s="13">
        <f t="shared" si="117"/>
        <v>0</v>
      </c>
      <c r="Q104" s="13">
        <f t="shared" si="117"/>
        <v>0</v>
      </c>
    </row>
    <row r="105" spans="1:24" x14ac:dyDescent="0.25">
      <c r="A105" s="10" t="s">
        <v>32</v>
      </c>
      <c r="B105" s="13">
        <f>B96</f>
        <v>10.000000000000227</v>
      </c>
      <c r="C105" s="13">
        <f>C96</f>
        <v>3.6742945631963337</v>
      </c>
      <c r="D105" s="13">
        <f t="shared" ref="D105:Q105" si="118">D96</f>
        <v>-7.0682554602007528</v>
      </c>
      <c r="E105" s="13">
        <f t="shared" si="118"/>
        <v>-7.8442202346504644</v>
      </c>
      <c r="F105" s="13">
        <f t="shared" si="118"/>
        <v>-8.6551034239504006</v>
      </c>
      <c r="G105" s="13">
        <f t="shared" si="118"/>
        <v>-9.5024763567688453</v>
      </c>
      <c r="H105" s="13">
        <f t="shared" si="118"/>
        <v>-10.387981071564134</v>
      </c>
      <c r="I105" s="13">
        <f t="shared" si="118"/>
        <v>-11.313333498525189</v>
      </c>
      <c r="J105" s="13">
        <f t="shared" si="118"/>
        <v>-12.280326784699504</v>
      </c>
      <c r="K105" s="13">
        <f t="shared" si="118"/>
        <v>-13.290834768751658</v>
      </c>
      <c r="L105" s="13">
        <f t="shared" si="118"/>
        <v>-14.346815612086154</v>
      </c>
      <c r="M105" s="13">
        <f t="shared" si="118"/>
        <v>-15.450315593370725</v>
      </c>
      <c r="N105" s="13">
        <f t="shared" si="118"/>
        <v>-16.603473073813085</v>
      </c>
      <c r="O105" s="13">
        <f t="shared" si="118"/>
        <v>-17.808522640875346</v>
      </c>
      <c r="P105" s="13">
        <f t="shared" si="118"/>
        <v>-19.067799438455417</v>
      </c>
      <c r="Q105" s="13">
        <f t="shared" si="118"/>
        <v>-20.38374369192659</v>
      </c>
    </row>
    <row r="106" spans="1:24" x14ac:dyDescent="0.25">
      <c r="A106" s="8" t="s">
        <v>34</v>
      </c>
      <c r="B106" s="21">
        <f>SUM(B102:B105)</f>
        <v>1429.0000000000005</v>
      </c>
      <c r="C106" s="21">
        <f>SUM(C102:C105)</f>
        <v>1422.6742945631966</v>
      </c>
      <c r="D106" s="21">
        <f t="shared" ref="D106:Q106" si="119">SUM(D102:D105)</f>
        <v>1411.9317445397994</v>
      </c>
      <c r="E106" s="21">
        <f t="shared" si="119"/>
        <v>1411.1557797653497</v>
      </c>
      <c r="F106" s="21">
        <f t="shared" si="119"/>
        <v>1410.3448965760499</v>
      </c>
      <c r="G106" s="21">
        <f t="shared" si="119"/>
        <v>1409.4975236432315</v>
      </c>
      <c r="H106" s="21">
        <f t="shared" si="119"/>
        <v>1408.6120189284361</v>
      </c>
      <c r="I106" s="21">
        <f t="shared" si="119"/>
        <v>1407.686666501475</v>
      </c>
      <c r="J106" s="21">
        <f t="shared" si="119"/>
        <v>1406.7196732153006</v>
      </c>
      <c r="K106" s="21">
        <f t="shared" si="119"/>
        <v>1405.7091652312486</v>
      </c>
      <c r="L106" s="21">
        <f t="shared" si="119"/>
        <v>1404.6531843879141</v>
      </c>
      <c r="M106" s="21">
        <f t="shared" si="119"/>
        <v>1403.5496844066295</v>
      </c>
      <c r="N106" s="21">
        <f t="shared" si="119"/>
        <v>1402.3965269261871</v>
      </c>
      <c r="O106" s="21">
        <f t="shared" si="119"/>
        <v>1401.191477359125</v>
      </c>
      <c r="P106" s="21">
        <f t="shared" si="119"/>
        <v>1399.9322005615447</v>
      </c>
      <c r="Q106" s="21">
        <f t="shared" si="119"/>
        <v>1398.6162563080736</v>
      </c>
    </row>
    <row r="107" spans="1:24" x14ac:dyDescent="0.25">
      <c r="A107" s="10" t="s">
        <v>65</v>
      </c>
      <c r="B107" s="13">
        <f>B106-B99-B100</f>
        <v>0</v>
      </c>
      <c r="C107" s="13">
        <f>C106-C99-C100</f>
        <v>0</v>
      </c>
      <c r="D107" s="13">
        <f t="shared" ref="D107:Q107" si="120">D106-D99-D100</f>
        <v>0</v>
      </c>
      <c r="E107" s="13">
        <f t="shared" si="120"/>
        <v>0</v>
      </c>
      <c r="F107" s="13">
        <f t="shared" si="120"/>
        <v>0</v>
      </c>
      <c r="G107" s="13">
        <f t="shared" si="120"/>
        <v>0</v>
      </c>
      <c r="H107" s="13">
        <f t="shared" si="120"/>
        <v>0</v>
      </c>
      <c r="I107" s="13">
        <f t="shared" si="120"/>
        <v>0</v>
      </c>
      <c r="J107" s="13">
        <f t="shared" si="120"/>
        <v>0</v>
      </c>
      <c r="K107" s="13">
        <f t="shared" si="120"/>
        <v>0</v>
      </c>
      <c r="L107" s="13">
        <f t="shared" si="120"/>
        <v>0</v>
      </c>
      <c r="M107" s="13">
        <f t="shared" si="120"/>
        <v>0</v>
      </c>
      <c r="N107" s="13">
        <f t="shared" si="120"/>
        <v>0</v>
      </c>
      <c r="O107" s="13">
        <f t="shared" si="120"/>
        <v>0</v>
      </c>
      <c r="P107" s="13">
        <f t="shared" si="120"/>
        <v>1.9895196601282805E-13</v>
      </c>
      <c r="Q107" s="13">
        <f t="shared" si="120"/>
        <v>2.5579538487363607E-13</v>
      </c>
    </row>
    <row r="108" spans="1:24" x14ac:dyDescent="0.25">
      <c r="A108" t="str">
        <f>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  <c r="B108" s="36"/>
      <c r="C108" s="36"/>
      <c r="D108" s="36"/>
      <c r="E108" s="36"/>
      <c r="F108" s="36"/>
      <c r="G108" s="36"/>
      <c r="H108" s="36"/>
      <c r="I108" s="36"/>
      <c r="J108" s="36"/>
      <c r="K108" s="36"/>
      <c r="L108" s="36"/>
      <c r="M108" s="36"/>
      <c r="N108" s="36"/>
      <c r="O108" s="36"/>
      <c r="P108" s="36"/>
      <c r="Q108" s="36"/>
    </row>
    <row r="109" spans="1:24" x14ac:dyDescent="0.25">
      <c r="A109" s="10"/>
      <c r="B109" s="13"/>
      <c r="C109" s="23" t="str">
        <f>C98</f>
        <v>A1</v>
      </c>
      <c r="D109" s="23" t="str">
        <f t="shared" ref="D109:Q109" si="121">D98</f>
        <v>A2</v>
      </c>
      <c r="E109" s="23" t="str">
        <f t="shared" si="121"/>
        <v>A3</v>
      </c>
      <c r="F109" s="23" t="str">
        <f t="shared" si="121"/>
        <v>A4</v>
      </c>
      <c r="G109" s="23" t="str">
        <f t="shared" si="121"/>
        <v>A5</v>
      </c>
      <c r="H109" s="23" t="str">
        <f t="shared" si="121"/>
        <v>A6</v>
      </c>
      <c r="I109" s="23" t="str">
        <f t="shared" si="121"/>
        <v>A7</v>
      </c>
      <c r="J109" s="23" t="str">
        <f t="shared" si="121"/>
        <v>A8</v>
      </c>
      <c r="K109" s="23" t="str">
        <f t="shared" si="121"/>
        <v>A9</v>
      </c>
      <c r="L109" s="23" t="str">
        <f t="shared" si="121"/>
        <v>A10</v>
      </c>
      <c r="M109" s="23" t="str">
        <f t="shared" si="121"/>
        <v>A11</v>
      </c>
      <c r="N109" s="23" t="str">
        <f t="shared" si="121"/>
        <v>A12</v>
      </c>
      <c r="O109" s="23" t="str">
        <f t="shared" si="121"/>
        <v>A13</v>
      </c>
      <c r="P109" s="23" t="str">
        <f t="shared" si="121"/>
        <v>A14</v>
      </c>
      <c r="Q109" s="23" t="str">
        <f t="shared" si="121"/>
        <v>A15</v>
      </c>
    </row>
    <row r="110" spans="1:24" x14ac:dyDescent="0.25">
      <c r="A110" s="10" t="s">
        <v>66</v>
      </c>
      <c r="B110" s="13">
        <f>-B90</f>
        <v>-285.80000000000007</v>
      </c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</row>
    <row r="111" spans="1:24" x14ac:dyDescent="0.25">
      <c r="A111" s="10" t="s">
        <v>67</v>
      </c>
      <c r="B111" s="13"/>
      <c r="C111" s="10"/>
      <c r="D111" s="13">
        <f>-D90</f>
        <v>3.6742945631963337</v>
      </c>
      <c r="E111" s="13">
        <f t="shared" ref="E111:Q111" si="122">-E90</f>
        <v>-7.0682554602007528</v>
      </c>
      <c r="F111" s="13">
        <f t="shared" si="122"/>
        <v>-7.8442202346504644</v>
      </c>
      <c r="G111" s="13">
        <f t="shared" si="122"/>
        <v>-8.6551034239504006</v>
      </c>
      <c r="H111" s="13">
        <f t="shared" si="122"/>
        <v>-9.5024763567688453</v>
      </c>
      <c r="I111" s="13">
        <f t="shared" si="122"/>
        <v>-10.387981071564134</v>
      </c>
      <c r="J111" s="13">
        <f t="shared" si="122"/>
        <v>-11.313333498525189</v>
      </c>
      <c r="K111" s="13">
        <f t="shared" si="122"/>
        <v>-12.280326784699504</v>
      </c>
      <c r="L111" s="13">
        <f t="shared" si="122"/>
        <v>-13.290834768751658</v>
      </c>
      <c r="M111" s="13">
        <f t="shared" si="122"/>
        <v>-14.346815612086154</v>
      </c>
      <c r="N111" s="13">
        <f t="shared" si="122"/>
        <v>-15.450315593370725</v>
      </c>
      <c r="O111" s="13">
        <f t="shared" si="122"/>
        <v>-16.603473073813085</v>
      </c>
      <c r="P111" s="13">
        <f t="shared" si="122"/>
        <v>-17.808522640875346</v>
      </c>
      <c r="Q111" s="13">
        <f t="shared" si="122"/>
        <v>-19.067799438455417</v>
      </c>
    </row>
    <row r="112" spans="1:24" x14ac:dyDescent="0.25">
      <c r="A112" s="10" t="s">
        <v>68</v>
      </c>
      <c r="B112" s="13"/>
      <c r="C112" s="10"/>
      <c r="D112" s="13"/>
      <c r="E112" s="13"/>
      <c r="F112" s="13"/>
      <c r="G112" s="13"/>
      <c r="H112" s="13"/>
      <c r="I112" s="13"/>
      <c r="J112" s="13"/>
      <c r="K112" s="13"/>
      <c r="L112" s="13"/>
      <c r="M112" s="13"/>
      <c r="N112" s="13"/>
      <c r="O112" s="13"/>
      <c r="P112" s="13"/>
      <c r="Q112" s="13">
        <f>H24</f>
        <v>1398.6162563080768</v>
      </c>
    </row>
    <row r="113" spans="1:17" x14ac:dyDescent="0.25">
      <c r="A113" s="10" t="s">
        <v>69</v>
      </c>
      <c r="B113" s="13">
        <f>SUM(B110:B112)</f>
        <v>-285.80000000000007</v>
      </c>
      <c r="C113" s="10">
        <f t="shared" ref="C113:Q113" si="123">SUM(C110:C112)</f>
        <v>0</v>
      </c>
      <c r="D113" s="13">
        <f t="shared" si="123"/>
        <v>3.6742945631963337</v>
      </c>
      <c r="E113" s="13">
        <f t="shared" si="123"/>
        <v>-7.0682554602007528</v>
      </c>
      <c r="F113" s="13">
        <f t="shared" si="123"/>
        <v>-7.8442202346504644</v>
      </c>
      <c r="G113" s="13">
        <f t="shared" si="123"/>
        <v>-8.6551034239504006</v>
      </c>
      <c r="H113" s="13">
        <f t="shared" si="123"/>
        <v>-9.5024763567688453</v>
      </c>
      <c r="I113" s="13">
        <f t="shared" si="123"/>
        <v>-10.387981071564134</v>
      </c>
      <c r="J113" s="13">
        <f t="shared" si="123"/>
        <v>-11.313333498525189</v>
      </c>
      <c r="K113" s="13">
        <f t="shared" si="123"/>
        <v>-12.280326784699504</v>
      </c>
      <c r="L113" s="13">
        <f t="shared" si="123"/>
        <v>-13.290834768751658</v>
      </c>
      <c r="M113" s="13">
        <f t="shared" si="123"/>
        <v>-14.346815612086154</v>
      </c>
      <c r="N113" s="13">
        <f t="shared" si="123"/>
        <v>-15.450315593370725</v>
      </c>
      <c r="O113" s="13">
        <f t="shared" si="123"/>
        <v>-16.603473073813085</v>
      </c>
      <c r="P113" s="13">
        <f t="shared" si="123"/>
        <v>-17.808522640875346</v>
      </c>
      <c r="Q113" s="13">
        <f t="shared" si="123"/>
        <v>1379.5484568696213</v>
      </c>
    </row>
    <row r="114" spans="1:17" x14ac:dyDescent="0.25">
      <c r="A114" s="10" t="s">
        <v>70</v>
      </c>
      <c r="B114" s="37">
        <f>IRR(B113:Q113)</f>
        <v>9.6549312238027207E-2</v>
      </c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</row>
    <row r="115" spans="1:17" x14ac:dyDescent="0.25">
      <c r="A115" t="str">
        <f>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</row>
  </sheetData>
  <mergeCells count="2">
    <mergeCell ref="X3:Y3"/>
    <mergeCell ref="Z3:AA3"/>
  </mergeCells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A115"/>
  <sheetViews>
    <sheetView zoomScale="76" zoomScaleNormal="76" workbookViewId="0">
      <selection activeCell="I22" sqref="I22"/>
    </sheetView>
  </sheetViews>
  <sheetFormatPr baseColWidth="10" defaultColWidth="8.42578125" defaultRowHeight="15" x14ac:dyDescent="0.25"/>
  <cols>
    <col min="1" max="1" width="20.5703125" customWidth="1"/>
    <col min="2" max="2" width="9.42578125" bestFit="1" customWidth="1"/>
    <col min="4" max="4" width="7.28515625" customWidth="1"/>
    <col min="6" max="6" width="10.28515625" customWidth="1"/>
    <col min="8" max="8" width="7.85546875" customWidth="1"/>
    <col min="9" max="9" width="10.42578125" customWidth="1"/>
    <col min="10" max="10" width="7.85546875" customWidth="1"/>
  </cols>
  <sheetData>
    <row r="1" spans="1:27" x14ac:dyDescent="0.25">
      <c r="A1" t="str">
        <f>REPT("-",300)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</row>
    <row r="2" spans="1:27" x14ac:dyDescent="0.25">
      <c r="A2" s="1" t="s">
        <v>0</v>
      </c>
      <c r="C2" s="30"/>
      <c r="D2" s="30"/>
      <c r="E2" t="s">
        <v>72</v>
      </c>
      <c r="I2" s="1" t="s">
        <v>73</v>
      </c>
    </row>
    <row r="3" spans="1:27" ht="15.75" thickBot="1" x14ac:dyDescent="0.3">
      <c r="A3" t="str">
        <f>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  <c r="W3" s="10"/>
      <c r="X3" s="121" t="s">
        <v>41</v>
      </c>
      <c r="Y3" s="121"/>
      <c r="Z3" s="121" t="s">
        <v>75</v>
      </c>
      <c r="AA3" s="121"/>
    </row>
    <row r="4" spans="1:27" ht="15.75" thickBot="1" x14ac:dyDescent="0.3">
      <c r="A4" s="6" t="s">
        <v>12</v>
      </c>
      <c r="B4" s="7" t="s">
        <v>76</v>
      </c>
      <c r="C4" s="7" t="s">
        <v>77</v>
      </c>
      <c r="D4" s="33" t="s">
        <v>88</v>
      </c>
      <c r="F4" s="61" t="s">
        <v>13</v>
      </c>
      <c r="G4" s="62" t="str">
        <f>B4</f>
        <v>Propr</v>
      </c>
      <c r="H4" s="63" t="str">
        <f>C4</f>
        <v>Loc</v>
      </c>
      <c r="J4" s="69" t="s">
        <v>41</v>
      </c>
      <c r="K4" s="70"/>
      <c r="L4" s="23" t="s">
        <v>2</v>
      </c>
      <c r="M4" s="3" t="s">
        <v>3</v>
      </c>
      <c r="N4" s="3" t="s">
        <v>4</v>
      </c>
      <c r="O4" s="4" t="s">
        <v>5</v>
      </c>
      <c r="P4" s="4" t="s">
        <v>6</v>
      </c>
      <c r="Q4" s="4" t="s">
        <v>7</v>
      </c>
      <c r="R4" s="4" t="s">
        <v>8</v>
      </c>
      <c r="S4" s="4" t="s">
        <v>9</v>
      </c>
      <c r="T4" s="4" t="s">
        <v>10</v>
      </c>
      <c r="U4" s="4" t="s">
        <v>11</v>
      </c>
      <c r="W4" s="10"/>
      <c r="X4" s="5" t="s">
        <v>90</v>
      </c>
      <c r="Y4" s="5" t="s">
        <v>91</v>
      </c>
      <c r="Z4" s="5" t="s">
        <v>90</v>
      </c>
      <c r="AA4" s="5" t="s">
        <v>91</v>
      </c>
    </row>
    <row r="5" spans="1:27" x14ac:dyDescent="0.25">
      <c r="A5" s="8" t="s">
        <v>15</v>
      </c>
      <c r="B5" s="11">
        <v>1500</v>
      </c>
      <c r="C5" s="11">
        <v>1800</v>
      </c>
      <c r="D5" s="25">
        <v>0.03</v>
      </c>
      <c r="F5" s="45" t="s">
        <v>16</v>
      </c>
      <c r="G5" s="57">
        <f>B21*(G7+G8+G9+G10)</f>
        <v>345.80000000000007</v>
      </c>
      <c r="H5" s="58">
        <f>B21*(H7+H8+H9+H10)</f>
        <v>342.56000000000006</v>
      </c>
      <c r="J5" s="9" t="s">
        <v>14</v>
      </c>
      <c r="K5" s="10"/>
      <c r="L5" s="13">
        <f t="shared" ref="L5:U9" si="0">C38</f>
        <v>177.4</v>
      </c>
      <c r="M5" s="13">
        <f t="shared" si="0"/>
        <v>189.35857142857139</v>
      </c>
      <c r="N5" s="13">
        <f t="shared" si="0"/>
        <v>201.76168214285718</v>
      </c>
      <c r="O5" s="13">
        <f t="shared" si="0"/>
        <v>214.62419166071439</v>
      </c>
      <c r="P5" s="13">
        <f t="shared" si="0"/>
        <v>227.96144043383939</v>
      </c>
      <c r="Q5" s="13">
        <f t="shared" si="0"/>
        <v>241.78926522395406</v>
      </c>
      <c r="R5" s="13">
        <f t="shared" si="0"/>
        <v>256.12401496764863</v>
      </c>
      <c r="S5" s="13">
        <f t="shared" si="0"/>
        <v>270.98256714535023</v>
      </c>
      <c r="T5" s="13">
        <f t="shared" si="0"/>
        <v>286.38234467037734</v>
      </c>
      <c r="U5" s="13">
        <f t="shared" si="0"/>
        <v>302.3413333145399</v>
      </c>
      <c r="W5" s="8" t="s">
        <v>27</v>
      </c>
      <c r="X5" s="13">
        <f>L29*B24*1.1</f>
        <v>1851.4731478536985</v>
      </c>
      <c r="Y5" s="13">
        <f>Q29*B24*1.1</f>
        <v>2146.3648195694036</v>
      </c>
      <c r="Z5" s="13">
        <f>L73*B24*1.1</f>
        <v>2221.7677774244389</v>
      </c>
      <c r="AA5" s="13">
        <f>Q73*B24*1.1</f>
        <v>2575.6377834832847</v>
      </c>
    </row>
    <row r="6" spans="1:27" ht="15.75" thickBot="1" x14ac:dyDescent="0.3">
      <c r="A6" s="10" t="s">
        <v>18</v>
      </c>
      <c r="B6" s="14">
        <f>B5*B26</f>
        <v>450</v>
      </c>
      <c r="C6" s="14">
        <f>C5*B26</f>
        <v>540</v>
      </c>
      <c r="D6" s="73"/>
      <c r="F6" s="54" t="s">
        <v>19</v>
      </c>
      <c r="G6" s="59">
        <f>G11-G5</f>
        <v>1383.2000000000003</v>
      </c>
      <c r="H6" s="60">
        <f>H11-H5</f>
        <v>1370.2400000000002</v>
      </c>
      <c r="J6" s="12" t="s">
        <v>17</v>
      </c>
      <c r="K6" s="10"/>
      <c r="L6" s="13">
        <f t="shared" si="0"/>
        <v>-62.244000000000007</v>
      </c>
      <c r="M6" s="13">
        <f t="shared" si="0"/>
        <v>-59.249204127704331</v>
      </c>
      <c r="N6" s="13">
        <f t="shared" si="0"/>
        <v>-56.119642441155349</v>
      </c>
      <c r="O6" s="13">
        <f t="shared" si="0"/>
        <v>-52.849250478711653</v>
      </c>
      <c r="P6" s="13">
        <f t="shared" si="0"/>
        <v>-49.43169087795799</v>
      </c>
      <c r="Q6" s="13">
        <f t="shared" si="0"/>
        <v>-45.860341095170426</v>
      </c>
      <c r="R6" s="13">
        <f t="shared" si="0"/>
        <v>-42.128280572157415</v>
      </c>
      <c r="S6" s="13">
        <f t="shared" si="0"/>
        <v>-38.228277325608815</v>
      </c>
      <c r="T6" s="13">
        <f t="shared" si="0"/>
        <v>-34.152773932965538</v>
      </c>
      <c r="U6" s="13">
        <f t="shared" si="0"/>
        <v>-29.893872887653306</v>
      </c>
      <c r="W6" s="8" t="s">
        <v>24</v>
      </c>
      <c r="X6" s="13">
        <f>B16*(1+$D$16)^10</f>
        <v>365.69832599842715</v>
      </c>
      <c r="Y6" s="13">
        <f>B16*(1+D16)^15</f>
        <v>403.76050149723875</v>
      </c>
      <c r="Z6" s="13">
        <v>0</v>
      </c>
      <c r="AA6" s="13">
        <v>0</v>
      </c>
    </row>
    <row r="7" spans="1:27" x14ac:dyDescent="0.25">
      <c r="A7" s="10" t="s">
        <v>21</v>
      </c>
      <c r="B7" s="10">
        <v>260</v>
      </c>
      <c r="C7" s="10">
        <f>B7/B5*C5</f>
        <v>312</v>
      </c>
      <c r="D7" s="25">
        <v>0.01</v>
      </c>
      <c r="F7" s="45" t="s">
        <v>24</v>
      </c>
      <c r="G7" s="46">
        <f>B16</f>
        <v>300</v>
      </c>
      <c r="H7" s="47">
        <v>0</v>
      </c>
      <c r="J7" s="9" t="s">
        <v>20</v>
      </c>
      <c r="K7" s="10"/>
      <c r="L7" s="13">
        <f t="shared" si="0"/>
        <v>115.15600000000001</v>
      </c>
      <c r="M7" s="13">
        <f t="shared" si="0"/>
        <v>130.10936730086706</v>
      </c>
      <c r="N7" s="13">
        <f t="shared" si="0"/>
        <v>145.64203970170183</v>
      </c>
      <c r="O7" s="13">
        <f t="shared" si="0"/>
        <v>161.77494118200275</v>
      </c>
      <c r="P7" s="13">
        <f t="shared" si="0"/>
        <v>178.52974955588138</v>
      </c>
      <c r="Q7" s="13">
        <f t="shared" si="0"/>
        <v>195.92892412878365</v>
      </c>
      <c r="R7" s="13">
        <f t="shared" si="0"/>
        <v>213.99573439549121</v>
      </c>
      <c r="S7" s="13">
        <f t="shared" si="0"/>
        <v>232.75428981974142</v>
      </c>
      <c r="T7" s="13">
        <f t="shared" si="0"/>
        <v>252.22957073741179</v>
      </c>
      <c r="U7" s="13">
        <f t="shared" si="0"/>
        <v>272.44746042688661</v>
      </c>
      <c r="W7" s="79" t="s">
        <v>92</v>
      </c>
      <c r="X7" s="13">
        <f>X5-$B$17</f>
        <v>432.47314785369826</v>
      </c>
      <c r="Y7" s="13">
        <f>Y5-$B$17</f>
        <v>727.36481956940338</v>
      </c>
      <c r="Z7" s="13">
        <f>Z5-C17</f>
        <v>518.96777742443874</v>
      </c>
      <c r="AA7" s="13">
        <f>AA5-C17</f>
        <v>872.83778348328451</v>
      </c>
    </row>
    <row r="8" spans="1:27" x14ac:dyDescent="0.25">
      <c r="A8" s="10" t="s">
        <v>23</v>
      </c>
      <c r="B8" s="10">
        <v>0</v>
      </c>
      <c r="C8" s="10">
        <f>B19*B16</f>
        <v>24</v>
      </c>
      <c r="D8" s="25">
        <v>1.4999999999999999E-2</v>
      </c>
      <c r="F8" s="48" t="s">
        <v>27</v>
      </c>
      <c r="G8" s="13">
        <f>B17</f>
        <v>1419.0000000000002</v>
      </c>
      <c r="H8" s="49">
        <f>C17</f>
        <v>1702.8000000000002</v>
      </c>
      <c r="J8" s="12" t="s">
        <v>89</v>
      </c>
      <c r="K8" s="10"/>
      <c r="L8" s="13">
        <f t="shared" si="0"/>
        <v>-34.546799999999998</v>
      </c>
      <c r="M8" s="13">
        <f t="shared" si="0"/>
        <v>-39.032810190260115</v>
      </c>
      <c r="N8" s="13">
        <f t="shared" si="0"/>
        <v>-43.69261191051055</v>
      </c>
      <c r="O8" s="13">
        <f t="shared" si="0"/>
        <v>-48.532482354600823</v>
      </c>
      <c r="P8" s="13">
        <f t="shared" si="0"/>
        <v>-53.558924866764414</v>
      </c>
      <c r="Q8" s="13">
        <f t="shared" si="0"/>
        <v>-58.77867723863509</v>
      </c>
      <c r="R8" s="13">
        <f t="shared" si="0"/>
        <v>-64.198720318647361</v>
      </c>
      <c r="S8" s="13">
        <f t="shared" si="0"/>
        <v>-69.826286945922419</v>
      </c>
      <c r="T8" s="13">
        <f t="shared" si="0"/>
        <v>-75.66887122122354</v>
      </c>
      <c r="U8" s="13">
        <f t="shared" si="0"/>
        <v>-81.734238128065982</v>
      </c>
      <c r="W8" s="79" t="s">
        <v>93</v>
      </c>
      <c r="X8" s="13">
        <f>X6-L58</f>
        <v>161.69832599842721</v>
      </c>
      <c r="Y8" s="13">
        <f>Y6-Q58</f>
        <v>247.76050149723878</v>
      </c>
      <c r="Z8" s="13">
        <v>0</v>
      </c>
      <c r="AA8" s="13">
        <v>0</v>
      </c>
    </row>
    <row r="9" spans="1:27" x14ac:dyDescent="0.25">
      <c r="A9" s="10" t="s">
        <v>26</v>
      </c>
      <c r="B9" s="10">
        <f>B8/B5</f>
        <v>0</v>
      </c>
      <c r="C9" s="16">
        <f>C8/C5</f>
        <v>1.3333333333333334E-2</v>
      </c>
      <c r="D9" s="73"/>
      <c r="F9" s="48" t="s">
        <v>30</v>
      </c>
      <c r="G9" s="10">
        <f>B18</f>
        <v>0</v>
      </c>
      <c r="H9" s="50">
        <f>B18</f>
        <v>0</v>
      </c>
      <c r="J9" s="9" t="s">
        <v>25</v>
      </c>
      <c r="K9" s="10"/>
      <c r="L9" s="13">
        <f t="shared" si="0"/>
        <v>80.609200000000016</v>
      </c>
      <c r="M9" s="13">
        <f t="shared" si="0"/>
        <v>91.076557110606956</v>
      </c>
      <c r="N9" s="13">
        <f t="shared" si="0"/>
        <v>101.94942779119128</v>
      </c>
      <c r="O9" s="13">
        <f t="shared" si="0"/>
        <v>113.24245882740192</v>
      </c>
      <c r="P9" s="13">
        <f t="shared" si="0"/>
        <v>124.97082468911697</v>
      </c>
      <c r="Q9" s="13">
        <f t="shared" si="0"/>
        <v>137.15024689014857</v>
      </c>
      <c r="R9" s="13">
        <f t="shared" si="0"/>
        <v>149.79701407684385</v>
      </c>
      <c r="S9" s="13">
        <f t="shared" si="0"/>
        <v>162.928002873819</v>
      </c>
      <c r="T9" s="13">
        <f t="shared" si="0"/>
        <v>176.56069951618827</v>
      </c>
      <c r="U9" s="13">
        <f t="shared" si="0"/>
        <v>190.71322229882063</v>
      </c>
      <c r="W9" s="79" t="s">
        <v>94</v>
      </c>
      <c r="X9" s="13">
        <f>X8+X7</f>
        <v>594.17147385212547</v>
      </c>
      <c r="Y9" s="13">
        <f>Y8+Y7</f>
        <v>975.12532106664219</v>
      </c>
      <c r="Z9" s="13">
        <f t="shared" ref="Z9:AA9" si="1">Z8+Z7</f>
        <v>518.96777742443874</v>
      </c>
      <c r="AA9" s="13">
        <f t="shared" si="1"/>
        <v>872.83778348328451</v>
      </c>
    </row>
    <row r="10" spans="1:27" x14ac:dyDescent="0.25">
      <c r="A10" s="17" t="s">
        <v>29</v>
      </c>
      <c r="B10" s="15">
        <v>3</v>
      </c>
      <c r="C10" s="15">
        <v>0</v>
      </c>
      <c r="D10" s="25">
        <v>1.4999999999999999E-2</v>
      </c>
      <c r="F10" s="48" t="s">
        <v>32</v>
      </c>
      <c r="G10" s="15">
        <v>10</v>
      </c>
      <c r="H10" s="51">
        <f>G10</f>
        <v>10</v>
      </c>
      <c r="J10" s="10" t="s">
        <v>28</v>
      </c>
      <c r="K10" s="10"/>
      <c r="L10" s="13">
        <f t="shared" ref="L10:U12" si="2">C45</f>
        <v>90.20920000000001</v>
      </c>
      <c r="M10" s="13">
        <f t="shared" si="2"/>
        <v>100.67655711060695</v>
      </c>
      <c r="N10" s="13">
        <f t="shared" si="2"/>
        <v>111.54942779119128</v>
      </c>
      <c r="O10" s="13">
        <f t="shared" si="2"/>
        <v>122.84245882740191</v>
      </c>
      <c r="P10" s="13">
        <f t="shared" si="2"/>
        <v>134.57082468911696</v>
      </c>
      <c r="Q10" s="13">
        <f t="shared" si="2"/>
        <v>146.75024689014856</v>
      </c>
      <c r="R10" s="13">
        <f t="shared" si="2"/>
        <v>159.39701407684385</v>
      </c>
      <c r="S10" s="13">
        <f t="shared" si="2"/>
        <v>172.52800287381899</v>
      </c>
      <c r="T10" s="13">
        <f t="shared" si="2"/>
        <v>186.16069951618826</v>
      </c>
      <c r="U10" s="13">
        <f t="shared" si="2"/>
        <v>200.31322229882062</v>
      </c>
      <c r="W10" s="80" t="s">
        <v>95</v>
      </c>
      <c r="X10" s="13">
        <f>X9*$B$25</f>
        <v>178.25144215563765</v>
      </c>
      <c r="Y10" s="13">
        <f>Y9*$B$25</f>
        <v>292.53759631999264</v>
      </c>
      <c r="Z10" s="13">
        <f>Z9*$B$25</f>
        <v>155.69033322733162</v>
      </c>
      <c r="AA10" s="13">
        <f>AA9*$B$25</f>
        <v>261.85133504498532</v>
      </c>
    </row>
    <row r="11" spans="1:27" x14ac:dyDescent="0.25">
      <c r="A11" s="8" t="s">
        <v>31</v>
      </c>
      <c r="B11" s="18">
        <f>B6-B7-B8-B10</f>
        <v>187</v>
      </c>
      <c r="C11" s="18">
        <f>C6-C7-C8-C10</f>
        <v>204</v>
      </c>
      <c r="D11" s="73"/>
      <c r="F11" s="52" t="s">
        <v>34</v>
      </c>
      <c r="G11" s="14">
        <f>SUM(G7:G10)</f>
        <v>1729.0000000000002</v>
      </c>
      <c r="H11" s="53">
        <f>SUM(H7:H10)</f>
        <v>1712.8000000000002</v>
      </c>
      <c r="J11" s="10" t="s">
        <v>83</v>
      </c>
      <c r="K11" s="13">
        <f>B46</f>
        <v>345.80000000000007</v>
      </c>
      <c r="L11" s="13">
        <f t="shared" si="2"/>
        <v>0</v>
      </c>
      <c r="M11" s="13">
        <f t="shared" si="2"/>
        <v>-33.658180615651787</v>
      </c>
      <c r="N11" s="13">
        <f t="shared" si="2"/>
        <v>-31.130741853962832</v>
      </c>
      <c r="O11" s="13">
        <f t="shared" si="2"/>
        <v>-38.874050847998177</v>
      </c>
      <c r="P11" s="13">
        <f t="shared" si="2"/>
        <v>-46.896689921765116</v>
      </c>
      <c r="Q11" s="13">
        <f t="shared" si="2"/>
        <v>-55.207496182726501</v>
      </c>
      <c r="R11" s="13">
        <f t="shared" si="2"/>
        <v>-63.815568600970536</v>
      </c>
      <c r="S11" s="13">
        <f t="shared" si="2"/>
        <v>-72.730275264652818</v>
      </c>
      <c r="T11" s="13">
        <f t="shared" si="2"/>
        <v>-81.961260815079356</v>
      </c>
      <c r="U11" s="13">
        <f t="shared" si="2"/>
        <v>-91.518454064805354</v>
      </c>
      <c r="W11" s="80" t="s">
        <v>96</v>
      </c>
      <c r="X11" s="21">
        <f>X5+X6-X10</f>
        <v>2038.9200316964877</v>
      </c>
      <c r="Y11" s="21">
        <f>Y5+Y6-Y10</f>
        <v>2257.5877247466497</v>
      </c>
      <c r="Z11" s="21">
        <f t="shared" ref="Z11:AA11" si="3">Z5+Z6-Z10</f>
        <v>2066.0774441971071</v>
      </c>
      <c r="AA11" s="21">
        <f t="shared" si="3"/>
        <v>2313.7864484382994</v>
      </c>
    </row>
    <row r="12" spans="1:27" ht="15.75" thickBot="1" x14ac:dyDescent="0.3">
      <c r="A12" s="10" t="s">
        <v>33</v>
      </c>
      <c r="B12" s="19">
        <f>B11/B5</f>
        <v>0.12466666666666666</v>
      </c>
      <c r="C12" s="19">
        <f>C11/C5</f>
        <v>0.11333333333333333</v>
      </c>
      <c r="D12" s="73"/>
      <c r="F12" s="54" t="s">
        <v>37</v>
      </c>
      <c r="G12" s="55">
        <f>G6/G11</f>
        <v>0.8</v>
      </c>
      <c r="H12" s="56">
        <f>H6/H11</f>
        <v>0.8</v>
      </c>
      <c r="J12" s="10" t="s">
        <v>84</v>
      </c>
      <c r="K12" s="13">
        <f>B47</f>
        <v>1383.2000000000003</v>
      </c>
      <c r="L12" s="13">
        <f t="shared" si="2"/>
        <v>-66.55101938434845</v>
      </c>
      <c r="M12" s="13">
        <f t="shared" si="2"/>
        <v>-69.545815256644119</v>
      </c>
      <c r="N12" s="13">
        <f t="shared" si="2"/>
        <v>-72.6753769431931</v>
      </c>
      <c r="O12" s="13">
        <f t="shared" si="2"/>
        <v>-75.945768905636797</v>
      </c>
      <c r="P12" s="13">
        <f t="shared" si="2"/>
        <v>-79.363328506390459</v>
      </c>
      <c r="Q12" s="13">
        <f t="shared" si="2"/>
        <v>-82.934678289178024</v>
      </c>
      <c r="R12" s="13">
        <f t="shared" si="2"/>
        <v>-86.666738812191028</v>
      </c>
      <c r="S12" s="13">
        <f t="shared" si="2"/>
        <v>-90.566742058739635</v>
      </c>
      <c r="T12" s="13">
        <f t="shared" si="2"/>
        <v>-94.642245451382905</v>
      </c>
      <c r="U12" s="13">
        <f t="shared" si="2"/>
        <v>-98.901146496695148</v>
      </c>
      <c r="W12" s="31"/>
      <c r="X12" s="31"/>
    </row>
    <row r="13" spans="1:27" x14ac:dyDescent="0.25">
      <c r="A13" s="12" t="s">
        <v>36</v>
      </c>
      <c r="B13" s="15">
        <f>B16/B20*0.8</f>
        <v>9.6000000000000014</v>
      </c>
      <c r="C13" s="15">
        <v>0</v>
      </c>
      <c r="D13" s="73"/>
      <c r="F13" s="64" t="s">
        <v>78</v>
      </c>
      <c r="G13" s="65" t="str">
        <f>G4</f>
        <v>Propr</v>
      </c>
      <c r="H13" s="66" t="str">
        <f>H4</f>
        <v>Loc</v>
      </c>
      <c r="J13" s="10" t="s">
        <v>38</v>
      </c>
      <c r="K13" s="13">
        <f t="shared" ref="K13:U13" si="4">B52</f>
        <v>10.000000000000227</v>
      </c>
      <c r="L13" s="13">
        <f t="shared" si="4"/>
        <v>33.658180615651787</v>
      </c>
      <c r="M13" s="13">
        <f t="shared" si="4"/>
        <v>31.130741853962832</v>
      </c>
      <c r="N13" s="13">
        <f t="shared" si="4"/>
        <v>38.874050847998177</v>
      </c>
      <c r="O13" s="13">
        <f t="shared" si="4"/>
        <v>46.896689921765116</v>
      </c>
      <c r="P13" s="13">
        <f t="shared" si="4"/>
        <v>55.207496182726501</v>
      </c>
      <c r="Q13" s="13">
        <f t="shared" si="4"/>
        <v>63.815568600970536</v>
      </c>
      <c r="R13" s="13">
        <f t="shared" si="4"/>
        <v>72.730275264652818</v>
      </c>
      <c r="S13" s="13">
        <f t="shared" si="4"/>
        <v>81.961260815079356</v>
      </c>
      <c r="T13" s="13">
        <f t="shared" si="4"/>
        <v>91.518454064805354</v>
      </c>
      <c r="U13" s="13">
        <f t="shared" si="4"/>
        <v>101.41207580212547</v>
      </c>
      <c r="W13" s="31"/>
      <c r="X13" s="31"/>
    </row>
    <row r="14" spans="1:27" x14ac:dyDescent="0.25">
      <c r="A14" s="9" t="s">
        <v>39</v>
      </c>
      <c r="B14" s="21">
        <f>B11-B13</f>
        <v>177.4</v>
      </c>
      <c r="C14" s="8">
        <f>C11-C13</f>
        <v>204</v>
      </c>
      <c r="D14" s="73"/>
      <c r="F14" s="52" t="s">
        <v>79</v>
      </c>
      <c r="G14" s="13">
        <f>G6*B23/(1-(1+B23)^-B22)</f>
        <v>128.79501938434845</v>
      </c>
      <c r="H14" s="49">
        <f>H6*B23/(1-(1+B23)^-B22)</f>
        <v>127.58826443118105</v>
      </c>
      <c r="J14" s="8" t="s">
        <v>32</v>
      </c>
      <c r="K14" s="21">
        <f t="shared" ref="K14:T14" si="5">-K11</f>
        <v>-345.80000000000007</v>
      </c>
      <c r="L14" s="21">
        <f t="shared" si="5"/>
        <v>0</v>
      </c>
      <c r="M14" s="21">
        <f t="shared" si="5"/>
        <v>33.658180615651787</v>
      </c>
      <c r="N14" s="21">
        <f t="shared" si="5"/>
        <v>31.130741853962832</v>
      </c>
      <c r="O14" s="21">
        <f t="shared" si="5"/>
        <v>38.874050847998177</v>
      </c>
      <c r="P14" s="21">
        <f t="shared" si="5"/>
        <v>46.896689921765116</v>
      </c>
      <c r="Q14" s="21">
        <f t="shared" si="5"/>
        <v>55.207496182726501</v>
      </c>
      <c r="R14" s="21">
        <f t="shared" si="5"/>
        <v>63.815568600970536</v>
      </c>
      <c r="S14" s="21">
        <f t="shared" si="5"/>
        <v>72.730275264652818</v>
      </c>
      <c r="T14" s="21">
        <f t="shared" si="5"/>
        <v>81.961260815079356</v>
      </c>
      <c r="U14" s="21">
        <f>G20</f>
        <v>1574.9249676030126</v>
      </c>
      <c r="W14" s="75"/>
      <c r="X14" s="75"/>
    </row>
    <row r="15" spans="1:27" x14ac:dyDescent="0.25">
      <c r="B15">
        <f>+B7/B5</f>
        <v>0.17333333333333334</v>
      </c>
      <c r="C15">
        <f>+C7/C5</f>
        <v>0.17333333333333334</v>
      </c>
      <c r="D15" s="71"/>
      <c r="F15" s="52" t="s">
        <v>80</v>
      </c>
      <c r="G15" s="13">
        <f>G14-G16</f>
        <v>66.55101938434845</v>
      </c>
      <c r="H15" s="49">
        <f>H14-H16</f>
        <v>65.927464431181036</v>
      </c>
    </row>
    <row r="16" spans="1:27" ht="15.75" thickBot="1" x14ac:dyDescent="0.3">
      <c r="A16" s="12" t="s">
        <v>40</v>
      </c>
      <c r="B16" s="15">
        <v>300</v>
      </c>
      <c r="C16" s="10">
        <v>0</v>
      </c>
      <c r="D16" s="25">
        <v>0.02</v>
      </c>
      <c r="F16" s="67" t="s">
        <v>81</v>
      </c>
      <c r="G16" s="59">
        <f>B23*G6</f>
        <v>62.244000000000007</v>
      </c>
      <c r="H16" s="60">
        <f>B23*H6</f>
        <v>61.660800000000009</v>
      </c>
      <c r="J16" s="68" t="s">
        <v>1</v>
      </c>
      <c r="K16" s="68"/>
      <c r="L16" s="2" t="s">
        <v>2</v>
      </c>
      <c r="M16" s="3" t="s">
        <v>3</v>
      </c>
      <c r="N16" s="3" t="s">
        <v>4</v>
      </c>
      <c r="O16" s="4" t="s">
        <v>5</v>
      </c>
      <c r="P16" s="4" t="s">
        <v>6</v>
      </c>
      <c r="Q16" s="4" t="s">
        <v>7</v>
      </c>
      <c r="R16" s="4" t="s">
        <v>8</v>
      </c>
      <c r="S16" s="4" t="s">
        <v>9</v>
      </c>
      <c r="T16" s="4" t="s">
        <v>10</v>
      </c>
      <c r="U16" s="4" t="s">
        <v>11</v>
      </c>
    </row>
    <row r="17" spans="1:24" x14ac:dyDescent="0.25">
      <c r="A17" s="12" t="s">
        <v>27</v>
      </c>
      <c r="B17" s="14">
        <f>B5*1.1*B24+B18</f>
        <v>1419.0000000000002</v>
      </c>
      <c r="C17" s="15">
        <f>C5*1.1*B24</f>
        <v>1702.8000000000002</v>
      </c>
      <c r="D17" s="73"/>
      <c r="J17" s="9" t="s">
        <v>14</v>
      </c>
      <c r="K17" s="10"/>
      <c r="L17" s="10">
        <f t="shared" ref="L17:U21" si="6">C82</f>
        <v>203.98666666666668</v>
      </c>
      <c r="M17" s="10">
        <f t="shared" si="6"/>
        <v>218.03114655570965</v>
      </c>
      <c r="N17" s="10">
        <f t="shared" si="6"/>
        <v>232.60448075982214</v>
      </c>
      <c r="O17" s="10">
        <f t="shared" si="6"/>
        <v>247.72443189161396</v>
      </c>
      <c r="P17" s="10">
        <f t="shared" si="6"/>
        <v>263.40933865095241</v>
      </c>
      <c r="Q17" s="10">
        <f t="shared" si="6"/>
        <v>279.67813426090333</v>
      </c>
      <c r="R17" s="10">
        <f t="shared" si="6"/>
        <v>296.5503654898269</v>
      </c>
      <c r="S17" s="10">
        <f t="shared" si="6"/>
        <v>314.04621227818961</v>
      </c>
      <c r="T17" s="10">
        <f t="shared" si="6"/>
        <v>332.18650798923886</v>
      </c>
      <c r="U17" s="10">
        <f t="shared" si="6"/>
        <v>350.99276030328934</v>
      </c>
    </row>
    <row r="18" spans="1:24" x14ac:dyDescent="0.25">
      <c r="A18" s="12" t="s">
        <v>30</v>
      </c>
      <c r="B18" s="15">
        <v>0</v>
      </c>
      <c r="D18" s="73"/>
      <c r="G18" s="33" t="str">
        <f>G13</f>
        <v>Propr</v>
      </c>
      <c r="H18" s="33" t="str">
        <f>H13</f>
        <v>Loc</v>
      </c>
      <c r="I18" s="22"/>
      <c r="J18" s="12" t="s">
        <v>17</v>
      </c>
      <c r="K18" s="10"/>
      <c r="L18" s="13">
        <f t="shared" si="6"/>
        <v>-61.660800000000009</v>
      </c>
      <c r="M18" s="13">
        <f t="shared" si="6"/>
        <v>-58.694064100596862</v>
      </c>
      <c r="N18" s="13">
        <f t="shared" si="6"/>
        <v>-55.593825085720567</v>
      </c>
      <c r="O18" s="13">
        <f t="shared" si="6"/>
        <v>-52.354075315174846</v>
      </c>
      <c r="P18" s="13">
        <f t="shared" si="6"/>
        <v>-48.968536804954567</v>
      </c>
      <c r="Q18" s="13">
        <f t="shared" si="6"/>
        <v>-45.430649061774375</v>
      </c>
      <c r="R18" s="13">
        <f t="shared" si="6"/>
        <v>-41.733556370151071</v>
      </c>
      <c r="S18" s="13">
        <f t="shared" si="6"/>
        <v>-37.870094507404723</v>
      </c>
      <c r="T18" s="13">
        <f t="shared" si="6"/>
        <v>-33.832776860834791</v>
      </c>
      <c r="U18" s="13">
        <f t="shared" si="6"/>
        <v>-29.613779920169208</v>
      </c>
    </row>
    <row r="19" spans="1:24" x14ac:dyDescent="0.25">
      <c r="A19" s="12" t="s">
        <v>44</v>
      </c>
      <c r="B19" s="25">
        <v>0.08</v>
      </c>
      <c r="D19" s="73"/>
      <c r="F19" s="24" t="s">
        <v>42</v>
      </c>
      <c r="G19" s="13">
        <f>X11</f>
        <v>2038.9200316964877</v>
      </c>
      <c r="H19" s="13">
        <f>Z11</f>
        <v>2066.0774441971071</v>
      </c>
      <c r="I19" s="22"/>
      <c r="J19" s="9" t="s">
        <v>20</v>
      </c>
      <c r="K19" s="10"/>
      <c r="L19" s="13">
        <f t="shared" si="6"/>
        <v>142.32586666666668</v>
      </c>
      <c r="M19" s="13">
        <f t="shared" si="6"/>
        <v>159.33708245511281</v>
      </c>
      <c r="N19" s="13">
        <f t="shared" si="6"/>
        <v>177.01065567410157</v>
      </c>
      <c r="O19" s="13">
        <f t="shared" si="6"/>
        <v>195.37035657643912</v>
      </c>
      <c r="P19" s="13">
        <f t="shared" si="6"/>
        <v>214.44080184599784</v>
      </c>
      <c r="Q19" s="13">
        <f t="shared" si="6"/>
        <v>234.24748519912896</v>
      </c>
      <c r="R19" s="13">
        <f t="shared" si="6"/>
        <v>254.81680911967584</v>
      </c>
      <c r="S19" s="13">
        <f t="shared" si="6"/>
        <v>276.17611777078491</v>
      </c>
      <c r="T19" s="13">
        <f t="shared" si="6"/>
        <v>298.35373112840409</v>
      </c>
      <c r="U19" s="13">
        <f t="shared" si="6"/>
        <v>321.37898038312017</v>
      </c>
    </row>
    <row r="20" spans="1:24" x14ac:dyDescent="0.25">
      <c r="A20" s="12" t="s">
        <v>46</v>
      </c>
      <c r="B20" s="15">
        <v>25</v>
      </c>
      <c r="D20" s="73" t="s">
        <v>47</v>
      </c>
      <c r="F20" s="8" t="s">
        <v>43</v>
      </c>
      <c r="G20" s="13">
        <f>G19-L56+L61</f>
        <v>1574.9249676030126</v>
      </c>
      <c r="H20" s="13">
        <f>H19-L100+L105</f>
        <v>1632.9587322393088</v>
      </c>
      <c r="I20" s="22"/>
      <c r="J20" s="12" t="s">
        <v>22</v>
      </c>
      <c r="K20" s="10"/>
      <c r="L20" s="13">
        <f t="shared" si="6"/>
        <v>-42.697760000000002</v>
      </c>
      <c r="M20" s="13">
        <f t="shared" si="6"/>
        <v>-47.801124736533843</v>
      </c>
      <c r="N20" s="13">
        <f t="shared" si="6"/>
        <v>-53.10319670223047</v>
      </c>
      <c r="O20" s="13">
        <f t="shared" si="6"/>
        <v>-58.611106972931736</v>
      </c>
      <c r="P20" s="13">
        <f t="shared" si="6"/>
        <v>-64.332240553799352</v>
      </c>
      <c r="Q20" s="13">
        <f t="shared" si="6"/>
        <v>-70.274245559738688</v>
      </c>
      <c r="R20" s="13">
        <f t="shared" si="6"/>
        <v>-76.445042735902746</v>
      </c>
      <c r="S20" s="13">
        <f t="shared" si="6"/>
        <v>-82.852835331235468</v>
      </c>
      <c r="T20" s="13">
        <f t="shared" si="6"/>
        <v>-89.506119338521231</v>
      </c>
      <c r="U20" s="13">
        <f t="shared" si="6"/>
        <v>-96.41369411493605</v>
      </c>
    </row>
    <row r="21" spans="1:24" x14ac:dyDescent="0.25">
      <c r="A21" s="12" t="s">
        <v>49</v>
      </c>
      <c r="B21" s="28">
        <v>0.2</v>
      </c>
      <c r="C21" s="22"/>
      <c r="D21" s="73"/>
      <c r="F21" s="9" t="s">
        <v>45</v>
      </c>
      <c r="G21" s="26">
        <f>IRR(K14:U14)</f>
        <v>0.22240101411968283</v>
      </c>
      <c r="H21" s="26">
        <f>IRR(K26:U26)</f>
        <v>0.24485853880540631</v>
      </c>
      <c r="I21" s="71">
        <f>H21-G21</f>
        <v>2.2457524685723484E-2</v>
      </c>
      <c r="J21" s="9" t="s">
        <v>25</v>
      </c>
      <c r="K21" s="10"/>
      <c r="L21" s="13">
        <f t="shared" si="6"/>
        <v>99.628106666666682</v>
      </c>
      <c r="M21" s="13">
        <f t="shared" si="6"/>
        <v>111.53595771857897</v>
      </c>
      <c r="N21" s="13">
        <f t="shared" si="6"/>
        <v>123.90745897187111</v>
      </c>
      <c r="O21" s="13">
        <f t="shared" si="6"/>
        <v>136.75924960350739</v>
      </c>
      <c r="P21" s="13">
        <f t="shared" si="6"/>
        <v>150.10856129219849</v>
      </c>
      <c r="Q21" s="13">
        <f t="shared" si="6"/>
        <v>163.97323963939027</v>
      </c>
      <c r="R21" s="13">
        <f t="shared" si="6"/>
        <v>178.37176638377309</v>
      </c>
      <c r="S21" s="13">
        <f t="shared" si="6"/>
        <v>193.32328243954944</v>
      </c>
      <c r="T21" s="13">
        <f t="shared" si="6"/>
        <v>208.84761178988288</v>
      </c>
      <c r="U21" s="13">
        <f t="shared" si="6"/>
        <v>224.96528626818412</v>
      </c>
    </row>
    <row r="22" spans="1:24" x14ac:dyDescent="0.25">
      <c r="A22" s="12" t="s">
        <v>50</v>
      </c>
      <c r="B22" s="15">
        <v>15</v>
      </c>
      <c r="D22" s="73"/>
      <c r="F22" s="27" t="s">
        <v>82</v>
      </c>
      <c r="G22" s="44">
        <f>SUM(K14:U14)</f>
        <v>1653.3992317058196</v>
      </c>
      <c r="H22" s="44">
        <f>SUM(K26:U26)</f>
        <v>1839.6058407511728</v>
      </c>
      <c r="I22" s="36">
        <f t="shared" ref="I22:I26" si="7">H22-G22</f>
        <v>186.20660904535316</v>
      </c>
      <c r="J22" s="10" t="s">
        <v>28</v>
      </c>
      <c r="K22" s="10"/>
      <c r="L22" s="13">
        <f t="shared" ref="L22:U24" si="8">C89</f>
        <v>99.628106666666682</v>
      </c>
      <c r="M22" s="13">
        <f t="shared" si="8"/>
        <v>111.53595771857897</v>
      </c>
      <c r="N22" s="13">
        <f t="shared" si="8"/>
        <v>123.90745897187111</v>
      </c>
      <c r="O22" s="13">
        <f t="shared" si="8"/>
        <v>136.75924960350739</v>
      </c>
      <c r="P22" s="13">
        <f t="shared" si="8"/>
        <v>150.10856129219849</v>
      </c>
      <c r="Q22" s="13">
        <f t="shared" si="8"/>
        <v>163.97323963939027</v>
      </c>
      <c r="R22" s="13">
        <f t="shared" si="8"/>
        <v>178.37176638377309</v>
      </c>
      <c r="S22" s="13">
        <f t="shared" si="8"/>
        <v>193.32328243954944</v>
      </c>
      <c r="T22" s="13">
        <f t="shared" si="8"/>
        <v>208.84761178988288</v>
      </c>
      <c r="U22" s="13">
        <f t="shared" si="8"/>
        <v>224.96528626818412</v>
      </c>
    </row>
    <row r="23" spans="1:24" x14ac:dyDescent="0.25">
      <c r="A23" s="12" t="s">
        <v>51</v>
      </c>
      <c r="B23" s="29">
        <v>4.4999999999999998E-2</v>
      </c>
      <c r="D23" s="73"/>
      <c r="F23" s="9" t="s">
        <v>52</v>
      </c>
      <c r="G23" s="13">
        <f>Y11</f>
        <v>2257.5877247466497</v>
      </c>
      <c r="H23" s="13">
        <f>AA11</f>
        <v>2313.7864484382994</v>
      </c>
      <c r="I23" s="36">
        <f t="shared" si="7"/>
        <v>56.198723691649775</v>
      </c>
      <c r="J23" s="10" t="str">
        <f>J11</f>
        <v>Dividendes</v>
      </c>
      <c r="K23" s="13">
        <f>B90</f>
        <v>342.56000000000006</v>
      </c>
      <c r="L23" s="13">
        <f t="shared" si="8"/>
        <v>0</v>
      </c>
      <c r="M23" s="13">
        <f t="shared" si="8"/>
        <v>-43.700642235485645</v>
      </c>
      <c r="N23" s="13">
        <f t="shared" si="8"/>
        <v>-42.641757387994787</v>
      </c>
      <c r="O23" s="13">
        <f t="shared" si="8"/>
        <v>-51.91301962641063</v>
      </c>
      <c r="P23" s="13">
        <f t="shared" si="8"/>
        <v>-61.525060487501179</v>
      </c>
      <c r="Q23" s="13">
        <f t="shared" si="8"/>
        <v>-71.48883366597201</v>
      </c>
      <c r="R23" s="13">
        <f t="shared" si="8"/>
        <v>-81.815624269983601</v>
      </c>
      <c r="S23" s="13">
        <f t="shared" si="8"/>
        <v>-92.517058322743111</v>
      </c>
      <c r="T23" s="13">
        <f t="shared" si="8"/>
        <v>-103.60511251577313</v>
      </c>
      <c r="U23" s="13">
        <f t="shared" si="8"/>
        <v>-115.09212421953663</v>
      </c>
    </row>
    <row r="24" spans="1:24" x14ac:dyDescent="0.25">
      <c r="A24" s="12" t="s">
        <v>74</v>
      </c>
      <c r="B24" s="40">
        <v>0.86</v>
      </c>
      <c r="D24" s="73"/>
      <c r="F24" s="9" t="s">
        <v>53</v>
      </c>
      <c r="G24" s="13">
        <f>G23-Q56+Q61</f>
        <v>2413.8935260610342</v>
      </c>
      <c r="H24" s="13">
        <f>H23-Q100+Q105</f>
        <v>2506.91773506755</v>
      </c>
      <c r="I24" s="36">
        <f t="shared" si="7"/>
        <v>93.024209006515775</v>
      </c>
      <c r="J24" s="10" t="str">
        <f>J12</f>
        <v>Rbst defi</v>
      </c>
      <c r="K24" s="13">
        <f>B91</f>
        <v>1370.2400000000002</v>
      </c>
      <c r="L24" s="13">
        <f t="shared" si="8"/>
        <v>-65.927464431181036</v>
      </c>
      <c r="M24" s="13">
        <f t="shared" si="8"/>
        <v>-68.894200330584184</v>
      </c>
      <c r="N24" s="13">
        <f t="shared" si="8"/>
        <v>-71.994439345460478</v>
      </c>
      <c r="O24" s="13">
        <f t="shared" si="8"/>
        <v>-75.234189116006206</v>
      </c>
      <c r="P24" s="13">
        <f t="shared" si="8"/>
        <v>-78.619727626226478</v>
      </c>
      <c r="Q24" s="13">
        <f t="shared" si="8"/>
        <v>-82.15761536940667</v>
      </c>
      <c r="R24" s="13">
        <f t="shared" si="8"/>
        <v>-85.854708061029982</v>
      </c>
      <c r="S24" s="13">
        <f t="shared" si="8"/>
        <v>-89.718169923776315</v>
      </c>
      <c r="T24" s="13">
        <f t="shared" si="8"/>
        <v>-93.755487570346247</v>
      </c>
      <c r="U24" s="13">
        <f t="shared" si="8"/>
        <v>-97.974484511011838</v>
      </c>
    </row>
    <row r="25" spans="1:24" x14ac:dyDescent="0.25">
      <c r="A25" s="12" t="s">
        <v>54</v>
      </c>
      <c r="B25" s="28">
        <v>0.3</v>
      </c>
      <c r="D25" s="73"/>
      <c r="F25" s="9" t="s">
        <v>55</v>
      </c>
      <c r="G25" s="26">
        <f>B70</f>
        <v>0.2098183056527092</v>
      </c>
      <c r="H25" s="26">
        <f>B114</f>
        <v>0.23233878378534545</v>
      </c>
      <c r="I25" s="71">
        <f t="shared" si="7"/>
        <v>2.2520478132636246E-2</v>
      </c>
      <c r="J25" s="10" t="s">
        <v>38</v>
      </c>
      <c r="K25" s="13">
        <f t="shared" ref="K25:U25" si="9">B96</f>
        <v>10</v>
      </c>
      <c r="L25" s="13">
        <f t="shared" si="9"/>
        <v>43.700642235485645</v>
      </c>
      <c r="M25" s="13">
        <f t="shared" si="9"/>
        <v>42.641757387994787</v>
      </c>
      <c r="N25" s="13">
        <f t="shared" si="9"/>
        <v>51.91301962641063</v>
      </c>
      <c r="O25" s="13">
        <f t="shared" si="9"/>
        <v>61.525060487501179</v>
      </c>
      <c r="P25" s="13">
        <f t="shared" si="9"/>
        <v>71.48883366597201</v>
      </c>
      <c r="Q25" s="13">
        <f t="shared" si="9"/>
        <v>81.815624269983601</v>
      </c>
      <c r="R25" s="13">
        <f t="shared" si="9"/>
        <v>92.517058322743111</v>
      </c>
      <c r="S25" s="13">
        <f t="shared" si="9"/>
        <v>103.60511251577313</v>
      </c>
      <c r="T25" s="13">
        <f t="shared" si="9"/>
        <v>115.09212421953663</v>
      </c>
      <c r="U25" s="13">
        <f t="shared" si="9"/>
        <v>126.99080175717228</v>
      </c>
    </row>
    <row r="26" spans="1:24" x14ac:dyDescent="0.25">
      <c r="A26" s="10" t="s">
        <v>18</v>
      </c>
      <c r="B26" s="72">
        <v>0.3</v>
      </c>
      <c r="D26" s="25">
        <v>0.01</v>
      </c>
      <c r="F26" s="11" t="s">
        <v>48</v>
      </c>
      <c r="G26" s="44">
        <f>SUM(B69:Q69)</f>
        <v>3196.9861670964015</v>
      </c>
      <c r="H26" s="44">
        <f>SUM(B113:Q113)</f>
        <v>3591.2975288308498</v>
      </c>
      <c r="I26" s="36">
        <f t="shared" si="7"/>
        <v>394.31136173444838</v>
      </c>
      <c r="J26" s="8" t="s">
        <v>32</v>
      </c>
      <c r="K26" s="21">
        <f t="shared" ref="K26:T26" si="10">-K23</f>
        <v>-342.56000000000006</v>
      </c>
      <c r="L26" s="21">
        <f t="shared" si="10"/>
        <v>0</v>
      </c>
      <c r="M26" s="21">
        <f t="shared" si="10"/>
        <v>43.700642235485645</v>
      </c>
      <c r="N26" s="21">
        <f t="shared" si="10"/>
        <v>42.641757387994787</v>
      </c>
      <c r="O26" s="21">
        <f t="shared" si="10"/>
        <v>51.91301962641063</v>
      </c>
      <c r="P26" s="21">
        <f t="shared" si="10"/>
        <v>61.525060487501179</v>
      </c>
      <c r="Q26" s="21">
        <f t="shared" si="10"/>
        <v>71.48883366597201</v>
      </c>
      <c r="R26" s="21">
        <f t="shared" si="10"/>
        <v>81.815624269983601</v>
      </c>
      <c r="S26" s="21">
        <f t="shared" si="10"/>
        <v>92.517058322743111</v>
      </c>
      <c r="T26" s="21">
        <f t="shared" si="10"/>
        <v>103.60511251577313</v>
      </c>
      <c r="U26" s="21">
        <f>H20</f>
        <v>1632.9587322393088</v>
      </c>
    </row>
    <row r="27" spans="1:24" x14ac:dyDescent="0.25">
      <c r="A27" s="30" t="str">
        <f>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  <c r="B27" s="30"/>
      <c r="C27" s="30"/>
      <c r="J27" s="31"/>
      <c r="K27" s="32"/>
      <c r="L27" s="32"/>
      <c r="M27" s="32"/>
    </row>
    <row r="28" spans="1:24" x14ac:dyDescent="0.25">
      <c r="A28" s="38" t="s">
        <v>71</v>
      </c>
      <c r="C28" s="23" t="s">
        <v>2</v>
      </c>
      <c r="D28" s="33" t="s">
        <v>3</v>
      </c>
      <c r="E28" s="33" t="s">
        <v>4</v>
      </c>
      <c r="F28" s="5" t="s">
        <v>5</v>
      </c>
      <c r="G28" s="5" t="s">
        <v>6</v>
      </c>
      <c r="H28" s="5" t="s">
        <v>7</v>
      </c>
      <c r="I28" s="5" t="s">
        <v>8</v>
      </c>
      <c r="J28" s="5" t="s">
        <v>9</v>
      </c>
      <c r="K28" s="5" t="s">
        <v>10</v>
      </c>
      <c r="L28" s="5" t="s">
        <v>11</v>
      </c>
      <c r="M28" s="5" t="s">
        <v>56</v>
      </c>
      <c r="N28" s="5" t="s">
        <v>57</v>
      </c>
      <c r="O28" s="5" t="s">
        <v>58</v>
      </c>
      <c r="P28" s="5" t="s">
        <v>59</v>
      </c>
      <c r="Q28" s="5" t="s">
        <v>60</v>
      </c>
    </row>
    <row r="29" spans="1:24" x14ac:dyDescent="0.25">
      <c r="A29" s="8" t="s">
        <v>15</v>
      </c>
      <c r="B29" s="10"/>
      <c r="C29" s="13">
        <f t="shared" ref="C29:C37" si="11">B5</f>
        <v>1500</v>
      </c>
      <c r="D29" s="13">
        <f>C29*(1+$D$5)</f>
        <v>1545</v>
      </c>
      <c r="E29" s="13">
        <f t="shared" ref="E29:Q29" si="12">D29*(1+$D$5)</f>
        <v>1591.3500000000001</v>
      </c>
      <c r="F29" s="13">
        <f t="shared" si="12"/>
        <v>1639.0905000000002</v>
      </c>
      <c r="G29" s="13">
        <f t="shared" si="12"/>
        <v>1688.2632150000004</v>
      </c>
      <c r="H29" s="13">
        <f t="shared" si="12"/>
        <v>1738.9111114500004</v>
      </c>
      <c r="I29" s="13">
        <f t="shared" si="12"/>
        <v>1791.0784447935005</v>
      </c>
      <c r="J29" s="13">
        <f t="shared" si="12"/>
        <v>1844.8107981373055</v>
      </c>
      <c r="K29" s="13">
        <f t="shared" si="12"/>
        <v>1900.1551220814247</v>
      </c>
      <c r="L29" s="13">
        <f t="shared" si="12"/>
        <v>1957.1597757438674</v>
      </c>
      <c r="M29" s="13">
        <f t="shared" si="12"/>
        <v>2015.8745690161834</v>
      </c>
      <c r="N29" s="13">
        <f t="shared" si="12"/>
        <v>2076.3508060866689</v>
      </c>
      <c r="O29" s="13">
        <f t="shared" si="12"/>
        <v>2138.641330269269</v>
      </c>
      <c r="P29" s="13">
        <f t="shared" si="12"/>
        <v>2202.8005701773473</v>
      </c>
      <c r="Q29" s="13">
        <f t="shared" si="12"/>
        <v>2268.8845872826678</v>
      </c>
      <c r="U29" s="31"/>
      <c r="V29" s="31"/>
      <c r="W29" s="31"/>
      <c r="X29" s="31"/>
    </row>
    <row r="30" spans="1:24" x14ac:dyDescent="0.25">
      <c r="A30" s="10" t="s">
        <v>18</v>
      </c>
      <c r="B30" s="13"/>
      <c r="C30" s="13">
        <f>C29*$B$26</f>
        <v>450</v>
      </c>
      <c r="D30" s="13">
        <f>D29*($B$26+$D$26/14)</f>
        <v>464.6035714285714</v>
      </c>
      <c r="E30" s="13">
        <f>E29*($B$26+2*$D$26/14)</f>
        <v>479.67835714285718</v>
      </c>
      <c r="F30" s="13">
        <f>F29*($B$26+3*$D$26/14)</f>
        <v>495.2394867857144</v>
      </c>
      <c r="G30" s="13">
        <f>G29*($B$26+4*$D$26/14)</f>
        <v>511.30257368571438</v>
      </c>
      <c r="H30" s="13">
        <f>H29*($B$26+5*$D$26/14)</f>
        <v>527.88373026160718</v>
      </c>
      <c r="I30" s="13">
        <f>I29*($B$26+6*$D$26/14)</f>
        <v>544.99958391573659</v>
      </c>
      <c r="J30" s="13">
        <f>J29*($B$26+7*$D$26/14)</f>
        <v>562.66729343187819</v>
      </c>
      <c r="K30" s="13">
        <f>K29*($B$26+8*$D$26/14)</f>
        <v>580.90456589346411</v>
      </c>
      <c r="L30" s="13">
        <f>L29*($B$26+9*$D$26/14)</f>
        <v>599.72967413865649</v>
      </c>
      <c r="M30" s="13">
        <f>M29*($B$26+10*$D$26/14)</f>
        <v>619.1614747692563</v>
      </c>
      <c r="N30" s="13">
        <f>N29*($B$26+11*$D$26/14)</f>
        <v>639.21942673096726</v>
      </c>
      <c r="O30" s="13">
        <f>O29*($B$26+12*$D$26/14)</f>
        <v>659.92361048308874</v>
      </c>
      <c r="P30" s="13">
        <f>P29*($B$26+13*$D$26/14)</f>
        <v>681.29474777627956</v>
      </c>
      <c r="Q30" s="13">
        <f>Q29*($B$26+$D$26)</f>
        <v>703.354222057627</v>
      </c>
      <c r="R30" s="83"/>
      <c r="S30" s="31"/>
      <c r="U30" s="31"/>
      <c r="V30" s="84"/>
      <c r="W30" s="31"/>
      <c r="X30" s="31"/>
    </row>
    <row r="31" spans="1:24" x14ac:dyDescent="0.25">
      <c r="A31" s="10" t="s">
        <v>21</v>
      </c>
      <c r="B31" s="13"/>
      <c r="C31" s="13">
        <f t="shared" si="11"/>
        <v>260</v>
      </c>
      <c r="D31" s="13">
        <f>C31*(1+$D$7)</f>
        <v>262.60000000000002</v>
      </c>
      <c r="E31" s="13">
        <f t="shared" ref="E31:Q31" si="13">D31*(1+$D$7)</f>
        <v>265.226</v>
      </c>
      <c r="F31" s="13">
        <f t="shared" si="13"/>
        <v>267.87826000000001</v>
      </c>
      <c r="G31" s="13">
        <f t="shared" si="13"/>
        <v>270.55704259999999</v>
      </c>
      <c r="H31" s="13">
        <f t="shared" si="13"/>
        <v>273.262613026</v>
      </c>
      <c r="I31" s="13">
        <f t="shared" si="13"/>
        <v>275.99523915626003</v>
      </c>
      <c r="J31" s="13">
        <f t="shared" si="13"/>
        <v>278.75519154782262</v>
      </c>
      <c r="K31" s="13">
        <f t="shared" si="13"/>
        <v>281.54274346330084</v>
      </c>
      <c r="L31" s="13">
        <f t="shared" si="13"/>
        <v>284.35817089793386</v>
      </c>
      <c r="M31" s="13">
        <f t="shared" si="13"/>
        <v>287.2017526069132</v>
      </c>
      <c r="N31" s="13">
        <f t="shared" si="13"/>
        <v>290.07377013298236</v>
      </c>
      <c r="O31" s="13">
        <f t="shared" si="13"/>
        <v>292.97450783431219</v>
      </c>
      <c r="P31" s="13">
        <f t="shared" si="13"/>
        <v>295.90425291265529</v>
      </c>
      <c r="Q31" s="13">
        <f t="shared" si="13"/>
        <v>298.86329544178187</v>
      </c>
      <c r="U31" s="31"/>
      <c r="V31" s="31"/>
      <c r="W31" s="31"/>
      <c r="X31" s="31"/>
    </row>
    <row r="32" spans="1:24" x14ac:dyDescent="0.25">
      <c r="A32" s="10" t="s">
        <v>23</v>
      </c>
      <c r="B32" s="10"/>
      <c r="C32" s="13">
        <f t="shared" si="11"/>
        <v>0</v>
      </c>
      <c r="D32" s="13">
        <f t="shared" ref="D32:Q37" si="14">C32</f>
        <v>0</v>
      </c>
      <c r="E32" s="13">
        <f t="shared" si="14"/>
        <v>0</v>
      </c>
      <c r="F32" s="13">
        <f t="shared" si="14"/>
        <v>0</v>
      </c>
      <c r="G32" s="13">
        <f t="shared" si="14"/>
        <v>0</v>
      </c>
      <c r="H32" s="13">
        <f t="shared" si="14"/>
        <v>0</v>
      </c>
      <c r="I32" s="13">
        <f t="shared" si="14"/>
        <v>0</v>
      </c>
      <c r="J32" s="13">
        <f t="shared" si="14"/>
        <v>0</v>
      </c>
      <c r="K32" s="13">
        <f t="shared" si="14"/>
        <v>0</v>
      </c>
      <c r="L32" s="13">
        <f t="shared" si="14"/>
        <v>0</v>
      </c>
      <c r="M32" s="13">
        <f t="shared" si="14"/>
        <v>0</v>
      </c>
      <c r="N32" s="13">
        <f t="shared" si="14"/>
        <v>0</v>
      </c>
      <c r="O32" s="13">
        <f t="shared" si="14"/>
        <v>0</v>
      </c>
      <c r="P32" s="13">
        <f t="shared" si="14"/>
        <v>0</v>
      </c>
      <c r="Q32" s="13">
        <f t="shared" si="14"/>
        <v>0</v>
      </c>
    </row>
    <row r="33" spans="1:26" x14ac:dyDescent="0.25">
      <c r="A33" s="10" t="s">
        <v>26</v>
      </c>
      <c r="B33" s="10"/>
      <c r="C33" s="13">
        <f t="shared" si="11"/>
        <v>0</v>
      </c>
      <c r="D33" s="74">
        <f t="shared" si="14"/>
        <v>0</v>
      </c>
      <c r="E33" s="74">
        <f t="shared" si="14"/>
        <v>0</v>
      </c>
      <c r="F33" s="74">
        <f t="shared" si="14"/>
        <v>0</v>
      </c>
      <c r="G33" s="74">
        <f t="shared" si="14"/>
        <v>0</v>
      </c>
      <c r="H33" s="74">
        <f t="shared" si="14"/>
        <v>0</v>
      </c>
      <c r="I33" s="74">
        <f t="shared" si="14"/>
        <v>0</v>
      </c>
      <c r="J33" s="74">
        <f t="shared" si="14"/>
        <v>0</v>
      </c>
      <c r="K33" s="74">
        <f t="shared" si="14"/>
        <v>0</v>
      </c>
      <c r="L33" s="74">
        <f t="shared" si="14"/>
        <v>0</v>
      </c>
      <c r="M33" s="74">
        <f t="shared" si="14"/>
        <v>0</v>
      </c>
      <c r="N33" s="74">
        <f t="shared" si="14"/>
        <v>0</v>
      </c>
      <c r="O33" s="74">
        <f t="shared" si="14"/>
        <v>0</v>
      </c>
      <c r="P33" s="74">
        <f t="shared" si="14"/>
        <v>0</v>
      </c>
      <c r="Q33" s="74">
        <f t="shared" si="14"/>
        <v>0</v>
      </c>
    </row>
    <row r="34" spans="1:26" x14ac:dyDescent="0.25">
      <c r="A34" s="17" t="s">
        <v>29</v>
      </c>
      <c r="B34" s="10"/>
      <c r="C34" s="13">
        <f t="shared" si="11"/>
        <v>3</v>
      </c>
      <c r="D34" s="13">
        <f>C34*(1+$D$10)</f>
        <v>3.0449999999999999</v>
      </c>
      <c r="E34" s="13">
        <f t="shared" ref="E34:Q34" si="15">D34*(1+$D$10)</f>
        <v>3.0906749999999996</v>
      </c>
      <c r="F34" s="13">
        <f t="shared" si="15"/>
        <v>3.1370351249999993</v>
      </c>
      <c r="G34" s="13">
        <f t="shared" si="15"/>
        <v>3.1840906518749987</v>
      </c>
      <c r="H34" s="13">
        <f t="shared" si="15"/>
        <v>3.2318520116531233</v>
      </c>
      <c r="I34" s="13">
        <f t="shared" si="15"/>
        <v>3.2803297918279197</v>
      </c>
      <c r="J34" s="13">
        <f t="shared" si="15"/>
        <v>3.329534738705338</v>
      </c>
      <c r="K34" s="13">
        <f t="shared" si="15"/>
        <v>3.3794777597859178</v>
      </c>
      <c r="L34" s="13">
        <f t="shared" si="15"/>
        <v>3.4301699261827063</v>
      </c>
      <c r="M34" s="13">
        <f t="shared" si="15"/>
        <v>3.4816224750754468</v>
      </c>
      <c r="N34" s="13">
        <f t="shared" si="15"/>
        <v>3.533846812201578</v>
      </c>
      <c r="O34" s="13">
        <f t="shared" si="15"/>
        <v>3.5868545143846013</v>
      </c>
      <c r="P34" s="13">
        <f t="shared" si="15"/>
        <v>3.6406573321003699</v>
      </c>
      <c r="Q34" s="13">
        <f t="shared" si="15"/>
        <v>3.6952671920818752</v>
      </c>
    </row>
    <row r="35" spans="1:26" x14ac:dyDescent="0.25">
      <c r="A35" s="8" t="s">
        <v>31</v>
      </c>
      <c r="B35" s="10"/>
      <c r="C35" s="13">
        <f>C30-C31-C32-C33-C34</f>
        <v>187</v>
      </c>
      <c r="D35" s="13">
        <f t="shared" ref="D35:Q35" si="16">D30-D31-D32-D33-D34</f>
        <v>198.95857142857139</v>
      </c>
      <c r="E35" s="13">
        <f t="shared" si="16"/>
        <v>211.36168214285718</v>
      </c>
      <c r="F35" s="13">
        <f t="shared" si="16"/>
        <v>224.22419166071438</v>
      </c>
      <c r="G35" s="13">
        <f t="shared" si="16"/>
        <v>237.56144043383938</v>
      </c>
      <c r="H35" s="13">
        <f t="shared" si="16"/>
        <v>251.38926522395406</v>
      </c>
      <c r="I35" s="13">
        <f t="shared" si="16"/>
        <v>265.72401496764866</v>
      </c>
      <c r="J35" s="13">
        <f t="shared" si="16"/>
        <v>280.58256714535025</v>
      </c>
      <c r="K35" s="13">
        <f t="shared" si="16"/>
        <v>295.98234467037736</v>
      </c>
      <c r="L35" s="13">
        <f t="shared" si="16"/>
        <v>311.94133331453992</v>
      </c>
      <c r="M35" s="13">
        <f t="shared" si="16"/>
        <v>328.47809968726767</v>
      </c>
      <c r="N35" s="13">
        <f t="shared" si="16"/>
        <v>345.61180978578329</v>
      </c>
      <c r="O35" s="13">
        <f t="shared" si="16"/>
        <v>363.36224813439196</v>
      </c>
      <c r="P35" s="13">
        <f t="shared" si="16"/>
        <v>381.74983753152389</v>
      </c>
      <c r="Q35" s="13">
        <f t="shared" si="16"/>
        <v>400.79565942376325</v>
      </c>
    </row>
    <row r="36" spans="1:26" x14ac:dyDescent="0.25">
      <c r="A36" s="10" t="s">
        <v>33</v>
      </c>
      <c r="B36" s="10"/>
      <c r="C36" s="16">
        <f>C35/C29</f>
        <v>0.12466666666666666</v>
      </c>
      <c r="D36" s="16">
        <f t="shared" si="14"/>
        <v>0.12466666666666666</v>
      </c>
      <c r="E36" s="16">
        <f t="shared" si="14"/>
        <v>0.12466666666666666</v>
      </c>
      <c r="F36" s="16">
        <f t="shared" si="14"/>
        <v>0.12466666666666666</v>
      </c>
      <c r="G36" s="16">
        <f t="shared" si="14"/>
        <v>0.12466666666666666</v>
      </c>
      <c r="H36" s="16">
        <f t="shared" si="14"/>
        <v>0.12466666666666666</v>
      </c>
      <c r="I36" s="16">
        <f t="shared" si="14"/>
        <v>0.12466666666666666</v>
      </c>
      <c r="J36" s="16">
        <f t="shared" si="14"/>
        <v>0.12466666666666666</v>
      </c>
      <c r="K36" s="16">
        <f t="shared" si="14"/>
        <v>0.12466666666666666</v>
      </c>
      <c r="L36" s="16">
        <f t="shared" si="14"/>
        <v>0.12466666666666666</v>
      </c>
      <c r="M36" s="16">
        <f t="shared" si="14"/>
        <v>0.12466666666666666</v>
      </c>
      <c r="N36" s="16">
        <f t="shared" si="14"/>
        <v>0.12466666666666666</v>
      </c>
      <c r="O36" s="16">
        <f t="shared" si="14"/>
        <v>0.12466666666666666</v>
      </c>
      <c r="P36" s="16">
        <f t="shared" si="14"/>
        <v>0.12466666666666666</v>
      </c>
      <c r="Q36" s="16">
        <f t="shared" si="14"/>
        <v>0.12466666666666666</v>
      </c>
    </row>
    <row r="37" spans="1:26" x14ac:dyDescent="0.25">
      <c r="A37" s="12" t="s">
        <v>36</v>
      </c>
      <c r="B37" s="10"/>
      <c r="C37" s="13">
        <f t="shared" si="11"/>
        <v>9.6000000000000014</v>
      </c>
      <c r="D37" s="13">
        <f t="shared" si="14"/>
        <v>9.6000000000000014</v>
      </c>
      <c r="E37" s="13">
        <f t="shared" si="14"/>
        <v>9.6000000000000014</v>
      </c>
      <c r="F37" s="13">
        <f t="shared" si="14"/>
        <v>9.6000000000000014</v>
      </c>
      <c r="G37" s="13">
        <f t="shared" si="14"/>
        <v>9.6000000000000014</v>
      </c>
      <c r="H37" s="13">
        <f t="shared" si="14"/>
        <v>9.6000000000000014</v>
      </c>
      <c r="I37" s="13">
        <f t="shared" si="14"/>
        <v>9.6000000000000014</v>
      </c>
      <c r="J37" s="13">
        <f t="shared" si="14"/>
        <v>9.6000000000000014</v>
      </c>
      <c r="K37" s="13">
        <f t="shared" si="14"/>
        <v>9.6000000000000014</v>
      </c>
      <c r="L37" s="13">
        <f t="shared" si="14"/>
        <v>9.6000000000000014</v>
      </c>
      <c r="M37" s="13">
        <f t="shared" si="14"/>
        <v>9.6000000000000014</v>
      </c>
      <c r="N37" s="13">
        <f t="shared" si="14"/>
        <v>9.6000000000000014</v>
      </c>
      <c r="O37" s="13">
        <f t="shared" si="14"/>
        <v>9.6000000000000014</v>
      </c>
      <c r="P37" s="13">
        <f t="shared" si="14"/>
        <v>9.6000000000000014</v>
      </c>
      <c r="Q37" s="13">
        <f t="shared" si="14"/>
        <v>9.6000000000000014</v>
      </c>
    </row>
    <row r="38" spans="1:26" x14ac:dyDescent="0.25">
      <c r="A38" s="9" t="s">
        <v>39</v>
      </c>
      <c r="B38" s="10"/>
      <c r="C38" s="13">
        <f>C35-C37</f>
        <v>177.4</v>
      </c>
      <c r="D38" s="13">
        <f t="shared" ref="D38:Q38" si="17">D35-D37</f>
        <v>189.35857142857139</v>
      </c>
      <c r="E38" s="13">
        <f t="shared" si="17"/>
        <v>201.76168214285718</v>
      </c>
      <c r="F38" s="13">
        <f t="shared" si="17"/>
        <v>214.62419166071439</v>
      </c>
      <c r="G38" s="13">
        <f t="shared" si="17"/>
        <v>227.96144043383939</v>
      </c>
      <c r="H38" s="13">
        <f t="shared" si="17"/>
        <v>241.78926522395406</v>
      </c>
      <c r="I38" s="13">
        <f t="shared" si="17"/>
        <v>256.12401496764863</v>
      </c>
      <c r="J38" s="13">
        <f t="shared" si="17"/>
        <v>270.98256714535023</v>
      </c>
      <c r="K38" s="13">
        <f t="shared" si="17"/>
        <v>286.38234467037734</v>
      </c>
      <c r="L38" s="13">
        <f t="shared" si="17"/>
        <v>302.3413333145399</v>
      </c>
      <c r="M38" s="13">
        <f t="shared" si="17"/>
        <v>318.87809968726765</v>
      </c>
      <c r="N38" s="13">
        <f t="shared" si="17"/>
        <v>336.01180978578327</v>
      </c>
      <c r="O38" s="13">
        <f t="shared" si="17"/>
        <v>353.76224813439194</v>
      </c>
      <c r="P38" s="13">
        <f t="shared" si="17"/>
        <v>372.14983753152387</v>
      </c>
      <c r="Q38" s="13">
        <f t="shared" si="17"/>
        <v>391.19565942376323</v>
      </c>
    </row>
    <row r="39" spans="1:26" x14ac:dyDescent="0.25">
      <c r="A39" s="12" t="s">
        <v>62</v>
      </c>
      <c r="B39" s="34">
        <f>B23</f>
        <v>4.4999999999999998E-2</v>
      </c>
      <c r="C39" s="13">
        <f t="shared" ref="C39:Q39" si="18">-$B$83*(B56)</f>
        <v>-62.244000000000007</v>
      </c>
      <c r="D39" s="13">
        <f t="shared" si="18"/>
        <v>-59.249204127704331</v>
      </c>
      <c r="E39" s="13">
        <f t="shared" si="18"/>
        <v>-56.119642441155349</v>
      </c>
      <c r="F39" s="13">
        <f t="shared" si="18"/>
        <v>-52.849250478711653</v>
      </c>
      <c r="G39" s="13">
        <f t="shared" si="18"/>
        <v>-49.43169087795799</v>
      </c>
      <c r="H39" s="13">
        <f t="shared" si="18"/>
        <v>-45.860341095170426</v>
      </c>
      <c r="I39" s="13">
        <f t="shared" si="18"/>
        <v>-42.128280572157415</v>
      </c>
      <c r="J39" s="13">
        <f t="shared" si="18"/>
        <v>-38.228277325608815</v>
      </c>
      <c r="K39" s="13">
        <f t="shared" si="18"/>
        <v>-34.152773932965538</v>
      </c>
      <c r="L39" s="13">
        <f t="shared" si="18"/>
        <v>-29.893872887653306</v>
      </c>
      <c r="M39" s="13">
        <f t="shared" si="18"/>
        <v>-25.443321295302027</v>
      </c>
      <c r="N39" s="13">
        <f t="shared" si="18"/>
        <v>-20.792494881294939</v>
      </c>
      <c r="O39" s="13">
        <f t="shared" si="18"/>
        <v>-15.93238127865753</v>
      </c>
      <c r="P39" s="13">
        <f t="shared" si="18"/>
        <v>-10.853562563901439</v>
      </c>
      <c r="Q39" s="13">
        <f t="shared" si="18"/>
        <v>-5.5461970069813242</v>
      </c>
    </row>
    <row r="40" spans="1:26" x14ac:dyDescent="0.25">
      <c r="A40" s="9" t="s">
        <v>20</v>
      </c>
      <c r="B40" s="10"/>
      <c r="C40" s="13">
        <f>C38+C39</f>
        <v>115.15600000000001</v>
      </c>
      <c r="D40" s="13">
        <f t="shared" ref="D40:Q40" si="19">D38+D39</f>
        <v>130.10936730086706</v>
      </c>
      <c r="E40" s="13">
        <f t="shared" si="19"/>
        <v>145.64203970170183</v>
      </c>
      <c r="F40" s="13">
        <f t="shared" si="19"/>
        <v>161.77494118200275</v>
      </c>
      <c r="G40" s="13">
        <f t="shared" si="19"/>
        <v>178.52974955588138</v>
      </c>
      <c r="H40" s="13">
        <f t="shared" si="19"/>
        <v>195.92892412878365</v>
      </c>
      <c r="I40" s="13">
        <f t="shared" si="19"/>
        <v>213.99573439549121</v>
      </c>
      <c r="J40" s="13">
        <f t="shared" si="19"/>
        <v>232.75428981974142</v>
      </c>
      <c r="K40" s="13">
        <f t="shared" si="19"/>
        <v>252.22957073741179</v>
      </c>
      <c r="L40" s="13">
        <f t="shared" si="19"/>
        <v>272.44746042688661</v>
      </c>
      <c r="M40" s="13">
        <f t="shared" si="19"/>
        <v>293.43477839196561</v>
      </c>
      <c r="N40" s="13">
        <f t="shared" si="19"/>
        <v>315.21931490448833</v>
      </c>
      <c r="O40" s="13">
        <f t="shared" si="19"/>
        <v>337.82986685573439</v>
      </c>
      <c r="P40" s="13">
        <f t="shared" si="19"/>
        <v>361.29627496762242</v>
      </c>
      <c r="Q40" s="13">
        <f t="shared" si="19"/>
        <v>385.64946241678189</v>
      </c>
    </row>
    <row r="41" spans="1:26" x14ac:dyDescent="0.25">
      <c r="A41" s="12" t="s">
        <v>89</v>
      </c>
      <c r="B41" s="35">
        <f>B25</f>
        <v>0.3</v>
      </c>
      <c r="C41" s="13">
        <f t="shared" ref="C41:Q41" si="20">-$B$85*C40</f>
        <v>-34.546799999999998</v>
      </c>
      <c r="D41" s="13">
        <f t="shared" si="20"/>
        <v>-39.032810190260115</v>
      </c>
      <c r="E41" s="13">
        <f t="shared" si="20"/>
        <v>-43.69261191051055</v>
      </c>
      <c r="F41" s="13">
        <f t="shared" si="20"/>
        <v>-48.532482354600823</v>
      </c>
      <c r="G41" s="13">
        <f t="shared" si="20"/>
        <v>-53.558924866764414</v>
      </c>
      <c r="H41" s="13">
        <f t="shared" si="20"/>
        <v>-58.77867723863509</v>
      </c>
      <c r="I41" s="13">
        <f t="shared" si="20"/>
        <v>-64.198720318647361</v>
      </c>
      <c r="J41" s="13">
        <f t="shared" si="20"/>
        <v>-69.826286945922419</v>
      </c>
      <c r="K41" s="13">
        <f t="shared" si="20"/>
        <v>-75.66887122122354</v>
      </c>
      <c r="L41" s="13">
        <f t="shared" si="20"/>
        <v>-81.734238128065982</v>
      </c>
      <c r="M41" s="13">
        <f t="shared" si="20"/>
        <v>-88.030433517589685</v>
      </c>
      <c r="N41" s="13">
        <f t="shared" si="20"/>
        <v>-94.565794471346493</v>
      </c>
      <c r="O41" s="13">
        <f t="shared" si="20"/>
        <v>-101.34896005672032</v>
      </c>
      <c r="P41" s="13">
        <f t="shared" si="20"/>
        <v>-108.38888249028672</v>
      </c>
      <c r="Q41" s="13">
        <f t="shared" si="20"/>
        <v>-115.69483872503456</v>
      </c>
    </row>
    <row r="42" spans="1:26" x14ac:dyDescent="0.25">
      <c r="A42" s="9" t="s">
        <v>25</v>
      </c>
      <c r="B42" s="8"/>
      <c r="C42" s="21">
        <f>C40+C41</f>
        <v>80.609200000000016</v>
      </c>
      <c r="D42" s="21">
        <f t="shared" ref="D42:Q42" si="21">D40+D41</f>
        <v>91.076557110606956</v>
      </c>
      <c r="E42" s="21">
        <f t="shared" si="21"/>
        <v>101.94942779119128</v>
      </c>
      <c r="F42" s="21">
        <f t="shared" si="21"/>
        <v>113.24245882740192</v>
      </c>
      <c r="G42" s="21">
        <f t="shared" si="21"/>
        <v>124.97082468911697</v>
      </c>
      <c r="H42" s="21">
        <f t="shared" si="21"/>
        <v>137.15024689014857</v>
      </c>
      <c r="I42" s="21">
        <f t="shared" si="21"/>
        <v>149.79701407684385</v>
      </c>
      <c r="J42" s="21">
        <f t="shared" si="21"/>
        <v>162.928002873819</v>
      </c>
      <c r="K42" s="21">
        <f t="shared" si="21"/>
        <v>176.56069951618827</v>
      </c>
      <c r="L42" s="21">
        <f t="shared" si="21"/>
        <v>190.71322229882063</v>
      </c>
      <c r="M42" s="21">
        <f t="shared" si="21"/>
        <v>205.40434487437591</v>
      </c>
      <c r="N42" s="21">
        <f t="shared" si="21"/>
        <v>220.65352043314184</v>
      </c>
      <c r="O42" s="21">
        <f t="shared" si="21"/>
        <v>236.48090679901406</v>
      </c>
      <c r="P42" s="21">
        <f t="shared" si="21"/>
        <v>252.90739247733569</v>
      </c>
      <c r="Q42" s="21">
        <f t="shared" si="21"/>
        <v>269.95462369174732</v>
      </c>
    </row>
    <row r="43" spans="1:26" x14ac:dyDescent="0.25">
      <c r="A43" t="str">
        <f>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</row>
    <row r="44" spans="1:26" x14ac:dyDescent="0.25">
      <c r="B44" s="10"/>
      <c r="C44" s="23" t="str">
        <f>C28</f>
        <v>A1</v>
      </c>
      <c r="D44" s="23" t="str">
        <f t="shared" ref="D44:Q44" si="22">D28</f>
        <v>A2</v>
      </c>
      <c r="E44" s="23" t="str">
        <f t="shared" si="22"/>
        <v>A3</v>
      </c>
      <c r="F44" s="23" t="str">
        <f t="shared" si="22"/>
        <v>A4</v>
      </c>
      <c r="G44" s="23" t="str">
        <f t="shared" si="22"/>
        <v>A5</v>
      </c>
      <c r="H44" s="23" t="str">
        <f t="shared" si="22"/>
        <v>A6</v>
      </c>
      <c r="I44" s="23" t="str">
        <f t="shared" si="22"/>
        <v>A7</v>
      </c>
      <c r="J44" s="23" t="str">
        <f t="shared" si="22"/>
        <v>A8</v>
      </c>
      <c r="K44" s="23" t="str">
        <f t="shared" si="22"/>
        <v>A9</v>
      </c>
      <c r="L44" s="23" t="str">
        <f t="shared" si="22"/>
        <v>A10</v>
      </c>
      <c r="M44" s="23" t="str">
        <f t="shared" si="22"/>
        <v>A11</v>
      </c>
      <c r="N44" s="23" t="str">
        <f t="shared" si="22"/>
        <v>A12</v>
      </c>
      <c r="O44" s="23" t="str">
        <f t="shared" si="22"/>
        <v>A13</v>
      </c>
      <c r="P44" s="23" t="str">
        <f t="shared" si="22"/>
        <v>A14</v>
      </c>
      <c r="Q44" s="23" t="str">
        <f t="shared" si="22"/>
        <v>A15</v>
      </c>
    </row>
    <row r="45" spans="1:26" x14ac:dyDescent="0.25">
      <c r="A45" s="10" t="s">
        <v>28</v>
      </c>
      <c r="B45" s="10"/>
      <c r="C45" s="13">
        <f>C42+C37</f>
        <v>90.20920000000001</v>
      </c>
      <c r="D45" s="13">
        <f>D42+D37</f>
        <v>100.67655711060695</v>
      </c>
      <c r="E45" s="13">
        <f t="shared" ref="E45:Q45" si="23">E42+E37</f>
        <v>111.54942779119128</v>
      </c>
      <c r="F45" s="13">
        <f t="shared" si="23"/>
        <v>122.84245882740191</v>
      </c>
      <c r="G45" s="13">
        <f t="shared" si="23"/>
        <v>134.57082468911696</v>
      </c>
      <c r="H45" s="13">
        <f t="shared" si="23"/>
        <v>146.75024689014856</v>
      </c>
      <c r="I45" s="13">
        <f t="shared" si="23"/>
        <v>159.39701407684385</v>
      </c>
      <c r="J45" s="13">
        <f t="shared" si="23"/>
        <v>172.52800287381899</v>
      </c>
      <c r="K45" s="13">
        <f t="shared" si="23"/>
        <v>186.16069951618826</v>
      </c>
      <c r="L45" s="13">
        <f t="shared" si="23"/>
        <v>200.31322229882062</v>
      </c>
      <c r="M45" s="13">
        <f t="shared" si="23"/>
        <v>215.0043448743759</v>
      </c>
      <c r="N45" s="13">
        <f t="shared" si="23"/>
        <v>230.25352043314183</v>
      </c>
      <c r="O45" s="13">
        <f t="shared" si="23"/>
        <v>246.08090679901406</v>
      </c>
      <c r="P45" s="13">
        <f t="shared" si="23"/>
        <v>262.50739247733571</v>
      </c>
      <c r="Q45" s="13">
        <f t="shared" si="23"/>
        <v>279.55462369174734</v>
      </c>
    </row>
    <row r="46" spans="1:26" x14ac:dyDescent="0.25">
      <c r="A46" s="10" t="s">
        <v>16</v>
      </c>
      <c r="B46" s="14">
        <f>G5</f>
        <v>345.80000000000007</v>
      </c>
      <c r="C46" s="13"/>
      <c r="D46" s="13">
        <f>-C52</f>
        <v>-33.658180615651787</v>
      </c>
      <c r="E46" s="13">
        <f t="shared" ref="E46:Q46" si="24">-D52</f>
        <v>-31.130741853962832</v>
      </c>
      <c r="F46" s="13">
        <f t="shared" si="24"/>
        <v>-38.874050847998177</v>
      </c>
      <c r="G46" s="13">
        <f t="shared" si="24"/>
        <v>-46.896689921765116</v>
      </c>
      <c r="H46" s="13">
        <f t="shared" si="24"/>
        <v>-55.207496182726501</v>
      </c>
      <c r="I46" s="13">
        <f t="shared" si="24"/>
        <v>-63.815568600970536</v>
      </c>
      <c r="J46" s="13">
        <f t="shared" si="24"/>
        <v>-72.730275264652818</v>
      </c>
      <c r="K46" s="13">
        <f t="shared" si="24"/>
        <v>-81.961260815079356</v>
      </c>
      <c r="L46" s="13">
        <f t="shared" si="24"/>
        <v>-91.518454064805354</v>
      </c>
      <c r="M46" s="13">
        <f t="shared" si="24"/>
        <v>-101.41207580212547</v>
      </c>
      <c r="N46" s="13">
        <f t="shared" si="24"/>
        <v>-111.65264678532948</v>
      </c>
      <c r="O46" s="13">
        <f t="shared" si="24"/>
        <v>-122.25099593008832</v>
      </c>
      <c r="P46" s="13">
        <f t="shared" si="24"/>
        <v>-133.21826869332313</v>
      </c>
      <c r="Q46" s="13">
        <f t="shared" si="24"/>
        <v>-144.56593565688871</v>
      </c>
    </row>
    <row r="47" spans="1:26" x14ac:dyDescent="0.25">
      <c r="A47" s="10" t="s">
        <v>19</v>
      </c>
      <c r="B47" s="14">
        <f>G6</f>
        <v>1383.2000000000003</v>
      </c>
      <c r="C47" s="13">
        <f>-G15</f>
        <v>-66.55101938434845</v>
      </c>
      <c r="D47" s="13">
        <f t="shared" ref="D47:Q47" si="25">-$G$14-D39</f>
        <v>-69.545815256644119</v>
      </c>
      <c r="E47" s="13">
        <f t="shared" si="25"/>
        <v>-72.6753769431931</v>
      </c>
      <c r="F47" s="13">
        <f t="shared" si="25"/>
        <v>-75.945768905636797</v>
      </c>
      <c r="G47" s="13">
        <f t="shared" si="25"/>
        <v>-79.363328506390459</v>
      </c>
      <c r="H47" s="13">
        <f t="shared" si="25"/>
        <v>-82.934678289178024</v>
      </c>
      <c r="I47" s="13">
        <f t="shared" si="25"/>
        <v>-86.666738812191028</v>
      </c>
      <c r="J47" s="13">
        <f t="shared" si="25"/>
        <v>-90.566742058739635</v>
      </c>
      <c r="K47" s="13">
        <f t="shared" si="25"/>
        <v>-94.642245451382905</v>
      </c>
      <c r="L47" s="13">
        <f t="shared" si="25"/>
        <v>-98.901146496695148</v>
      </c>
      <c r="M47" s="13">
        <f t="shared" si="25"/>
        <v>-103.35169808904642</v>
      </c>
      <c r="N47" s="13">
        <f t="shared" si="25"/>
        <v>-108.00252450305351</v>
      </c>
      <c r="O47" s="13">
        <f t="shared" si="25"/>
        <v>-112.86263810569092</v>
      </c>
      <c r="P47" s="13">
        <f t="shared" si="25"/>
        <v>-117.94145682044702</v>
      </c>
      <c r="Q47" s="13">
        <f t="shared" si="25"/>
        <v>-123.24882237736712</v>
      </c>
      <c r="S47" s="36"/>
      <c r="T47" s="36"/>
      <c r="U47" s="36"/>
      <c r="V47" s="36"/>
      <c r="W47" s="36"/>
      <c r="X47" s="36"/>
      <c r="Y47" s="36"/>
      <c r="Z47" s="36"/>
    </row>
    <row r="48" spans="1:26" x14ac:dyDescent="0.25">
      <c r="A48" s="10" t="s">
        <v>24</v>
      </c>
      <c r="B48" s="14">
        <f>-G7</f>
        <v>-300</v>
      </c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</row>
    <row r="49" spans="1:17" x14ac:dyDescent="0.25">
      <c r="A49" s="10" t="s">
        <v>27</v>
      </c>
      <c r="B49" s="14">
        <f>-G8</f>
        <v>-1419.0000000000002</v>
      </c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</row>
    <row r="50" spans="1:17" x14ac:dyDescent="0.25">
      <c r="A50" s="10" t="s">
        <v>63</v>
      </c>
      <c r="B50" s="14">
        <f>-G9</f>
        <v>0</v>
      </c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</row>
    <row r="51" spans="1:17" x14ac:dyDescent="0.25">
      <c r="A51" s="10" t="s">
        <v>35</v>
      </c>
      <c r="B51" s="14">
        <v>0</v>
      </c>
      <c r="C51" s="13">
        <f>B52</f>
        <v>10.000000000000227</v>
      </c>
      <c r="D51" s="13">
        <f t="shared" ref="D51:Q51" si="26">C52</f>
        <v>33.658180615651787</v>
      </c>
      <c r="E51" s="13">
        <f t="shared" si="26"/>
        <v>31.130741853962832</v>
      </c>
      <c r="F51" s="13">
        <f t="shared" si="26"/>
        <v>38.874050847998177</v>
      </c>
      <c r="G51" s="13">
        <f t="shared" si="26"/>
        <v>46.896689921765116</v>
      </c>
      <c r="H51" s="13">
        <f t="shared" si="26"/>
        <v>55.207496182726501</v>
      </c>
      <c r="I51" s="13">
        <f t="shared" si="26"/>
        <v>63.815568600970536</v>
      </c>
      <c r="J51" s="13">
        <f t="shared" si="26"/>
        <v>72.730275264652818</v>
      </c>
      <c r="K51" s="13">
        <f t="shared" si="26"/>
        <v>81.961260815079356</v>
      </c>
      <c r="L51" s="13">
        <f t="shared" si="26"/>
        <v>91.518454064805354</v>
      </c>
      <c r="M51" s="13">
        <f t="shared" si="26"/>
        <v>101.41207580212547</v>
      </c>
      <c r="N51" s="13">
        <f t="shared" si="26"/>
        <v>111.65264678532948</v>
      </c>
      <c r="O51" s="13">
        <f t="shared" si="26"/>
        <v>122.25099593008832</v>
      </c>
      <c r="P51" s="13">
        <f t="shared" si="26"/>
        <v>133.21826869332313</v>
      </c>
      <c r="Q51" s="13">
        <f t="shared" si="26"/>
        <v>144.56593565688871</v>
      </c>
    </row>
    <row r="52" spans="1:17" x14ac:dyDescent="0.25">
      <c r="A52" s="10" t="s">
        <v>64</v>
      </c>
      <c r="B52" s="13">
        <f>SUM(B45:B51)</f>
        <v>10.000000000000227</v>
      </c>
      <c r="C52" s="13">
        <f>SUM(C45:C51)</f>
        <v>33.658180615651787</v>
      </c>
      <c r="D52" s="13">
        <f t="shared" ref="D52:Q52" si="27">SUM(D45:D51)</f>
        <v>31.130741853962832</v>
      </c>
      <c r="E52" s="13">
        <f t="shared" si="27"/>
        <v>38.874050847998177</v>
      </c>
      <c r="F52" s="13">
        <f t="shared" si="27"/>
        <v>46.896689921765116</v>
      </c>
      <c r="G52" s="13">
        <f t="shared" si="27"/>
        <v>55.207496182726501</v>
      </c>
      <c r="H52" s="13">
        <f t="shared" si="27"/>
        <v>63.815568600970536</v>
      </c>
      <c r="I52" s="13">
        <f t="shared" si="27"/>
        <v>72.730275264652818</v>
      </c>
      <c r="J52" s="13">
        <f t="shared" si="27"/>
        <v>81.961260815079356</v>
      </c>
      <c r="K52" s="13">
        <f t="shared" si="27"/>
        <v>91.518454064805354</v>
      </c>
      <c r="L52" s="13">
        <f t="shared" si="27"/>
        <v>101.41207580212547</v>
      </c>
      <c r="M52" s="13">
        <f t="shared" si="27"/>
        <v>111.65264678532948</v>
      </c>
      <c r="N52" s="13">
        <f t="shared" si="27"/>
        <v>122.25099593008832</v>
      </c>
      <c r="O52" s="13">
        <f t="shared" si="27"/>
        <v>133.21826869332313</v>
      </c>
      <c r="P52" s="13">
        <f t="shared" si="27"/>
        <v>144.56593565688871</v>
      </c>
      <c r="Q52" s="13">
        <f t="shared" si="27"/>
        <v>156.30580131438023</v>
      </c>
    </row>
    <row r="53" spans="1:17" x14ac:dyDescent="0.25">
      <c r="A53" t="str">
        <f>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  <c r="B53" s="36"/>
      <c r="C53" s="36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</row>
    <row r="54" spans="1:17" x14ac:dyDescent="0.25">
      <c r="B54" s="13"/>
      <c r="C54" s="23" t="str">
        <f>C44</f>
        <v>A1</v>
      </c>
      <c r="D54" s="23" t="str">
        <f t="shared" ref="D54:Q54" si="28">D44</f>
        <v>A2</v>
      </c>
      <c r="E54" s="23" t="str">
        <f t="shared" si="28"/>
        <v>A3</v>
      </c>
      <c r="F54" s="23" t="str">
        <f t="shared" si="28"/>
        <v>A4</v>
      </c>
      <c r="G54" s="23" t="str">
        <f t="shared" si="28"/>
        <v>A5</v>
      </c>
      <c r="H54" s="23" t="str">
        <f t="shared" si="28"/>
        <v>A6</v>
      </c>
      <c r="I54" s="23" t="str">
        <f t="shared" si="28"/>
        <v>A7</v>
      </c>
      <c r="J54" s="23" t="str">
        <f t="shared" si="28"/>
        <v>A8</v>
      </c>
      <c r="K54" s="23" t="str">
        <f t="shared" si="28"/>
        <v>A9</v>
      </c>
      <c r="L54" s="23" t="str">
        <f t="shared" si="28"/>
        <v>A10</v>
      </c>
      <c r="M54" s="23" t="str">
        <f t="shared" si="28"/>
        <v>A11</v>
      </c>
      <c r="N54" s="23" t="str">
        <f t="shared" si="28"/>
        <v>A12</v>
      </c>
      <c r="O54" s="23" t="str">
        <f t="shared" si="28"/>
        <v>A13</v>
      </c>
      <c r="P54" s="23" t="str">
        <f t="shared" si="28"/>
        <v>A14</v>
      </c>
      <c r="Q54" s="23" t="str">
        <f t="shared" si="28"/>
        <v>A15</v>
      </c>
    </row>
    <row r="55" spans="1:17" x14ac:dyDescent="0.25">
      <c r="A55" s="10" t="s">
        <v>16</v>
      </c>
      <c r="B55" s="13">
        <f>B46</f>
        <v>345.80000000000007</v>
      </c>
      <c r="C55" s="13">
        <f>B55+C42+C46</f>
        <v>426.40920000000006</v>
      </c>
      <c r="D55" s="13">
        <f t="shared" ref="D55:Q55" si="29">C55+D42+D46</f>
        <v>483.82757649495522</v>
      </c>
      <c r="E55" s="13">
        <f t="shared" si="29"/>
        <v>554.64626243218368</v>
      </c>
      <c r="F55" s="13">
        <f t="shared" si="29"/>
        <v>629.01467041158742</v>
      </c>
      <c r="G55" s="13">
        <f t="shared" si="29"/>
        <v>707.08880517893931</v>
      </c>
      <c r="H55" s="13">
        <f t="shared" si="29"/>
        <v>789.03155588636139</v>
      </c>
      <c r="I55" s="13">
        <f t="shared" si="29"/>
        <v>875.01300136223472</v>
      </c>
      <c r="J55" s="13">
        <f t="shared" si="29"/>
        <v>965.21072897140084</v>
      </c>
      <c r="K55" s="13">
        <f t="shared" si="29"/>
        <v>1059.8101676725098</v>
      </c>
      <c r="L55" s="13">
        <f t="shared" si="29"/>
        <v>1159.0049359065251</v>
      </c>
      <c r="M55" s="13">
        <f t="shared" si="29"/>
        <v>1262.9972049787757</v>
      </c>
      <c r="N55" s="13">
        <f t="shared" si="29"/>
        <v>1371.998078626588</v>
      </c>
      <c r="O55" s="13">
        <f t="shared" si="29"/>
        <v>1486.2279894955138</v>
      </c>
      <c r="P55" s="13">
        <f t="shared" si="29"/>
        <v>1605.9171132795263</v>
      </c>
      <c r="Q55" s="13">
        <f t="shared" si="29"/>
        <v>1731.3058013143848</v>
      </c>
    </row>
    <row r="56" spans="1:17" x14ac:dyDescent="0.25">
      <c r="A56" s="10" t="s">
        <v>19</v>
      </c>
      <c r="B56" s="13">
        <f>B47</f>
        <v>1383.2000000000003</v>
      </c>
      <c r="C56" s="13">
        <f>B56+C47</f>
        <v>1316.6489806156519</v>
      </c>
      <c r="D56" s="13">
        <f t="shared" ref="D56:Q56" si="30">C56+D47</f>
        <v>1247.1031653590078</v>
      </c>
      <c r="E56" s="13">
        <f t="shared" si="30"/>
        <v>1174.4277884158146</v>
      </c>
      <c r="F56" s="13">
        <f t="shared" si="30"/>
        <v>1098.4820195101777</v>
      </c>
      <c r="G56" s="13">
        <f t="shared" si="30"/>
        <v>1019.1186910037873</v>
      </c>
      <c r="H56" s="13">
        <f t="shared" si="30"/>
        <v>936.18401271460925</v>
      </c>
      <c r="I56" s="13">
        <f t="shared" si="30"/>
        <v>849.5172739024182</v>
      </c>
      <c r="J56" s="13">
        <f t="shared" si="30"/>
        <v>758.95053184367862</v>
      </c>
      <c r="K56" s="13">
        <f t="shared" si="30"/>
        <v>664.30828639229571</v>
      </c>
      <c r="L56" s="13">
        <f t="shared" si="30"/>
        <v>565.40713989560061</v>
      </c>
      <c r="M56" s="13">
        <f t="shared" si="30"/>
        <v>462.0554418065542</v>
      </c>
      <c r="N56" s="13">
        <f t="shared" si="30"/>
        <v>354.05291730350069</v>
      </c>
      <c r="O56" s="13">
        <f t="shared" si="30"/>
        <v>241.19027919780979</v>
      </c>
      <c r="P56" s="13">
        <f t="shared" si="30"/>
        <v>123.24882237736277</v>
      </c>
      <c r="Q56" s="13">
        <f t="shared" si="30"/>
        <v>-4.3485215428518131E-12</v>
      </c>
    </row>
    <row r="57" spans="1:17" x14ac:dyDescent="0.25">
      <c r="B57" s="36"/>
      <c r="C57" s="36"/>
      <c r="D57" s="36"/>
      <c r="E57" s="36"/>
      <c r="F57" s="36"/>
      <c r="G57" s="36"/>
      <c r="H57" s="36"/>
      <c r="I57" s="36"/>
      <c r="J57" s="36"/>
      <c r="K57" s="36"/>
      <c r="L57" s="36"/>
      <c r="M57" s="36"/>
      <c r="N57" s="36"/>
      <c r="O57" s="36"/>
      <c r="P57" s="36"/>
      <c r="Q57" s="36"/>
    </row>
    <row r="58" spans="1:17" x14ac:dyDescent="0.25">
      <c r="A58" s="10" t="s">
        <v>24</v>
      </c>
      <c r="B58" s="13">
        <f>-B48</f>
        <v>300</v>
      </c>
      <c r="C58" s="10">
        <f>B58-C37</f>
        <v>290.39999999999998</v>
      </c>
      <c r="D58" s="10">
        <f t="shared" ref="D58:Q58" si="31">C58-D37</f>
        <v>280.79999999999995</v>
      </c>
      <c r="E58" s="10">
        <f t="shared" si="31"/>
        <v>271.19999999999993</v>
      </c>
      <c r="F58" s="10">
        <f t="shared" si="31"/>
        <v>261.59999999999991</v>
      </c>
      <c r="G58" s="10">
        <f t="shared" si="31"/>
        <v>251.99999999999991</v>
      </c>
      <c r="H58" s="10">
        <f t="shared" si="31"/>
        <v>242.39999999999992</v>
      </c>
      <c r="I58" s="10">
        <f t="shared" si="31"/>
        <v>232.79999999999993</v>
      </c>
      <c r="J58" s="10">
        <f t="shared" si="31"/>
        <v>223.19999999999993</v>
      </c>
      <c r="K58" s="10">
        <f t="shared" si="31"/>
        <v>213.59999999999994</v>
      </c>
      <c r="L58" s="10">
        <f t="shared" si="31"/>
        <v>203.99999999999994</v>
      </c>
      <c r="M58" s="10">
        <f t="shared" si="31"/>
        <v>194.39999999999995</v>
      </c>
      <c r="N58" s="10">
        <f t="shared" si="31"/>
        <v>184.79999999999995</v>
      </c>
      <c r="O58" s="10">
        <f t="shared" si="31"/>
        <v>175.19999999999996</v>
      </c>
      <c r="P58" s="10">
        <f t="shared" si="31"/>
        <v>165.59999999999997</v>
      </c>
      <c r="Q58" s="10">
        <f t="shared" si="31"/>
        <v>155.99999999999997</v>
      </c>
    </row>
    <row r="59" spans="1:17" x14ac:dyDescent="0.25">
      <c r="A59" s="10" t="s">
        <v>27</v>
      </c>
      <c r="B59" s="13">
        <f>-B49</f>
        <v>1419.0000000000002</v>
      </c>
      <c r="C59" s="13">
        <f>B59</f>
        <v>1419.0000000000002</v>
      </c>
      <c r="D59" s="13">
        <f t="shared" ref="D59:Q59" si="32">C59</f>
        <v>1419.0000000000002</v>
      </c>
      <c r="E59" s="13">
        <f t="shared" si="32"/>
        <v>1419.0000000000002</v>
      </c>
      <c r="F59" s="13">
        <f t="shared" si="32"/>
        <v>1419.0000000000002</v>
      </c>
      <c r="G59" s="13">
        <f t="shared" si="32"/>
        <v>1419.0000000000002</v>
      </c>
      <c r="H59" s="13">
        <f t="shared" si="32"/>
        <v>1419.0000000000002</v>
      </c>
      <c r="I59" s="13">
        <f t="shared" si="32"/>
        <v>1419.0000000000002</v>
      </c>
      <c r="J59" s="13">
        <f t="shared" si="32"/>
        <v>1419.0000000000002</v>
      </c>
      <c r="K59" s="13">
        <f t="shared" si="32"/>
        <v>1419.0000000000002</v>
      </c>
      <c r="L59" s="13">
        <f t="shared" si="32"/>
        <v>1419.0000000000002</v>
      </c>
      <c r="M59" s="13">
        <f t="shared" si="32"/>
        <v>1419.0000000000002</v>
      </c>
      <c r="N59" s="13">
        <f t="shared" si="32"/>
        <v>1419.0000000000002</v>
      </c>
      <c r="O59" s="13">
        <f t="shared" si="32"/>
        <v>1419.0000000000002</v>
      </c>
      <c r="P59" s="13">
        <f t="shared" si="32"/>
        <v>1419.0000000000002</v>
      </c>
      <c r="Q59" s="13">
        <f t="shared" si="32"/>
        <v>1419.0000000000002</v>
      </c>
    </row>
    <row r="60" spans="1:17" x14ac:dyDescent="0.25">
      <c r="A60" s="10" t="s">
        <v>30</v>
      </c>
      <c r="B60" s="13">
        <f>-B50</f>
        <v>0</v>
      </c>
      <c r="C60" s="13">
        <f>B60-C50</f>
        <v>0</v>
      </c>
      <c r="D60" s="13">
        <f t="shared" ref="D60:Q60" si="33">C60-D50</f>
        <v>0</v>
      </c>
      <c r="E60" s="13">
        <f t="shared" si="33"/>
        <v>0</v>
      </c>
      <c r="F60" s="13">
        <f t="shared" si="33"/>
        <v>0</v>
      </c>
      <c r="G60" s="13">
        <f t="shared" si="33"/>
        <v>0</v>
      </c>
      <c r="H60" s="13">
        <f t="shared" si="33"/>
        <v>0</v>
      </c>
      <c r="I60" s="13">
        <f t="shared" si="33"/>
        <v>0</v>
      </c>
      <c r="J60" s="13">
        <f t="shared" si="33"/>
        <v>0</v>
      </c>
      <c r="K60" s="13">
        <f t="shared" si="33"/>
        <v>0</v>
      </c>
      <c r="L60" s="13">
        <f t="shared" si="33"/>
        <v>0</v>
      </c>
      <c r="M60" s="13">
        <f t="shared" si="33"/>
        <v>0</v>
      </c>
      <c r="N60" s="13">
        <f t="shared" si="33"/>
        <v>0</v>
      </c>
      <c r="O60" s="13">
        <f t="shared" si="33"/>
        <v>0</v>
      </c>
      <c r="P60" s="13">
        <f t="shared" si="33"/>
        <v>0</v>
      </c>
      <c r="Q60" s="13">
        <f t="shared" si="33"/>
        <v>0</v>
      </c>
    </row>
    <row r="61" spans="1:17" x14ac:dyDescent="0.25">
      <c r="A61" s="10" t="s">
        <v>32</v>
      </c>
      <c r="B61" s="13">
        <f>B52</f>
        <v>10.000000000000227</v>
      </c>
      <c r="C61" s="13">
        <f>C52</f>
        <v>33.658180615651787</v>
      </c>
      <c r="D61" s="13">
        <f t="shared" ref="D61:Q61" si="34">D52</f>
        <v>31.130741853962832</v>
      </c>
      <c r="E61" s="13">
        <f t="shared" si="34"/>
        <v>38.874050847998177</v>
      </c>
      <c r="F61" s="13">
        <f t="shared" si="34"/>
        <v>46.896689921765116</v>
      </c>
      <c r="G61" s="13">
        <f t="shared" si="34"/>
        <v>55.207496182726501</v>
      </c>
      <c r="H61" s="13">
        <f t="shared" si="34"/>
        <v>63.815568600970536</v>
      </c>
      <c r="I61" s="13">
        <f t="shared" si="34"/>
        <v>72.730275264652818</v>
      </c>
      <c r="J61" s="13">
        <f t="shared" si="34"/>
        <v>81.961260815079356</v>
      </c>
      <c r="K61" s="13">
        <f t="shared" si="34"/>
        <v>91.518454064805354</v>
      </c>
      <c r="L61" s="13">
        <f t="shared" si="34"/>
        <v>101.41207580212547</v>
      </c>
      <c r="M61" s="13">
        <f t="shared" si="34"/>
        <v>111.65264678532948</v>
      </c>
      <c r="N61" s="13">
        <f t="shared" si="34"/>
        <v>122.25099593008832</v>
      </c>
      <c r="O61" s="13">
        <f t="shared" si="34"/>
        <v>133.21826869332313</v>
      </c>
      <c r="P61" s="13">
        <f t="shared" si="34"/>
        <v>144.56593565688871</v>
      </c>
      <c r="Q61" s="13">
        <f t="shared" si="34"/>
        <v>156.30580131438023</v>
      </c>
    </row>
    <row r="62" spans="1:17" x14ac:dyDescent="0.25">
      <c r="A62" s="8" t="s">
        <v>34</v>
      </c>
      <c r="B62" s="21">
        <f>SUM(B58:B61)</f>
        <v>1729.0000000000005</v>
      </c>
      <c r="C62" s="21">
        <f>SUM(C58:C61)</f>
        <v>1743.058180615652</v>
      </c>
      <c r="D62" s="21">
        <f t="shared" ref="D62:Q62" si="35">SUM(D58:D61)</f>
        <v>1730.9307418539629</v>
      </c>
      <c r="E62" s="21">
        <f t="shared" si="35"/>
        <v>1729.0740508479985</v>
      </c>
      <c r="F62" s="21">
        <f t="shared" si="35"/>
        <v>1727.4966899217652</v>
      </c>
      <c r="G62" s="21">
        <f t="shared" si="35"/>
        <v>1726.2074961827268</v>
      </c>
      <c r="H62" s="21">
        <f t="shared" si="35"/>
        <v>1725.2155686009705</v>
      </c>
      <c r="I62" s="21">
        <f t="shared" si="35"/>
        <v>1724.530275264653</v>
      </c>
      <c r="J62" s="21">
        <f t="shared" si="35"/>
        <v>1724.1612608150797</v>
      </c>
      <c r="K62" s="21">
        <f t="shared" si="35"/>
        <v>1724.1184540648055</v>
      </c>
      <c r="L62" s="21">
        <f t="shared" si="35"/>
        <v>1724.4120758021256</v>
      </c>
      <c r="M62" s="21">
        <f t="shared" si="35"/>
        <v>1725.0526467853297</v>
      </c>
      <c r="N62" s="21">
        <f t="shared" si="35"/>
        <v>1726.0509959300884</v>
      </c>
      <c r="O62" s="21">
        <f t="shared" si="35"/>
        <v>1727.4182686933234</v>
      </c>
      <c r="P62" s="21">
        <f t="shared" si="35"/>
        <v>1729.1659356568889</v>
      </c>
      <c r="Q62" s="21">
        <f t="shared" si="35"/>
        <v>1731.3058013143805</v>
      </c>
    </row>
    <row r="63" spans="1:17" x14ac:dyDescent="0.25">
      <c r="A63" s="10" t="s">
        <v>65</v>
      </c>
      <c r="B63" s="13">
        <f>B62-B55-B56</f>
        <v>0</v>
      </c>
      <c r="C63" s="13">
        <f>C62-C55-C56</f>
        <v>0</v>
      </c>
      <c r="D63" s="13">
        <f t="shared" ref="D63:Q63" si="36">D62-D55-D56</f>
        <v>0</v>
      </c>
      <c r="E63" s="13">
        <f t="shared" si="36"/>
        <v>0</v>
      </c>
      <c r="F63" s="13">
        <f t="shared" si="36"/>
        <v>0</v>
      </c>
      <c r="G63" s="13">
        <f t="shared" si="36"/>
        <v>0</v>
      </c>
      <c r="H63" s="13">
        <f t="shared" si="36"/>
        <v>0</v>
      </c>
      <c r="I63" s="13">
        <f t="shared" si="36"/>
        <v>0</v>
      </c>
      <c r="J63" s="13">
        <f t="shared" si="36"/>
        <v>0</v>
      </c>
      <c r="K63" s="13">
        <f t="shared" si="36"/>
        <v>0</v>
      </c>
      <c r="L63" s="13">
        <f t="shared" si="36"/>
        <v>0</v>
      </c>
      <c r="M63" s="13">
        <f t="shared" si="36"/>
        <v>0</v>
      </c>
      <c r="N63" s="13">
        <f t="shared" si="36"/>
        <v>0</v>
      </c>
      <c r="O63" s="13">
        <f t="shared" si="36"/>
        <v>-2.2737367544323206E-13</v>
      </c>
      <c r="P63" s="13">
        <f t="shared" si="36"/>
        <v>-2.1316282072803006E-13</v>
      </c>
      <c r="Q63" s="13">
        <f t="shared" si="36"/>
        <v>2.8421709430404007E-14</v>
      </c>
    </row>
    <row r="64" spans="1:17" x14ac:dyDescent="0.25">
      <c r="A64" t="str">
        <f>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  <c r="C64" s="36"/>
      <c r="D64" s="36"/>
      <c r="E64" s="36"/>
      <c r="F64" s="36"/>
      <c r="G64" s="36"/>
      <c r="H64" s="36"/>
      <c r="I64" s="36"/>
      <c r="J64" s="36"/>
      <c r="K64" s="36"/>
      <c r="L64" s="36"/>
      <c r="M64" s="36"/>
      <c r="N64" s="36"/>
      <c r="O64" s="36"/>
      <c r="P64" s="36"/>
      <c r="Q64" s="36"/>
    </row>
    <row r="65" spans="1:17" x14ac:dyDescent="0.25">
      <c r="A65" s="10"/>
      <c r="B65" s="10"/>
      <c r="C65" s="23" t="str">
        <f>C54</f>
        <v>A1</v>
      </c>
      <c r="D65" s="23" t="str">
        <f t="shared" ref="D65:Q65" si="37">D54</f>
        <v>A2</v>
      </c>
      <c r="E65" s="23" t="str">
        <f t="shared" si="37"/>
        <v>A3</v>
      </c>
      <c r="F65" s="23" t="str">
        <f t="shared" si="37"/>
        <v>A4</v>
      </c>
      <c r="G65" s="23" t="str">
        <f t="shared" si="37"/>
        <v>A5</v>
      </c>
      <c r="H65" s="23" t="str">
        <f t="shared" si="37"/>
        <v>A6</v>
      </c>
      <c r="I65" s="23" t="str">
        <f t="shared" si="37"/>
        <v>A7</v>
      </c>
      <c r="J65" s="23" t="str">
        <f t="shared" si="37"/>
        <v>A8</v>
      </c>
      <c r="K65" s="23" t="str">
        <f t="shared" si="37"/>
        <v>A9</v>
      </c>
      <c r="L65" s="23" t="str">
        <f t="shared" si="37"/>
        <v>A10</v>
      </c>
      <c r="M65" s="23" t="str">
        <f t="shared" si="37"/>
        <v>A11</v>
      </c>
      <c r="N65" s="23" t="str">
        <f t="shared" si="37"/>
        <v>A12</v>
      </c>
      <c r="O65" s="23" t="str">
        <f t="shared" si="37"/>
        <v>A13</v>
      </c>
      <c r="P65" s="23" t="str">
        <f t="shared" si="37"/>
        <v>A14</v>
      </c>
      <c r="Q65" s="23" t="str">
        <f t="shared" si="37"/>
        <v>A15</v>
      </c>
    </row>
    <row r="66" spans="1:17" x14ac:dyDescent="0.25">
      <c r="A66" s="10" t="s">
        <v>66</v>
      </c>
      <c r="B66" s="10">
        <f>-B46</f>
        <v>-345.80000000000007</v>
      </c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</row>
    <row r="67" spans="1:17" x14ac:dyDescent="0.25">
      <c r="A67" s="10" t="s">
        <v>67</v>
      </c>
      <c r="B67" s="10"/>
      <c r="C67" s="10"/>
      <c r="D67" s="13">
        <f>-D46</f>
        <v>33.658180615651787</v>
      </c>
      <c r="E67" s="13">
        <f t="shared" ref="E67:Q67" si="38">-E46</f>
        <v>31.130741853962832</v>
      </c>
      <c r="F67" s="13">
        <f t="shared" si="38"/>
        <v>38.874050847998177</v>
      </c>
      <c r="G67" s="13">
        <f t="shared" si="38"/>
        <v>46.896689921765116</v>
      </c>
      <c r="H67" s="13">
        <f t="shared" si="38"/>
        <v>55.207496182726501</v>
      </c>
      <c r="I67" s="13">
        <f t="shared" si="38"/>
        <v>63.815568600970536</v>
      </c>
      <c r="J67" s="13">
        <f t="shared" si="38"/>
        <v>72.730275264652818</v>
      </c>
      <c r="K67" s="13">
        <f t="shared" si="38"/>
        <v>81.961260815079356</v>
      </c>
      <c r="L67" s="13">
        <f t="shared" si="38"/>
        <v>91.518454064805354</v>
      </c>
      <c r="M67" s="13">
        <f t="shared" si="38"/>
        <v>101.41207580212547</v>
      </c>
      <c r="N67" s="13">
        <f t="shared" si="38"/>
        <v>111.65264678532948</v>
      </c>
      <c r="O67" s="13">
        <f t="shared" si="38"/>
        <v>122.25099593008832</v>
      </c>
      <c r="P67" s="13">
        <f t="shared" si="38"/>
        <v>133.21826869332313</v>
      </c>
      <c r="Q67" s="13">
        <f t="shared" si="38"/>
        <v>144.56593565688871</v>
      </c>
    </row>
    <row r="68" spans="1:17" x14ac:dyDescent="0.25">
      <c r="A68" s="10" t="s">
        <v>68</v>
      </c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3">
        <f>G24</f>
        <v>2413.8935260610342</v>
      </c>
    </row>
    <row r="69" spans="1:17" x14ac:dyDescent="0.25">
      <c r="A69" s="10" t="s">
        <v>69</v>
      </c>
      <c r="B69" s="10">
        <f>SUM(B66:B68)</f>
        <v>-345.80000000000007</v>
      </c>
      <c r="C69" s="10">
        <f t="shared" ref="C69:Q69" si="39">SUM(C66:C68)</f>
        <v>0</v>
      </c>
      <c r="D69" s="13">
        <f t="shared" si="39"/>
        <v>33.658180615651787</v>
      </c>
      <c r="E69" s="13">
        <f t="shared" si="39"/>
        <v>31.130741853962832</v>
      </c>
      <c r="F69" s="13">
        <f t="shared" si="39"/>
        <v>38.874050847998177</v>
      </c>
      <c r="G69" s="13">
        <f t="shared" si="39"/>
        <v>46.896689921765116</v>
      </c>
      <c r="H69" s="13">
        <f t="shared" si="39"/>
        <v>55.207496182726501</v>
      </c>
      <c r="I69" s="13">
        <f t="shared" si="39"/>
        <v>63.815568600970536</v>
      </c>
      <c r="J69" s="13">
        <f t="shared" si="39"/>
        <v>72.730275264652818</v>
      </c>
      <c r="K69" s="13">
        <f t="shared" si="39"/>
        <v>81.961260815079356</v>
      </c>
      <c r="L69" s="13">
        <f t="shared" si="39"/>
        <v>91.518454064805354</v>
      </c>
      <c r="M69" s="13">
        <f t="shared" si="39"/>
        <v>101.41207580212547</v>
      </c>
      <c r="N69" s="13">
        <f t="shared" si="39"/>
        <v>111.65264678532948</v>
      </c>
      <c r="O69" s="13">
        <f t="shared" si="39"/>
        <v>122.25099593008832</v>
      </c>
      <c r="P69" s="13">
        <f t="shared" si="39"/>
        <v>133.21826869332313</v>
      </c>
      <c r="Q69" s="13">
        <f t="shared" si="39"/>
        <v>2558.4594617179227</v>
      </c>
    </row>
    <row r="70" spans="1:17" x14ac:dyDescent="0.25">
      <c r="A70" s="10" t="s">
        <v>70</v>
      </c>
      <c r="B70" s="37">
        <f>IRR(B69:Q69)</f>
        <v>0.2098183056527092</v>
      </c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</row>
    <row r="71" spans="1:17" x14ac:dyDescent="0.25">
      <c r="A71" t="str">
        <f>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</row>
    <row r="72" spans="1:17" x14ac:dyDescent="0.25">
      <c r="A72" s="38" t="s">
        <v>75</v>
      </c>
      <c r="C72" s="23" t="s">
        <v>2</v>
      </c>
      <c r="D72" s="33" t="s">
        <v>3</v>
      </c>
      <c r="E72" s="33" t="s">
        <v>4</v>
      </c>
      <c r="F72" s="5" t="s">
        <v>5</v>
      </c>
      <c r="G72" s="5" t="s">
        <v>6</v>
      </c>
      <c r="H72" s="5" t="s">
        <v>7</v>
      </c>
      <c r="I72" s="5" t="s">
        <v>8</v>
      </c>
      <c r="J72" s="5" t="s">
        <v>9</v>
      </c>
      <c r="K72" s="5" t="s">
        <v>10</v>
      </c>
      <c r="L72" s="5" t="s">
        <v>11</v>
      </c>
      <c r="M72" s="5" t="s">
        <v>56</v>
      </c>
      <c r="N72" s="5" t="s">
        <v>57</v>
      </c>
      <c r="O72" s="5" t="s">
        <v>58</v>
      </c>
      <c r="P72" s="5" t="s">
        <v>59</v>
      </c>
      <c r="Q72" s="5" t="s">
        <v>60</v>
      </c>
    </row>
    <row r="73" spans="1:17" x14ac:dyDescent="0.25">
      <c r="A73" s="8" t="s">
        <v>15</v>
      </c>
      <c r="B73" s="10"/>
      <c r="C73" s="13">
        <f>C5</f>
        <v>1800</v>
      </c>
      <c r="D73" s="13">
        <f>C73*(1+$D$5)</f>
        <v>1854</v>
      </c>
      <c r="E73" s="13">
        <f t="shared" ref="E73:Q73" si="40">D73*(1+$D$5)</f>
        <v>1909.6200000000001</v>
      </c>
      <c r="F73" s="13">
        <f t="shared" si="40"/>
        <v>1966.9086000000002</v>
      </c>
      <c r="G73" s="13">
        <f t="shared" si="40"/>
        <v>2025.9158580000003</v>
      </c>
      <c r="H73" s="13">
        <f t="shared" si="40"/>
        <v>2086.6933337400005</v>
      </c>
      <c r="I73" s="13">
        <f t="shared" si="40"/>
        <v>2149.2941337522007</v>
      </c>
      <c r="J73" s="13">
        <f t="shared" si="40"/>
        <v>2213.7729577647669</v>
      </c>
      <c r="K73" s="13">
        <f t="shared" si="40"/>
        <v>2280.1861464977101</v>
      </c>
      <c r="L73" s="13">
        <f t="shared" si="40"/>
        <v>2348.5917308926414</v>
      </c>
      <c r="M73" s="13">
        <f t="shared" si="40"/>
        <v>2419.0494828194205</v>
      </c>
      <c r="N73" s="13">
        <f t="shared" si="40"/>
        <v>2491.620967304003</v>
      </c>
      <c r="O73" s="13">
        <f t="shared" si="40"/>
        <v>2566.369596323123</v>
      </c>
      <c r="P73" s="13">
        <f t="shared" si="40"/>
        <v>2643.360684212817</v>
      </c>
      <c r="Q73" s="13">
        <f t="shared" si="40"/>
        <v>2722.6615047392015</v>
      </c>
    </row>
    <row r="74" spans="1:17" x14ac:dyDescent="0.25">
      <c r="A74" s="10" t="s">
        <v>61</v>
      </c>
      <c r="B74" s="13"/>
      <c r="C74" s="13">
        <f>C73*$B$26</f>
        <v>540</v>
      </c>
      <c r="D74" s="13">
        <f>D73*($B$26+$D$26/14)</f>
        <v>557.52428571428572</v>
      </c>
      <c r="E74" s="13">
        <f>E73*($B$26+2*$D$26/14)</f>
        <v>575.61402857142866</v>
      </c>
      <c r="F74" s="13">
        <f>F73*($B$26+3*$D$26/14)</f>
        <v>594.28738414285726</v>
      </c>
      <c r="G74" s="13">
        <f>G73*($B$26+4*$D$26/14)</f>
        <v>613.56308842285716</v>
      </c>
      <c r="H74" s="13">
        <f>H73*($B$26+5*$D$26/14)</f>
        <v>633.46047631392867</v>
      </c>
      <c r="I74" s="13">
        <f>I73*($B$26+6*$D$26/14)</f>
        <v>653.99950069888394</v>
      </c>
      <c r="J74" s="13">
        <f>J73*($B$26+7*$D$26/14)</f>
        <v>675.20075211825394</v>
      </c>
      <c r="K74" s="13">
        <f>K73*($B$26+8*$D$26/14)</f>
        <v>697.08547907215711</v>
      </c>
      <c r="L74" s="13">
        <f>L73*($B$26+9*$D$26/14)</f>
        <v>719.67560896638804</v>
      </c>
      <c r="M74" s="13">
        <f>M73*($B$26+10*$D$26/14)</f>
        <v>742.99376972310768</v>
      </c>
      <c r="N74" s="13">
        <f>N73*($B$26+11*$D$26/14)</f>
        <v>767.06331207716084</v>
      </c>
      <c r="O74" s="13">
        <f>O73*($B$26+12*$D$26/14)</f>
        <v>791.90833257970644</v>
      </c>
      <c r="P74" s="13">
        <f>P73*($B$26+13*$D$26/14)</f>
        <v>817.55369733153555</v>
      </c>
      <c r="Q74" s="13">
        <f>Q73*($B$26+$D$26)</f>
        <v>844.02506646915242</v>
      </c>
    </row>
    <row r="75" spans="1:17" x14ac:dyDescent="0.25">
      <c r="A75" s="10" t="s">
        <v>21</v>
      </c>
      <c r="B75" s="13"/>
      <c r="C75" s="13">
        <f>C7</f>
        <v>312</v>
      </c>
      <c r="D75" s="13">
        <f>C75*(1+$D$7)</f>
        <v>315.12</v>
      </c>
      <c r="E75" s="13">
        <f t="shared" ref="E75:Q75" si="41">D75*(1+$D$7)</f>
        <v>318.27120000000002</v>
      </c>
      <c r="F75" s="13">
        <f t="shared" si="41"/>
        <v>321.453912</v>
      </c>
      <c r="G75" s="13">
        <f t="shared" si="41"/>
        <v>324.66845111999999</v>
      </c>
      <c r="H75" s="13">
        <f t="shared" si="41"/>
        <v>327.91513563119997</v>
      </c>
      <c r="I75" s="13">
        <f t="shared" si="41"/>
        <v>331.19428698751199</v>
      </c>
      <c r="J75" s="13">
        <f t="shared" si="41"/>
        <v>334.5062298573871</v>
      </c>
      <c r="K75" s="13">
        <f t="shared" si="41"/>
        <v>337.85129215596095</v>
      </c>
      <c r="L75" s="13">
        <f t="shared" si="41"/>
        <v>341.22980507752055</v>
      </c>
      <c r="M75" s="13">
        <f t="shared" si="41"/>
        <v>344.64210312829579</v>
      </c>
      <c r="N75" s="13">
        <f t="shared" si="41"/>
        <v>348.08852415957875</v>
      </c>
      <c r="O75" s="13">
        <f t="shared" si="41"/>
        <v>351.56940940117454</v>
      </c>
      <c r="P75" s="13">
        <f t="shared" si="41"/>
        <v>355.08510349518627</v>
      </c>
      <c r="Q75" s="13">
        <f t="shared" si="41"/>
        <v>358.63595453013812</v>
      </c>
    </row>
    <row r="76" spans="1:17" x14ac:dyDescent="0.25">
      <c r="A76" s="10" t="s">
        <v>23</v>
      </c>
      <c r="B76" s="10"/>
      <c r="C76" s="13">
        <f>C8</f>
        <v>24</v>
      </c>
      <c r="D76" s="13">
        <f>C76*(1+$D$8)</f>
        <v>24.36</v>
      </c>
      <c r="E76" s="13">
        <f t="shared" ref="E76:Q76" si="42">D76*(1+$D$8)</f>
        <v>24.725399999999997</v>
      </c>
      <c r="F76" s="13">
        <f t="shared" si="42"/>
        <v>25.096280999999994</v>
      </c>
      <c r="G76" s="13">
        <f t="shared" si="42"/>
        <v>25.47272521499999</v>
      </c>
      <c r="H76" s="13">
        <f t="shared" si="42"/>
        <v>25.854816093224986</v>
      </c>
      <c r="I76" s="13">
        <f t="shared" si="42"/>
        <v>26.242638334623358</v>
      </c>
      <c r="J76" s="13">
        <f t="shared" si="42"/>
        <v>26.636277909642704</v>
      </c>
      <c r="K76" s="13">
        <f t="shared" si="42"/>
        <v>27.035822078287342</v>
      </c>
      <c r="L76" s="13">
        <f t="shared" si="42"/>
        <v>27.441359409461651</v>
      </c>
      <c r="M76" s="13">
        <f t="shared" si="42"/>
        <v>27.852979800603574</v>
      </c>
      <c r="N76" s="13">
        <f t="shared" si="42"/>
        <v>28.270774497612624</v>
      </c>
      <c r="O76" s="13">
        <f t="shared" si="42"/>
        <v>28.694836115076811</v>
      </c>
      <c r="P76" s="13">
        <f t="shared" si="42"/>
        <v>29.125258656802959</v>
      </c>
      <c r="Q76" s="13">
        <f t="shared" si="42"/>
        <v>29.562137536655001</v>
      </c>
    </row>
    <row r="77" spans="1:17" x14ac:dyDescent="0.25">
      <c r="A77" s="10" t="s">
        <v>26</v>
      </c>
      <c r="B77" s="10"/>
      <c r="C77" s="16">
        <f>C76/C73</f>
        <v>1.3333333333333334E-2</v>
      </c>
      <c r="D77" s="16">
        <f t="shared" ref="D77:Q77" si="43">D76/D73</f>
        <v>1.3139158576051779E-2</v>
      </c>
      <c r="E77" s="16">
        <f t="shared" si="43"/>
        <v>1.2947811606497625E-2</v>
      </c>
      <c r="F77" s="16">
        <f t="shared" si="43"/>
        <v>1.2759251243296202E-2</v>
      </c>
      <c r="G77" s="16">
        <f t="shared" si="43"/>
        <v>1.2573436904801595E-2</v>
      </c>
      <c r="H77" s="16">
        <f t="shared" si="43"/>
        <v>1.2390328600362733E-2</v>
      </c>
      <c r="I77" s="16">
        <f t="shared" si="43"/>
        <v>1.2209886921716671E-2</v>
      </c>
      <c r="J77" s="16">
        <f t="shared" si="43"/>
        <v>1.2032073034507202E-2</v>
      </c>
      <c r="K77" s="16">
        <f t="shared" si="43"/>
        <v>1.1856848669926999E-2</v>
      </c>
      <c r="L77" s="16">
        <f t="shared" si="43"/>
        <v>1.1684176116481459E-2</v>
      </c>
      <c r="M77" s="16">
        <f t="shared" si="43"/>
        <v>1.1514018211872507E-2</v>
      </c>
      <c r="N77" s="16">
        <f t="shared" si="43"/>
        <v>1.1346338335000575E-2</v>
      </c>
      <c r="O77" s="16">
        <f t="shared" si="43"/>
        <v>1.118110039808309E-2</v>
      </c>
      <c r="P77" s="16">
        <f t="shared" si="43"/>
        <v>1.1018268838887704E-2</v>
      </c>
      <c r="Q77" s="16">
        <f t="shared" si="43"/>
        <v>1.0857808613078657E-2</v>
      </c>
    </row>
    <row r="78" spans="1:17" x14ac:dyDescent="0.25">
      <c r="A78" s="17" t="s">
        <v>29</v>
      </c>
      <c r="B78" s="10"/>
      <c r="C78" s="13">
        <f>C10</f>
        <v>0</v>
      </c>
      <c r="D78" s="13">
        <f>C78*(1+$D$10)</f>
        <v>0</v>
      </c>
      <c r="E78" s="13">
        <f t="shared" ref="E78:Q78" si="44">D78*(1+$D$10)</f>
        <v>0</v>
      </c>
      <c r="F78" s="13">
        <f t="shared" si="44"/>
        <v>0</v>
      </c>
      <c r="G78" s="13">
        <f t="shared" si="44"/>
        <v>0</v>
      </c>
      <c r="H78" s="13">
        <f t="shared" si="44"/>
        <v>0</v>
      </c>
      <c r="I78" s="13">
        <f t="shared" si="44"/>
        <v>0</v>
      </c>
      <c r="J78" s="13">
        <f t="shared" si="44"/>
        <v>0</v>
      </c>
      <c r="K78" s="13">
        <f t="shared" si="44"/>
        <v>0</v>
      </c>
      <c r="L78" s="13">
        <f t="shared" si="44"/>
        <v>0</v>
      </c>
      <c r="M78" s="13">
        <f t="shared" si="44"/>
        <v>0</v>
      </c>
      <c r="N78" s="13">
        <f t="shared" si="44"/>
        <v>0</v>
      </c>
      <c r="O78" s="13">
        <f t="shared" si="44"/>
        <v>0</v>
      </c>
      <c r="P78" s="13">
        <f t="shared" si="44"/>
        <v>0</v>
      </c>
      <c r="Q78" s="13">
        <f t="shared" si="44"/>
        <v>0</v>
      </c>
    </row>
    <row r="79" spans="1:17" x14ac:dyDescent="0.25">
      <c r="A79" s="8" t="s">
        <v>31</v>
      </c>
      <c r="B79" s="10"/>
      <c r="C79" s="13">
        <f>C74-C75-C76-C77-C78</f>
        <v>203.98666666666668</v>
      </c>
      <c r="D79" s="13">
        <f t="shared" ref="D79:Q79" si="45">D74-D75-D76-D77-D78</f>
        <v>218.03114655570965</v>
      </c>
      <c r="E79" s="13">
        <f t="shared" si="45"/>
        <v>232.60448075982214</v>
      </c>
      <c r="F79" s="13">
        <f t="shared" si="45"/>
        <v>247.72443189161396</v>
      </c>
      <c r="G79" s="13">
        <f t="shared" si="45"/>
        <v>263.40933865095241</v>
      </c>
      <c r="H79" s="13">
        <f t="shared" si="45"/>
        <v>279.67813426090333</v>
      </c>
      <c r="I79" s="13">
        <f t="shared" si="45"/>
        <v>296.5503654898269</v>
      </c>
      <c r="J79" s="13">
        <f t="shared" si="45"/>
        <v>314.04621227818961</v>
      </c>
      <c r="K79" s="13">
        <f t="shared" si="45"/>
        <v>332.18650798923886</v>
      </c>
      <c r="L79" s="13">
        <f t="shared" si="45"/>
        <v>350.99276030328934</v>
      </c>
      <c r="M79" s="13">
        <f t="shared" si="45"/>
        <v>370.48717277599644</v>
      </c>
      <c r="N79" s="13">
        <f t="shared" si="45"/>
        <v>390.69266708163445</v>
      </c>
      <c r="O79" s="13">
        <f t="shared" si="45"/>
        <v>411.63290596305706</v>
      </c>
      <c r="P79" s="13">
        <f t="shared" si="45"/>
        <v>433.33231691070745</v>
      </c>
      <c r="Q79" s="13">
        <f t="shared" si="45"/>
        <v>455.81611659374619</v>
      </c>
    </row>
    <row r="80" spans="1:17" x14ac:dyDescent="0.25">
      <c r="A80" s="10" t="s">
        <v>33</v>
      </c>
      <c r="B80" s="10"/>
      <c r="C80" s="16">
        <f>C79/C73</f>
        <v>0.11332592592592593</v>
      </c>
      <c r="D80" s="16">
        <f t="shared" ref="D80:Q81" si="46">C80</f>
        <v>0.11332592592592593</v>
      </c>
      <c r="E80" s="16">
        <f t="shared" si="46"/>
        <v>0.11332592592592593</v>
      </c>
      <c r="F80" s="16">
        <f t="shared" si="46"/>
        <v>0.11332592592592593</v>
      </c>
      <c r="G80" s="16">
        <f t="shared" si="46"/>
        <v>0.11332592592592593</v>
      </c>
      <c r="H80" s="16">
        <f t="shared" si="46"/>
        <v>0.11332592592592593</v>
      </c>
      <c r="I80" s="16">
        <f t="shared" si="46"/>
        <v>0.11332592592592593</v>
      </c>
      <c r="J80" s="16">
        <f t="shared" si="46"/>
        <v>0.11332592592592593</v>
      </c>
      <c r="K80" s="16">
        <f t="shared" si="46"/>
        <v>0.11332592592592593</v>
      </c>
      <c r="L80" s="16">
        <f t="shared" si="46"/>
        <v>0.11332592592592593</v>
      </c>
      <c r="M80" s="16">
        <f t="shared" si="46"/>
        <v>0.11332592592592593</v>
      </c>
      <c r="N80" s="16">
        <f t="shared" si="46"/>
        <v>0.11332592592592593</v>
      </c>
      <c r="O80" s="16">
        <f t="shared" si="46"/>
        <v>0.11332592592592593</v>
      </c>
      <c r="P80" s="16">
        <f t="shared" si="46"/>
        <v>0.11332592592592593</v>
      </c>
      <c r="Q80" s="16">
        <f t="shared" si="46"/>
        <v>0.11332592592592593</v>
      </c>
    </row>
    <row r="81" spans="1:17" x14ac:dyDescent="0.25">
      <c r="A81" s="12" t="s">
        <v>36</v>
      </c>
      <c r="B81" s="10"/>
      <c r="C81" s="13">
        <f t="shared" ref="C81" si="47">B57</f>
        <v>0</v>
      </c>
      <c r="D81" s="13">
        <f t="shared" si="46"/>
        <v>0</v>
      </c>
      <c r="E81" s="13">
        <f t="shared" si="46"/>
        <v>0</v>
      </c>
      <c r="F81" s="13">
        <f t="shared" si="46"/>
        <v>0</v>
      </c>
      <c r="G81" s="13">
        <f t="shared" si="46"/>
        <v>0</v>
      </c>
      <c r="H81" s="13">
        <f t="shared" si="46"/>
        <v>0</v>
      </c>
      <c r="I81" s="13">
        <f t="shared" si="46"/>
        <v>0</v>
      </c>
      <c r="J81" s="13">
        <f t="shared" si="46"/>
        <v>0</v>
      </c>
      <c r="K81" s="13">
        <f t="shared" si="46"/>
        <v>0</v>
      </c>
      <c r="L81" s="13">
        <f t="shared" si="46"/>
        <v>0</v>
      </c>
      <c r="M81" s="13">
        <f t="shared" si="46"/>
        <v>0</v>
      </c>
      <c r="N81" s="13">
        <f t="shared" si="46"/>
        <v>0</v>
      </c>
      <c r="O81" s="13">
        <f t="shared" si="46"/>
        <v>0</v>
      </c>
      <c r="P81" s="13">
        <f t="shared" si="46"/>
        <v>0</v>
      </c>
      <c r="Q81" s="13">
        <f t="shared" si="46"/>
        <v>0</v>
      </c>
    </row>
    <row r="82" spans="1:17" x14ac:dyDescent="0.25">
      <c r="A82" s="9" t="s">
        <v>39</v>
      </c>
      <c r="B82" s="10"/>
      <c r="C82" s="13">
        <f>C79-C81</f>
        <v>203.98666666666668</v>
      </c>
      <c r="D82" s="13">
        <f t="shared" ref="D82:Q82" si="48">D79-D81</f>
        <v>218.03114655570965</v>
      </c>
      <c r="E82" s="13">
        <f t="shared" si="48"/>
        <v>232.60448075982214</v>
      </c>
      <c r="F82" s="13">
        <f t="shared" si="48"/>
        <v>247.72443189161396</v>
      </c>
      <c r="G82" s="13">
        <f t="shared" si="48"/>
        <v>263.40933865095241</v>
      </c>
      <c r="H82" s="13">
        <f t="shared" si="48"/>
        <v>279.67813426090333</v>
      </c>
      <c r="I82" s="13">
        <f t="shared" si="48"/>
        <v>296.5503654898269</v>
      </c>
      <c r="J82" s="13">
        <f t="shared" si="48"/>
        <v>314.04621227818961</v>
      </c>
      <c r="K82" s="13">
        <f t="shared" si="48"/>
        <v>332.18650798923886</v>
      </c>
      <c r="L82" s="13">
        <f t="shared" si="48"/>
        <v>350.99276030328934</v>
      </c>
      <c r="M82" s="13">
        <f t="shared" si="48"/>
        <v>370.48717277599644</v>
      </c>
      <c r="N82" s="13">
        <f t="shared" si="48"/>
        <v>390.69266708163445</v>
      </c>
      <c r="O82" s="13">
        <f t="shared" si="48"/>
        <v>411.63290596305706</v>
      </c>
      <c r="P82" s="13">
        <f t="shared" si="48"/>
        <v>433.33231691070745</v>
      </c>
      <c r="Q82" s="13">
        <f t="shared" si="48"/>
        <v>455.81611659374619</v>
      </c>
    </row>
    <row r="83" spans="1:17" x14ac:dyDescent="0.25">
      <c r="A83" s="12" t="s">
        <v>62</v>
      </c>
      <c r="B83" s="34">
        <f>B23</f>
        <v>4.4999999999999998E-2</v>
      </c>
      <c r="C83" s="13">
        <f t="shared" ref="C83:Q83" si="49">-$B$83*(B100)</f>
        <v>-61.660800000000009</v>
      </c>
      <c r="D83" s="13">
        <f t="shared" si="49"/>
        <v>-58.694064100596862</v>
      </c>
      <c r="E83" s="13">
        <f t="shared" si="49"/>
        <v>-55.593825085720567</v>
      </c>
      <c r="F83" s="13">
        <f t="shared" si="49"/>
        <v>-52.354075315174846</v>
      </c>
      <c r="G83" s="13">
        <f t="shared" si="49"/>
        <v>-48.968536804954567</v>
      </c>
      <c r="H83" s="13">
        <f t="shared" si="49"/>
        <v>-45.430649061774375</v>
      </c>
      <c r="I83" s="13">
        <f t="shared" si="49"/>
        <v>-41.733556370151071</v>
      </c>
      <c r="J83" s="13">
        <f t="shared" si="49"/>
        <v>-37.870094507404723</v>
      </c>
      <c r="K83" s="13">
        <f t="shared" si="49"/>
        <v>-33.832776860834791</v>
      </c>
      <c r="L83" s="13">
        <f t="shared" si="49"/>
        <v>-29.613779920169208</v>
      </c>
      <c r="M83" s="13">
        <f t="shared" si="49"/>
        <v>-25.204928117173676</v>
      </c>
      <c r="N83" s="13">
        <f t="shared" si="49"/>
        <v>-20.597677983043347</v>
      </c>
      <c r="O83" s="13">
        <f t="shared" si="49"/>
        <v>-15.783101592877149</v>
      </c>
      <c r="P83" s="13">
        <f t="shared" si="49"/>
        <v>-10.751869265153474</v>
      </c>
      <c r="Q83" s="13">
        <f t="shared" si="49"/>
        <v>-5.4942314826822329</v>
      </c>
    </row>
    <row r="84" spans="1:17" x14ac:dyDescent="0.25">
      <c r="A84" s="9" t="s">
        <v>20</v>
      </c>
      <c r="B84" s="10"/>
      <c r="C84" s="13">
        <f>C82+C83</f>
        <v>142.32586666666668</v>
      </c>
      <c r="D84" s="13">
        <f t="shared" ref="D84:Q84" si="50">D82+D83</f>
        <v>159.33708245511281</v>
      </c>
      <c r="E84" s="13">
        <f t="shared" si="50"/>
        <v>177.01065567410157</v>
      </c>
      <c r="F84" s="13">
        <f t="shared" si="50"/>
        <v>195.37035657643912</v>
      </c>
      <c r="G84" s="13">
        <f t="shared" si="50"/>
        <v>214.44080184599784</v>
      </c>
      <c r="H84" s="13">
        <f t="shared" si="50"/>
        <v>234.24748519912896</v>
      </c>
      <c r="I84" s="13">
        <f t="shared" si="50"/>
        <v>254.81680911967584</v>
      </c>
      <c r="J84" s="13">
        <f t="shared" si="50"/>
        <v>276.17611777078491</v>
      </c>
      <c r="K84" s="13">
        <f t="shared" si="50"/>
        <v>298.35373112840409</v>
      </c>
      <c r="L84" s="13">
        <f t="shared" si="50"/>
        <v>321.37898038312017</v>
      </c>
      <c r="M84" s="13">
        <f t="shared" si="50"/>
        <v>345.28224465882278</v>
      </c>
      <c r="N84" s="13">
        <f t="shared" si="50"/>
        <v>370.0949890985911</v>
      </c>
      <c r="O84" s="13">
        <f t="shared" si="50"/>
        <v>395.84980437017992</v>
      </c>
      <c r="P84" s="13">
        <f t="shared" si="50"/>
        <v>422.58044764555399</v>
      </c>
      <c r="Q84" s="13">
        <f t="shared" si="50"/>
        <v>450.32188511106398</v>
      </c>
    </row>
    <row r="85" spans="1:17" x14ac:dyDescent="0.25">
      <c r="A85" s="12" t="s">
        <v>22</v>
      </c>
      <c r="B85" s="35">
        <f>B25</f>
        <v>0.3</v>
      </c>
      <c r="C85" s="13">
        <f t="shared" ref="C85:Q85" si="51">-$B$85*C84</f>
        <v>-42.697760000000002</v>
      </c>
      <c r="D85" s="13">
        <f t="shared" si="51"/>
        <v>-47.801124736533843</v>
      </c>
      <c r="E85" s="13">
        <f t="shared" si="51"/>
        <v>-53.10319670223047</v>
      </c>
      <c r="F85" s="13">
        <f t="shared" si="51"/>
        <v>-58.611106972931736</v>
      </c>
      <c r="G85" s="13">
        <f t="shared" si="51"/>
        <v>-64.332240553799352</v>
      </c>
      <c r="H85" s="13">
        <f t="shared" si="51"/>
        <v>-70.274245559738688</v>
      </c>
      <c r="I85" s="13">
        <f t="shared" si="51"/>
        <v>-76.445042735902746</v>
      </c>
      <c r="J85" s="13">
        <f t="shared" si="51"/>
        <v>-82.852835331235468</v>
      </c>
      <c r="K85" s="13">
        <f t="shared" si="51"/>
        <v>-89.506119338521231</v>
      </c>
      <c r="L85" s="13">
        <f t="shared" si="51"/>
        <v>-96.41369411493605</v>
      </c>
      <c r="M85" s="13">
        <f t="shared" si="51"/>
        <v>-103.58467339764682</v>
      </c>
      <c r="N85" s="13">
        <f t="shared" si="51"/>
        <v>-111.02849672957733</v>
      </c>
      <c r="O85" s="13">
        <f t="shared" si="51"/>
        <v>-118.75494131105397</v>
      </c>
      <c r="P85" s="13">
        <f t="shared" si="51"/>
        <v>-126.77413429366619</v>
      </c>
      <c r="Q85" s="13">
        <f t="shared" si="51"/>
        <v>-135.09656553331919</v>
      </c>
    </row>
    <row r="86" spans="1:17" x14ac:dyDescent="0.25">
      <c r="A86" s="9" t="s">
        <v>25</v>
      </c>
      <c r="B86" s="8"/>
      <c r="C86" s="21">
        <f>C84+C85</f>
        <v>99.628106666666682</v>
      </c>
      <c r="D86" s="21">
        <f t="shared" ref="D86:Q86" si="52">D84+D85</f>
        <v>111.53595771857897</v>
      </c>
      <c r="E86" s="21">
        <f t="shared" si="52"/>
        <v>123.90745897187111</v>
      </c>
      <c r="F86" s="21">
        <f t="shared" si="52"/>
        <v>136.75924960350739</v>
      </c>
      <c r="G86" s="21">
        <f t="shared" si="52"/>
        <v>150.10856129219849</v>
      </c>
      <c r="H86" s="21">
        <f t="shared" si="52"/>
        <v>163.97323963939027</v>
      </c>
      <c r="I86" s="21">
        <f t="shared" si="52"/>
        <v>178.37176638377309</v>
      </c>
      <c r="J86" s="21">
        <f t="shared" si="52"/>
        <v>193.32328243954944</v>
      </c>
      <c r="K86" s="21">
        <f t="shared" si="52"/>
        <v>208.84761178988288</v>
      </c>
      <c r="L86" s="21">
        <f t="shared" si="52"/>
        <v>224.96528626818412</v>
      </c>
      <c r="M86" s="21">
        <f t="shared" si="52"/>
        <v>241.69757126117594</v>
      </c>
      <c r="N86" s="21">
        <f t="shared" si="52"/>
        <v>259.06649236901376</v>
      </c>
      <c r="O86" s="21">
        <f t="shared" si="52"/>
        <v>277.09486305912594</v>
      </c>
      <c r="P86" s="21">
        <f t="shared" si="52"/>
        <v>295.80631335188781</v>
      </c>
      <c r="Q86" s="21">
        <f t="shared" si="52"/>
        <v>315.22531957774481</v>
      </c>
    </row>
    <row r="87" spans="1:17" x14ac:dyDescent="0.25">
      <c r="A87" t="str">
        <f>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</row>
    <row r="88" spans="1:17" x14ac:dyDescent="0.25">
      <c r="B88" s="10"/>
      <c r="C88" s="23" t="str">
        <f>C72</f>
        <v>A1</v>
      </c>
      <c r="D88" s="23" t="str">
        <f t="shared" ref="D88:Q88" si="53">D72</f>
        <v>A2</v>
      </c>
      <c r="E88" s="23" t="str">
        <f t="shared" si="53"/>
        <v>A3</v>
      </c>
      <c r="F88" s="23" t="str">
        <f t="shared" si="53"/>
        <v>A4</v>
      </c>
      <c r="G88" s="23" t="str">
        <f t="shared" si="53"/>
        <v>A5</v>
      </c>
      <c r="H88" s="23" t="str">
        <f t="shared" si="53"/>
        <v>A6</v>
      </c>
      <c r="I88" s="23" t="str">
        <f t="shared" si="53"/>
        <v>A7</v>
      </c>
      <c r="J88" s="23" t="str">
        <f t="shared" si="53"/>
        <v>A8</v>
      </c>
      <c r="K88" s="23" t="str">
        <f t="shared" si="53"/>
        <v>A9</v>
      </c>
      <c r="L88" s="23" t="str">
        <f t="shared" si="53"/>
        <v>A10</v>
      </c>
      <c r="M88" s="23" t="str">
        <f t="shared" si="53"/>
        <v>A11</v>
      </c>
      <c r="N88" s="23" t="str">
        <f t="shared" si="53"/>
        <v>A12</v>
      </c>
      <c r="O88" s="23" t="str">
        <f t="shared" si="53"/>
        <v>A13</v>
      </c>
      <c r="P88" s="23" t="str">
        <f t="shared" si="53"/>
        <v>A14</v>
      </c>
      <c r="Q88" s="23" t="str">
        <f t="shared" si="53"/>
        <v>A15</v>
      </c>
    </row>
    <row r="89" spans="1:17" x14ac:dyDescent="0.25">
      <c r="A89" s="10" t="s">
        <v>28</v>
      </c>
      <c r="B89" s="10"/>
      <c r="C89" s="13">
        <f>C86+C81</f>
        <v>99.628106666666682</v>
      </c>
      <c r="D89" s="13">
        <f>D86+D81</f>
        <v>111.53595771857897</v>
      </c>
      <c r="E89" s="13">
        <f t="shared" ref="E89:Q89" si="54">E86+E81</f>
        <v>123.90745897187111</v>
      </c>
      <c r="F89" s="13">
        <f t="shared" si="54"/>
        <v>136.75924960350739</v>
      </c>
      <c r="G89" s="13">
        <f t="shared" si="54"/>
        <v>150.10856129219849</v>
      </c>
      <c r="H89" s="13">
        <f t="shared" si="54"/>
        <v>163.97323963939027</v>
      </c>
      <c r="I89" s="13">
        <f t="shared" si="54"/>
        <v>178.37176638377309</v>
      </c>
      <c r="J89" s="13">
        <f t="shared" si="54"/>
        <v>193.32328243954944</v>
      </c>
      <c r="K89" s="13">
        <f t="shared" si="54"/>
        <v>208.84761178988288</v>
      </c>
      <c r="L89" s="13">
        <f t="shared" si="54"/>
        <v>224.96528626818412</v>
      </c>
      <c r="M89" s="13">
        <f t="shared" si="54"/>
        <v>241.69757126117594</v>
      </c>
      <c r="N89" s="13">
        <f t="shared" si="54"/>
        <v>259.06649236901376</v>
      </c>
      <c r="O89" s="13">
        <f t="shared" si="54"/>
        <v>277.09486305912594</v>
      </c>
      <c r="P89" s="13">
        <f t="shared" si="54"/>
        <v>295.80631335188781</v>
      </c>
      <c r="Q89" s="13">
        <f t="shared" si="54"/>
        <v>315.22531957774481</v>
      </c>
    </row>
    <row r="90" spans="1:17" x14ac:dyDescent="0.25">
      <c r="A90" s="10" t="s">
        <v>16</v>
      </c>
      <c r="B90" s="13">
        <f>H5</f>
        <v>342.56000000000006</v>
      </c>
      <c r="C90" s="13"/>
      <c r="D90" s="13">
        <f>-C96</f>
        <v>-43.700642235485645</v>
      </c>
      <c r="E90" s="13">
        <f t="shared" ref="E90:Q90" si="55">-D96</f>
        <v>-42.641757387994787</v>
      </c>
      <c r="F90" s="13">
        <f t="shared" si="55"/>
        <v>-51.91301962641063</v>
      </c>
      <c r="G90" s="13">
        <f t="shared" si="55"/>
        <v>-61.525060487501179</v>
      </c>
      <c r="H90" s="13">
        <f t="shared" si="55"/>
        <v>-71.48883366597201</v>
      </c>
      <c r="I90" s="13">
        <f t="shared" si="55"/>
        <v>-81.815624269983601</v>
      </c>
      <c r="J90" s="13">
        <f t="shared" si="55"/>
        <v>-92.517058322743111</v>
      </c>
      <c r="K90" s="13">
        <f t="shared" si="55"/>
        <v>-103.60511251577313</v>
      </c>
      <c r="L90" s="13">
        <f t="shared" si="55"/>
        <v>-115.09212421953663</v>
      </c>
      <c r="M90" s="13">
        <f t="shared" si="55"/>
        <v>-126.99080175717228</v>
      </c>
      <c r="N90" s="13">
        <f t="shared" si="55"/>
        <v>-139.31423494716859</v>
      </c>
      <c r="O90" s="13">
        <f t="shared" si="55"/>
        <v>-152.07590592087607</v>
      </c>
      <c r="P90" s="13">
        <f t="shared" si="55"/>
        <v>-165.28970022082206</v>
      </c>
      <c r="Q90" s="13">
        <f t="shared" si="55"/>
        <v>-178.96991818586025</v>
      </c>
    </row>
    <row r="91" spans="1:17" x14ac:dyDescent="0.25">
      <c r="A91" s="10" t="s">
        <v>19</v>
      </c>
      <c r="B91" s="13">
        <f>H6</f>
        <v>1370.2400000000002</v>
      </c>
      <c r="C91" s="13">
        <f t="shared" ref="C91:Q91" si="56">-$H$14-C83</f>
        <v>-65.927464431181036</v>
      </c>
      <c r="D91" s="13">
        <f t="shared" si="56"/>
        <v>-68.894200330584184</v>
      </c>
      <c r="E91" s="13">
        <f t="shared" si="56"/>
        <v>-71.994439345460478</v>
      </c>
      <c r="F91" s="13">
        <f t="shared" si="56"/>
        <v>-75.234189116006206</v>
      </c>
      <c r="G91" s="13">
        <f t="shared" si="56"/>
        <v>-78.619727626226478</v>
      </c>
      <c r="H91" s="13">
        <f t="shared" si="56"/>
        <v>-82.15761536940667</v>
      </c>
      <c r="I91" s="13">
        <f t="shared" si="56"/>
        <v>-85.854708061029982</v>
      </c>
      <c r="J91" s="13">
        <f t="shared" si="56"/>
        <v>-89.718169923776315</v>
      </c>
      <c r="K91" s="13">
        <f t="shared" si="56"/>
        <v>-93.755487570346247</v>
      </c>
      <c r="L91" s="13">
        <f t="shared" si="56"/>
        <v>-97.974484511011838</v>
      </c>
      <c r="M91" s="13">
        <f t="shared" si="56"/>
        <v>-102.38333631400737</v>
      </c>
      <c r="N91" s="13">
        <f t="shared" si="56"/>
        <v>-106.99058644813769</v>
      </c>
      <c r="O91" s="13">
        <f t="shared" si="56"/>
        <v>-111.8051628383039</v>
      </c>
      <c r="P91" s="13">
        <f t="shared" si="56"/>
        <v>-116.83639516602757</v>
      </c>
      <c r="Q91" s="13">
        <f t="shared" si="56"/>
        <v>-122.09403294849881</v>
      </c>
    </row>
    <row r="92" spans="1:17" x14ac:dyDescent="0.25">
      <c r="A92" s="10" t="s">
        <v>24</v>
      </c>
      <c r="B92" s="14">
        <f>-H7</f>
        <v>0</v>
      </c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13"/>
    </row>
    <row r="93" spans="1:17" x14ac:dyDescent="0.25">
      <c r="A93" s="10" t="s">
        <v>27</v>
      </c>
      <c r="B93" s="14">
        <f>-H8</f>
        <v>-1702.8000000000002</v>
      </c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/>
    </row>
    <row r="94" spans="1:17" x14ac:dyDescent="0.25">
      <c r="A94" s="10" t="s">
        <v>63</v>
      </c>
      <c r="B94" s="14">
        <f>-H9</f>
        <v>0</v>
      </c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3"/>
    </row>
    <row r="95" spans="1:17" x14ac:dyDescent="0.25">
      <c r="A95" s="10" t="s">
        <v>35</v>
      </c>
      <c r="B95" s="13">
        <v>0</v>
      </c>
      <c r="C95" s="13">
        <f>B96</f>
        <v>10</v>
      </c>
      <c r="D95" s="13">
        <f t="shared" ref="D95:Q95" si="57">C96</f>
        <v>43.700642235485645</v>
      </c>
      <c r="E95" s="13">
        <f t="shared" si="57"/>
        <v>42.641757387994787</v>
      </c>
      <c r="F95" s="13">
        <f t="shared" si="57"/>
        <v>51.91301962641063</v>
      </c>
      <c r="G95" s="13">
        <f t="shared" si="57"/>
        <v>61.525060487501179</v>
      </c>
      <c r="H95" s="13">
        <f t="shared" si="57"/>
        <v>71.48883366597201</v>
      </c>
      <c r="I95" s="13">
        <f t="shared" si="57"/>
        <v>81.815624269983601</v>
      </c>
      <c r="J95" s="13">
        <f t="shared" si="57"/>
        <v>92.517058322743111</v>
      </c>
      <c r="K95" s="13">
        <f t="shared" si="57"/>
        <v>103.60511251577313</v>
      </c>
      <c r="L95" s="13">
        <f t="shared" si="57"/>
        <v>115.09212421953663</v>
      </c>
      <c r="M95" s="13">
        <f t="shared" si="57"/>
        <v>126.99080175717228</v>
      </c>
      <c r="N95" s="13">
        <f t="shared" si="57"/>
        <v>139.31423494716859</v>
      </c>
      <c r="O95" s="13">
        <f t="shared" si="57"/>
        <v>152.07590592087607</v>
      </c>
      <c r="P95" s="13">
        <f t="shared" si="57"/>
        <v>165.28970022082206</v>
      </c>
      <c r="Q95" s="13">
        <f t="shared" si="57"/>
        <v>178.96991818586025</v>
      </c>
    </row>
    <row r="96" spans="1:17" x14ac:dyDescent="0.25">
      <c r="A96" s="10" t="s">
        <v>64</v>
      </c>
      <c r="B96" s="13">
        <f>SUM(B89:B95)</f>
        <v>10</v>
      </c>
      <c r="C96" s="13">
        <f>SUM(C89:C95)</f>
        <v>43.700642235485645</v>
      </c>
      <c r="D96" s="13">
        <f t="shared" ref="D96:Q96" si="58">SUM(D89:D95)</f>
        <v>42.641757387994787</v>
      </c>
      <c r="E96" s="13">
        <f t="shared" si="58"/>
        <v>51.91301962641063</v>
      </c>
      <c r="F96" s="13">
        <f t="shared" si="58"/>
        <v>61.525060487501179</v>
      </c>
      <c r="G96" s="13">
        <f t="shared" si="58"/>
        <v>71.48883366597201</v>
      </c>
      <c r="H96" s="13">
        <f t="shared" si="58"/>
        <v>81.815624269983601</v>
      </c>
      <c r="I96" s="13">
        <f t="shared" si="58"/>
        <v>92.517058322743111</v>
      </c>
      <c r="J96" s="13">
        <f t="shared" si="58"/>
        <v>103.60511251577313</v>
      </c>
      <c r="K96" s="13">
        <f t="shared" si="58"/>
        <v>115.09212421953663</v>
      </c>
      <c r="L96" s="13">
        <f t="shared" si="58"/>
        <v>126.99080175717228</v>
      </c>
      <c r="M96" s="13">
        <f t="shared" si="58"/>
        <v>139.31423494716859</v>
      </c>
      <c r="N96" s="13">
        <f t="shared" si="58"/>
        <v>152.07590592087607</v>
      </c>
      <c r="O96" s="13">
        <f t="shared" si="58"/>
        <v>165.28970022082206</v>
      </c>
      <c r="P96" s="13">
        <f t="shared" si="58"/>
        <v>178.96991818586025</v>
      </c>
      <c r="Q96" s="13">
        <f t="shared" si="58"/>
        <v>193.13128662924601</v>
      </c>
    </row>
    <row r="97" spans="1:24" x14ac:dyDescent="0.25">
      <c r="A97" t="str">
        <f>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  <c r="B97" s="36"/>
      <c r="C97" s="36"/>
      <c r="D97" s="36"/>
      <c r="E97" s="36"/>
      <c r="F97" s="36"/>
      <c r="G97" s="36"/>
      <c r="H97" s="36"/>
      <c r="I97" s="36"/>
      <c r="J97" s="36"/>
      <c r="K97" s="36"/>
      <c r="L97" s="36"/>
      <c r="M97" s="36"/>
      <c r="N97" s="36"/>
      <c r="O97" s="36"/>
      <c r="P97" s="36"/>
      <c r="Q97" s="36"/>
    </row>
    <row r="98" spans="1:24" x14ac:dyDescent="0.25">
      <c r="B98" s="13"/>
      <c r="C98" s="23" t="str">
        <f>C88</f>
        <v>A1</v>
      </c>
      <c r="D98" s="23" t="str">
        <f t="shared" ref="D98:Q98" si="59">D88</f>
        <v>A2</v>
      </c>
      <c r="E98" s="23" t="str">
        <f t="shared" si="59"/>
        <v>A3</v>
      </c>
      <c r="F98" s="23" t="str">
        <f t="shared" si="59"/>
        <v>A4</v>
      </c>
      <c r="G98" s="23" t="str">
        <f t="shared" si="59"/>
        <v>A5</v>
      </c>
      <c r="H98" s="23" t="str">
        <f t="shared" si="59"/>
        <v>A6</v>
      </c>
      <c r="I98" s="23" t="str">
        <f t="shared" si="59"/>
        <v>A7</v>
      </c>
      <c r="J98" s="23" t="str">
        <f t="shared" si="59"/>
        <v>A8</v>
      </c>
      <c r="K98" s="23" t="str">
        <f t="shared" si="59"/>
        <v>A9</v>
      </c>
      <c r="L98" s="23" t="str">
        <f t="shared" si="59"/>
        <v>A10</v>
      </c>
      <c r="M98" s="23" t="str">
        <f t="shared" si="59"/>
        <v>A11</v>
      </c>
      <c r="N98" s="23" t="str">
        <f t="shared" si="59"/>
        <v>A12</v>
      </c>
      <c r="O98" s="23" t="str">
        <f t="shared" si="59"/>
        <v>A13</v>
      </c>
      <c r="P98" s="23" t="str">
        <f t="shared" si="59"/>
        <v>A14</v>
      </c>
      <c r="Q98" s="23" t="str">
        <f t="shared" si="59"/>
        <v>A15</v>
      </c>
    </row>
    <row r="99" spans="1:24" x14ac:dyDescent="0.25">
      <c r="A99" s="10" t="s">
        <v>16</v>
      </c>
      <c r="B99" s="13">
        <f>B90</f>
        <v>342.56000000000006</v>
      </c>
      <c r="C99" s="13">
        <f>B99+C86+C90</f>
        <v>442.18810666666673</v>
      </c>
      <c r="D99" s="13">
        <f t="shared" ref="D99:Q99" si="60">C99+D86+D90</f>
        <v>510.02342214976005</v>
      </c>
      <c r="E99" s="13">
        <f t="shared" si="60"/>
        <v>591.28912373363642</v>
      </c>
      <c r="F99" s="13">
        <f t="shared" si="60"/>
        <v>676.13535371073317</v>
      </c>
      <c r="G99" s="13">
        <f t="shared" si="60"/>
        <v>764.71885451543051</v>
      </c>
      <c r="H99" s="13">
        <f t="shared" si="60"/>
        <v>857.20326048884874</v>
      </c>
      <c r="I99" s="13">
        <f t="shared" si="60"/>
        <v>953.75940260263837</v>
      </c>
      <c r="J99" s="13">
        <f t="shared" si="60"/>
        <v>1054.5656267194447</v>
      </c>
      <c r="K99" s="13">
        <f t="shared" si="60"/>
        <v>1159.8081259935545</v>
      </c>
      <c r="L99" s="13">
        <f t="shared" si="60"/>
        <v>1269.6812880422021</v>
      </c>
      <c r="M99" s="13">
        <f t="shared" si="60"/>
        <v>1384.3880575462058</v>
      </c>
      <c r="N99" s="13">
        <f t="shared" si="60"/>
        <v>1504.1403149680509</v>
      </c>
      <c r="O99" s="13">
        <f t="shared" si="60"/>
        <v>1629.1592721063009</v>
      </c>
      <c r="P99" s="13">
        <f t="shared" si="60"/>
        <v>1759.6758852373669</v>
      </c>
      <c r="Q99" s="13">
        <f t="shared" si="60"/>
        <v>1895.9312866292514</v>
      </c>
    </row>
    <row r="100" spans="1:24" x14ac:dyDescent="0.25">
      <c r="A100" s="10" t="s">
        <v>19</v>
      </c>
      <c r="B100" s="13">
        <f>B91</f>
        <v>1370.2400000000002</v>
      </c>
      <c r="C100" s="13">
        <f>B100+C91</f>
        <v>1304.3125355688192</v>
      </c>
      <c r="D100" s="13">
        <f t="shared" ref="D100:Q100" si="61">C100+D91</f>
        <v>1235.4183352382349</v>
      </c>
      <c r="E100" s="13">
        <f t="shared" si="61"/>
        <v>1163.4238958927745</v>
      </c>
      <c r="F100" s="13">
        <f t="shared" si="61"/>
        <v>1088.1897067767682</v>
      </c>
      <c r="G100" s="13">
        <f t="shared" si="61"/>
        <v>1009.5699791505417</v>
      </c>
      <c r="H100" s="13">
        <f t="shared" si="61"/>
        <v>927.41236378113501</v>
      </c>
      <c r="I100" s="13">
        <f t="shared" si="61"/>
        <v>841.557655720105</v>
      </c>
      <c r="J100" s="13">
        <f t="shared" si="61"/>
        <v>751.83948579632874</v>
      </c>
      <c r="K100" s="13">
        <f t="shared" si="61"/>
        <v>658.08399822598244</v>
      </c>
      <c r="L100" s="13">
        <f t="shared" si="61"/>
        <v>560.1095137149706</v>
      </c>
      <c r="M100" s="13">
        <f t="shared" si="61"/>
        <v>457.72617740096325</v>
      </c>
      <c r="N100" s="13">
        <f t="shared" si="61"/>
        <v>350.73559095282553</v>
      </c>
      <c r="O100" s="13">
        <f t="shared" si="61"/>
        <v>238.93042811452165</v>
      </c>
      <c r="P100" s="13">
        <f t="shared" si="61"/>
        <v>122.09403294849407</v>
      </c>
      <c r="Q100" s="13">
        <f t="shared" si="61"/>
        <v>-4.7322146201622672E-12</v>
      </c>
      <c r="S100" s="36"/>
      <c r="T100" s="36"/>
      <c r="U100" s="36"/>
      <c r="V100" s="36"/>
      <c r="W100" s="36"/>
      <c r="X100" s="36"/>
    </row>
    <row r="101" spans="1:24" x14ac:dyDescent="0.25">
      <c r="B101" s="36"/>
      <c r="C101" s="36"/>
      <c r="D101" s="36"/>
      <c r="E101" s="36"/>
      <c r="F101" s="36"/>
      <c r="G101" s="36"/>
      <c r="H101" s="36"/>
      <c r="I101" s="36"/>
      <c r="J101" s="36"/>
      <c r="K101" s="36"/>
      <c r="L101" s="36"/>
      <c r="M101" s="36"/>
      <c r="N101" s="36"/>
      <c r="O101" s="36"/>
      <c r="P101" s="36"/>
      <c r="Q101" s="36"/>
    </row>
    <row r="102" spans="1:24" x14ac:dyDescent="0.25">
      <c r="A102" s="10" t="s">
        <v>24</v>
      </c>
      <c r="B102" s="13">
        <f>-B92</f>
        <v>0</v>
      </c>
      <c r="C102" s="10">
        <f>B102-C81</f>
        <v>0</v>
      </c>
      <c r="D102" s="10">
        <f t="shared" ref="D102:Q102" si="62">C102-D81</f>
        <v>0</v>
      </c>
      <c r="E102" s="10">
        <f t="shared" si="62"/>
        <v>0</v>
      </c>
      <c r="F102" s="10">
        <f t="shared" si="62"/>
        <v>0</v>
      </c>
      <c r="G102" s="10">
        <f t="shared" si="62"/>
        <v>0</v>
      </c>
      <c r="H102" s="10">
        <f t="shared" si="62"/>
        <v>0</v>
      </c>
      <c r="I102" s="10">
        <f t="shared" si="62"/>
        <v>0</v>
      </c>
      <c r="J102" s="10">
        <f t="shared" si="62"/>
        <v>0</v>
      </c>
      <c r="K102" s="10">
        <f t="shared" si="62"/>
        <v>0</v>
      </c>
      <c r="L102" s="10">
        <f t="shared" si="62"/>
        <v>0</v>
      </c>
      <c r="M102" s="10">
        <f t="shared" si="62"/>
        <v>0</v>
      </c>
      <c r="N102" s="10">
        <f t="shared" si="62"/>
        <v>0</v>
      </c>
      <c r="O102" s="10">
        <f t="shared" si="62"/>
        <v>0</v>
      </c>
      <c r="P102" s="10">
        <f t="shared" si="62"/>
        <v>0</v>
      </c>
      <c r="Q102" s="10">
        <f t="shared" si="62"/>
        <v>0</v>
      </c>
    </row>
    <row r="103" spans="1:24" x14ac:dyDescent="0.25">
      <c r="A103" s="10" t="s">
        <v>27</v>
      </c>
      <c r="B103" s="13">
        <f>-B93</f>
        <v>1702.8000000000002</v>
      </c>
      <c r="C103" s="13">
        <f>B103</f>
        <v>1702.8000000000002</v>
      </c>
      <c r="D103" s="13">
        <f t="shared" ref="D103:Q103" si="63">C103</f>
        <v>1702.8000000000002</v>
      </c>
      <c r="E103" s="13">
        <f t="shared" si="63"/>
        <v>1702.8000000000002</v>
      </c>
      <c r="F103" s="13">
        <f t="shared" si="63"/>
        <v>1702.8000000000002</v>
      </c>
      <c r="G103" s="13">
        <f t="shared" si="63"/>
        <v>1702.8000000000002</v>
      </c>
      <c r="H103" s="13">
        <f t="shared" si="63"/>
        <v>1702.8000000000002</v>
      </c>
      <c r="I103" s="13">
        <f t="shared" si="63"/>
        <v>1702.8000000000002</v>
      </c>
      <c r="J103" s="13">
        <f t="shared" si="63"/>
        <v>1702.8000000000002</v>
      </c>
      <c r="K103" s="13">
        <f t="shared" si="63"/>
        <v>1702.8000000000002</v>
      </c>
      <c r="L103" s="13">
        <f t="shared" si="63"/>
        <v>1702.8000000000002</v>
      </c>
      <c r="M103" s="13">
        <f t="shared" si="63"/>
        <v>1702.8000000000002</v>
      </c>
      <c r="N103" s="13">
        <f t="shared" si="63"/>
        <v>1702.8000000000002</v>
      </c>
      <c r="O103" s="13">
        <f t="shared" si="63"/>
        <v>1702.8000000000002</v>
      </c>
      <c r="P103" s="13">
        <f t="shared" si="63"/>
        <v>1702.8000000000002</v>
      </c>
      <c r="Q103" s="13">
        <f t="shared" si="63"/>
        <v>1702.8000000000002</v>
      </c>
    </row>
    <row r="104" spans="1:24" x14ac:dyDescent="0.25">
      <c r="A104" s="10" t="s">
        <v>30</v>
      </c>
      <c r="B104" s="13">
        <f>-B94</f>
        <v>0</v>
      </c>
      <c r="C104" s="13">
        <f>B104-C94</f>
        <v>0</v>
      </c>
      <c r="D104" s="13">
        <f t="shared" ref="D104:Q104" si="64">C104-D94</f>
        <v>0</v>
      </c>
      <c r="E104" s="13">
        <f t="shared" si="64"/>
        <v>0</v>
      </c>
      <c r="F104" s="13">
        <f t="shared" si="64"/>
        <v>0</v>
      </c>
      <c r="G104" s="13">
        <f t="shared" si="64"/>
        <v>0</v>
      </c>
      <c r="H104" s="13">
        <f t="shared" si="64"/>
        <v>0</v>
      </c>
      <c r="I104" s="13">
        <f t="shared" si="64"/>
        <v>0</v>
      </c>
      <c r="J104" s="13">
        <f t="shared" si="64"/>
        <v>0</v>
      </c>
      <c r="K104" s="13">
        <f t="shared" si="64"/>
        <v>0</v>
      </c>
      <c r="L104" s="13">
        <f t="shared" si="64"/>
        <v>0</v>
      </c>
      <c r="M104" s="13">
        <f t="shared" si="64"/>
        <v>0</v>
      </c>
      <c r="N104" s="13">
        <f t="shared" si="64"/>
        <v>0</v>
      </c>
      <c r="O104" s="13">
        <f t="shared" si="64"/>
        <v>0</v>
      </c>
      <c r="P104" s="13">
        <f t="shared" si="64"/>
        <v>0</v>
      </c>
      <c r="Q104" s="13">
        <f t="shared" si="64"/>
        <v>0</v>
      </c>
    </row>
    <row r="105" spans="1:24" x14ac:dyDescent="0.25">
      <c r="A105" s="10" t="s">
        <v>32</v>
      </c>
      <c r="B105" s="13">
        <f>B96</f>
        <v>10</v>
      </c>
      <c r="C105" s="13">
        <f>C96</f>
        <v>43.700642235485645</v>
      </c>
      <c r="D105" s="13">
        <f t="shared" ref="D105:Q105" si="65">D96</f>
        <v>42.641757387994787</v>
      </c>
      <c r="E105" s="13">
        <f t="shared" si="65"/>
        <v>51.91301962641063</v>
      </c>
      <c r="F105" s="13">
        <f t="shared" si="65"/>
        <v>61.525060487501179</v>
      </c>
      <c r="G105" s="13">
        <f t="shared" si="65"/>
        <v>71.48883366597201</v>
      </c>
      <c r="H105" s="13">
        <f t="shared" si="65"/>
        <v>81.815624269983601</v>
      </c>
      <c r="I105" s="13">
        <f t="shared" si="65"/>
        <v>92.517058322743111</v>
      </c>
      <c r="J105" s="13">
        <f t="shared" si="65"/>
        <v>103.60511251577313</v>
      </c>
      <c r="K105" s="13">
        <f t="shared" si="65"/>
        <v>115.09212421953663</v>
      </c>
      <c r="L105" s="13">
        <f t="shared" si="65"/>
        <v>126.99080175717228</v>
      </c>
      <c r="M105" s="13">
        <f t="shared" si="65"/>
        <v>139.31423494716859</v>
      </c>
      <c r="N105" s="13">
        <f t="shared" si="65"/>
        <v>152.07590592087607</v>
      </c>
      <c r="O105" s="13">
        <f t="shared" si="65"/>
        <v>165.28970022082206</v>
      </c>
      <c r="P105" s="13">
        <f t="shared" si="65"/>
        <v>178.96991818586025</v>
      </c>
      <c r="Q105" s="13">
        <f t="shared" si="65"/>
        <v>193.13128662924601</v>
      </c>
    </row>
    <row r="106" spans="1:24" x14ac:dyDescent="0.25">
      <c r="A106" s="8" t="s">
        <v>34</v>
      </c>
      <c r="B106" s="21">
        <f>SUM(B102:B105)</f>
        <v>1712.8000000000002</v>
      </c>
      <c r="C106" s="21">
        <f>SUM(C102:C105)</f>
        <v>1746.5006422354859</v>
      </c>
      <c r="D106" s="21">
        <f t="shared" ref="D106:Q106" si="66">SUM(D102:D105)</f>
        <v>1745.441757387995</v>
      </c>
      <c r="E106" s="21">
        <f t="shared" si="66"/>
        <v>1754.7130196264109</v>
      </c>
      <c r="F106" s="21">
        <f t="shared" si="66"/>
        <v>1764.3250604875013</v>
      </c>
      <c r="G106" s="21">
        <f t="shared" si="66"/>
        <v>1774.2888336659721</v>
      </c>
      <c r="H106" s="21">
        <f t="shared" si="66"/>
        <v>1784.6156242699838</v>
      </c>
      <c r="I106" s="21">
        <f t="shared" si="66"/>
        <v>1795.3170583227434</v>
      </c>
      <c r="J106" s="21">
        <f t="shared" si="66"/>
        <v>1806.4051125157732</v>
      </c>
      <c r="K106" s="21">
        <f t="shared" si="66"/>
        <v>1817.8921242195368</v>
      </c>
      <c r="L106" s="21">
        <f t="shared" si="66"/>
        <v>1829.7908017571724</v>
      </c>
      <c r="M106" s="21">
        <f t="shared" si="66"/>
        <v>1842.1142349471688</v>
      </c>
      <c r="N106" s="21">
        <f t="shared" si="66"/>
        <v>1854.8759059208762</v>
      </c>
      <c r="O106" s="21">
        <f t="shared" si="66"/>
        <v>1868.0897002208221</v>
      </c>
      <c r="P106" s="21">
        <f t="shared" si="66"/>
        <v>1881.7699181858604</v>
      </c>
      <c r="Q106" s="21">
        <f t="shared" si="66"/>
        <v>1895.9312866292462</v>
      </c>
    </row>
    <row r="107" spans="1:24" x14ac:dyDescent="0.25">
      <c r="A107" s="10" t="s">
        <v>65</v>
      </c>
      <c r="B107" s="13">
        <f>B106-B99-B100</f>
        <v>0</v>
      </c>
      <c r="C107" s="13">
        <f>C106-C99-C100</f>
        <v>0</v>
      </c>
      <c r="D107" s="13">
        <f t="shared" ref="D107:Q107" si="67">D106-D99-D100</f>
        <v>0</v>
      </c>
      <c r="E107" s="13">
        <f t="shared" si="67"/>
        <v>0</v>
      </c>
      <c r="F107" s="13">
        <f t="shared" si="67"/>
        <v>0</v>
      </c>
      <c r="G107" s="13">
        <f t="shared" si="67"/>
        <v>0</v>
      </c>
      <c r="H107" s="13">
        <f t="shared" si="67"/>
        <v>0</v>
      </c>
      <c r="I107" s="13">
        <f t="shared" si="67"/>
        <v>0</v>
      </c>
      <c r="J107" s="13">
        <f t="shared" si="67"/>
        <v>0</v>
      </c>
      <c r="K107" s="13">
        <f t="shared" si="67"/>
        <v>0</v>
      </c>
      <c r="L107" s="13">
        <f t="shared" si="67"/>
        <v>0</v>
      </c>
      <c r="M107" s="13">
        <f t="shared" si="67"/>
        <v>0</v>
      </c>
      <c r="N107" s="13">
        <f t="shared" si="67"/>
        <v>0</v>
      </c>
      <c r="O107" s="13">
        <f t="shared" si="67"/>
        <v>-4.5474735088646412E-13</v>
      </c>
      <c r="P107" s="13">
        <f t="shared" si="67"/>
        <v>-4.9737991503207013E-13</v>
      </c>
      <c r="Q107" s="13">
        <f t="shared" si="67"/>
        <v>-4.9737991503207013E-13</v>
      </c>
    </row>
    <row r="108" spans="1:24" x14ac:dyDescent="0.25">
      <c r="A108" t="str">
        <f>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  <c r="B108" s="36"/>
      <c r="C108" s="36"/>
      <c r="D108" s="36"/>
      <c r="E108" s="36"/>
      <c r="F108" s="36"/>
      <c r="G108" s="36"/>
      <c r="H108" s="36"/>
      <c r="I108" s="36"/>
      <c r="J108" s="36"/>
      <c r="K108" s="36"/>
      <c r="L108" s="36"/>
      <c r="M108" s="36"/>
      <c r="N108" s="36"/>
      <c r="O108" s="36"/>
      <c r="P108" s="36"/>
      <c r="Q108" s="36"/>
    </row>
    <row r="109" spans="1:24" x14ac:dyDescent="0.25">
      <c r="A109" s="10"/>
      <c r="B109" s="13"/>
      <c r="C109" s="23" t="str">
        <f>C98</f>
        <v>A1</v>
      </c>
      <c r="D109" s="23" t="str">
        <f t="shared" ref="D109:Q109" si="68">D98</f>
        <v>A2</v>
      </c>
      <c r="E109" s="23" t="str">
        <f t="shared" si="68"/>
        <v>A3</v>
      </c>
      <c r="F109" s="23" t="str">
        <f t="shared" si="68"/>
        <v>A4</v>
      </c>
      <c r="G109" s="23" t="str">
        <f t="shared" si="68"/>
        <v>A5</v>
      </c>
      <c r="H109" s="23" t="str">
        <f t="shared" si="68"/>
        <v>A6</v>
      </c>
      <c r="I109" s="23" t="str">
        <f t="shared" si="68"/>
        <v>A7</v>
      </c>
      <c r="J109" s="23" t="str">
        <f t="shared" si="68"/>
        <v>A8</v>
      </c>
      <c r="K109" s="23" t="str">
        <f t="shared" si="68"/>
        <v>A9</v>
      </c>
      <c r="L109" s="23" t="str">
        <f t="shared" si="68"/>
        <v>A10</v>
      </c>
      <c r="M109" s="23" t="str">
        <f t="shared" si="68"/>
        <v>A11</v>
      </c>
      <c r="N109" s="23" t="str">
        <f t="shared" si="68"/>
        <v>A12</v>
      </c>
      <c r="O109" s="23" t="str">
        <f t="shared" si="68"/>
        <v>A13</v>
      </c>
      <c r="P109" s="23" t="str">
        <f t="shared" si="68"/>
        <v>A14</v>
      </c>
      <c r="Q109" s="23" t="str">
        <f t="shared" si="68"/>
        <v>A15</v>
      </c>
    </row>
    <row r="110" spans="1:24" x14ac:dyDescent="0.25">
      <c r="A110" s="10" t="s">
        <v>66</v>
      </c>
      <c r="B110" s="13">
        <f>-B90</f>
        <v>-342.56000000000006</v>
      </c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</row>
    <row r="111" spans="1:24" x14ac:dyDescent="0.25">
      <c r="A111" s="10" t="s">
        <v>67</v>
      </c>
      <c r="B111" s="13"/>
      <c r="C111" s="10"/>
      <c r="D111" s="13">
        <f>-D90</f>
        <v>43.700642235485645</v>
      </c>
      <c r="E111" s="13">
        <f t="shared" ref="E111:Q111" si="69">-E90</f>
        <v>42.641757387994787</v>
      </c>
      <c r="F111" s="13">
        <f t="shared" si="69"/>
        <v>51.91301962641063</v>
      </c>
      <c r="G111" s="13">
        <f t="shared" si="69"/>
        <v>61.525060487501179</v>
      </c>
      <c r="H111" s="13">
        <f t="shared" si="69"/>
        <v>71.48883366597201</v>
      </c>
      <c r="I111" s="13">
        <f t="shared" si="69"/>
        <v>81.815624269983601</v>
      </c>
      <c r="J111" s="13">
        <f t="shared" si="69"/>
        <v>92.517058322743111</v>
      </c>
      <c r="K111" s="13">
        <f t="shared" si="69"/>
        <v>103.60511251577313</v>
      </c>
      <c r="L111" s="13">
        <f t="shared" si="69"/>
        <v>115.09212421953663</v>
      </c>
      <c r="M111" s="13">
        <f t="shared" si="69"/>
        <v>126.99080175717228</v>
      </c>
      <c r="N111" s="13">
        <f t="shared" si="69"/>
        <v>139.31423494716859</v>
      </c>
      <c r="O111" s="13">
        <f t="shared" si="69"/>
        <v>152.07590592087607</v>
      </c>
      <c r="P111" s="13">
        <f t="shared" si="69"/>
        <v>165.28970022082206</v>
      </c>
      <c r="Q111" s="13">
        <f t="shared" si="69"/>
        <v>178.96991818586025</v>
      </c>
    </row>
    <row r="112" spans="1:24" x14ac:dyDescent="0.25">
      <c r="A112" s="10" t="s">
        <v>68</v>
      </c>
      <c r="B112" s="13"/>
      <c r="C112" s="10"/>
      <c r="D112" s="13"/>
      <c r="E112" s="13"/>
      <c r="F112" s="13"/>
      <c r="G112" s="13"/>
      <c r="H112" s="13"/>
      <c r="I112" s="13"/>
      <c r="J112" s="13"/>
      <c r="K112" s="13"/>
      <c r="L112" s="13"/>
      <c r="M112" s="13"/>
      <c r="N112" s="13"/>
      <c r="O112" s="13"/>
      <c r="P112" s="13"/>
      <c r="Q112" s="13">
        <f>H24</f>
        <v>2506.91773506755</v>
      </c>
    </row>
    <row r="113" spans="1:17" x14ac:dyDescent="0.25">
      <c r="A113" s="10" t="s">
        <v>69</v>
      </c>
      <c r="B113" s="13">
        <f>SUM(B110:B112)</f>
        <v>-342.56000000000006</v>
      </c>
      <c r="C113" s="10">
        <f t="shared" ref="C113:Q113" si="70">SUM(C110:C112)</f>
        <v>0</v>
      </c>
      <c r="D113" s="13">
        <f t="shared" si="70"/>
        <v>43.700642235485645</v>
      </c>
      <c r="E113" s="13">
        <f t="shared" si="70"/>
        <v>42.641757387994787</v>
      </c>
      <c r="F113" s="13">
        <f t="shared" si="70"/>
        <v>51.91301962641063</v>
      </c>
      <c r="G113" s="13">
        <f t="shared" si="70"/>
        <v>61.525060487501179</v>
      </c>
      <c r="H113" s="13">
        <f t="shared" si="70"/>
        <v>71.48883366597201</v>
      </c>
      <c r="I113" s="13">
        <f t="shared" si="70"/>
        <v>81.815624269983601</v>
      </c>
      <c r="J113" s="13">
        <f t="shared" si="70"/>
        <v>92.517058322743111</v>
      </c>
      <c r="K113" s="13">
        <f t="shared" si="70"/>
        <v>103.60511251577313</v>
      </c>
      <c r="L113" s="13">
        <f t="shared" si="70"/>
        <v>115.09212421953663</v>
      </c>
      <c r="M113" s="13">
        <f t="shared" si="70"/>
        <v>126.99080175717228</v>
      </c>
      <c r="N113" s="13">
        <f t="shared" si="70"/>
        <v>139.31423494716859</v>
      </c>
      <c r="O113" s="13">
        <f t="shared" si="70"/>
        <v>152.07590592087607</v>
      </c>
      <c r="P113" s="13">
        <f t="shared" si="70"/>
        <v>165.28970022082206</v>
      </c>
      <c r="Q113" s="13">
        <f t="shared" si="70"/>
        <v>2685.8876532534105</v>
      </c>
    </row>
    <row r="114" spans="1:17" x14ac:dyDescent="0.25">
      <c r="A114" s="10" t="s">
        <v>70</v>
      </c>
      <c r="B114" s="37">
        <f>IRR(B113:Q113)</f>
        <v>0.23233878378534545</v>
      </c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</row>
    <row r="115" spans="1:17" x14ac:dyDescent="0.25">
      <c r="A115" t="str">
        <f>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</row>
  </sheetData>
  <mergeCells count="2">
    <mergeCell ref="X3:Y3"/>
    <mergeCell ref="Z3:AA3"/>
  </mergeCells>
  <pageMargins left="0.7" right="0.7" top="0.75" bottom="0.75" header="0.3" footer="0.3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A115"/>
  <sheetViews>
    <sheetView zoomScale="76" zoomScaleNormal="76" workbookViewId="0">
      <selection activeCell="D16" sqref="D16"/>
    </sheetView>
  </sheetViews>
  <sheetFormatPr baseColWidth="10" defaultColWidth="8.42578125" defaultRowHeight="15" x14ac:dyDescent="0.25"/>
  <cols>
    <col min="1" max="1" width="20.5703125" customWidth="1"/>
    <col min="2" max="2" width="9.42578125" bestFit="1" customWidth="1"/>
    <col min="4" max="4" width="7.28515625" customWidth="1"/>
    <col min="6" max="6" width="10.28515625" customWidth="1"/>
    <col min="8" max="8" width="7.85546875" customWidth="1"/>
    <col min="9" max="9" width="10.42578125" customWidth="1"/>
    <col min="10" max="10" width="7.85546875" customWidth="1"/>
  </cols>
  <sheetData>
    <row r="1" spans="1:27" x14ac:dyDescent="0.25">
      <c r="A1" t="str">
        <f>REPT("-",300)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</row>
    <row r="2" spans="1:27" x14ac:dyDescent="0.25">
      <c r="A2" s="1" t="s">
        <v>0</v>
      </c>
      <c r="C2" s="30"/>
      <c r="D2" s="30"/>
      <c r="E2" t="s">
        <v>72</v>
      </c>
      <c r="I2" s="1" t="s">
        <v>73</v>
      </c>
    </row>
    <row r="3" spans="1:27" ht="15.75" thickBot="1" x14ac:dyDescent="0.3">
      <c r="A3" t="str">
        <f>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  <c r="W3" s="10"/>
      <c r="X3" s="121" t="s">
        <v>41</v>
      </c>
      <c r="Y3" s="121"/>
      <c r="Z3" s="121" t="s">
        <v>75</v>
      </c>
      <c r="AA3" s="121"/>
    </row>
    <row r="4" spans="1:27" ht="15.75" thickBot="1" x14ac:dyDescent="0.3">
      <c r="A4" s="6" t="s">
        <v>12</v>
      </c>
      <c r="B4" s="7" t="s">
        <v>76</v>
      </c>
      <c r="C4" s="7" t="s">
        <v>77</v>
      </c>
      <c r="D4" s="33" t="s">
        <v>88</v>
      </c>
      <c r="F4" s="61" t="s">
        <v>13</v>
      </c>
      <c r="G4" s="62" t="str">
        <f>B4</f>
        <v>Propr</v>
      </c>
      <c r="H4" s="63" t="str">
        <f>C4</f>
        <v>Loc</v>
      </c>
      <c r="J4" s="77" t="s">
        <v>41</v>
      </c>
      <c r="K4" s="78"/>
      <c r="L4" s="23" t="s">
        <v>2</v>
      </c>
      <c r="M4" s="3" t="s">
        <v>3</v>
      </c>
      <c r="N4" s="3" t="s">
        <v>4</v>
      </c>
      <c r="O4" s="4" t="s">
        <v>5</v>
      </c>
      <c r="P4" s="4" t="s">
        <v>6</v>
      </c>
      <c r="Q4" s="4" t="s">
        <v>7</v>
      </c>
      <c r="R4" s="4" t="s">
        <v>8</v>
      </c>
      <c r="S4" s="4" t="s">
        <v>9</v>
      </c>
      <c r="T4" s="4" t="s">
        <v>10</v>
      </c>
      <c r="U4" s="4" t="s">
        <v>11</v>
      </c>
      <c r="W4" s="10"/>
      <c r="X4" s="5" t="s">
        <v>90</v>
      </c>
      <c r="Y4" s="5" t="s">
        <v>91</v>
      </c>
      <c r="Z4" s="5" t="s">
        <v>90</v>
      </c>
      <c r="AA4" s="5" t="s">
        <v>91</v>
      </c>
    </row>
    <row r="5" spans="1:27" x14ac:dyDescent="0.25">
      <c r="A5" s="8" t="s">
        <v>15</v>
      </c>
      <c r="B5" s="11">
        <v>1500</v>
      </c>
      <c r="C5" s="11">
        <v>1800</v>
      </c>
      <c r="D5" s="25">
        <v>0.03</v>
      </c>
      <c r="F5" s="45" t="s">
        <v>16</v>
      </c>
      <c r="G5" s="57">
        <f>B21*(G7+G8+G9+G10)</f>
        <v>313.2000000000001</v>
      </c>
      <c r="H5" s="58">
        <f>B21*(H7+H8+H9+H10)</f>
        <v>280.40000000000009</v>
      </c>
      <c r="J5" s="9" t="s">
        <v>14</v>
      </c>
      <c r="K5" s="10"/>
      <c r="L5" s="13">
        <f t="shared" ref="L5:U9" si="0">C38</f>
        <v>147.40000000000006</v>
      </c>
      <c r="M5" s="13">
        <f t="shared" si="0"/>
        <v>158.45857142857147</v>
      </c>
      <c r="N5" s="13">
        <f t="shared" si="0"/>
        <v>169.93468214285724</v>
      </c>
      <c r="O5" s="13">
        <f t="shared" si="0"/>
        <v>181.84238166071444</v>
      </c>
      <c r="P5" s="13">
        <f t="shared" si="0"/>
        <v>194.19617613383943</v>
      </c>
      <c r="Q5" s="13">
        <f t="shared" si="0"/>
        <v>207.01104299495412</v>
      </c>
      <c r="R5" s="13">
        <f t="shared" si="0"/>
        <v>220.30244607177869</v>
      </c>
      <c r="S5" s="13">
        <f t="shared" si="0"/>
        <v>234.08635118260418</v>
      </c>
      <c r="T5" s="13">
        <f t="shared" si="0"/>
        <v>248.37924222874901</v>
      </c>
      <c r="U5" s="13">
        <f t="shared" si="0"/>
        <v>263.19813779966267</v>
      </c>
      <c r="W5" s="8" t="s">
        <v>27</v>
      </c>
      <c r="X5" s="13">
        <f>$B$24*L35</f>
        <v>2182.3851023973016</v>
      </c>
      <c r="Y5" s="13">
        <f>$B$24*Q35</f>
        <v>2843.3437414248801</v>
      </c>
      <c r="Z5" s="13">
        <f>$B$24*L79</f>
        <v>2484.6642985723415</v>
      </c>
      <c r="AA5" s="13">
        <f>$B$24*Q79</f>
        <v>3266.0778542271046</v>
      </c>
    </row>
    <row r="6" spans="1:27" ht="15.75" thickBot="1" x14ac:dyDescent="0.3">
      <c r="A6" s="10" t="s">
        <v>18</v>
      </c>
      <c r="B6" s="14">
        <f>B5*B26</f>
        <v>420.00000000000006</v>
      </c>
      <c r="C6" s="14">
        <f>C5*B26</f>
        <v>504.00000000000006</v>
      </c>
      <c r="D6" s="73"/>
      <c r="F6" s="54" t="s">
        <v>19</v>
      </c>
      <c r="G6" s="59">
        <f>G11-G5</f>
        <v>1252.8000000000004</v>
      </c>
      <c r="H6" s="60">
        <f>H11-H5</f>
        <v>1121.6000000000004</v>
      </c>
      <c r="J6" s="12" t="s">
        <v>17</v>
      </c>
      <c r="K6" s="10"/>
      <c r="L6" s="13">
        <f t="shared" si="0"/>
        <v>-56.376000000000019</v>
      </c>
      <c r="M6" s="13">
        <f t="shared" si="0"/>
        <v>-53.663535953721798</v>
      </c>
      <c r="N6" s="13">
        <f t="shared" si="0"/>
        <v>-50.829011025361062</v>
      </c>
      <c r="O6" s="13">
        <f t="shared" si="0"/>
        <v>-47.866932475224097</v>
      </c>
      <c r="P6" s="13">
        <f t="shared" si="0"/>
        <v>-44.771560390330968</v>
      </c>
      <c r="Q6" s="13">
        <f t="shared" si="0"/>
        <v>-41.536896561617645</v>
      </c>
      <c r="R6" s="13">
        <f t="shared" si="0"/>
        <v>-38.156672860612225</v>
      </c>
      <c r="S6" s="13">
        <f t="shared" si="0"/>
        <v>-34.624339093061558</v>
      </c>
      <c r="T6" s="13">
        <f t="shared" si="0"/>
        <v>-30.933050305971108</v>
      </c>
      <c r="U6" s="13">
        <f t="shared" si="0"/>
        <v>-27.075653523461593</v>
      </c>
      <c r="W6" s="8" t="s">
        <v>24</v>
      </c>
      <c r="X6" s="13">
        <f>B16*(1+$D$16)^10</f>
        <v>365.69832599842715</v>
      </c>
      <c r="Y6" s="13">
        <f>B16*(1+D16)^15</f>
        <v>403.76050149723875</v>
      </c>
      <c r="Z6" s="13">
        <v>0</v>
      </c>
      <c r="AA6" s="13">
        <v>0</v>
      </c>
    </row>
    <row r="7" spans="1:27" x14ac:dyDescent="0.25">
      <c r="A7" s="10" t="s">
        <v>21</v>
      </c>
      <c r="B7" s="10">
        <v>260</v>
      </c>
      <c r="C7" s="10">
        <f>+C5*C15</f>
        <v>306</v>
      </c>
      <c r="D7" s="25">
        <v>0.01</v>
      </c>
      <c r="F7" s="45" t="s">
        <v>24</v>
      </c>
      <c r="G7" s="46">
        <f>B16</f>
        <v>300</v>
      </c>
      <c r="H7" s="47">
        <v>0</v>
      </c>
      <c r="J7" s="9" t="s">
        <v>20</v>
      </c>
      <c r="K7" s="10"/>
      <c r="L7" s="13">
        <f t="shared" si="0"/>
        <v>91.024000000000044</v>
      </c>
      <c r="M7" s="13">
        <f t="shared" si="0"/>
        <v>104.79503547484967</v>
      </c>
      <c r="N7" s="13">
        <f t="shared" si="0"/>
        <v>119.10567111749617</v>
      </c>
      <c r="O7" s="13">
        <f t="shared" si="0"/>
        <v>133.97544918549033</v>
      </c>
      <c r="P7" s="13">
        <f t="shared" si="0"/>
        <v>149.42461574350847</v>
      </c>
      <c r="Q7" s="13">
        <f t="shared" si="0"/>
        <v>165.47414643333647</v>
      </c>
      <c r="R7" s="13">
        <f t="shared" si="0"/>
        <v>182.14577321116647</v>
      </c>
      <c r="S7" s="13">
        <f t="shared" si="0"/>
        <v>199.46201208954261</v>
      </c>
      <c r="T7" s="13">
        <f t="shared" si="0"/>
        <v>217.4461919227779</v>
      </c>
      <c r="U7" s="13">
        <f t="shared" si="0"/>
        <v>236.12248427620108</v>
      </c>
      <c r="W7" s="79" t="s">
        <v>92</v>
      </c>
      <c r="X7" s="13">
        <f>X5-$B$17</f>
        <v>926.38510239730113</v>
      </c>
      <c r="Y7" s="13">
        <f>Y5-$B$17</f>
        <v>1587.3437414248797</v>
      </c>
      <c r="Z7" s="13">
        <f>Z5-C17</f>
        <v>1092.6642985723411</v>
      </c>
      <c r="AA7" s="13">
        <f>AA5-C17</f>
        <v>1874.0778542271041</v>
      </c>
    </row>
    <row r="8" spans="1:27" x14ac:dyDescent="0.25">
      <c r="A8" s="10" t="s">
        <v>23</v>
      </c>
      <c r="B8" s="10">
        <v>0</v>
      </c>
      <c r="C8" s="10">
        <f>B19*B16</f>
        <v>24</v>
      </c>
      <c r="D8" s="25">
        <v>1.4999999999999999E-2</v>
      </c>
      <c r="F8" s="48" t="s">
        <v>27</v>
      </c>
      <c r="G8" s="13">
        <f>B17</f>
        <v>1256.0000000000005</v>
      </c>
      <c r="H8" s="49">
        <f>C17</f>
        <v>1392.0000000000005</v>
      </c>
      <c r="J8" s="12" t="s">
        <v>89</v>
      </c>
      <c r="K8" s="10"/>
      <c r="L8" s="13">
        <f t="shared" si="0"/>
        <v>-30.037920000000017</v>
      </c>
      <c r="M8" s="13">
        <f t="shared" si="0"/>
        <v>-34.582361706700389</v>
      </c>
      <c r="N8" s="13">
        <f t="shared" si="0"/>
        <v>-39.30487146877374</v>
      </c>
      <c r="O8" s="13">
        <f t="shared" si="0"/>
        <v>-44.211898231211812</v>
      </c>
      <c r="P8" s="13">
        <f t="shared" si="0"/>
        <v>-49.310123195357797</v>
      </c>
      <c r="Q8" s="13">
        <f t="shared" si="0"/>
        <v>-54.606468323001039</v>
      </c>
      <c r="R8" s="13">
        <f t="shared" si="0"/>
        <v>-60.108105159684939</v>
      </c>
      <c r="S8" s="13">
        <f t="shared" si="0"/>
        <v>-65.822463989549064</v>
      </c>
      <c r="T8" s="13">
        <f t="shared" si="0"/>
        <v>-71.757243334516716</v>
      </c>
      <c r="U8" s="13">
        <f t="shared" si="0"/>
        <v>-77.92041981114636</v>
      </c>
      <c r="W8" s="79" t="s">
        <v>93</v>
      </c>
      <c r="X8" s="13">
        <f>X6-L58</f>
        <v>161.69832599842721</v>
      </c>
      <c r="Y8" s="13">
        <f>Y6-Q58</f>
        <v>247.76050149723878</v>
      </c>
      <c r="Z8" s="13">
        <v>0</v>
      </c>
      <c r="AA8" s="13">
        <v>0</v>
      </c>
    </row>
    <row r="9" spans="1:27" x14ac:dyDescent="0.25">
      <c r="A9" s="10" t="s">
        <v>26</v>
      </c>
      <c r="B9" s="10">
        <f>B8/B5</f>
        <v>0</v>
      </c>
      <c r="C9" s="16">
        <f>C8/C5</f>
        <v>1.3333333333333334E-2</v>
      </c>
      <c r="D9" s="73"/>
      <c r="F9" s="48" t="s">
        <v>30</v>
      </c>
      <c r="G9" s="10">
        <f>B18</f>
        <v>0</v>
      </c>
      <c r="H9" s="50">
        <f>B18</f>
        <v>0</v>
      </c>
      <c r="J9" s="9" t="s">
        <v>25</v>
      </c>
      <c r="K9" s="10"/>
      <c r="L9" s="13">
        <f t="shared" si="0"/>
        <v>60.98608000000003</v>
      </c>
      <c r="M9" s="13">
        <f t="shared" si="0"/>
        <v>70.212673768149273</v>
      </c>
      <c r="N9" s="13">
        <f t="shared" si="0"/>
        <v>79.800799648722432</v>
      </c>
      <c r="O9" s="13">
        <f t="shared" si="0"/>
        <v>89.763550954278514</v>
      </c>
      <c r="P9" s="13">
        <f t="shared" si="0"/>
        <v>100.11449254815068</v>
      </c>
      <c r="Q9" s="13">
        <f t="shared" si="0"/>
        <v>110.86767811033543</v>
      </c>
      <c r="R9" s="13">
        <f t="shared" si="0"/>
        <v>122.03766805148153</v>
      </c>
      <c r="S9" s="13">
        <f t="shared" si="0"/>
        <v>133.63954809999353</v>
      </c>
      <c r="T9" s="13">
        <f t="shared" si="0"/>
        <v>145.68894858826118</v>
      </c>
      <c r="U9" s="13">
        <f t="shared" si="0"/>
        <v>158.20206446505472</v>
      </c>
      <c r="W9" s="79" t="s">
        <v>94</v>
      </c>
      <c r="X9" s="13">
        <f>X8+X7</f>
        <v>1088.0834283957283</v>
      </c>
      <c r="Y9" s="13">
        <f>Y8+Y7</f>
        <v>1835.1042429221184</v>
      </c>
      <c r="Z9" s="13">
        <f t="shared" ref="Z9:AA9" si="1">Z8+Z7</f>
        <v>1092.6642985723411</v>
      </c>
      <c r="AA9" s="13">
        <f t="shared" si="1"/>
        <v>1874.0778542271041</v>
      </c>
    </row>
    <row r="10" spans="1:27" x14ac:dyDescent="0.25">
      <c r="A10" s="17" t="s">
        <v>29</v>
      </c>
      <c r="B10" s="15">
        <v>3</v>
      </c>
      <c r="C10" s="15">
        <v>0</v>
      </c>
      <c r="D10" s="25">
        <v>1.4999999999999999E-2</v>
      </c>
      <c r="F10" s="48" t="s">
        <v>32</v>
      </c>
      <c r="G10" s="15">
        <v>10</v>
      </c>
      <c r="H10" s="51">
        <f>G10</f>
        <v>10</v>
      </c>
      <c r="J10" s="10" t="s">
        <v>28</v>
      </c>
      <c r="K10" s="10"/>
      <c r="L10" s="13">
        <f t="shared" ref="L10:U12" si="2">C45</f>
        <v>70.586080000000038</v>
      </c>
      <c r="M10" s="13">
        <f t="shared" si="2"/>
        <v>79.812673768149267</v>
      </c>
      <c r="N10" s="13">
        <f t="shared" si="2"/>
        <v>89.400799648722426</v>
      </c>
      <c r="O10" s="13">
        <f t="shared" si="2"/>
        <v>99.363550954278509</v>
      </c>
      <c r="P10" s="13">
        <f t="shared" si="2"/>
        <v>109.71449254815067</v>
      </c>
      <c r="Q10" s="13">
        <f t="shared" si="2"/>
        <v>120.46767811033544</v>
      </c>
      <c r="R10" s="13">
        <f t="shared" si="2"/>
        <v>131.63766805148154</v>
      </c>
      <c r="S10" s="13">
        <f t="shared" si="2"/>
        <v>143.23954809999353</v>
      </c>
      <c r="T10" s="13">
        <f t="shared" si="2"/>
        <v>155.28894858826118</v>
      </c>
      <c r="U10" s="13">
        <f t="shared" si="2"/>
        <v>167.80206446505471</v>
      </c>
      <c r="W10" s="80" t="s">
        <v>95</v>
      </c>
      <c r="X10" s="13">
        <f>X9*$B$25</f>
        <v>359.06753137059036</v>
      </c>
      <c r="Y10" s="13">
        <f>Y9*$B$25</f>
        <v>605.58440016429904</v>
      </c>
      <c r="Z10" s="13">
        <f>Z9*$B$25</f>
        <v>360.57921852887256</v>
      </c>
      <c r="AA10" s="13">
        <f>AA9*$B$25</f>
        <v>618.44569189494439</v>
      </c>
    </row>
    <row r="11" spans="1:27" x14ac:dyDescent="0.25">
      <c r="A11" s="8" t="s">
        <v>31</v>
      </c>
      <c r="B11" s="18">
        <f>B6-B7-B8-B10</f>
        <v>157.00000000000006</v>
      </c>
      <c r="C11" s="18">
        <f>C6-C7-C8-C10</f>
        <v>174.00000000000006</v>
      </c>
      <c r="D11" s="73"/>
      <c r="F11" s="52" t="s">
        <v>34</v>
      </c>
      <c r="G11" s="14">
        <f>SUM(G7:G10)</f>
        <v>1566.0000000000005</v>
      </c>
      <c r="H11" s="53">
        <f>SUM(H7:H10)</f>
        <v>1402.0000000000005</v>
      </c>
      <c r="J11" s="10" t="s">
        <v>83</v>
      </c>
      <c r="K11" s="13">
        <f>B46</f>
        <v>313.2000000000001</v>
      </c>
      <c r="L11" s="13">
        <f t="shared" si="2"/>
        <v>0</v>
      </c>
      <c r="M11" s="13">
        <f t="shared" si="2"/>
        <v>-20.309101193817455</v>
      </c>
      <c r="N11" s="13">
        <f t="shared" si="2"/>
        <v>-16.823230915688463</v>
      </c>
      <c r="O11" s="13">
        <f t="shared" si="2"/>
        <v>-23.576831867900886</v>
      </c>
      <c r="P11" s="13">
        <f t="shared" si="2"/>
        <v>-30.577504623320003</v>
      </c>
      <c r="Q11" s="13">
        <f t="shared" si="2"/>
        <v>-37.833074132299025</v>
      </c>
      <c r="R11" s="13">
        <f t="shared" si="2"/>
        <v>-45.351595865770484</v>
      </c>
      <c r="S11" s="13">
        <f t="shared" si="2"/>
        <v>-53.141362105911149</v>
      </c>
      <c r="T11" s="13">
        <f t="shared" si="2"/>
        <v>-61.210908386872482</v>
      </c>
      <c r="U11" s="13">
        <f t="shared" si="2"/>
        <v>-69.569020088049683</v>
      </c>
      <c r="W11" s="80" t="s">
        <v>96</v>
      </c>
      <c r="X11" s="21">
        <f>X5+X6-X10</f>
        <v>2189.0158970251387</v>
      </c>
      <c r="Y11" s="21">
        <f>Y5+Y6-Y10</f>
        <v>2641.5198427578198</v>
      </c>
      <c r="Z11" s="21">
        <f t="shared" ref="Z11:AA11" si="3">Z5+Z6-Z10</f>
        <v>2124.0850800434691</v>
      </c>
      <c r="AA11" s="21">
        <f t="shared" si="3"/>
        <v>2647.6321623321601</v>
      </c>
    </row>
    <row r="12" spans="1:27" ht="15.75" thickBot="1" x14ac:dyDescent="0.3">
      <c r="A12" s="10" t="s">
        <v>33</v>
      </c>
      <c r="B12" s="19">
        <f>B11/B5</f>
        <v>0.1046666666666667</v>
      </c>
      <c r="C12" s="19">
        <f>C11/C5</f>
        <v>9.6666666666666692E-2</v>
      </c>
      <c r="D12" s="73"/>
      <c r="F12" s="54" t="s">
        <v>37</v>
      </c>
      <c r="G12" s="55">
        <f>G6/G11</f>
        <v>0.8</v>
      </c>
      <c r="H12" s="56">
        <f>H6/H11</f>
        <v>0.8</v>
      </c>
      <c r="J12" s="10" t="s">
        <v>84</v>
      </c>
      <c r="K12" s="13">
        <f>B47</f>
        <v>1252.8000000000004</v>
      </c>
      <c r="L12" s="13">
        <f t="shared" si="2"/>
        <v>-60.276978806182584</v>
      </c>
      <c r="M12" s="13">
        <f t="shared" si="2"/>
        <v>-62.989442852460805</v>
      </c>
      <c r="N12" s="13">
        <f t="shared" si="2"/>
        <v>-65.823967780821533</v>
      </c>
      <c r="O12" s="13">
        <f t="shared" si="2"/>
        <v>-68.786046330958499</v>
      </c>
      <c r="P12" s="13">
        <f t="shared" si="2"/>
        <v>-71.881418415851641</v>
      </c>
      <c r="Q12" s="13">
        <f t="shared" si="2"/>
        <v>-75.11608224456495</v>
      </c>
      <c r="R12" s="13">
        <f t="shared" si="2"/>
        <v>-78.496305945570384</v>
      </c>
      <c r="S12" s="13">
        <f t="shared" si="2"/>
        <v>-82.028639713121038</v>
      </c>
      <c r="T12" s="13">
        <f t="shared" si="2"/>
        <v>-85.719928500211495</v>
      </c>
      <c r="U12" s="13">
        <f t="shared" si="2"/>
        <v>-89.577325282721006</v>
      </c>
      <c r="W12" s="31"/>
      <c r="X12" s="31"/>
    </row>
    <row r="13" spans="1:27" x14ac:dyDescent="0.25">
      <c r="A13" s="12" t="s">
        <v>36</v>
      </c>
      <c r="B13" s="15">
        <f>B16/B20*0.8</f>
        <v>9.6000000000000014</v>
      </c>
      <c r="C13" s="15">
        <v>0</v>
      </c>
      <c r="D13" s="73"/>
      <c r="F13" s="64" t="s">
        <v>78</v>
      </c>
      <c r="G13" s="65" t="str">
        <f>G4</f>
        <v>Propr</v>
      </c>
      <c r="H13" s="66" t="str">
        <f>H4</f>
        <v>Loc</v>
      </c>
      <c r="J13" s="10" t="s">
        <v>38</v>
      </c>
      <c r="K13" s="13">
        <f t="shared" ref="K13:U13" si="4">B52</f>
        <v>10</v>
      </c>
      <c r="L13" s="13">
        <f t="shared" si="4"/>
        <v>20.309101193817455</v>
      </c>
      <c r="M13" s="13">
        <f t="shared" si="4"/>
        <v>16.823230915688463</v>
      </c>
      <c r="N13" s="13">
        <f t="shared" si="4"/>
        <v>23.576831867900886</v>
      </c>
      <c r="O13" s="13">
        <f t="shared" si="4"/>
        <v>30.577504623320003</v>
      </c>
      <c r="P13" s="13">
        <f t="shared" si="4"/>
        <v>37.833074132299025</v>
      </c>
      <c r="Q13" s="13">
        <f t="shared" si="4"/>
        <v>45.351595865770484</v>
      </c>
      <c r="R13" s="13">
        <f t="shared" si="4"/>
        <v>53.141362105911149</v>
      </c>
      <c r="S13" s="13">
        <f t="shared" si="4"/>
        <v>61.210908386872482</v>
      </c>
      <c r="T13" s="13">
        <f t="shared" si="4"/>
        <v>69.569020088049683</v>
      </c>
      <c r="U13" s="13">
        <f t="shared" si="4"/>
        <v>78.224739182333707</v>
      </c>
      <c r="W13" s="31"/>
      <c r="X13" s="31"/>
    </row>
    <row r="14" spans="1:27" x14ac:dyDescent="0.25">
      <c r="A14" s="9" t="s">
        <v>39</v>
      </c>
      <c r="B14" s="21">
        <f>B11-B13</f>
        <v>147.40000000000006</v>
      </c>
      <c r="C14" s="8">
        <f>C11-C13</f>
        <v>174.00000000000006</v>
      </c>
      <c r="D14" s="73"/>
      <c r="F14" s="52" t="s">
        <v>79</v>
      </c>
      <c r="G14" s="13">
        <f>G6*B23/(1-(1+B23)^-B22)</f>
        <v>116.6529788061826</v>
      </c>
      <c r="H14" s="49">
        <f>H6*B23/(1-(1+B23)^-B22)</f>
        <v>104.4364471815249</v>
      </c>
      <c r="J14" s="8" t="s">
        <v>32</v>
      </c>
      <c r="K14" s="21">
        <f t="shared" ref="K14:T14" si="5">-K11</f>
        <v>-313.2000000000001</v>
      </c>
      <c r="L14" s="21">
        <f t="shared" si="5"/>
        <v>0</v>
      </c>
      <c r="M14" s="21">
        <f t="shared" si="5"/>
        <v>20.309101193817455</v>
      </c>
      <c r="N14" s="21">
        <f t="shared" si="5"/>
        <v>16.823230915688463</v>
      </c>
      <c r="O14" s="21">
        <f t="shared" si="5"/>
        <v>23.576831867900886</v>
      </c>
      <c r="P14" s="21">
        <f t="shared" si="5"/>
        <v>30.577504623320003</v>
      </c>
      <c r="Q14" s="21">
        <f t="shared" si="5"/>
        <v>37.833074132299025</v>
      </c>
      <c r="R14" s="21">
        <f t="shared" si="5"/>
        <v>45.351595865770484</v>
      </c>
      <c r="S14" s="21">
        <f t="shared" si="5"/>
        <v>53.141362105911149</v>
      </c>
      <c r="T14" s="21">
        <f t="shared" si="5"/>
        <v>61.210908386872482</v>
      </c>
      <c r="U14" s="21">
        <f>G20</f>
        <v>1755.1367720799358</v>
      </c>
      <c r="W14" s="75"/>
      <c r="X14" s="75"/>
    </row>
    <row r="15" spans="1:27" x14ac:dyDescent="0.25">
      <c r="B15" s="91">
        <f>+B7/B5</f>
        <v>0.17333333333333334</v>
      </c>
      <c r="C15" s="91">
        <v>0.17</v>
      </c>
      <c r="D15" s="71"/>
      <c r="F15" s="52" t="s">
        <v>80</v>
      </c>
      <c r="G15" s="13">
        <f>G14-G16</f>
        <v>60.276978806182584</v>
      </c>
      <c r="H15" s="49">
        <f>H14-H16</f>
        <v>53.964447181524882</v>
      </c>
    </row>
    <row r="16" spans="1:27" ht="15.75" thickBot="1" x14ac:dyDescent="0.3">
      <c r="A16" s="12" t="s">
        <v>40</v>
      </c>
      <c r="B16" s="15">
        <v>300</v>
      </c>
      <c r="C16" s="10">
        <v>0</v>
      </c>
      <c r="D16" s="25">
        <v>0.02</v>
      </c>
      <c r="F16" s="67" t="s">
        <v>81</v>
      </c>
      <c r="G16" s="59">
        <f>B23*G6</f>
        <v>56.376000000000019</v>
      </c>
      <c r="H16" s="60">
        <f>B23*H6</f>
        <v>50.472000000000016</v>
      </c>
      <c r="J16" s="76" t="s">
        <v>1</v>
      </c>
      <c r="K16" s="76"/>
      <c r="L16" s="2" t="s">
        <v>2</v>
      </c>
      <c r="M16" s="3" t="s">
        <v>3</v>
      </c>
      <c r="N16" s="3" t="s">
        <v>4</v>
      </c>
      <c r="O16" s="4" t="s">
        <v>5</v>
      </c>
      <c r="P16" s="4" t="s">
        <v>6</v>
      </c>
      <c r="Q16" s="4" t="s">
        <v>7</v>
      </c>
      <c r="R16" s="4" t="s">
        <v>8</v>
      </c>
      <c r="S16" s="4" t="s">
        <v>9</v>
      </c>
      <c r="T16" s="4" t="s">
        <v>10</v>
      </c>
      <c r="U16" s="4" t="s">
        <v>11</v>
      </c>
    </row>
    <row r="17" spans="1:24" ht="15.75" thickBot="1" x14ac:dyDescent="0.3">
      <c r="A17" s="12" t="s">
        <v>27</v>
      </c>
      <c r="B17" s="14">
        <f>B24*B11</f>
        <v>1256.0000000000005</v>
      </c>
      <c r="C17" s="15">
        <f>B24*C11</f>
        <v>1392.0000000000005</v>
      </c>
      <c r="D17" s="73"/>
      <c r="J17" s="9" t="s">
        <v>14</v>
      </c>
      <c r="K17" s="10"/>
      <c r="L17" s="10">
        <f t="shared" ref="L17:U21" si="6">C82</f>
        <v>173.98666666666674</v>
      </c>
      <c r="M17" s="10">
        <f t="shared" si="6"/>
        <v>187.01114655570973</v>
      </c>
      <c r="N17" s="10">
        <f t="shared" si="6"/>
        <v>200.53268075982214</v>
      </c>
      <c r="O17" s="10">
        <f t="shared" si="6"/>
        <v>214.56806589161397</v>
      </c>
      <c r="P17" s="10">
        <f t="shared" si="6"/>
        <v>229.13464555095246</v>
      </c>
      <c r="Q17" s="10">
        <f t="shared" si="6"/>
        <v>244.25032788670336</v>
      </c>
      <c r="R17" s="10">
        <f t="shared" si="6"/>
        <v>259.93360371838895</v>
      </c>
      <c r="S17" s="10">
        <f t="shared" si="6"/>
        <v>276.20356523553642</v>
      </c>
      <c r="T17" s="10">
        <f t="shared" si="6"/>
        <v>293.07992529305312</v>
      </c>
      <c r="U17" s="10">
        <f t="shared" si="6"/>
        <v>310.58303732154269</v>
      </c>
    </row>
    <row r="18" spans="1:24" ht="15.75" thickBot="1" x14ac:dyDescent="0.3">
      <c r="A18" s="12" t="s">
        <v>30</v>
      </c>
      <c r="B18" s="15">
        <v>0</v>
      </c>
      <c r="D18" s="73"/>
      <c r="G18" s="99" t="str">
        <f>G13</f>
        <v>Propr</v>
      </c>
      <c r="H18" s="100" t="str">
        <f>H13</f>
        <v>Loc</v>
      </c>
      <c r="I18" s="22"/>
      <c r="J18" s="12" t="s">
        <v>17</v>
      </c>
      <c r="K18" s="10"/>
      <c r="L18" s="13">
        <f t="shared" si="6"/>
        <v>-50.472000000000016</v>
      </c>
      <c r="M18" s="13">
        <f t="shared" si="6"/>
        <v>-48.043599876831394</v>
      </c>
      <c r="N18" s="13">
        <f t="shared" si="6"/>
        <v>-45.50592174812018</v>
      </c>
      <c r="O18" s="13">
        <f t="shared" si="6"/>
        <v>-42.854048103616968</v>
      </c>
      <c r="P18" s="13">
        <f t="shared" si="6"/>
        <v>-40.082840145111113</v>
      </c>
      <c r="Q18" s="13">
        <f t="shared" si="6"/>
        <v>-37.186927828472498</v>
      </c>
      <c r="R18" s="13">
        <f t="shared" si="6"/>
        <v>-34.160699457585139</v>
      </c>
      <c r="S18" s="13">
        <f t="shared" si="6"/>
        <v>-30.998290810007852</v>
      </c>
      <c r="T18" s="13">
        <f t="shared" si="6"/>
        <v>-27.693573773289582</v>
      </c>
      <c r="U18" s="13">
        <f t="shared" si="6"/>
        <v>-24.240144469918999</v>
      </c>
    </row>
    <row r="19" spans="1:24" x14ac:dyDescent="0.25">
      <c r="A19" s="12" t="s">
        <v>44</v>
      </c>
      <c r="B19" s="25">
        <v>0.08</v>
      </c>
      <c r="D19" s="73"/>
      <c r="F19" s="102" t="s">
        <v>42</v>
      </c>
      <c r="G19" s="107">
        <f>X11</f>
        <v>2189.0158970251387</v>
      </c>
      <c r="H19" s="101">
        <f>Z11</f>
        <v>2124.0850800434691</v>
      </c>
      <c r="I19" s="22"/>
      <c r="J19" s="9" t="s">
        <v>20</v>
      </c>
      <c r="K19" s="10"/>
      <c r="L19" s="13">
        <f t="shared" si="6"/>
        <v>123.51466666666673</v>
      </c>
      <c r="M19" s="13">
        <f t="shared" si="6"/>
        <v>138.96754667887834</v>
      </c>
      <c r="N19" s="13">
        <f t="shared" si="6"/>
        <v>155.02675901170196</v>
      </c>
      <c r="O19" s="13">
        <f t="shared" si="6"/>
        <v>171.71401778799699</v>
      </c>
      <c r="P19" s="13">
        <f t="shared" si="6"/>
        <v>189.05180540584135</v>
      </c>
      <c r="Q19" s="13">
        <f t="shared" si="6"/>
        <v>207.06340005823085</v>
      </c>
      <c r="R19" s="13">
        <f t="shared" si="6"/>
        <v>225.77290426080381</v>
      </c>
      <c r="S19" s="13">
        <f t="shared" si="6"/>
        <v>245.20527442552856</v>
      </c>
      <c r="T19" s="13">
        <f t="shared" si="6"/>
        <v>265.38635151976354</v>
      </c>
      <c r="U19" s="13">
        <f t="shared" si="6"/>
        <v>286.34289285162367</v>
      </c>
    </row>
    <row r="20" spans="1:24" x14ac:dyDescent="0.25">
      <c r="A20" s="12" t="s">
        <v>46</v>
      </c>
      <c r="B20" s="15">
        <v>25</v>
      </c>
      <c r="D20" s="73" t="s">
        <v>47</v>
      </c>
      <c r="F20" s="103" t="s">
        <v>43</v>
      </c>
      <c r="G20" s="92">
        <f>G19-L56+L61</f>
        <v>1755.1367720799358</v>
      </c>
      <c r="H20" s="49">
        <f>H19-L100+L105</f>
        <v>1777.2649411447458</v>
      </c>
      <c r="I20" s="22"/>
      <c r="J20" s="12" t="s">
        <v>22</v>
      </c>
      <c r="K20" s="10"/>
      <c r="L20" s="13">
        <f t="shared" si="6"/>
        <v>-40.759840000000025</v>
      </c>
      <c r="M20" s="13">
        <f t="shared" si="6"/>
        <v>-45.859290404029856</v>
      </c>
      <c r="N20" s="13">
        <f t="shared" si="6"/>
        <v>-51.158830473861649</v>
      </c>
      <c r="O20" s="13">
        <f t="shared" si="6"/>
        <v>-56.665625870039008</v>
      </c>
      <c r="P20" s="13">
        <f t="shared" si="6"/>
        <v>-62.387095783927649</v>
      </c>
      <c r="Q20" s="13">
        <f t="shared" si="6"/>
        <v>-68.330922019216189</v>
      </c>
      <c r="R20" s="13">
        <f t="shared" si="6"/>
        <v>-74.50505840606526</v>
      </c>
      <c r="S20" s="13">
        <f t="shared" si="6"/>
        <v>-80.917740560424434</v>
      </c>
      <c r="T20" s="13">
        <f t="shared" si="6"/>
        <v>-87.577496001521965</v>
      </c>
      <c r="U20" s="13">
        <f t="shared" si="6"/>
        <v>-94.493154641035815</v>
      </c>
      <c r="X20">
        <v>8</v>
      </c>
    </row>
    <row r="21" spans="1:24" x14ac:dyDescent="0.25">
      <c r="A21" s="12" t="s">
        <v>49</v>
      </c>
      <c r="B21" s="28">
        <v>0.2</v>
      </c>
      <c r="C21" s="22"/>
      <c r="D21" s="73"/>
      <c r="F21" s="104" t="s">
        <v>45</v>
      </c>
      <c r="G21" s="93">
        <f>IRR(K14:U14)</f>
        <v>0.22685689458455305</v>
      </c>
      <c r="H21" s="94">
        <f>IRR(K26:U26)</f>
        <v>0.27497266358602457</v>
      </c>
      <c r="I21" s="71">
        <f>H21-G21</f>
        <v>4.811576900147152E-2</v>
      </c>
      <c r="J21" s="9" t="s">
        <v>25</v>
      </c>
      <c r="K21" s="10"/>
      <c r="L21" s="13">
        <f t="shared" si="6"/>
        <v>82.754826666666702</v>
      </c>
      <c r="M21" s="13">
        <f t="shared" si="6"/>
        <v>93.108256274848486</v>
      </c>
      <c r="N21" s="13">
        <f t="shared" si="6"/>
        <v>103.8679285378403</v>
      </c>
      <c r="O21" s="13">
        <f t="shared" si="6"/>
        <v>115.04839191795799</v>
      </c>
      <c r="P21" s="13">
        <f t="shared" si="6"/>
        <v>126.6647096219137</v>
      </c>
      <c r="Q21" s="13">
        <f t="shared" si="6"/>
        <v>138.73247803901467</v>
      </c>
      <c r="R21" s="13">
        <f t="shared" si="6"/>
        <v>151.26784585473854</v>
      </c>
      <c r="S21" s="13">
        <f t="shared" si="6"/>
        <v>164.28753386510414</v>
      </c>
      <c r="T21" s="13">
        <f t="shared" si="6"/>
        <v>177.80885551824156</v>
      </c>
      <c r="U21" s="13">
        <f t="shared" si="6"/>
        <v>191.84973821058787</v>
      </c>
      <c r="X21">
        <f>+$X$20*U5</f>
        <v>2105.5851023973014</v>
      </c>
    </row>
    <row r="22" spans="1:24" x14ac:dyDescent="0.25">
      <c r="A22" s="12" t="s">
        <v>50</v>
      </c>
      <c r="B22" s="15">
        <v>15</v>
      </c>
      <c r="D22" s="73"/>
      <c r="F22" s="105" t="s">
        <v>82</v>
      </c>
      <c r="G22" s="95">
        <f>SUM(K14:U14)</f>
        <v>1730.7603811715157</v>
      </c>
      <c r="H22" s="96">
        <f>SUM(K26:U26)</f>
        <v>1976.4096624403762</v>
      </c>
      <c r="I22" s="36">
        <f t="shared" ref="I22:I26" si="7">H22-G22</f>
        <v>245.64928126886048</v>
      </c>
      <c r="J22" s="10" t="s">
        <v>28</v>
      </c>
      <c r="K22" s="10"/>
      <c r="L22" s="13">
        <f t="shared" ref="L22:U24" si="8">C89</f>
        <v>82.754826666666702</v>
      </c>
      <c r="M22" s="13">
        <f t="shared" si="8"/>
        <v>93.108256274848486</v>
      </c>
      <c r="N22" s="13">
        <f t="shared" si="8"/>
        <v>103.8679285378403</v>
      </c>
      <c r="O22" s="13">
        <f t="shared" si="8"/>
        <v>115.04839191795799</v>
      </c>
      <c r="P22" s="13">
        <f t="shared" si="8"/>
        <v>126.6647096219137</v>
      </c>
      <c r="Q22" s="13">
        <f t="shared" si="8"/>
        <v>138.73247803901467</v>
      </c>
      <c r="R22" s="13">
        <f t="shared" si="8"/>
        <v>151.26784585473854</v>
      </c>
      <c r="S22" s="13">
        <f t="shared" si="8"/>
        <v>164.28753386510414</v>
      </c>
      <c r="T22" s="13">
        <f t="shared" si="8"/>
        <v>177.80885551824156</v>
      </c>
      <c r="U22" s="13">
        <f t="shared" si="8"/>
        <v>191.84973821058787</v>
      </c>
      <c r="X22">
        <f>X20*U17</f>
        <v>2484.6642985723415</v>
      </c>
    </row>
    <row r="23" spans="1:24" x14ac:dyDescent="0.25">
      <c r="A23" s="12" t="s">
        <v>51</v>
      </c>
      <c r="B23" s="29">
        <v>4.4999999999999998E-2</v>
      </c>
      <c r="D23" s="73"/>
      <c r="F23" s="104" t="s">
        <v>52</v>
      </c>
      <c r="G23" s="92">
        <f>Y11</f>
        <v>2641.5198427578198</v>
      </c>
      <c r="H23" s="49">
        <f>AA11</f>
        <v>2647.6321623321601</v>
      </c>
      <c r="I23" s="36">
        <f t="shared" si="7"/>
        <v>6.1123195743402903</v>
      </c>
      <c r="J23" s="10" t="str">
        <f>J11</f>
        <v>Dividendes</v>
      </c>
      <c r="K23" s="13">
        <f>B90</f>
        <v>280.40000000000009</v>
      </c>
      <c r="L23" s="13">
        <f t="shared" si="8"/>
        <v>0</v>
      </c>
      <c r="M23" s="13">
        <f t="shared" si="8"/>
        <v>-38.79037948514182</v>
      </c>
      <c r="N23" s="13">
        <f t="shared" si="8"/>
        <v>-36.715408970154982</v>
      </c>
      <c r="O23" s="13">
        <f t="shared" si="8"/>
        <v>-44.937403104435582</v>
      </c>
      <c r="P23" s="13">
        <f t="shared" si="8"/>
        <v>-53.465992840050049</v>
      </c>
      <c r="Q23" s="13">
        <f t="shared" si="8"/>
        <v>-62.31110258549991</v>
      </c>
      <c r="R23" s="13">
        <f t="shared" si="8"/>
        <v>-71.482958685962274</v>
      </c>
      <c r="S23" s="13">
        <f t="shared" si="8"/>
        <v>-80.99209813079878</v>
      </c>
      <c r="T23" s="13">
        <f t="shared" si="8"/>
        <v>-90.849377493587099</v>
      </c>
      <c r="U23" s="13">
        <f t="shared" si="8"/>
        <v>-101.06598211000625</v>
      </c>
      <c r="X23">
        <f>X22-X21</f>
        <v>379.07919617504012</v>
      </c>
    </row>
    <row r="24" spans="1:24" x14ac:dyDescent="0.25">
      <c r="A24" s="12" t="s">
        <v>74</v>
      </c>
      <c r="B24" s="85">
        <v>8</v>
      </c>
      <c r="D24" s="73"/>
      <c r="F24" s="104" t="s">
        <v>53</v>
      </c>
      <c r="G24" s="92">
        <f>G23-Q56+Q61</f>
        <v>2767.8226025211152</v>
      </c>
      <c r="H24" s="49">
        <f>H23-Q100+Q105</f>
        <v>2818.2138323231593</v>
      </c>
      <c r="I24" s="36">
        <f t="shared" si="7"/>
        <v>50.391229802044109</v>
      </c>
      <c r="J24" s="10" t="str">
        <f>J12</f>
        <v>Rbst defi</v>
      </c>
      <c r="K24" s="13">
        <f>B91</f>
        <v>1121.6000000000004</v>
      </c>
      <c r="L24" s="13">
        <f t="shared" si="8"/>
        <v>-53.964447181524882</v>
      </c>
      <c r="M24" s="13">
        <f t="shared" si="8"/>
        <v>-56.392847304693504</v>
      </c>
      <c r="N24" s="13">
        <f t="shared" si="8"/>
        <v>-58.930525433404718</v>
      </c>
      <c r="O24" s="13">
        <f t="shared" si="8"/>
        <v>-61.58239907790793</v>
      </c>
      <c r="P24" s="13">
        <f t="shared" si="8"/>
        <v>-64.353607036413791</v>
      </c>
      <c r="Q24" s="13">
        <f t="shared" si="8"/>
        <v>-67.249519353052392</v>
      </c>
      <c r="R24" s="13">
        <f t="shared" si="8"/>
        <v>-70.275747723939759</v>
      </c>
      <c r="S24" s="13">
        <f t="shared" si="8"/>
        <v>-73.438156371517039</v>
      </c>
      <c r="T24" s="13">
        <f t="shared" si="8"/>
        <v>-76.742873408235312</v>
      </c>
      <c r="U24" s="13">
        <f t="shared" si="8"/>
        <v>-80.196302711605895</v>
      </c>
    </row>
    <row r="25" spans="1:24" x14ac:dyDescent="0.25">
      <c r="A25" s="12" t="s">
        <v>54</v>
      </c>
      <c r="B25" s="28">
        <v>0.33</v>
      </c>
      <c r="D25" s="73"/>
      <c r="F25" s="104" t="s">
        <v>55</v>
      </c>
      <c r="G25" s="93">
        <f>B70</f>
        <v>0.20630559054089459</v>
      </c>
      <c r="H25" s="94">
        <f>B114</f>
        <v>0.25165310953599818</v>
      </c>
      <c r="I25" s="71">
        <f t="shared" si="7"/>
        <v>4.5347518995103586E-2</v>
      </c>
      <c r="J25" s="10" t="s">
        <v>38</v>
      </c>
      <c r="K25" s="13">
        <f t="shared" ref="K25:U25" si="9">B96</f>
        <v>10</v>
      </c>
      <c r="L25" s="13">
        <f t="shared" si="9"/>
        <v>38.79037948514182</v>
      </c>
      <c r="M25" s="13">
        <f t="shared" si="9"/>
        <v>36.715408970154982</v>
      </c>
      <c r="N25" s="13">
        <f t="shared" si="9"/>
        <v>44.937403104435582</v>
      </c>
      <c r="O25" s="13">
        <f t="shared" si="9"/>
        <v>53.465992840050049</v>
      </c>
      <c r="P25" s="13">
        <f t="shared" si="9"/>
        <v>62.31110258549991</v>
      </c>
      <c r="Q25" s="13">
        <f t="shared" si="9"/>
        <v>71.482958685962274</v>
      </c>
      <c r="R25" s="13">
        <f t="shared" si="9"/>
        <v>80.99209813079878</v>
      </c>
      <c r="S25" s="13">
        <f t="shared" si="9"/>
        <v>90.849377493587099</v>
      </c>
      <c r="T25" s="13">
        <f t="shared" si="9"/>
        <v>101.06598211000625</v>
      </c>
      <c r="U25" s="13">
        <f t="shared" si="9"/>
        <v>111.65343549898198</v>
      </c>
    </row>
    <row r="26" spans="1:24" ht="15.75" thickBot="1" x14ac:dyDescent="0.3">
      <c r="A26" s="10" t="s">
        <v>18</v>
      </c>
      <c r="B26" s="72">
        <v>0.28000000000000003</v>
      </c>
      <c r="D26" s="25">
        <v>0.01</v>
      </c>
      <c r="F26" s="106" t="s">
        <v>48</v>
      </c>
      <c r="G26" s="97">
        <f>SUM(B69:Q69)</f>
        <v>3296.9796905520657</v>
      </c>
      <c r="H26" s="98">
        <f>SUM(B113:Q113)</f>
        <v>3790.4063054643698</v>
      </c>
      <c r="I26" s="36">
        <f t="shared" si="7"/>
        <v>493.4266149123041</v>
      </c>
      <c r="J26" s="8" t="s">
        <v>32</v>
      </c>
      <c r="K26" s="21">
        <f t="shared" ref="K26:T26" si="10">-K23</f>
        <v>-280.40000000000009</v>
      </c>
      <c r="L26" s="21">
        <f t="shared" si="10"/>
        <v>0</v>
      </c>
      <c r="M26" s="21">
        <f t="shared" si="10"/>
        <v>38.79037948514182</v>
      </c>
      <c r="N26" s="21">
        <f t="shared" si="10"/>
        <v>36.715408970154982</v>
      </c>
      <c r="O26" s="21">
        <f t="shared" si="10"/>
        <v>44.937403104435582</v>
      </c>
      <c r="P26" s="21">
        <f t="shared" si="10"/>
        <v>53.465992840050049</v>
      </c>
      <c r="Q26" s="21">
        <f t="shared" si="10"/>
        <v>62.31110258549991</v>
      </c>
      <c r="R26" s="21">
        <f t="shared" si="10"/>
        <v>71.482958685962274</v>
      </c>
      <c r="S26" s="21">
        <f t="shared" si="10"/>
        <v>80.99209813079878</v>
      </c>
      <c r="T26" s="21">
        <f t="shared" si="10"/>
        <v>90.849377493587099</v>
      </c>
      <c r="U26" s="21">
        <f>H20</f>
        <v>1777.2649411447458</v>
      </c>
    </row>
    <row r="27" spans="1:24" x14ac:dyDescent="0.25">
      <c r="A27" s="30" t="str">
        <f>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  <c r="B27" s="30"/>
      <c r="C27" s="30"/>
      <c r="J27" s="31"/>
      <c r="K27" s="32"/>
      <c r="L27" s="32"/>
      <c r="M27" s="32"/>
    </row>
    <row r="28" spans="1:24" x14ac:dyDescent="0.25">
      <c r="A28" s="38" t="s">
        <v>71</v>
      </c>
      <c r="C28" s="23" t="s">
        <v>2</v>
      </c>
      <c r="D28" s="33" t="s">
        <v>3</v>
      </c>
      <c r="E28" s="33" t="s">
        <v>4</v>
      </c>
      <c r="F28" s="5" t="s">
        <v>5</v>
      </c>
      <c r="G28" s="5" t="s">
        <v>6</v>
      </c>
      <c r="H28" s="5" t="s">
        <v>7</v>
      </c>
      <c r="I28" s="5" t="s">
        <v>8</v>
      </c>
      <c r="J28" s="5" t="s">
        <v>9</v>
      </c>
      <c r="K28" s="5" t="s">
        <v>10</v>
      </c>
      <c r="L28" s="5" t="s">
        <v>11</v>
      </c>
      <c r="M28" s="5" t="s">
        <v>56</v>
      </c>
      <c r="N28" s="5" t="s">
        <v>57</v>
      </c>
      <c r="O28" s="5" t="s">
        <v>58</v>
      </c>
      <c r="P28" s="5" t="s">
        <v>59</v>
      </c>
      <c r="Q28" s="5" t="s">
        <v>60</v>
      </c>
    </row>
    <row r="29" spans="1:24" x14ac:dyDescent="0.25">
      <c r="A29" s="8" t="s">
        <v>15</v>
      </c>
      <c r="B29" s="10"/>
      <c r="C29" s="13">
        <f t="shared" ref="C29:C37" si="11">B5</f>
        <v>1500</v>
      </c>
      <c r="D29" s="13">
        <f>C29*(1+$D$5)</f>
        <v>1545</v>
      </c>
      <c r="E29" s="13">
        <f t="shared" ref="E29:Q29" si="12">D29*(1+$D$5)</f>
        <v>1591.3500000000001</v>
      </c>
      <c r="F29" s="13">
        <f t="shared" si="12"/>
        <v>1639.0905000000002</v>
      </c>
      <c r="G29" s="13">
        <f t="shared" si="12"/>
        <v>1688.2632150000004</v>
      </c>
      <c r="H29" s="13">
        <f t="shared" si="12"/>
        <v>1738.9111114500004</v>
      </c>
      <c r="I29" s="13">
        <f t="shared" si="12"/>
        <v>1791.0784447935005</v>
      </c>
      <c r="J29" s="13">
        <f t="shared" si="12"/>
        <v>1844.8107981373055</v>
      </c>
      <c r="K29" s="13">
        <f t="shared" si="12"/>
        <v>1900.1551220814247</v>
      </c>
      <c r="L29" s="13">
        <f t="shared" si="12"/>
        <v>1957.1597757438674</v>
      </c>
      <c r="M29" s="13">
        <f t="shared" si="12"/>
        <v>2015.8745690161834</v>
      </c>
      <c r="N29" s="13">
        <f t="shared" si="12"/>
        <v>2076.3508060866689</v>
      </c>
      <c r="O29" s="13">
        <f t="shared" si="12"/>
        <v>2138.641330269269</v>
      </c>
      <c r="P29" s="13">
        <f t="shared" si="12"/>
        <v>2202.8005701773473</v>
      </c>
      <c r="Q29" s="13">
        <f t="shared" si="12"/>
        <v>2268.8845872826678</v>
      </c>
      <c r="U29" s="31"/>
      <c r="V29" s="31"/>
      <c r="W29" s="31"/>
      <c r="X29" s="31"/>
    </row>
    <row r="30" spans="1:24" x14ac:dyDescent="0.25">
      <c r="A30" s="10" t="s">
        <v>18</v>
      </c>
      <c r="B30" s="13"/>
      <c r="C30" s="13">
        <f>C29*$B$26</f>
        <v>420.00000000000006</v>
      </c>
      <c r="D30" s="13">
        <f>D29*($B$26+$D$26/14)</f>
        <v>433.70357142857148</v>
      </c>
      <c r="E30" s="13">
        <f>E29*($B$26+2*$D$26/14)</f>
        <v>447.85135714285724</v>
      </c>
      <c r="F30" s="13">
        <f>F29*($B$26+3*$D$26/14)</f>
        <v>462.45767678571445</v>
      </c>
      <c r="G30" s="13">
        <f>G29*($B$26+4*$D$26/14)</f>
        <v>477.53730938571442</v>
      </c>
      <c r="H30" s="13">
        <f>H29*($B$26+5*$D$26/14)</f>
        <v>493.10550803260725</v>
      </c>
      <c r="I30" s="13">
        <f>I29*($B$26+6*$D$26/14)</f>
        <v>509.17801501986662</v>
      </c>
      <c r="J30" s="13">
        <f>J29*($B$26+7*$D$26/14)</f>
        <v>525.77107746913214</v>
      </c>
      <c r="K30" s="13">
        <f>K29*($B$26+8*$D$26/14)</f>
        <v>542.90146345183575</v>
      </c>
      <c r="L30" s="13">
        <f>L29*($B$26+9*$D$26/14)</f>
        <v>560.58647862377927</v>
      </c>
      <c r="M30" s="13">
        <f>M29*($B$26+10*$D$26/14)</f>
        <v>578.84398338893266</v>
      </c>
      <c r="N30" s="13">
        <f>N29*($B$26+11*$D$26/14)</f>
        <v>597.692410609234</v>
      </c>
      <c r="O30" s="13">
        <f>O29*($B$26+12*$D$26/14)</f>
        <v>617.15078387770336</v>
      </c>
      <c r="P30" s="13">
        <f>P29*($B$26+13*$D$26/14)</f>
        <v>637.23873637273266</v>
      </c>
      <c r="Q30" s="13">
        <f>Q29*($B$26+$D$26)</f>
        <v>657.97653031197376</v>
      </c>
      <c r="R30" s="83"/>
      <c r="S30" s="31"/>
      <c r="U30" s="31"/>
      <c r="V30" s="84"/>
      <c r="W30" s="31"/>
      <c r="X30" s="31"/>
    </row>
    <row r="31" spans="1:24" x14ac:dyDescent="0.25">
      <c r="A31" s="10" t="s">
        <v>21</v>
      </c>
      <c r="B31" s="13"/>
      <c r="C31" s="13">
        <f t="shared" si="11"/>
        <v>260</v>
      </c>
      <c r="D31" s="13">
        <f>C31*(1+$D$7)</f>
        <v>262.60000000000002</v>
      </c>
      <c r="E31" s="13">
        <f t="shared" ref="E31:Q31" si="13">D31*(1+$D$7)</f>
        <v>265.226</v>
      </c>
      <c r="F31" s="13">
        <f t="shared" si="13"/>
        <v>267.87826000000001</v>
      </c>
      <c r="G31" s="13">
        <f t="shared" si="13"/>
        <v>270.55704259999999</v>
      </c>
      <c r="H31" s="13">
        <f t="shared" si="13"/>
        <v>273.262613026</v>
      </c>
      <c r="I31" s="13">
        <f t="shared" si="13"/>
        <v>275.99523915626003</v>
      </c>
      <c r="J31" s="13">
        <f t="shared" si="13"/>
        <v>278.75519154782262</v>
      </c>
      <c r="K31" s="13">
        <f t="shared" si="13"/>
        <v>281.54274346330084</v>
      </c>
      <c r="L31" s="13">
        <f t="shared" si="13"/>
        <v>284.35817089793386</v>
      </c>
      <c r="M31" s="13">
        <f t="shared" si="13"/>
        <v>287.2017526069132</v>
      </c>
      <c r="N31" s="13">
        <f t="shared" si="13"/>
        <v>290.07377013298236</v>
      </c>
      <c r="O31" s="13">
        <f t="shared" si="13"/>
        <v>292.97450783431219</v>
      </c>
      <c r="P31" s="13">
        <f t="shared" si="13"/>
        <v>295.90425291265529</v>
      </c>
      <c r="Q31" s="13">
        <f t="shared" si="13"/>
        <v>298.86329544178187</v>
      </c>
      <c r="U31" s="31"/>
      <c r="V31" s="31"/>
      <c r="W31" s="31"/>
      <c r="X31" s="31"/>
    </row>
    <row r="32" spans="1:24" x14ac:dyDescent="0.25">
      <c r="A32" s="10" t="s">
        <v>23</v>
      </c>
      <c r="B32" s="10"/>
      <c r="C32" s="13">
        <f t="shared" si="11"/>
        <v>0</v>
      </c>
      <c r="D32" s="13">
        <f t="shared" ref="D32:Q37" si="14">C32</f>
        <v>0</v>
      </c>
      <c r="E32" s="13">
        <f t="shared" si="14"/>
        <v>0</v>
      </c>
      <c r="F32" s="13">
        <f t="shared" si="14"/>
        <v>0</v>
      </c>
      <c r="G32" s="13">
        <f t="shared" si="14"/>
        <v>0</v>
      </c>
      <c r="H32" s="13">
        <f t="shared" si="14"/>
        <v>0</v>
      </c>
      <c r="I32" s="13">
        <f t="shared" si="14"/>
        <v>0</v>
      </c>
      <c r="J32" s="13">
        <f t="shared" si="14"/>
        <v>0</v>
      </c>
      <c r="K32" s="13">
        <f t="shared" si="14"/>
        <v>0</v>
      </c>
      <c r="L32" s="13">
        <f t="shared" si="14"/>
        <v>0</v>
      </c>
      <c r="M32" s="13">
        <f t="shared" si="14"/>
        <v>0</v>
      </c>
      <c r="N32" s="13">
        <f t="shared" si="14"/>
        <v>0</v>
      </c>
      <c r="O32" s="13">
        <f t="shared" si="14"/>
        <v>0</v>
      </c>
      <c r="P32" s="13">
        <f t="shared" si="14"/>
        <v>0</v>
      </c>
      <c r="Q32" s="13">
        <f t="shared" si="14"/>
        <v>0</v>
      </c>
    </row>
    <row r="33" spans="1:26" x14ac:dyDescent="0.25">
      <c r="A33" s="10" t="s">
        <v>26</v>
      </c>
      <c r="B33" s="10"/>
      <c r="C33" s="13">
        <f t="shared" si="11"/>
        <v>0</v>
      </c>
      <c r="D33" s="74">
        <f t="shared" si="14"/>
        <v>0</v>
      </c>
      <c r="E33" s="74">
        <f t="shared" si="14"/>
        <v>0</v>
      </c>
      <c r="F33" s="74">
        <f t="shared" si="14"/>
        <v>0</v>
      </c>
      <c r="G33" s="74">
        <f t="shared" si="14"/>
        <v>0</v>
      </c>
      <c r="H33" s="74">
        <f t="shared" si="14"/>
        <v>0</v>
      </c>
      <c r="I33" s="74">
        <f t="shared" si="14"/>
        <v>0</v>
      </c>
      <c r="J33" s="74">
        <f t="shared" si="14"/>
        <v>0</v>
      </c>
      <c r="K33" s="74">
        <f t="shared" si="14"/>
        <v>0</v>
      </c>
      <c r="L33" s="74">
        <f t="shared" si="14"/>
        <v>0</v>
      </c>
      <c r="M33" s="74">
        <f t="shared" si="14"/>
        <v>0</v>
      </c>
      <c r="N33" s="74">
        <f t="shared" si="14"/>
        <v>0</v>
      </c>
      <c r="O33" s="74">
        <f t="shared" si="14"/>
        <v>0</v>
      </c>
      <c r="P33" s="74">
        <f t="shared" si="14"/>
        <v>0</v>
      </c>
      <c r="Q33" s="74">
        <f t="shared" si="14"/>
        <v>0</v>
      </c>
    </row>
    <row r="34" spans="1:26" x14ac:dyDescent="0.25">
      <c r="A34" s="17" t="s">
        <v>29</v>
      </c>
      <c r="B34" s="10"/>
      <c r="C34" s="13">
        <f t="shared" si="11"/>
        <v>3</v>
      </c>
      <c r="D34" s="13">
        <f>C34*(1+$D$10)</f>
        <v>3.0449999999999999</v>
      </c>
      <c r="E34" s="13">
        <f t="shared" ref="E34:Q34" si="15">D34*(1+$D$10)</f>
        <v>3.0906749999999996</v>
      </c>
      <c r="F34" s="13">
        <f t="shared" si="15"/>
        <v>3.1370351249999993</v>
      </c>
      <c r="G34" s="13">
        <f t="shared" si="15"/>
        <v>3.1840906518749987</v>
      </c>
      <c r="H34" s="13">
        <f t="shared" si="15"/>
        <v>3.2318520116531233</v>
      </c>
      <c r="I34" s="13">
        <f t="shared" si="15"/>
        <v>3.2803297918279197</v>
      </c>
      <c r="J34" s="13">
        <f t="shared" si="15"/>
        <v>3.329534738705338</v>
      </c>
      <c r="K34" s="13">
        <f t="shared" si="15"/>
        <v>3.3794777597859178</v>
      </c>
      <c r="L34" s="13">
        <f t="shared" si="15"/>
        <v>3.4301699261827063</v>
      </c>
      <c r="M34" s="13">
        <f t="shared" si="15"/>
        <v>3.4816224750754468</v>
      </c>
      <c r="N34" s="13">
        <f t="shared" si="15"/>
        <v>3.533846812201578</v>
      </c>
      <c r="O34" s="13">
        <f t="shared" si="15"/>
        <v>3.5868545143846013</v>
      </c>
      <c r="P34" s="13">
        <f t="shared" si="15"/>
        <v>3.6406573321003699</v>
      </c>
      <c r="Q34" s="13">
        <f t="shared" si="15"/>
        <v>3.6952671920818752</v>
      </c>
    </row>
    <row r="35" spans="1:26" x14ac:dyDescent="0.25">
      <c r="A35" s="8" t="s">
        <v>31</v>
      </c>
      <c r="B35" s="10"/>
      <c r="C35" s="13">
        <f>C30-C31-C32-C33-C34</f>
        <v>157.00000000000006</v>
      </c>
      <c r="D35" s="13">
        <f t="shared" ref="D35:Q35" si="16">D30-D31-D32-D33-D34</f>
        <v>168.05857142857147</v>
      </c>
      <c r="E35" s="13">
        <f t="shared" si="16"/>
        <v>179.53468214285724</v>
      </c>
      <c r="F35" s="13">
        <f t="shared" si="16"/>
        <v>191.44238166071443</v>
      </c>
      <c r="G35" s="13">
        <f t="shared" si="16"/>
        <v>203.79617613383942</v>
      </c>
      <c r="H35" s="13">
        <f t="shared" si="16"/>
        <v>216.61104299495412</v>
      </c>
      <c r="I35" s="13">
        <f t="shared" si="16"/>
        <v>229.90244607177868</v>
      </c>
      <c r="J35" s="13">
        <f t="shared" si="16"/>
        <v>243.68635118260417</v>
      </c>
      <c r="K35" s="13">
        <f t="shared" si="16"/>
        <v>257.979242228749</v>
      </c>
      <c r="L35" s="13">
        <f t="shared" si="16"/>
        <v>272.7981377996627</v>
      </c>
      <c r="M35" s="13">
        <f t="shared" si="16"/>
        <v>288.16060830694403</v>
      </c>
      <c r="N35" s="13">
        <f t="shared" si="16"/>
        <v>304.08479366405004</v>
      </c>
      <c r="O35" s="13">
        <f t="shared" si="16"/>
        <v>320.58942152900659</v>
      </c>
      <c r="P35" s="13">
        <f t="shared" si="16"/>
        <v>337.69382612797699</v>
      </c>
      <c r="Q35" s="13">
        <f t="shared" si="16"/>
        <v>355.41796767811002</v>
      </c>
    </row>
    <row r="36" spans="1:26" x14ac:dyDescent="0.25">
      <c r="A36" s="10" t="s">
        <v>33</v>
      </c>
      <c r="B36" s="10"/>
      <c r="C36" s="16">
        <f>C35/C29</f>
        <v>0.1046666666666667</v>
      </c>
      <c r="D36" s="16">
        <f t="shared" si="14"/>
        <v>0.1046666666666667</v>
      </c>
      <c r="E36" s="16">
        <f t="shared" si="14"/>
        <v>0.1046666666666667</v>
      </c>
      <c r="F36" s="16">
        <f t="shared" si="14"/>
        <v>0.1046666666666667</v>
      </c>
      <c r="G36" s="16">
        <f t="shared" si="14"/>
        <v>0.1046666666666667</v>
      </c>
      <c r="H36" s="16">
        <f t="shared" si="14"/>
        <v>0.1046666666666667</v>
      </c>
      <c r="I36" s="16">
        <f t="shared" si="14"/>
        <v>0.1046666666666667</v>
      </c>
      <c r="J36" s="16">
        <f t="shared" si="14"/>
        <v>0.1046666666666667</v>
      </c>
      <c r="K36" s="16">
        <f t="shared" si="14"/>
        <v>0.1046666666666667</v>
      </c>
      <c r="L36" s="16">
        <f t="shared" si="14"/>
        <v>0.1046666666666667</v>
      </c>
      <c r="M36" s="16">
        <f t="shared" si="14"/>
        <v>0.1046666666666667</v>
      </c>
      <c r="N36" s="16">
        <f t="shared" si="14"/>
        <v>0.1046666666666667</v>
      </c>
      <c r="O36" s="16">
        <f t="shared" si="14"/>
        <v>0.1046666666666667</v>
      </c>
      <c r="P36" s="16">
        <f t="shared" si="14"/>
        <v>0.1046666666666667</v>
      </c>
      <c r="Q36" s="16">
        <f t="shared" si="14"/>
        <v>0.1046666666666667</v>
      </c>
    </row>
    <row r="37" spans="1:26" x14ac:dyDescent="0.25">
      <c r="A37" s="12" t="s">
        <v>36</v>
      </c>
      <c r="B37" s="10"/>
      <c r="C37" s="13">
        <f t="shared" si="11"/>
        <v>9.6000000000000014</v>
      </c>
      <c r="D37" s="13">
        <f t="shared" si="14"/>
        <v>9.6000000000000014</v>
      </c>
      <c r="E37" s="13">
        <f t="shared" si="14"/>
        <v>9.6000000000000014</v>
      </c>
      <c r="F37" s="13">
        <f t="shared" si="14"/>
        <v>9.6000000000000014</v>
      </c>
      <c r="G37" s="13">
        <f t="shared" si="14"/>
        <v>9.6000000000000014</v>
      </c>
      <c r="H37" s="13">
        <f t="shared" si="14"/>
        <v>9.6000000000000014</v>
      </c>
      <c r="I37" s="13">
        <f t="shared" si="14"/>
        <v>9.6000000000000014</v>
      </c>
      <c r="J37" s="13">
        <f t="shared" si="14"/>
        <v>9.6000000000000014</v>
      </c>
      <c r="K37" s="13">
        <f t="shared" si="14"/>
        <v>9.6000000000000014</v>
      </c>
      <c r="L37" s="13">
        <f t="shared" si="14"/>
        <v>9.6000000000000014</v>
      </c>
      <c r="M37" s="13">
        <f t="shared" si="14"/>
        <v>9.6000000000000014</v>
      </c>
      <c r="N37" s="13">
        <f t="shared" si="14"/>
        <v>9.6000000000000014</v>
      </c>
      <c r="O37" s="13">
        <f t="shared" si="14"/>
        <v>9.6000000000000014</v>
      </c>
      <c r="P37" s="13">
        <f t="shared" si="14"/>
        <v>9.6000000000000014</v>
      </c>
      <c r="Q37" s="13">
        <f t="shared" si="14"/>
        <v>9.6000000000000014</v>
      </c>
    </row>
    <row r="38" spans="1:26" x14ac:dyDescent="0.25">
      <c r="A38" s="9" t="s">
        <v>39</v>
      </c>
      <c r="B38" s="10"/>
      <c r="C38" s="13">
        <f>C35-C37</f>
        <v>147.40000000000006</v>
      </c>
      <c r="D38" s="13">
        <f t="shared" ref="D38:Q38" si="17">D35-D37</f>
        <v>158.45857142857147</v>
      </c>
      <c r="E38" s="13">
        <f t="shared" si="17"/>
        <v>169.93468214285724</v>
      </c>
      <c r="F38" s="13">
        <f t="shared" si="17"/>
        <v>181.84238166071444</v>
      </c>
      <c r="G38" s="13">
        <f t="shared" si="17"/>
        <v>194.19617613383943</v>
      </c>
      <c r="H38" s="13">
        <f t="shared" si="17"/>
        <v>207.01104299495412</v>
      </c>
      <c r="I38" s="13">
        <f t="shared" si="17"/>
        <v>220.30244607177869</v>
      </c>
      <c r="J38" s="13">
        <f t="shared" si="17"/>
        <v>234.08635118260418</v>
      </c>
      <c r="K38" s="13">
        <f t="shared" si="17"/>
        <v>248.37924222874901</v>
      </c>
      <c r="L38" s="13">
        <f t="shared" si="17"/>
        <v>263.19813779966267</v>
      </c>
      <c r="M38" s="13">
        <f t="shared" si="17"/>
        <v>278.560608306944</v>
      </c>
      <c r="N38" s="13">
        <f t="shared" si="17"/>
        <v>294.48479366405002</v>
      </c>
      <c r="O38" s="13">
        <f t="shared" si="17"/>
        <v>310.98942152900656</v>
      </c>
      <c r="P38" s="13">
        <f t="shared" si="17"/>
        <v>328.09382612797697</v>
      </c>
      <c r="Q38" s="13">
        <f t="shared" si="17"/>
        <v>345.81796767810999</v>
      </c>
    </row>
    <row r="39" spans="1:26" x14ac:dyDescent="0.25">
      <c r="A39" s="12" t="s">
        <v>62</v>
      </c>
      <c r="B39" s="34">
        <f>B23</f>
        <v>4.4999999999999998E-2</v>
      </c>
      <c r="C39" s="13">
        <f t="shared" ref="C39:Q39" si="18">-$B$83*(B56)</f>
        <v>-56.376000000000019</v>
      </c>
      <c r="D39" s="13">
        <f t="shared" si="18"/>
        <v>-53.663535953721798</v>
      </c>
      <c r="E39" s="13">
        <f t="shared" si="18"/>
        <v>-50.829011025361062</v>
      </c>
      <c r="F39" s="13">
        <f t="shared" si="18"/>
        <v>-47.866932475224097</v>
      </c>
      <c r="G39" s="13">
        <f t="shared" si="18"/>
        <v>-44.771560390330968</v>
      </c>
      <c r="H39" s="13">
        <f t="shared" si="18"/>
        <v>-41.536896561617645</v>
      </c>
      <c r="I39" s="13">
        <f t="shared" si="18"/>
        <v>-38.156672860612225</v>
      </c>
      <c r="J39" s="13">
        <f t="shared" si="18"/>
        <v>-34.624339093061558</v>
      </c>
      <c r="K39" s="13">
        <f t="shared" si="18"/>
        <v>-30.933050305971108</v>
      </c>
      <c r="L39" s="13">
        <f t="shared" si="18"/>
        <v>-27.075653523461593</v>
      </c>
      <c r="M39" s="13">
        <f t="shared" si="18"/>
        <v>-23.044673885739144</v>
      </c>
      <c r="N39" s="13">
        <f t="shared" si="18"/>
        <v>-18.832300164319189</v>
      </c>
      <c r="O39" s="13">
        <f t="shared" si="18"/>
        <v>-14.430369625435334</v>
      </c>
      <c r="P39" s="13">
        <f t="shared" si="18"/>
        <v>-9.8303522123017082</v>
      </c>
      <c r="Q39" s="13">
        <f t="shared" si="18"/>
        <v>-5.0233340155770678</v>
      </c>
    </row>
    <row r="40" spans="1:26" x14ac:dyDescent="0.25">
      <c r="A40" s="9" t="s">
        <v>20</v>
      </c>
      <c r="B40" s="10"/>
      <c r="C40" s="13">
        <f>C38+C39</f>
        <v>91.024000000000044</v>
      </c>
      <c r="D40" s="13">
        <f t="shared" ref="D40:Q40" si="19">D38+D39</f>
        <v>104.79503547484967</v>
      </c>
      <c r="E40" s="13">
        <f t="shared" si="19"/>
        <v>119.10567111749617</v>
      </c>
      <c r="F40" s="13">
        <f t="shared" si="19"/>
        <v>133.97544918549033</v>
      </c>
      <c r="G40" s="13">
        <f t="shared" si="19"/>
        <v>149.42461574350847</v>
      </c>
      <c r="H40" s="13">
        <f t="shared" si="19"/>
        <v>165.47414643333647</v>
      </c>
      <c r="I40" s="13">
        <f t="shared" si="19"/>
        <v>182.14577321116647</v>
      </c>
      <c r="J40" s="13">
        <f t="shared" si="19"/>
        <v>199.46201208954261</v>
      </c>
      <c r="K40" s="13">
        <f t="shared" si="19"/>
        <v>217.4461919227779</v>
      </c>
      <c r="L40" s="13">
        <f t="shared" si="19"/>
        <v>236.12248427620108</v>
      </c>
      <c r="M40" s="13">
        <f t="shared" si="19"/>
        <v>255.51593442120486</v>
      </c>
      <c r="N40" s="13">
        <f t="shared" si="19"/>
        <v>275.65249349973084</v>
      </c>
      <c r="O40" s="13">
        <f t="shared" si="19"/>
        <v>296.55905190357123</v>
      </c>
      <c r="P40" s="13">
        <f t="shared" si="19"/>
        <v>318.26347391567526</v>
      </c>
      <c r="Q40" s="13">
        <f t="shared" si="19"/>
        <v>340.79463366253293</v>
      </c>
    </row>
    <row r="41" spans="1:26" x14ac:dyDescent="0.25">
      <c r="A41" s="12" t="s">
        <v>89</v>
      </c>
      <c r="B41" s="35">
        <f>B25</f>
        <v>0.33</v>
      </c>
      <c r="C41" s="13">
        <f t="shared" ref="C41:Q41" si="20">-$B$85*C40</f>
        <v>-30.037920000000017</v>
      </c>
      <c r="D41" s="13">
        <f t="shared" si="20"/>
        <v>-34.582361706700389</v>
      </c>
      <c r="E41" s="13">
        <f t="shared" si="20"/>
        <v>-39.30487146877374</v>
      </c>
      <c r="F41" s="13">
        <f t="shared" si="20"/>
        <v>-44.211898231211812</v>
      </c>
      <c r="G41" s="13">
        <f t="shared" si="20"/>
        <v>-49.310123195357797</v>
      </c>
      <c r="H41" s="13">
        <f t="shared" si="20"/>
        <v>-54.606468323001039</v>
      </c>
      <c r="I41" s="13">
        <f t="shared" si="20"/>
        <v>-60.108105159684939</v>
      </c>
      <c r="J41" s="13">
        <f t="shared" si="20"/>
        <v>-65.822463989549064</v>
      </c>
      <c r="K41" s="13">
        <f t="shared" si="20"/>
        <v>-71.757243334516716</v>
      </c>
      <c r="L41" s="13">
        <f t="shared" si="20"/>
        <v>-77.92041981114636</v>
      </c>
      <c r="M41" s="13">
        <f t="shared" si="20"/>
        <v>-84.320258358997606</v>
      </c>
      <c r="N41" s="13">
        <f t="shared" si="20"/>
        <v>-90.965322854911179</v>
      </c>
      <c r="O41" s="13">
        <f t="shared" si="20"/>
        <v>-97.86448712817851</v>
      </c>
      <c r="P41" s="13">
        <f t="shared" si="20"/>
        <v>-105.02694639217285</v>
      </c>
      <c r="Q41" s="13">
        <f t="shared" si="20"/>
        <v>-112.46222910863587</v>
      </c>
    </row>
    <row r="42" spans="1:26" x14ac:dyDescent="0.25">
      <c r="A42" s="9" t="s">
        <v>25</v>
      </c>
      <c r="B42" s="8"/>
      <c r="C42" s="21">
        <f>C40+C41</f>
        <v>60.98608000000003</v>
      </c>
      <c r="D42" s="21">
        <f t="shared" ref="D42:Q42" si="21">D40+D41</f>
        <v>70.212673768149273</v>
      </c>
      <c r="E42" s="21">
        <f t="shared" si="21"/>
        <v>79.800799648722432</v>
      </c>
      <c r="F42" s="21">
        <f t="shared" si="21"/>
        <v>89.763550954278514</v>
      </c>
      <c r="G42" s="21">
        <f t="shared" si="21"/>
        <v>100.11449254815068</v>
      </c>
      <c r="H42" s="21">
        <f t="shared" si="21"/>
        <v>110.86767811033543</v>
      </c>
      <c r="I42" s="21">
        <f t="shared" si="21"/>
        <v>122.03766805148153</v>
      </c>
      <c r="J42" s="21">
        <f t="shared" si="21"/>
        <v>133.63954809999353</v>
      </c>
      <c r="K42" s="21">
        <f t="shared" si="21"/>
        <v>145.68894858826118</v>
      </c>
      <c r="L42" s="21">
        <f t="shared" si="21"/>
        <v>158.20206446505472</v>
      </c>
      <c r="M42" s="21">
        <f t="shared" si="21"/>
        <v>171.19567606220727</v>
      </c>
      <c r="N42" s="21">
        <f t="shared" si="21"/>
        <v>184.68717064481967</v>
      </c>
      <c r="O42" s="21">
        <f t="shared" si="21"/>
        <v>198.69456477539273</v>
      </c>
      <c r="P42" s="21">
        <f t="shared" si="21"/>
        <v>213.23652752350242</v>
      </c>
      <c r="Q42" s="21">
        <f t="shared" si="21"/>
        <v>228.33240455389705</v>
      </c>
    </row>
    <row r="43" spans="1:26" x14ac:dyDescent="0.25">
      <c r="A43" t="str">
        <f>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</row>
    <row r="44" spans="1:26" x14ac:dyDescent="0.25">
      <c r="B44" s="10"/>
      <c r="C44" s="23" t="str">
        <f>C28</f>
        <v>A1</v>
      </c>
      <c r="D44" s="23" t="str">
        <f t="shared" ref="D44:Q44" si="22">D28</f>
        <v>A2</v>
      </c>
      <c r="E44" s="23" t="str">
        <f t="shared" si="22"/>
        <v>A3</v>
      </c>
      <c r="F44" s="23" t="str">
        <f t="shared" si="22"/>
        <v>A4</v>
      </c>
      <c r="G44" s="23" t="str">
        <f t="shared" si="22"/>
        <v>A5</v>
      </c>
      <c r="H44" s="23" t="str">
        <f t="shared" si="22"/>
        <v>A6</v>
      </c>
      <c r="I44" s="23" t="str">
        <f t="shared" si="22"/>
        <v>A7</v>
      </c>
      <c r="J44" s="23" t="str">
        <f t="shared" si="22"/>
        <v>A8</v>
      </c>
      <c r="K44" s="23" t="str">
        <f t="shared" si="22"/>
        <v>A9</v>
      </c>
      <c r="L44" s="23" t="str">
        <f t="shared" si="22"/>
        <v>A10</v>
      </c>
      <c r="M44" s="23" t="str">
        <f t="shared" si="22"/>
        <v>A11</v>
      </c>
      <c r="N44" s="23" t="str">
        <f t="shared" si="22"/>
        <v>A12</v>
      </c>
      <c r="O44" s="23" t="str">
        <f t="shared" si="22"/>
        <v>A13</v>
      </c>
      <c r="P44" s="23" t="str">
        <f t="shared" si="22"/>
        <v>A14</v>
      </c>
      <c r="Q44" s="23" t="str">
        <f t="shared" si="22"/>
        <v>A15</v>
      </c>
    </row>
    <row r="45" spans="1:26" x14ac:dyDescent="0.25">
      <c r="A45" s="10" t="s">
        <v>28</v>
      </c>
      <c r="B45" s="10"/>
      <c r="C45" s="13">
        <f>C42+C37</f>
        <v>70.586080000000038</v>
      </c>
      <c r="D45" s="13">
        <f>D42+D37</f>
        <v>79.812673768149267</v>
      </c>
      <c r="E45" s="13">
        <f t="shared" ref="E45:Q45" si="23">E42+E37</f>
        <v>89.400799648722426</v>
      </c>
      <c r="F45" s="13">
        <f t="shared" si="23"/>
        <v>99.363550954278509</v>
      </c>
      <c r="G45" s="13">
        <f t="shared" si="23"/>
        <v>109.71449254815067</v>
      </c>
      <c r="H45" s="13">
        <f t="shared" si="23"/>
        <v>120.46767811033544</v>
      </c>
      <c r="I45" s="13">
        <f t="shared" si="23"/>
        <v>131.63766805148154</v>
      </c>
      <c r="J45" s="13">
        <f t="shared" si="23"/>
        <v>143.23954809999353</v>
      </c>
      <c r="K45" s="13">
        <f t="shared" si="23"/>
        <v>155.28894858826118</v>
      </c>
      <c r="L45" s="13">
        <f t="shared" si="23"/>
        <v>167.80206446505471</v>
      </c>
      <c r="M45" s="13">
        <f t="shared" si="23"/>
        <v>180.79567606220726</v>
      </c>
      <c r="N45" s="13">
        <f t="shared" si="23"/>
        <v>194.28717064481967</v>
      </c>
      <c r="O45" s="13">
        <f t="shared" si="23"/>
        <v>208.29456477539273</v>
      </c>
      <c r="P45" s="13">
        <f t="shared" si="23"/>
        <v>222.83652752350241</v>
      </c>
      <c r="Q45" s="13">
        <f t="shared" si="23"/>
        <v>237.93240455389704</v>
      </c>
    </row>
    <row r="46" spans="1:26" x14ac:dyDescent="0.25">
      <c r="A46" s="10" t="s">
        <v>16</v>
      </c>
      <c r="B46" s="14">
        <f>G5</f>
        <v>313.2000000000001</v>
      </c>
      <c r="C46" s="13"/>
      <c r="D46" s="13">
        <f>-C52</f>
        <v>-20.309101193817455</v>
      </c>
      <c r="E46" s="13">
        <f t="shared" ref="E46:Q46" si="24">-D52</f>
        <v>-16.823230915688463</v>
      </c>
      <c r="F46" s="13">
        <f t="shared" si="24"/>
        <v>-23.576831867900886</v>
      </c>
      <c r="G46" s="13">
        <f t="shared" si="24"/>
        <v>-30.577504623320003</v>
      </c>
      <c r="H46" s="13">
        <f t="shared" si="24"/>
        <v>-37.833074132299025</v>
      </c>
      <c r="I46" s="13">
        <f t="shared" si="24"/>
        <v>-45.351595865770484</v>
      </c>
      <c r="J46" s="13">
        <f t="shared" si="24"/>
        <v>-53.141362105911149</v>
      </c>
      <c r="K46" s="13">
        <f t="shared" si="24"/>
        <v>-61.210908386872482</v>
      </c>
      <c r="L46" s="13">
        <f t="shared" si="24"/>
        <v>-69.569020088049683</v>
      </c>
      <c r="M46" s="13">
        <f t="shared" si="24"/>
        <v>-78.224739182333707</v>
      </c>
      <c r="N46" s="13">
        <f t="shared" si="24"/>
        <v>-87.187371141763805</v>
      </c>
      <c r="O46" s="13">
        <f t="shared" si="24"/>
        <v>-96.466492002956258</v>
      </c>
      <c r="P46" s="13">
        <f t="shared" si="24"/>
        <v>-106.07195559464546</v>
      </c>
      <c r="Q46" s="13">
        <f t="shared" si="24"/>
        <v>-116.01390092962151</v>
      </c>
    </row>
    <row r="47" spans="1:26" x14ac:dyDescent="0.25">
      <c r="A47" s="10" t="s">
        <v>19</v>
      </c>
      <c r="B47" s="14">
        <f>G6</f>
        <v>1252.8000000000004</v>
      </c>
      <c r="C47" s="13">
        <f>-G15</f>
        <v>-60.276978806182584</v>
      </c>
      <c r="D47" s="13">
        <f t="shared" ref="D47:Q47" si="25">-$G$14-D39</f>
        <v>-62.989442852460805</v>
      </c>
      <c r="E47" s="13">
        <f t="shared" si="25"/>
        <v>-65.823967780821533</v>
      </c>
      <c r="F47" s="13">
        <f t="shared" si="25"/>
        <v>-68.786046330958499</v>
      </c>
      <c r="G47" s="13">
        <f t="shared" si="25"/>
        <v>-71.881418415851641</v>
      </c>
      <c r="H47" s="13">
        <f t="shared" si="25"/>
        <v>-75.11608224456495</v>
      </c>
      <c r="I47" s="13">
        <f t="shared" si="25"/>
        <v>-78.496305945570384</v>
      </c>
      <c r="J47" s="13">
        <f t="shared" si="25"/>
        <v>-82.028639713121038</v>
      </c>
      <c r="K47" s="13">
        <f t="shared" si="25"/>
        <v>-85.719928500211495</v>
      </c>
      <c r="L47" s="13">
        <f t="shared" si="25"/>
        <v>-89.577325282721006</v>
      </c>
      <c r="M47" s="13">
        <f t="shared" si="25"/>
        <v>-93.608304920443459</v>
      </c>
      <c r="N47" s="13">
        <f t="shared" si="25"/>
        <v>-97.82067864186341</v>
      </c>
      <c r="O47" s="13">
        <f t="shared" si="25"/>
        <v>-102.22260918074727</v>
      </c>
      <c r="P47" s="13">
        <f t="shared" si="25"/>
        <v>-106.8226265938809</v>
      </c>
      <c r="Q47" s="13">
        <f t="shared" si="25"/>
        <v>-111.62964479060554</v>
      </c>
      <c r="S47" s="36"/>
      <c r="T47" s="36"/>
      <c r="U47" s="36"/>
      <c r="V47" s="36"/>
      <c r="W47" s="36"/>
      <c r="X47" s="36"/>
      <c r="Y47" s="36"/>
      <c r="Z47" s="36"/>
    </row>
    <row r="48" spans="1:26" x14ac:dyDescent="0.25">
      <c r="A48" s="10" t="s">
        <v>24</v>
      </c>
      <c r="B48" s="14">
        <f>-G7</f>
        <v>-300</v>
      </c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</row>
    <row r="49" spans="1:17" x14ac:dyDescent="0.25">
      <c r="A49" s="10" t="s">
        <v>27</v>
      </c>
      <c r="B49" s="14">
        <f>-G8</f>
        <v>-1256.0000000000005</v>
      </c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</row>
    <row r="50" spans="1:17" x14ac:dyDescent="0.25">
      <c r="A50" s="10" t="s">
        <v>63</v>
      </c>
      <c r="B50" s="14">
        <f>-G9</f>
        <v>0</v>
      </c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</row>
    <row r="51" spans="1:17" x14ac:dyDescent="0.25">
      <c r="A51" s="10" t="s">
        <v>35</v>
      </c>
      <c r="B51" s="14">
        <v>0</v>
      </c>
      <c r="C51" s="13">
        <f>B52</f>
        <v>10</v>
      </c>
      <c r="D51" s="13">
        <f t="shared" ref="D51:Q51" si="26">C52</f>
        <v>20.309101193817455</v>
      </c>
      <c r="E51" s="13">
        <f t="shared" si="26"/>
        <v>16.823230915688463</v>
      </c>
      <c r="F51" s="13">
        <f t="shared" si="26"/>
        <v>23.576831867900886</v>
      </c>
      <c r="G51" s="13">
        <f t="shared" si="26"/>
        <v>30.577504623320003</v>
      </c>
      <c r="H51" s="13">
        <f t="shared" si="26"/>
        <v>37.833074132299025</v>
      </c>
      <c r="I51" s="13">
        <f t="shared" si="26"/>
        <v>45.351595865770484</v>
      </c>
      <c r="J51" s="13">
        <f t="shared" si="26"/>
        <v>53.141362105911149</v>
      </c>
      <c r="K51" s="13">
        <f t="shared" si="26"/>
        <v>61.210908386872482</v>
      </c>
      <c r="L51" s="13">
        <f t="shared" si="26"/>
        <v>69.569020088049683</v>
      </c>
      <c r="M51" s="13">
        <f t="shared" si="26"/>
        <v>78.224739182333707</v>
      </c>
      <c r="N51" s="13">
        <f t="shared" si="26"/>
        <v>87.187371141763805</v>
      </c>
      <c r="O51" s="13">
        <f t="shared" si="26"/>
        <v>96.466492002956258</v>
      </c>
      <c r="P51" s="13">
        <f t="shared" si="26"/>
        <v>106.07195559464546</v>
      </c>
      <c r="Q51" s="13">
        <f t="shared" si="26"/>
        <v>116.01390092962151</v>
      </c>
    </row>
    <row r="52" spans="1:17" x14ac:dyDescent="0.25">
      <c r="A52" s="10" t="s">
        <v>64</v>
      </c>
      <c r="B52" s="13">
        <f>SUM(B45:B51)</f>
        <v>10</v>
      </c>
      <c r="C52" s="13">
        <f>SUM(C45:C51)</f>
        <v>20.309101193817455</v>
      </c>
      <c r="D52" s="13">
        <f t="shared" ref="D52:Q52" si="27">SUM(D45:D51)</f>
        <v>16.823230915688463</v>
      </c>
      <c r="E52" s="13">
        <f t="shared" si="27"/>
        <v>23.576831867900886</v>
      </c>
      <c r="F52" s="13">
        <f t="shared" si="27"/>
        <v>30.577504623320003</v>
      </c>
      <c r="G52" s="13">
        <f t="shared" si="27"/>
        <v>37.833074132299025</v>
      </c>
      <c r="H52" s="13">
        <f t="shared" si="27"/>
        <v>45.351595865770484</v>
      </c>
      <c r="I52" s="13">
        <f t="shared" si="27"/>
        <v>53.141362105911149</v>
      </c>
      <c r="J52" s="13">
        <f t="shared" si="27"/>
        <v>61.210908386872482</v>
      </c>
      <c r="K52" s="13">
        <f t="shared" si="27"/>
        <v>69.569020088049683</v>
      </c>
      <c r="L52" s="13">
        <f t="shared" si="27"/>
        <v>78.224739182333707</v>
      </c>
      <c r="M52" s="13">
        <f t="shared" si="27"/>
        <v>87.187371141763805</v>
      </c>
      <c r="N52" s="13">
        <f t="shared" si="27"/>
        <v>96.466492002956258</v>
      </c>
      <c r="O52" s="13">
        <f t="shared" si="27"/>
        <v>106.07195559464546</v>
      </c>
      <c r="P52" s="13">
        <f t="shared" si="27"/>
        <v>116.01390092962151</v>
      </c>
      <c r="Q52" s="13">
        <f t="shared" si="27"/>
        <v>126.3027597632915</v>
      </c>
    </row>
    <row r="53" spans="1:17" x14ac:dyDescent="0.25">
      <c r="A53" t="str">
        <f>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  <c r="B53" s="36"/>
      <c r="C53" s="36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</row>
    <row r="54" spans="1:17" x14ac:dyDescent="0.25">
      <c r="B54" s="13"/>
      <c r="C54" s="23" t="str">
        <f>C44</f>
        <v>A1</v>
      </c>
      <c r="D54" s="23" t="str">
        <f t="shared" ref="D54:Q54" si="28">D44</f>
        <v>A2</v>
      </c>
      <c r="E54" s="23" t="str">
        <f t="shared" si="28"/>
        <v>A3</v>
      </c>
      <c r="F54" s="23" t="str">
        <f t="shared" si="28"/>
        <v>A4</v>
      </c>
      <c r="G54" s="23" t="str">
        <f t="shared" si="28"/>
        <v>A5</v>
      </c>
      <c r="H54" s="23" t="str">
        <f t="shared" si="28"/>
        <v>A6</v>
      </c>
      <c r="I54" s="23" t="str">
        <f t="shared" si="28"/>
        <v>A7</v>
      </c>
      <c r="J54" s="23" t="str">
        <f t="shared" si="28"/>
        <v>A8</v>
      </c>
      <c r="K54" s="23" t="str">
        <f t="shared" si="28"/>
        <v>A9</v>
      </c>
      <c r="L54" s="23" t="str">
        <f t="shared" si="28"/>
        <v>A10</v>
      </c>
      <c r="M54" s="23" t="str">
        <f t="shared" si="28"/>
        <v>A11</v>
      </c>
      <c r="N54" s="23" t="str">
        <f t="shared" si="28"/>
        <v>A12</v>
      </c>
      <c r="O54" s="23" t="str">
        <f t="shared" si="28"/>
        <v>A13</v>
      </c>
      <c r="P54" s="23" t="str">
        <f t="shared" si="28"/>
        <v>A14</v>
      </c>
      <c r="Q54" s="23" t="str">
        <f t="shared" si="28"/>
        <v>A15</v>
      </c>
    </row>
    <row r="55" spans="1:17" x14ac:dyDescent="0.25">
      <c r="A55" s="10" t="s">
        <v>16</v>
      </c>
      <c r="B55" s="13">
        <f>B46</f>
        <v>313.2000000000001</v>
      </c>
      <c r="C55" s="13">
        <f>B55+C42+C46</f>
        <v>374.18608000000012</v>
      </c>
      <c r="D55" s="13">
        <f t="shared" ref="D55:Q55" si="29">C55+D42+D46</f>
        <v>424.08965257433192</v>
      </c>
      <c r="E55" s="13">
        <f t="shared" si="29"/>
        <v>487.06722130736591</v>
      </c>
      <c r="F55" s="13">
        <f t="shared" si="29"/>
        <v>553.25394039374351</v>
      </c>
      <c r="G55" s="13">
        <f t="shared" si="29"/>
        <v>622.79092831857417</v>
      </c>
      <c r="H55" s="13">
        <f t="shared" si="29"/>
        <v>695.82553229661062</v>
      </c>
      <c r="I55" s="13">
        <f t="shared" si="29"/>
        <v>772.51160448232167</v>
      </c>
      <c r="J55" s="13">
        <f t="shared" si="29"/>
        <v>853.00979047640408</v>
      </c>
      <c r="K55" s="13">
        <f t="shared" si="29"/>
        <v>937.48783067779277</v>
      </c>
      <c r="L55" s="13">
        <f t="shared" si="29"/>
        <v>1026.1208750547978</v>
      </c>
      <c r="M55" s="13">
        <f t="shared" si="29"/>
        <v>1119.0918119346713</v>
      </c>
      <c r="N55" s="13">
        <f t="shared" si="29"/>
        <v>1216.5916114377271</v>
      </c>
      <c r="O55" s="13">
        <f t="shared" si="29"/>
        <v>1318.8196842101636</v>
      </c>
      <c r="P55" s="13">
        <f t="shared" si="29"/>
        <v>1425.9842561390205</v>
      </c>
      <c r="Q55" s="13">
        <f t="shared" si="29"/>
        <v>1538.3027597632961</v>
      </c>
    </row>
    <row r="56" spans="1:17" x14ac:dyDescent="0.25">
      <c r="A56" s="10" t="s">
        <v>19</v>
      </c>
      <c r="B56" s="13">
        <f>B47</f>
        <v>1252.8000000000004</v>
      </c>
      <c r="C56" s="13">
        <f>B56+C47</f>
        <v>1192.5230211938178</v>
      </c>
      <c r="D56" s="13">
        <f t="shared" ref="D56:Q56" si="30">C56+D47</f>
        <v>1129.533578341357</v>
      </c>
      <c r="E56" s="13">
        <f t="shared" si="30"/>
        <v>1063.7096105605356</v>
      </c>
      <c r="F56" s="13">
        <f t="shared" si="30"/>
        <v>994.9235642295771</v>
      </c>
      <c r="G56" s="13">
        <f t="shared" si="30"/>
        <v>923.04214581372548</v>
      </c>
      <c r="H56" s="13">
        <f t="shared" si="30"/>
        <v>847.92606356916053</v>
      </c>
      <c r="I56" s="13">
        <f t="shared" si="30"/>
        <v>769.42975762359015</v>
      </c>
      <c r="J56" s="13">
        <f t="shared" si="30"/>
        <v>687.40111791046911</v>
      </c>
      <c r="K56" s="13">
        <f t="shared" si="30"/>
        <v>601.68118941025762</v>
      </c>
      <c r="L56" s="13">
        <f t="shared" si="30"/>
        <v>512.10386412753655</v>
      </c>
      <c r="M56" s="13">
        <f t="shared" si="30"/>
        <v>418.49555920709309</v>
      </c>
      <c r="N56" s="13">
        <f t="shared" si="30"/>
        <v>320.67488056522967</v>
      </c>
      <c r="O56" s="13">
        <f t="shared" si="30"/>
        <v>218.4522713844824</v>
      </c>
      <c r="P56" s="13">
        <f t="shared" si="30"/>
        <v>111.6296447906015</v>
      </c>
      <c r="Q56" s="13">
        <f t="shared" si="30"/>
        <v>-4.0358827391173691E-12</v>
      </c>
    </row>
    <row r="57" spans="1:17" x14ac:dyDescent="0.25">
      <c r="B57" s="36"/>
      <c r="C57" s="36"/>
      <c r="D57" s="36"/>
      <c r="E57" s="36"/>
      <c r="F57" s="36"/>
      <c r="G57" s="36"/>
      <c r="H57" s="36"/>
      <c r="I57" s="36"/>
      <c r="J57" s="36"/>
      <c r="K57" s="36"/>
      <c r="L57" s="36"/>
      <c r="M57" s="36"/>
      <c r="N57" s="36"/>
      <c r="O57" s="36"/>
      <c r="P57" s="36"/>
      <c r="Q57" s="36"/>
    </row>
    <row r="58" spans="1:17" x14ac:dyDescent="0.25">
      <c r="A58" s="10" t="s">
        <v>24</v>
      </c>
      <c r="B58" s="13">
        <f>-B48</f>
        <v>300</v>
      </c>
      <c r="C58" s="10">
        <f>B58-C37</f>
        <v>290.39999999999998</v>
      </c>
      <c r="D58" s="10">
        <f t="shared" ref="D58:Q58" si="31">C58-D37</f>
        <v>280.79999999999995</v>
      </c>
      <c r="E58" s="10">
        <f t="shared" si="31"/>
        <v>271.19999999999993</v>
      </c>
      <c r="F58" s="10">
        <f t="shared" si="31"/>
        <v>261.59999999999991</v>
      </c>
      <c r="G58" s="10">
        <f t="shared" si="31"/>
        <v>251.99999999999991</v>
      </c>
      <c r="H58" s="10">
        <f t="shared" si="31"/>
        <v>242.39999999999992</v>
      </c>
      <c r="I58" s="10">
        <f t="shared" si="31"/>
        <v>232.79999999999993</v>
      </c>
      <c r="J58" s="10">
        <f t="shared" si="31"/>
        <v>223.19999999999993</v>
      </c>
      <c r="K58" s="10">
        <f t="shared" si="31"/>
        <v>213.59999999999994</v>
      </c>
      <c r="L58" s="10">
        <f t="shared" si="31"/>
        <v>203.99999999999994</v>
      </c>
      <c r="M58" s="10">
        <f t="shared" si="31"/>
        <v>194.39999999999995</v>
      </c>
      <c r="N58" s="10">
        <f t="shared" si="31"/>
        <v>184.79999999999995</v>
      </c>
      <c r="O58" s="10">
        <f t="shared" si="31"/>
        <v>175.19999999999996</v>
      </c>
      <c r="P58" s="10">
        <f t="shared" si="31"/>
        <v>165.59999999999997</v>
      </c>
      <c r="Q58" s="10">
        <f t="shared" si="31"/>
        <v>155.99999999999997</v>
      </c>
    </row>
    <row r="59" spans="1:17" x14ac:dyDescent="0.25">
      <c r="A59" s="10" t="s">
        <v>27</v>
      </c>
      <c r="B59" s="13">
        <f>-B49</f>
        <v>1256.0000000000005</v>
      </c>
      <c r="C59" s="13">
        <f>B59</f>
        <v>1256.0000000000005</v>
      </c>
      <c r="D59" s="13">
        <f t="shared" ref="D59:Q59" si="32">C59</f>
        <v>1256.0000000000005</v>
      </c>
      <c r="E59" s="13">
        <f t="shared" si="32"/>
        <v>1256.0000000000005</v>
      </c>
      <c r="F59" s="13">
        <f t="shared" si="32"/>
        <v>1256.0000000000005</v>
      </c>
      <c r="G59" s="13">
        <f t="shared" si="32"/>
        <v>1256.0000000000005</v>
      </c>
      <c r="H59" s="13">
        <f t="shared" si="32"/>
        <v>1256.0000000000005</v>
      </c>
      <c r="I59" s="13">
        <f t="shared" si="32"/>
        <v>1256.0000000000005</v>
      </c>
      <c r="J59" s="13">
        <f t="shared" si="32"/>
        <v>1256.0000000000005</v>
      </c>
      <c r="K59" s="13">
        <f t="shared" si="32"/>
        <v>1256.0000000000005</v>
      </c>
      <c r="L59" s="13">
        <f t="shared" si="32"/>
        <v>1256.0000000000005</v>
      </c>
      <c r="M59" s="13">
        <f t="shared" si="32"/>
        <v>1256.0000000000005</v>
      </c>
      <c r="N59" s="13">
        <f t="shared" si="32"/>
        <v>1256.0000000000005</v>
      </c>
      <c r="O59" s="13">
        <f t="shared" si="32"/>
        <v>1256.0000000000005</v>
      </c>
      <c r="P59" s="13">
        <f t="shared" si="32"/>
        <v>1256.0000000000005</v>
      </c>
      <c r="Q59" s="13">
        <f t="shared" si="32"/>
        <v>1256.0000000000005</v>
      </c>
    </row>
    <row r="60" spans="1:17" x14ac:dyDescent="0.25">
      <c r="A60" s="10" t="s">
        <v>30</v>
      </c>
      <c r="B60" s="13">
        <f>-B50</f>
        <v>0</v>
      </c>
      <c r="C60" s="13">
        <f>B60-C50</f>
        <v>0</v>
      </c>
      <c r="D60" s="13">
        <f t="shared" ref="D60:Q60" si="33">C60-D50</f>
        <v>0</v>
      </c>
      <c r="E60" s="13">
        <f t="shared" si="33"/>
        <v>0</v>
      </c>
      <c r="F60" s="13">
        <f t="shared" si="33"/>
        <v>0</v>
      </c>
      <c r="G60" s="13">
        <f t="shared" si="33"/>
        <v>0</v>
      </c>
      <c r="H60" s="13">
        <f t="shared" si="33"/>
        <v>0</v>
      </c>
      <c r="I60" s="13">
        <f t="shared" si="33"/>
        <v>0</v>
      </c>
      <c r="J60" s="13">
        <f t="shared" si="33"/>
        <v>0</v>
      </c>
      <c r="K60" s="13">
        <f t="shared" si="33"/>
        <v>0</v>
      </c>
      <c r="L60" s="13">
        <f t="shared" si="33"/>
        <v>0</v>
      </c>
      <c r="M60" s="13">
        <f t="shared" si="33"/>
        <v>0</v>
      </c>
      <c r="N60" s="13">
        <f t="shared" si="33"/>
        <v>0</v>
      </c>
      <c r="O60" s="13">
        <f t="shared" si="33"/>
        <v>0</v>
      </c>
      <c r="P60" s="13">
        <f t="shared" si="33"/>
        <v>0</v>
      </c>
      <c r="Q60" s="13">
        <f t="shared" si="33"/>
        <v>0</v>
      </c>
    </row>
    <row r="61" spans="1:17" x14ac:dyDescent="0.25">
      <c r="A61" s="10" t="s">
        <v>32</v>
      </c>
      <c r="B61" s="13">
        <f>B52</f>
        <v>10</v>
      </c>
      <c r="C61" s="13">
        <f>C52</f>
        <v>20.309101193817455</v>
      </c>
      <c r="D61" s="13">
        <f t="shared" ref="D61:Q61" si="34">D52</f>
        <v>16.823230915688463</v>
      </c>
      <c r="E61" s="13">
        <f t="shared" si="34"/>
        <v>23.576831867900886</v>
      </c>
      <c r="F61" s="13">
        <f t="shared" si="34"/>
        <v>30.577504623320003</v>
      </c>
      <c r="G61" s="13">
        <f t="shared" si="34"/>
        <v>37.833074132299025</v>
      </c>
      <c r="H61" s="13">
        <f t="shared" si="34"/>
        <v>45.351595865770484</v>
      </c>
      <c r="I61" s="13">
        <f t="shared" si="34"/>
        <v>53.141362105911149</v>
      </c>
      <c r="J61" s="13">
        <f t="shared" si="34"/>
        <v>61.210908386872482</v>
      </c>
      <c r="K61" s="13">
        <f t="shared" si="34"/>
        <v>69.569020088049683</v>
      </c>
      <c r="L61" s="13">
        <f t="shared" si="34"/>
        <v>78.224739182333707</v>
      </c>
      <c r="M61" s="13">
        <f t="shared" si="34"/>
        <v>87.187371141763805</v>
      </c>
      <c r="N61" s="13">
        <f t="shared" si="34"/>
        <v>96.466492002956258</v>
      </c>
      <c r="O61" s="13">
        <f t="shared" si="34"/>
        <v>106.07195559464546</v>
      </c>
      <c r="P61" s="13">
        <f t="shared" si="34"/>
        <v>116.01390092962151</v>
      </c>
      <c r="Q61" s="13">
        <f t="shared" si="34"/>
        <v>126.3027597632915</v>
      </c>
    </row>
    <row r="62" spans="1:17" x14ac:dyDescent="0.25">
      <c r="A62" s="8" t="s">
        <v>34</v>
      </c>
      <c r="B62" s="21">
        <f>SUM(B58:B61)</f>
        <v>1566.0000000000005</v>
      </c>
      <c r="C62" s="21">
        <f>SUM(C58:C61)</f>
        <v>1566.709101193818</v>
      </c>
      <c r="D62" s="21">
        <f t="shared" ref="D62:Q62" si="35">SUM(D58:D61)</f>
        <v>1553.623230915689</v>
      </c>
      <c r="E62" s="21">
        <f t="shared" si="35"/>
        <v>1550.7768318679011</v>
      </c>
      <c r="F62" s="21">
        <f t="shared" si="35"/>
        <v>1548.1775046233204</v>
      </c>
      <c r="G62" s="21">
        <f t="shared" si="35"/>
        <v>1545.8330741322995</v>
      </c>
      <c r="H62" s="21">
        <f t="shared" si="35"/>
        <v>1543.7515958657707</v>
      </c>
      <c r="I62" s="21">
        <f t="shared" si="35"/>
        <v>1541.9413621059116</v>
      </c>
      <c r="J62" s="21">
        <f t="shared" si="35"/>
        <v>1540.4109083868727</v>
      </c>
      <c r="K62" s="21">
        <f t="shared" si="35"/>
        <v>1539.16902008805</v>
      </c>
      <c r="L62" s="21">
        <f t="shared" si="35"/>
        <v>1538.2247391823341</v>
      </c>
      <c r="M62" s="21">
        <f t="shared" si="35"/>
        <v>1537.5873711417642</v>
      </c>
      <c r="N62" s="21">
        <f t="shared" si="35"/>
        <v>1537.2664920029567</v>
      </c>
      <c r="O62" s="21">
        <f t="shared" si="35"/>
        <v>1537.271955594646</v>
      </c>
      <c r="P62" s="21">
        <f t="shared" si="35"/>
        <v>1537.6139009296219</v>
      </c>
      <c r="Q62" s="21">
        <f t="shared" si="35"/>
        <v>1538.302759763292</v>
      </c>
    </row>
    <row r="63" spans="1:17" x14ac:dyDescent="0.25">
      <c r="A63" s="10" t="s">
        <v>65</v>
      </c>
      <c r="B63" s="13">
        <f>B62-B55-B56</f>
        <v>0</v>
      </c>
      <c r="C63" s="13">
        <f>C62-C55-C56</f>
        <v>0</v>
      </c>
      <c r="D63" s="13">
        <f t="shared" ref="D63:Q63" si="36">D62-D55-D56</f>
        <v>0</v>
      </c>
      <c r="E63" s="13">
        <f t="shared" si="36"/>
        <v>0</v>
      </c>
      <c r="F63" s="13">
        <f t="shared" si="36"/>
        <v>0</v>
      </c>
      <c r="G63" s="13">
        <f t="shared" si="36"/>
        <v>0</v>
      </c>
      <c r="H63" s="13">
        <f t="shared" si="36"/>
        <v>0</v>
      </c>
      <c r="I63" s="13">
        <f t="shared" si="36"/>
        <v>0</v>
      </c>
      <c r="J63" s="13">
        <f t="shared" si="36"/>
        <v>0</v>
      </c>
      <c r="K63" s="13">
        <f t="shared" si="36"/>
        <v>0</v>
      </c>
      <c r="L63" s="13">
        <f t="shared" si="36"/>
        <v>0</v>
      </c>
      <c r="M63" s="13">
        <f t="shared" si="36"/>
        <v>0</v>
      </c>
      <c r="N63" s="13">
        <f t="shared" si="36"/>
        <v>0</v>
      </c>
      <c r="O63" s="13">
        <f t="shared" si="36"/>
        <v>0</v>
      </c>
      <c r="P63" s="13">
        <f t="shared" si="36"/>
        <v>-1.7053025658242404E-13</v>
      </c>
      <c r="Q63" s="13">
        <f t="shared" si="36"/>
        <v>-5.6843418860808015E-14</v>
      </c>
    </row>
    <row r="64" spans="1:17" x14ac:dyDescent="0.25">
      <c r="A64" t="str">
        <f>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  <c r="C64" s="36"/>
      <c r="D64" s="36"/>
      <c r="E64" s="36"/>
      <c r="F64" s="36"/>
      <c r="G64" s="36"/>
      <c r="H64" s="36"/>
      <c r="I64" s="36"/>
      <c r="J64" s="36"/>
      <c r="K64" s="36"/>
      <c r="L64" s="36"/>
      <c r="M64" s="36"/>
      <c r="N64" s="36"/>
      <c r="O64" s="36"/>
      <c r="P64" s="36"/>
      <c r="Q64" s="36"/>
    </row>
    <row r="65" spans="1:17" x14ac:dyDescent="0.25">
      <c r="A65" s="10"/>
      <c r="B65" s="10"/>
      <c r="C65" s="23" t="str">
        <f>C54</f>
        <v>A1</v>
      </c>
      <c r="D65" s="23" t="str">
        <f t="shared" ref="D65:Q65" si="37">D54</f>
        <v>A2</v>
      </c>
      <c r="E65" s="23" t="str">
        <f t="shared" si="37"/>
        <v>A3</v>
      </c>
      <c r="F65" s="23" t="str">
        <f t="shared" si="37"/>
        <v>A4</v>
      </c>
      <c r="G65" s="23" t="str">
        <f t="shared" si="37"/>
        <v>A5</v>
      </c>
      <c r="H65" s="23" t="str">
        <f t="shared" si="37"/>
        <v>A6</v>
      </c>
      <c r="I65" s="23" t="str">
        <f t="shared" si="37"/>
        <v>A7</v>
      </c>
      <c r="J65" s="23" t="str">
        <f t="shared" si="37"/>
        <v>A8</v>
      </c>
      <c r="K65" s="23" t="str">
        <f t="shared" si="37"/>
        <v>A9</v>
      </c>
      <c r="L65" s="23" t="str">
        <f t="shared" si="37"/>
        <v>A10</v>
      </c>
      <c r="M65" s="23" t="str">
        <f t="shared" si="37"/>
        <v>A11</v>
      </c>
      <c r="N65" s="23" t="str">
        <f t="shared" si="37"/>
        <v>A12</v>
      </c>
      <c r="O65" s="23" t="str">
        <f t="shared" si="37"/>
        <v>A13</v>
      </c>
      <c r="P65" s="23" t="str">
        <f t="shared" si="37"/>
        <v>A14</v>
      </c>
      <c r="Q65" s="23" t="str">
        <f t="shared" si="37"/>
        <v>A15</v>
      </c>
    </row>
    <row r="66" spans="1:17" x14ac:dyDescent="0.25">
      <c r="A66" s="10" t="s">
        <v>66</v>
      </c>
      <c r="B66" s="10">
        <f>-B46</f>
        <v>-313.2000000000001</v>
      </c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</row>
    <row r="67" spans="1:17" x14ac:dyDescent="0.25">
      <c r="A67" s="10" t="s">
        <v>67</v>
      </c>
      <c r="B67" s="10"/>
      <c r="C67" s="10"/>
      <c r="D67" s="13">
        <f>-D46</f>
        <v>20.309101193817455</v>
      </c>
      <c r="E67" s="13">
        <f t="shared" ref="E67:Q67" si="38">-E46</f>
        <v>16.823230915688463</v>
      </c>
      <c r="F67" s="13">
        <f t="shared" si="38"/>
        <v>23.576831867900886</v>
      </c>
      <c r="G67" s="13">
        <f t="shared" si="38"/>
        <v>30.577504623320003</v>
      </c>
      <c r="H67" s="13">
        <f t="shared" si="38"/>
        <v>37.833074132299025</v>
      </c>
      <c r="I67" s="13">
        <f t="shared" si="38"/>
        <v>45.351595865770484</v>
      </c>
      <c r="J67" s="13">
        <f t="shared" si="38"/>
        <v>53.141362105911149</v>
      </c>
      <c r="K67" s="13">
        <f t="shared" si="38"/>
        <v>61.210908386872482</v>
      </c>
      <c r="L67" s="13">
        <f t="shared" si="38"/>
        <v>69.569020088049683</v>
      </c>
      <c r="M67" s="13">
        <f t="shared" si="38"/>
        <v>78.224739182333707</v>
      </c>
      <c r="N67" s="13">
        <f t="shared" si="38"/>
        <v>87.187371141763805</v>
      </c>
      <c r="O67" s="13">
        <f t="shared" si="38"/>
        <v>96.466492002956258</v>
      </c>
      <c r="P67" s="13">
        <f t="shared" si="38"/>
        <v>106.07195559464546</v>
      </c>
      <c r="Q67" s="13">
        <f t="shared" si="38"/>
        <v>116.01390092962151</v>
      </c>
    </row>
    <row r="68" spans="1:17" x14ac:dyDescent="0.25">
      <c r="A68" s="10" t="s">
        <v>68</v>
      </c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3">
        <f>G24</f>
        <v>2767.8226025211152</v>
      </c>
    </row>
    <row r="69" spans="1:17" x14ac:dyDescent="0.25">
      <c r="A69" s="10" t="s">
        <v>69</v>
      </c>
      <c r="B69" s="10">
        <f>SUM(B66:B68)</f>
        <v>-313.2000000000001</v>
      </c>
      <c r="C69" s="10">
        <f t="shared" ref="C69:Q69" si="39">SUM(C66:C68)</f>
        <v>0</v>
      </c>
      <c r="D69" s="13">
        <f t="shared" si="39"/>
        <v>20.309101193817455</v>
      </c>
      <c r="E69" s="13">
        <f t="shared" si="39"/>
        <v>16.823230915688463</v>
      </c>
      <c r="F69" s="13">
        <f t="shared" si="39"/>
        <v>23.576831867900886</v>
      </c>
      <c r="G69" s="13">
        <f t="shared" si="39"/>
        <v>30.577504623320003</v>
      </c>
      <c r="H69" s="13">
        <f t="shared" si="39"/>
        <v>37.833074132299025</v>
      </c>
      <c r="I69" s="13">
        <f t="shared" si="39"/>
        <v>45.351595865770484</v>
      </c>
      <c r="J69" s="13">
        <f t="shared" si="39"/>
        <v>53.141362105911149</v>
      </c>
      <c r="K69" s="13">
        <f t="shared" si="39"/>
        <v>61.210908386872482</v>
      </c>
      <c r="L69" s="13">
        <f t="shared" si="39"/>
        <v>69.569020088049683</v>
      </c>
      <c r="M69" s="13">
        <f t="shared" si="39"/>
        <v>78.224739182333707</v>
      </c>
      <c r="N69" s="13">
        <f t="shared" si="39"/>
        <v>87.187371141763805</v>
      </c>
      <c r="O69" s="13">
        <f t="shared" si="39"/>
        <v>96.466492002956258</v>
      </c>
      <c r="P69" s="13">
        <f t="shared" si="39"/>
        <v>106.07195559464546</v>
      </c>
      <c r="Q69" s="13">
        <f t="shared" si="39"/>
        <v>2883.8365034507369</v>
      </c>
    </row>
    <row r="70" spans="1:17" x14ac:dyDescent="0.25">
      <c r="A70" s="10" t="s">
        <v>70</v>
      </c>
      <c r="B70" s="37">
        <f>IRR(B69:Q69)</f>
        <v>0.20630559054089459</v>
      </c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</row>
    <row r="71" spans="1:17" x14ac:dyDescent="0.25">
      <c r="A71" t="str">
        <f>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</row>
    <row r="72" spans="1:17" x14ac:dyDescent="0.25">
      <c r="A72" s="38" t="s">
        <v>75</v>
      </c>
      <c r="C72" s="23" t="s">
        <v>2</v>
      </c>
      <c r="D72" s="33" t="s">
        <v>3</v>
      </c>
      <c r="E72" s="33" t="s">
        <v>4</v>
      </c>
      <c r="F72" s="5" t="s">
        <v>5</v>
      </c>
      <c r="G72" s="5" t="s">
        <v>6</v>
      </c>
      <c r="H72" s="5" t="s">
        <v>7</v>
      </c>
      <c r="I72" s="5" t="s">
        <v>8</v>
      </c>
      <c r="J72" s="5" t="s">
        <v>9</v>
      </c>
      <c r="K72" s="5" t="s">
        <v>10</v>
      </c>
      <c r="L72" s="5" t="s">
        <v>11</v>
      </c>
      <c r="M72" s="5" t="s">
        <v>56</v>
      </c>
      <c r="N72" s="5" t="s">
        <v>57</v>
      </c>
      <c r="O72" s="5" t="s">
        <v>58</v>
      </c>
      <c r="P72" s="5" t="s">
        <v>59</v>
      </c>
      <c r="Q72" s="5" t="s">
        <v>60</v>
      </c>
    </row>
    <row r="73" spans="1:17" x14ac:dyDescent="0.25">
      <c r="A73" s="8" t="s">
        <v>15</v>
      </c>
      <c r="B73" s="10"/>
      <c r="C73" s="13">
        <f>C5</f>
        <v>1800</v>
      </c>
      <c r="D73" s="13">
        <f>C73*(1+$D$5)</f>
        <v>1854</v>
      </c>
      <c r="E73" s="13">
        <f t="shared" ref="E73:Q73" si="40">D73*(1+$D$5)</f>
        <v>1909.6200000000001</v>
      </c>
      <c r="F73" s="13">
        <f t="shared" si="40"/>
        <v>1966.9086000000002</v>
      </c>
      <c r="G73" s="13">
        <f t="shared" si="40"/>
        <v>2025.9158580000003</v>
      </c>
      <c r="H73" s="13">
        <f t="shared" si="40"/>
        <v>2086.6933337400005</v>
      </c>
      <c r="I73" s="13">
        <f t="shared" si="40"/>
        <v>2149.2941337522007</v>
      </c>
      <c r="J73" s="13">
        <f t="shared" si="40"/>
        <v>2213.7729577647669</v>
      </c>
      <c r="K73" s="13">
        <f t="shared" si="40"/>
        <v>2280.1861464977101</v>
      </c>
      <c r="L73" s="13">
        <f t="shared" si="40"/>
        <v>2348.5917308926414</v>
      </c>
      <c r="M73" s="13">
        <f t="shared" si="40"/>
        <v>2419.0494828194205</v>
      </c>
      <c r="N73" s="13">
        <f t="shared" si="40"/>
        <v>2491.620967304003</v>
      </c>
      <c r="O73" s="13">
        <f t="shared" si="40"/>
        <v>2566.369596323123</v>
      </c>
      <c r="P73" s="13">
        <f t="shared" si="40"/>
        <v>2643.360684212817</v>
      </c>
      <c r="Q73" s="13">
        <f t="shared" si="40"/>
        <v>2722.6615047392015</v>
      </c>
    </row>
    <row r="74" spans="1:17" x14ac:dyDescent="0.25">
      <c r="A74" s="10" t="s">
        <v>61</v>
      </c>
      <c r="B74" s="13"/>
      <c r="C74" s="13">
        <f>C73*$B$26</f>
        <v>504.00000000000006</v>
      </c>
      <c r="D74" s="13">
        <f>D73*($B$26+$D$26/14)</f>
        <v>520.4442857142858</v>
      </c>
      <c r="E74" s="13">
        <f>E73*($B$26+2*$D$26/14)</f>
        <v>537.42162857142864</v>
      </c>
      <c r="F74" s="13">
        <f>F73*($B$26+3*$D$26/14)</f>
        <v>554.94921214285728</v>
      </c>
      <c r="G74" s="13">
        <f>G73*($B$26+4*$D$26/14)</f>
        <v>573.04477126285724</v>
      </c>
      <c r="H74" s="13">
        <f>H73*($B$26+5*$D$26/14)</f>
        <v>591.7266096391287</v>
      </c>
      <c r="I74" s="13">
        <f>I73*($B$26+6*$D$26/14)</f>
        <v>611.01361802383997</v>
      </c>
      <c r="J74" s="13">
        <f>J73*($B$26+7*$D$26/14)</f>
        <v>630.92529296295868</v>
      </c>
      <c r="K74" s="13">
        <f>K73*($B$26+8*$D$26/14)</f>
        <v>651.48175614220293</v>
      </c>
      <c r="L74" s="13">
        <f>L73*($B$26+9*$D$26/14)</f>
        <v>672.70377434853526</v>
      </c>
      <c r="M74" s="13">
        <f>M73*($B$26+10*$D$26/14)</f>
        <v>694.61278006671932</v>
      </c>
      <c r="N74" s="13">
        <f>N73*($B$26+11*$D$26/14)</f>
        <v>717.23089273108087</v>
      </c>
      <c r="O74" s="13">
        <f>O73*($B$26+12*$D$26/14)</f>
        <v>740.58094065324417</v>
      </c>
      <c r="P74" s="13">
        <f>P73*($B$26+13*$D$26/14)</f>
        <v>764.68648364727926</v>
      </c>
      <c r="Q74" s="13">
        <f>Q73*($B$26+$D$26)</f>
        <v>789.57183637436856</v>
      </c>
    </row>
    <row r="75" spans="1:17" x14ac:dyDescent="0.25">
      <c r="A75" s="10" t="s">
        <v>21</v>
      </c>
      <c r="B75" s="13"/>
      <c r="C75" s="13">
        <f>C7</f>
        <v>306</v>
      </c>
      <c r="D75" s="13">
        <f>C75*(1+$D$7)</f>
        <v>309.06</v>
      </c>
      <c r="E75" s="13">
        <f t="shared" ref="E75:Q75" si="41">D75*(1+$D$7)</f>
        <v>312.1506</v>
      </c>
      <c r="F75" s="13">
        <f t="shared" si="41"/>
        <v>315.27210600000001</v>
      </c>
      <c r="G75" s="13">
        <f t="shared" si="41"/>
        <v>318.42482705999998</v>
      </c>
      <c r="H75" s="13">
        <f t="shared" si="41"/>
        <v>321.60907533059998</v>
      </c>
      <c r="I75" s="13">
        <f t="shared" si="41"/>
        <v>324.82516608390597</v>
      </c>
      <c r="J75" s="13">
        <f t="shared" si="41"/>
        <v>328.07341774474503</v>
      </c>
      <c r="K75" s="13">
        <f t="shared" si="41"/>
        <v>331.3541519221925</v>
      </c>
      <c r="L75" s="13">
        <f t="shared" si="41"/>
        <v>334.66769344141443</v>
      </c>
      <c r="M75" s="13">
        <f t="shared" si="41"/>
        <v>338.01437037582855</v>
      </c>
      <c r="N75" s="13">
        <f t="shared" si="41"/>
        <v>341.39451407958683</v>
      </c>
      <c r="O75" s="13">
        <f t="shared" si="41"/>
        <v>344.8084592203827</v>
      </c>
      <c r="P75" s="13">
        <f t="shared" si="41"/>
        <v>348.25654381258653</v>
      </c>
      <c r="Q75" s="13">
        <f t="shared" si="41"/>
        <v>351.73910925071237</v>
      </c>
    </row>
    <row r="76" spans="1:17" x14ac:dyDescent="0.25">
      <c r="A76" s="10" t="s">
        <v>23</v>
      </c>
      <c r="B76" s="10"/>
      <c r="C76" s="13">
        <f>C8</f>
        <v>24</v>
      </c>
      <c r="D76" s="13">
        <f>C76*(1+$D$8)</f>
        <v>24.36</v>
      </c>
      <c r="E76" s="13">
        <f t="shared" ref="E76:Q76" si="42">D76*(1+$D$8)</f>
        <v>24.725399999999997</v>
      </c>
      <c r="F76" s="13">
        <f t="shared" si="42"/>
        <v>25.096280999999994</v>
      </c>
      <c r="G76" s="13">
        <f t="shared" si="42"/>
        <v>25.47272521499999</v>
      </c>
      <c r="H76" s="13">
        <f t="shared" si="42"/>
        <v>25.854816093224986</v>
      </c>
      <c r="I76" s="13">
        <f t="shared" si="42"/>
        <v>26.242638334623358</v>
      </c>
      <c r="J76" s="13">
        <f t="shared" si="42"/>
        <v>26.636277909642704</v>
      </c>
      <c r="K76" s="13">
        <f t="shared" si="42"/>
        <v>27.035822078287342</v>
      </c>
      <c r="L76" s="13">
        <f t="shared" si="42"/>
        <v>27.441359409461651</v>
      </c>
      <c r="M76" s="13">
        <f t="shared" si="42"/>
        <v>27.852979800603574</v>
      </c>
      <c r="N76" s="13">
        <f t="shared" si="42"/>
        <v>28.270774497612624</v>
      </c>
      <c r="O76" s="13">
        <f t="shared" si="42"/>
        <v>28.694836115076811</v>
      </c>
      <c r="P76" s="13">
        <f t="shared" si="42"/>
        <v>29.125258656802959</v>
      </c>
      <c r="Q76" s="13">
        <f t="shared" si="42"/>
        <v>29.562137536655001</v>
      </c>
    </row>
    <row r="77" spans="1:17" x14ac:dyDescent="0.25">
      <c r="A77" s="10" t="s">
        <v>26</v>
      </c>
      <c r="B77" s="10"/>
      <c r="C77" s="16">
        <f>C76/C73</f>
        <v>1.3333333333333334E-2</v>
      </c>
      <c r="D77" s="16">
        <f t="shared" ref="D77:Q77" si="43">D76/D73</f>
        <v>1.3139158576051779E-2</v>
      </c>
      <c r="E77" s="16">
        <f t="shared" si="43"/>
        <v>1.2947811606497625E-2</v>
      </c>
      <c r="F77" s="16">
        <f t="shared" si="43"/>
        <v>1.2759251243296202E-2</v>
      </c>
      <c r="G77" s="16">
        <f t="shared" si="43"/>
        <v>1.2573436904801595E-2</v>
      </c>
      <c r="H77" s="16">
        <f t="shared" si="43"/>
        <v>1.2390328600362733E-2</v>
      </c>
      <c r="I77" s="16">
        <f t="shared" si="43"/>
        <v>1.2209886921716671E-2</v>
      </c>
      <c r="J77" s="16">
        <f t="shared" si="43"/>
        <v>1.2032073034507202E-2</v>
      </c>
      <c r="K77" s="16">
        <f t="shared" si="43"/>
        <v>1.1856848669926999E-2</v>
      </c>
      <c r="L77" s="16">
        <f t="shared" si="43"/>
        <v>1.1684176116481459E-2</v>
      </c>
      <c r="M77" s="16">
        <f t="shared" si="43"/>
        <v>1.1514018211872507E-2</v>
      </c>
      <c r="N77" s="16">
        <f t="shared" si="43"/>
        <v>1.1346338335000575E-2</v>
      </c>
      <c r="O77" s="16">
        <f t="shared" si="43"/>
        <v>1.118110039808309E-2</v>
      </c>
      <c r="P77" s="16">
        <f t="shared" si="43"/>
        <v>1.1018268838887704E-2</v>
      </c>
      <c r="Q77" s="16">
        <f t="shared" si="43"/>
        <v>1.0857808613078657E-2</v>
      </c>
    </row>
    <row r="78" spans="1:17" x14ac:dyDescent="0.25">
      <c r="A78" s="17" t="s">
        <v>29</v>
      </c>
      <c r="B78" s="10"/>
      <c r="C78" s="13">
        <f>C10</f>
        <v>0</v>
      </c>
      <c r="D78" s="13">
        <f>C78*(1+$D$10)</f>
        <v>0</v>
      </c>
      <c r="E78" s="13">
        <f t="shared" ref="E78:Q78" si="44">D78*(1+$D$10)</f>
        <v>0</v>
      </c>
      <c r="F78" s="13">
        <f t="shared" si="44"/>
        <v>0</v>
      </c>
      <c r="G78" s="13">
        <f t="shared" si="44"/>
        <v>0</v>
      </c>
      <c r="H78" s="13">
        <f t="shared" si="44"/>
        <v>0</v>
      </c>
      <c r="I78" s="13">
        <f t="shared" si="44"/>
        <v>0</v>
      </c>
      <c r="J78" s="13">
        <f t="shared" si="44"/>
        <v>0</v>
      </c>
      <c r="K78" s="13">
        <f t="shared" si="44"/>
        <v>0</v>
      </c>
      <c r="L78" s="13">
        <f t="shared" si="44"/>
        <v>0</v>
      </c>
      <c r="M78" s="13">
        <f t="shared" si="44"/>
        <v>0</v>
      </c>
      <c r="N78" s="13">
        <f t="shared" si="44"/>
        <v>0</v>
      </c>
      <c r="O78" s="13">
        <f t="shared" si="44"/>
        <v>0</v>
      </c>
      <c r="P78" s="13">
        <f t="shared" si="44"/>
        <v>0</v>
      </c>
      <c r="Q78" s="13">
        <f t="shared" si="44"/>
        <v>0</v>
      </c>
    </row>
    <row r="79" spans="1:17" x14ac:dyDescent="0.25">
      <c r="A79" s="8" t="s">
        <v>31</v>
      </c>
      <c r="B79" s="10"/>
      <c r="C79" s="13">
        <f>C74-C75-C76-C77-C78</f>
        <v>173.98666666666674</v>
      </c>
      <c r="D79" s="13">
        <f t="shared" ref="D79:Q79" si="45">D74-D75-D76-D77-D78</f>
        <v>187.01114655570973</v>
      </c>
      <c r="E79" s="13">
        <f t="shared" si="45"/>
        <v>200.53268075982214</v>
      </c>
      <c r="F79" s="13">
        <f t="shared" si="45"/>
        <v>214.56806589161397</v>
      </c>
      <c r="G79" s="13">
        <f t="shared" si="45"/>
        <v>229.13464555095246</v>
      </c>
      <c r="H79" s="13">
        <f t="shared" si="45"/>
        <v>244.25032788670336</v>
      </c>
      <c r="I79" s="13">
        <f t="shared" si="45"/>
        <v>259.93360371838895</v>
      </c>
      <c r="J79" s="13">
        <f t="shared" si="45"/>
        <v>276.20356523553642</v>
      </c>
      <c r="K79" s="13">
        <f t="shared" si="45"/>
        <v>293.07992529305312</v>
      </c>
      <c r="L79" s="13">
        <f t="shared" si="45"/>
        <v>310.58303732154269</v>
      </c>
      <c r="M79" s="13">
        <f t="shared" si="45"/>
        <v>328.73391587207533</v>
      </c>
      <c r="N79" s="13">
        <f t="shared" si="45"/>
        <v>347.55425781554641</v>
      </c>
      <c r="O79" s="13">
        <f t="shared" si="45"/>
        <v>367.06646421738662</v>
      </c>
      <c r="P79" s="13">
        <f t="shared" si="45"/>
        <v>387.29366290905091</v>
      </c>
      <c r="Q79" s="13">
        <f t="shared" si="45"/>
        <v>408.25973177838807</v>
      </c>
    </row>
    <row r="80" spans="1:17" x14ac:dyDescent="0.25">
      <c r="A80" s="10" t="s">
        <v>33</v>
      </c>
      <c r="B80" s="10"/>
      <c r="C80" s="16">
        <f>C79/C73</f>
        <v>9.6659259259259292E-2</v>
      </c>
      <c r="D80" s="16">
        <f t="shared" ref="D80:Q81" si="46">C80</f>
        <v>9.6659259259259292E-2</v>
      </c>
      <c r="E80" s="16">
        <f t="shared" si="46"/>
        <v>9.6659259259259292E-2</v>
      </c>
      <c r="F80" s="16">
        <f t="shared" si="46"/>
        <v>9.6659259259259292E-2</v>
      </c>
      <c r="G80" s="16">
        <f t="shared" si="46"/>
        <v>9.6659259259259292E-2</v>
      </c>
      <c r="H80" s="16">
        <f t="shared" si="46"/>
        <v>9.6659259259259292E-2</v>
      </c>
      <c r="I80" s="16">
        <f t="shared" si="46"/>
        <v>9.6659259259259292E-2</v>
      </c>
      <c r="J80" s="16">
        <f t="shared" si="46"/>
        <v>9.6659259259259292E-2</v>
      </c>
      <c r="K80" s="16">
        <f t="shared" si="46"/>
        <v>9.6659259259259292E-2</v>
      </c>
      <c r="L80" s="16">
        <f t="shared" si="46"/>
        <v>9.6659259259259292E-2</v>
      </c>
      <c r="M80" s="16">
        <f t="shared" si="46"/>
        <v>9.6659259259259292E-2</v>
      </c>
      <c r="N80" s="16">
        <f t="shared" si="46"/>
        <v>9.6659259259259292E-2</v>
      </c>
      <c r="O80" s="16">
        <f t="shared" si="46"/>
        <v>9.6659259259259292E-2</v>
      </c>
      <c r="P80" s="16">
        <f t="shared" si="46"/>
        <v>9.6659259259259292E-2</v>
      </c>
      <c r="Q80" s="16">
        <f t="shared" si="46"/>
        <v>9.6659259259259292E-2</v>
      </c>
    </row>
    <row r="81" spans="1:17" x14ac:dyDescent="0.25">
      <c r="A81" s="12" t="s">
        <v>36</v>
      </c>
      <c r="B81" s="10"/>
      <c r="C81" s="13">
        <f t="shared" ref="C81" si="47">B57</f>
        <v>0</v>
      </c>
      <c r="D81" s="13">
        <f t="shared" si="46"/>
        <v>0</v>
      </c>
      <c r="E81" s="13">
        <f t="shared" si="46"/>
        <v>0</v>
      </c>
      <c r="F81" s="13">
        <f t="shared" si="46"/>
        <v>0</v>
      </c>
      <c r="G81" s="13">
        <f t="shared" si="46"/>
        <v>0</v>
      </c>
      <c r="H81" s="13">
        <f t="shared" si="46"/>
        <v>0</v>
      </c>
      <c r="I81" s="13">
        <f t="shared" si="46"/>
        <v>0</v>
      </c>
      <c r="J81" s="13">
        <f t="shared" si="46"/>
        <v>0</v>
      </c>
      <c r="K81" s="13">
        <f t="shared" si="46"/>
        <v>0</v>
      </c>
      <c r="L81" s="13">
        <f t="shared" si="46"/>
        <v>0</v>
      </c>
      <c r="M81" s="13">
        <f t="shared" si="46"/>
        <v>0</v>
      </c>
      <c r="N81" s="13">
        <f t="shared" si="46"/>
        <v>0</v>
      </c>
      <c r="O81" s="13">
        <f t="shared" si="46"/>
        <v>0</v>
      </c>
      <c r="P81" s="13">
        <f t="shared" si="46"/>
        <v>0</v>
      </c>
      <c r="Q81" s="13">
        <f t="shared" si="46"/>
        <v>0</v>
      </c>
    </row>
    <row r="82" spans="1:17" x14ac:dyDescent="0.25">
      <c r="A82" s="9" t="s">
        <v>39</v>
      </c>
      <c r="B82" s="10"/>
      <c r="C82" s="13">
        <f>C79-C81</f>
        <v>173.98666666666674</v>
      </c>
      <c r="D82" s="13">
        <f t="shared" ref="D82:Q82" si="48">D79-D81</f>
        <v>187.01114655570973</v>
      </c>
      <c r="E82" s="13">
        <f t="shared" si="48"/>
        <v>200.53268075982214</v>
      </c>
      <c r="F82" s="13">
        <f t="shared" si="48"/>
        <v>214.56806589161397</v>
      </c>
      <c r="G82" s="13">
        <f t="shared" si="48"/>
        <v>229.13464555095246</v>
      </c>
      <c r="H82" s="13">
        <f t="shared" si="48"/>
        <v>244.25032788670336</v>
      </c>
      <c r="I82" s="13">
        <f t="shared" si="48"/>
        <v>259.93360371838895</v>
      </c>
      <c r="J82" s="13">
        <f t="shared" si="48"/>
        <v>276.20356523553642</v>
      </c>
      <c r="K82" s="13">
        <f t="shared" si="48"/>
        <v>293.07992529305312</v>
      </c>
      <c r="L82" s="13">
        <f t="shared" si="48"/>
        <v>310.58303732154269</v>
      </c>
      <c r="M82" s="13">
        <f t="shared" si="48"/>
        <v>328.73391587207533</v>
      </c>
      <c r="N82" s="13">
        <f t="shared" si="48"/>
        <v>347.55425781554641</v>
      </c>
      <c r="O82" s="13">
        <f t="shared" si="48"/>
        <v>367.06646421738662</v>
      </c>
      <c r="P82" s="13">
        <f t="shared" si="48"/>
        <v>387.29366290905091</v>
      </c>
      <c r="Q82" s="13">
        <f t="shared" si="48"/>
        <v>408.25973177838807</v>
      </c>
    </row>
    <row r="83" spans="1:17" x14ac:dyDescent="0.25">
      <c r="A83" s="12" t="s">
        <v>62</v>
      </c>
      <c r="B83" s="34">
        <f>B23</f>
        <v>4.4999999999999998E-2</v>
      </c>
      <c r="C83" s="13">
        <f t="shared" ref="C83:Q83" si="49">-$B$83*(B100)</f>
        <v>-50.472000000000016</v>
      </c>
      <c r="D83" s="13">
        <f t="shared" si="49"/>
        <v>-48.043599876831394</v>
      </c>
      <c r="E83" s="13">
        <f t="shared" si="49"/>
        <v>-45.50592174812018</v>
      </c>
      <c r="F83" s="13">
        <f t="shared" si="49"/>
        <v>-42.854048103616968</v>
      </c>
      <c r="G83" s="13">
        <f t="shared" si="49"/>
        <v>-40.082840145111113</v>
      </c>
      <c r="H83" s="13">
        <f t="shared" si="49"/>
        <v>-37.186927828472498</v>
      </c>
      <c r="I83" s="13">
        <f t="shared" si="49"/>
        <v>-34.160699457585139</v>
      </c>
      <c r="J83" s="13">
        <f t="shared" si="49"/>
        <v>-30.998290810007852</v>
      </c>
      <c r="K83" s="13">
        <f t="shared" si="49"/>
        <v>-27.693573773289582</v>
      </c>
      <c r="L83" s="13">
        <f t="shared" si="49"/>
        <v>-24.240144469918999</v>
      </c>
      <c r="M83" s="13">
        <f t="shared" si="49"/>
        <v>-20.631310847896732</v>
      </c>
      <c r="N83" s="13">
        <f t="shared" si="49"/>
        <v>-16.860079712883465</v>
      </c>
      <c r="O83" s="13">
        <f t="shared" si="49"/>
        <v>-12.9191431767946</v>
      </c>
      <c r="P83" s="13">
        <f t="shared" si="49"/>
        <v>-8.8008644965817364</v>
      </c>
      <c r="Q83" s="13">
        <f t="shared" si="49"/>
        <v>-4.4972632757592956</v>
      </c>
    </row>
    <row r="84" spans="1:17" x14ac:dyDescent="0.25">
      <c r="A84" s="9" t="s">
        <v>20</v>
      </c>
      <c r="B84" s="10"/>
      <c r="C84" s="13">
        <f>C82+C83</f>
        <v>123.51466666666673</v>
      </c>
      <c r="D84" s="13">
        <f t="shared" ref="D84:Q84" si="50">D82+D83</f>
        <v>138.96754667887834</v>
      </c>
      <c r="E84" s="13">
        <f t="shared" si="50"/>
        <v>155.02675901170196</v>
      </c>
      <c r="F84" s="13">
        <f t="shared" si="50"/>
        <v>171.71401778799699</v>
      </c>
      <c r="G84" s="13">
        <f t="shared" si="50"/>
        <v>189.05180540584135</v>
      </c>
      <c r="H84" s="13">
        <f t="shared" si="50"/>
        <v>207.06340005823085</v>
      </c>
      <c r="I84" s="13">
        <f t="shared" si="50"/>
        <v>225.77290426080381</v>
      </c>
      <c r="J84" s="13">
        <f t="shared" si="50"/>
        <v>245.20527442552856</v>
      </c>
      <c r="K84" s="13">
        <f t="shared" si="50"/>
        <v>265.38635151976354</v>
      </c>
      <c r="L84" s="13">
        <f t="shared" si="50"/>
        <v>286.34289285162367</v>
      </c>
      <c r="M84" s="13">
        <f t="shared" si="50"/>
        <v>308.10260502417862</v>
      </c>
      <c r="N84" s="13">
        <f t="shared" si="50"/>
        <v>330.69417810266293</v>
      </c>
      <c r="O84" s="13">
        <f t="shared" si="50"/>
        <v>354.14732104059203</v>
      </c>
      <c r="P84" s="13">
        <f t="shared" si="50"/>
        <v>378.4927984124692</v>
      </c>
      <c r="Q84" s="13">
        <f t="shared" si="50"/>
        <v>403.76246850262879</v>
      </c>
    </row>
    <row r="85" spans="1:17" x14ac:dyDescent="0.25">
      <c r="A85" s="12" t="s">
        <v>22</v>
      </c>
      <c r="B85" s="35">
        <f>B25</f>
        <v>0.33</v>
      </c>
      <c r="C85" s="13">
        <f t="shared" ref="C85:Q85" si="51">-$B$85*C84</f>
        <v>-40.759840000000025</v>
      </c>
      <c r="D85" s="13">
        <f t="shared" si="51"/>
        <v>-45.859290404029856</v>
      </c>
      <c r="E85" s="13">
        <f t="shared" si="51"/>
        <v>-51.158830473861649</v>
      </c>
      <c r="F85" s="13">
        <f t="shared" si="51"/>
        <v>-56.665625870039008</v>
      </c>
      <c r="G85" s="13">
        <f t="shared" si="51"/>
        <v>-62.387095783927649</v>
      </c>
      <c r="H85" s="13">
        <f t="shared" si="51"/>
        <v>-68.330922019216189</v>
      </c>
      <c r="I85" s="13">
        <f t="shared" si="51"/>
        <v>-74.50505840606526</v>
      </c>
      <c r="J85" s="13">
        <f t="shared" si="51"/>
        <v>-80.917740560424434</v>
      </c>
      <c r="K85" s="13">
        <f t="shared" si="51"/>
        <v>-87.577496001521965</v>
      </c>
      <c r="L85" s="13">
        <f t="shared" si="51"/>
        <v>-94.493154641035815</v>
      </c>
      <c r="M85" s="13">
        <f t="shared" si="51"/>
        <v>-101.67385965797895</v>
      </c>
      <c r="N85" s="13">
        <f t="shared" si="51"/>
        <v>-109.12907877387877</v>
      </c>
      <c r="O85" s="13">
        <f t="shared" si="51"/>
        <v>-116.86861594339538</v>
      </c>
      <c r="P85" s="13">
        <f t="shared" si="51"/>
        <v>-124.90262347611484</v>
      </c>
      <c r="Q85" s="13">
        <f t="shared" si="51"/>
        <v>-133.24161460586751</v>
      </c>
    </row>
    <row r="86" spans="1:17" x14ac:dyDescent="0.25">
      <c r="A86" s="9" t="s">
        <v>25</v>
      </c>
      <c r="B86" s="8"/>
      <c r="C86" s="21">
        <f>C84+C85</f>
        <v>82.754826666666702</v>
      </c>
      <c r="D86" s="21">
        <f t="shared" ref="D86:Q86" si="52">D84+D85</f>
        <v>93.108256274848486</v>
      </c>
      <c r="E86" s="21">
        <f t="shared" si="52"/>
        <v>103.8679285378403</v>
      </c>
      <c r="F86" s="21">
        <f t="shared" si="52"/>
        <v>115.04839191795799</v>
      </c>
      <c r="G86" s="21">
        <f t="shared" si="52"/>
        <v>126.6647096219137</v>
      </c>
      <c r="H86" s="21">
        <f t="shared" si="52"/>
        <v>138.73247803901467</v>
      </c>
      <c r="I86" s="21">
        <f t="shared" si="52"/>
        <v>151.26784585473854</v>
      </c>
      <c r="J86" s="21">
        <f t="shared" si="52"/>
        <v>164.28753386510414</v>
      </c>
      <c r="K86" s="21">
        <f t="shared" si="52"/>
        <v>177.80885551824156</v>
      </c>
      <c r="L86" s="21">
        <f t="shared" si="52"/>
        <v>191.84973821058787</v>
      </c>
      <c r="M86" s="21">
        <f t="shared" si="52"/>
        <v>206.42874536619968</v>
      </c>
      <c r="N86" s="21">
        <f t="shared" si="52"/>
        <v>221.56509932878416</v>
      </c>
      <c r="O86" s="21">
        <f t="shared" si="52"/>
        <v>237.27870509719665</v>
      </c>
      <c r="P86" s="21">
        <f t="shared" si="52"/>
        <v>253.59017493635434</v>
      </c>
      <c r="Q86" s="21">
        <f t="shared" si="52"/>
        <v>270.52085389676131</v>
      </c>
    </row>
    <row r="87" spans="1:17" x14ac:dyDescent="0.25">
      <c r="A87" t="str">
        <f>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</row>
    <row r="88" spans="1:17" x14ac:dyDescent="0.25">
      <c r="B88" s="10"/>
      <c r="C88" s="23" t="str">
        <f>C72</f>
        <v>A1</v>
      </c>
      <c r="D88" s="23" t="str">
        <f t="shared" ref="D88:Q88" si="53">D72</f>
        <v>A2</v>
      </c>
      <c r="E88" s="23" t="str">
        <f t="shared" si="53"/>
        <v>A3</v>
      </c>
      <c r="F88" s="23" t="str">
        <f t="shared" si="53"/>
        <v>A4</v>
      </c>
      <c r="G88" s="23" t="str">
        <f t="shared" si="53"/>
        <v>A5</v>
      </c>
      <c r="H88" s="23" t="str">
        <f t="shared" si="53"/>
        <v>A6</v>
      </c>
      <c r="I88" s="23" t="str">
        <f t="shared" si="53"/>
        <v>A7</v>
      </c>
      <c r="J88" s="23" t="str">
        <f t="shared" si="53"/>
        <v>A8</v>
      </c>
      <c r="K88" s="23" t="str">
        <f t="shared" si="53"/>
        <v>A9</v>
      </c>
      <c r="L88" s="23" t="str">
        <f t="shared" si="53"/>
        <v>A10</v>
      </c>
      <c r="M88" s="23" t="str">
        <f t="shared" si="53"/>
        <v>A11</v>
      </c>
      <c r="N88" s="23" t="str">
        <f t="shared" si="53"/>
        <v>A12</v>
      </c>
      <c r="O88" s="23" t="str">
        <f t="shared" si="53"/>
        <v>A13</v>
      </c>
      <c r="P88" s="23" t="str">
        <f t="shared" si="53"/>
        <v>A14</v>
      </c>
      <c r="Q88" s="23" t="str">
        <f t="shared" si="53"/>
        <v>A15</v>
      </c>
    </row>
    <row r="89" spans="1:17" x14ac:dyDescent="0.25">
      <c r="A89" s="10" t="s">
        <v>28</v>
      </c>
      <c r="B89" s="10"/>
      <c r="C89" s="13">
        <f>C86+C81</f>
        <v>82.754826666666702</v>
      </c>
      <c r="D89" s="13">
        <f>D86+D81</f>
        <v>93.108256274848486</v>
      </c>
      <c r="E89" s="13">
        <f t="shared" ref="E89:Q89" si="54">E86+E81</f>
        <v>103.8679285378403</v>
      </c>
      <c r="F89" s="13">
        <f t="shared" si="54"/>
        <v>115.04839191795799</v>
      </c>
      <c r="G89" s="13">
        <f t="shared" si="54"/>
        <v>126.6647096219137</v>
      </c>
      <c r="H89" s="13">
        <f t="shared" si="54"/>
        <v>138.73247803901467</v>
      </c>
      <c r="I89" s="13">
        <f t="shared" si="54"/>
        <v>151.26784585473854</v>
      </c>
      <c r="J89" s="13">
        <f t="shared" si="54"/>
        <v>164.28753386510414</v>
      </c>
      <c r="K89" s="13">
        <f t="shared" si="54"/>
        <v>177.80885551824156</v>
      </c>
      <c r="L89" s="13">
        <f t="shared" si="54"/>
        <v>191.84973821058787</v>
      </c>
      <c r="M89" s="13">
        <f t="shared" si="54"/>
        <v>206.42874536619968</v>
      </c>
      <c r="N89" s="13">
        <f t="shared" si="54"/>
        <v>221.56509932878416</v>
      </c>
      <c r="O89" s="13">
        <f t="shared" si="54"/>
        <v>237.27870509719665</v>
      </c>
      <c r="P89" s="13">
        <f t="shared" si="54"/>
        <v>253.59017493635434</v>
      </c>
      <c r="Q89" s="13">
        <f t="shared" si="54"/>
        <v>270.52085389676131</v>
      </c>
    </row>
    <row r="90" spans="1:17" x14ac:dyDescent="0.25">
      <c r="A90" s="10" t="s">
        <v>16</v>
      </c>
      <c r="B90" s="13">
        <f>H5</f>
        <v>280.40000000000009</v>
      </c>
      <c r="C90" s="13"/>
      <c r="D90" s="13">
        <f>-C96</f>
        <v>-38.79037948514182</v>
      </c>
      <c r="E90" s="13">
        <f t="shared" ref="E90:Q90" si="55">-D96</f>
        <v>-36.715408970154982</v>
      </c>
      <c r="F90" s="13">
        <f t="shared" si="55"/>
        <v>-44.937403104435582</v>
      </c>
      <c r="G90" s="13">
        <f t="shared" si="55"/>
        <v>-53.465992840050049</v>
      </c>
      <c r="H90" s="13">
        <f t="shared" si="55"/>
        <v>-62.31110258549991</v>
      </c>
      <c r="I90" s="13">
        <f t="shared" si="55"/>
        <v>-71.482958685962274</v>
      </c>
      <c r="J90" s="13">
        <f t="shared" si="55"/>
        <v>-80.99209813079878</v>
      </c>
      <c r="K90" s="13">
        <f t="shared" si="55"/>
        <v>-90.849377493587099</v>
      </c>
      <c r="L90" s="13">
        <f t="shared" si="55"/>
        <v>-101.06598211000625</v>
      </c>
      <c r="M90" s="13">
        <f t="shared" si="55"/>
        <v>-111.65343549898198</v>
      </c>
      <c r="N90" s="13">
        <f t="shared" si="55"/>
        <v>-122.62360903257151</v>
      </c>
      <c r="O90" s="13">
        <f t="shared" si="55"/>
        <v>-133.98873186014271</v>
      </c>
      <c r="P90" s="13">
        <f t="shared" si="55"/>
        <v>-145.76140109246637</v>
      </c>
      <c r="Q90" s="13">
        <f t="shared" si="55"/>
        <v>-157.95459225141119</v>
      </c>
    </row>
    <row r="91" spans="1:17" x14ac:dyDescent="0.25">
      <c r="A91" s="10" t="s">
        <v>19</v>
      </c>
      <c r="B91" s="13">
        <f>H6</f>
        <v>1121.6000000000004</v>
      </c>
      <c r="C91" s="13">
        <f t="shared" ref="C91:Q91" si="56">-$H$14-C83</f>
        <v>-53.964447181524882</v>
      </c>
      <c r="D91" s="13">
        <f t="shared" si="56"/>
        <v>-56.392847304693504</v>
      </c>
      <c r="E91" s="13">
        <f t="shared" si="56"/>
        <v>-58.930525433404718</v>
      </c>
      <c r="F91" s="13">
        <f t="shared" si="56"/>
        <v>-61.58239907790793</v>
      </c>
      <c r="G91" s="13">
        <f t="shared" si="56"/>
        <v>-64.353607036413791</v>
      </c>
      <c r="H91" s="13">
        <f t="shared" si="56"/>
        <v>-67.249519353052392</v>
      </c>
      <c r="I91" s="13">
        <f t="shared" si="56"/>
        <v>-70.275747723939759</v>
      </c>
      <c r="J91" s="13">
        <f t="shared" si="56"/>
        <v>-73.438156371517039</v>
      </c>
      <c r="K91" s="13">
        <f t="shared" si="56"/>
        <v>-76.742873408235312</v>
      </c>
      <c r="L91" s="13">
        <f t="shared" si="56"/>
        <v>-80.196302711605895</v>
      </c>
      <c r="M91" s="13">
        <f t="shared" si="56"/>
        <v>-83.80513633362817</v>
      </c>
      <c r="N91" s="13">
        <f t="shared" si="56"/>
        <v>-87.576367468641436</v>
      </c>
      <c r="O91" s="13">
        <f t="shared" si="56"/>
        <v>-91.517304004730292</v>
      </c>
      <c r="P91" s="13">
        <f t="shared" si="56"/>
        <v>-95.635582684943159</v>
      </c>
      <c r="Q91" s="13">
        <f t="shared" si="56"/>
        <v>-99.939183905765603</v>
      </c>
    </row>
    <row r="92" spans="1:17" x14ac:dyDescent="0.25">
      <c r="A92" s="10" t="s">
        <v>24</v>
      </c>
      <c r="B92" s="14">
        <f>-H7</f>
        <v>0</v>
      </c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13"/>
    </row>
    <row r="93" spans="1:17" x14ac:dyDescent="0.25">
      <c r="A93" s="10" t="s">
        <v>27</v>
      </c>
      <c r="B93" s="14">
        <f>-H8</f>
        <v>-1392.0000000000005</v>
      </c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/>
    </row>
    <row r="94" spans="1:17" x14ac:dyDescent="0.25">
      <c r="A94" s="10" t="s">
        <v>63</v>
      </c>
      <c r="B94" s="14">
        <f>-H9</f>
        <v>0</v>
      </c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3"/>
    </row>
    <row r="95" spans="1:17" x14ac:dyDescent="0.25">
      <c r="A95" s="10" t="s">
        <v>35</v>
      </c>
      <c r="B95" s="13">
        <v>0</v>
      </c>
      <c r="C95" s="13">
        <f>B96</f>
        <v>10</v>
      </c>
      <c r="D95" s="13">
        <f t="shared" ref="D95:Q95" si="57">C96</f>
        <v>38.79037948514182</v>
      </c>
      <c r="E95" s="13">
        <f t="shared" si="57"/>
        <v>36.715408970154982</v>
      </c>
      <c r="F95" s="13">
        <f t="shared" si="57"/>
        <v>44.937403104435582</v>
      </c>
      <c r="G95" s="13">
        <f t="shared" si="57"/>
        <v>53.465992840050049</v>
      </c>
      <c r="H95" s="13">
        <f t="shared" si="57"/>
        <v>62.31110258549991</v>
      </c>
      <c r="I95" s="13">
        <f t="shared" si="57"/>
        <v>71.482958685962274</v>
      </c>
      <c r="J95" s="13">
        <f t="shared" si="57"/>
        <v>80.99209813079878</v>
      </c>
      <c r="K95" s="13">
        <f t="shared" si="57"/>
        <v>90.849377493587099</v>
      </c>
      <c r="L95" s="13">
        <f t="shared" si="57"/>
        <v>101.06598211000625</v>
      </c>
      <c r="M95" s="13">
        <f t="shared" si="57"/>
        <v>111.65343549898198</v>
      </c>
      <c r="N95" s="13">
        <f t="shared" si="57"/>
        <v>122.62360903257151</v>
      </c>
      <c r="O95" s="13">
        <f t="shared" si="57"/>
        <v>133.98873186014271</v>
      </c>
      <c r="P95" s="13">
        <f t="shared" si="57"/>
        <v>145.76140109246637</v>
      </c>
      <c r="Q95" s="13">
        <f t="shared" si="57"/>
        <v>157.95459225141119</v>
      </c>
    </row>
    <row r="96" spans="1:17" x14ac:dyDescent="0.25">
      <c r="A96" s="10" t="s">
        <v>64</v>
      </c>
      <c r="B96" s="13">
        <f>SUM(B89:B95)</f>
        <v>10</v>
      </c>
      <c r="C96" s="13">
        <f>SUM(C89:C95)</f>
        <v>38.79037948514182</v>
      </c>
      <c r="D96" s="13">
        <f t="shared" ref="D96:Q96" si="58">SUM(D89:D95)</f>
        <v>36.715408970154982</v>
      </c>
      <c r="E96" s="13">
        <f t="shared" si="58"/>
        <v>44.937403104435582</v>
      </c>
      <c r="F96" s="13">
        <f t="shared" si="58"/>
        <v>53.465992840050049</v>
      </c>
      <c r="G96" s="13">
        <f t="shared" si="58"/>
        <v>62.31110258549991</v>
      </c>
      <c r="H96" s="13">
        <f t="shared" si="58"/>
        <v>71.482958685962274</v>
      </c>
      <c r="I96" s="13">
        <f t="shared" si="58"/>
        <v>80.99209813079878</v>
      </c>
      <c r="J96" s="13">
        <f t="shared" si="58"/>
        <v>90.849377493587099</v>
      </c>
      <c r="K96" s="13">
        <f t="shared" si="58"/>
        <v>101.06598211000625</v>
      </c>
      <c r="L96" s="13">
        <f t="shared" si="58"/>
        <v>111.65343549898198</v>
      </c>
      <c r="M96" s="13">
        <f t="shared" si="58"/>
        <v>122.62360903257151</v>
      </c>
      <c r="N96" s="13">
        <f t="shared" si="58"/>
        <v>133.98873186014271</v>
      </c>
      <c r="O96" s="13">
        <f t="shared" si="58"/>
        <v>145.76140109246637</v>
      </c>
      <c r="P96" s="13">
        <f t="shared" si="58"/>
        <v>157.95459225141119</v>
      </c>
      <c r="Q96" s="13">
        <f t="shared" si="58"/>
        <v>170.58166999099569</v>
      </c>
    </row>
    <row r="97" spans="1:24" x14ac:dyDescent="0.25">
      <c r="A97" t="str">
        <f>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  <c r="B97" s="36"/>
      <c r="C97" s="36"/>
      <c r="D97" s="36"/>
      <c r="E97" s="36"/>
      <c r="F97" s="36"/>
      <c r="G97" s="36"/>
      <c r="H97" s="36"/>
      <c r="I97" s="36"/>
      <c r="J97" s="36"/>
      <c r="K97" s="36"/>
      <c r="L97" s="36"/>
      <c r="M97" s="36"/>
      <c r="N97" s="36"/>
      <c r="O97" s="36"/>
      <c r="P97" s="36"/>
      <c r="Q97" s="36"/>
    </row>
    <row r="98" spans="1:24" x14ac:dyDescent="0.25">
      <c r="B98" s="13"/>
      <c r="C98" s="23" t="str">
        <f>C88</f>
        <v>A1</v>
      </c>
      <c r="D98" s="23" t="str">
        <f t="shared" ref="D98:Q98" si="59">D88</f>
        <v>A2</v>
      </c>
      <c r="E98" s="23" t="str">
        <f t="shared" si="59"/>
        <v>A3</v>
      </c>
      <c r="F98" s="23" t="str">
        <f t="shared" si="59"/>
        <v>A4</v>
      </c>
      <c r="G98" s="23" t="str">
        <f t="shared" si="59"/>
        <v>A5</v>
      </c>
      <c r="H98" s="23" t="str">
        <f t="shared" si="59"/>
        <v>A6</v>
      </c>
      <c r="I98" s="23" t="str">
        <f t="shared" si="59"/>
        <v>A7</v>
      </c>
      <c r="J98" s="23" t="str">
        <f t="shared" si="59"/>
        <v>A8</v>
      </c>
      <c r="K98" s="23" t="str">
        <f t="shared" si="59"/>
        <v>A9</v>
      </c>
      <c r="L98" s="23" t="str">
        <f t="shared" si="59"/>
        <v>A10</v>
      </c>
      <c r="M98" s="23" t="str">
        <f t="shared" si="59"/>
        <v>A11</v>
      </c>
      <c r="N98" s="23" t="str">
        <f t="shared" si="59"/>
        <v>A12</v>
      </c>
      <c r="O98" s="23" t="str">
        <f t="shared" si="59"/>
        <v>A13</v>
      </c>
      <c r="P98" s="23" t="str">
        <f t="shared" si="59"/>
        <v>A14</v>
      </c>
      <c r="Q98" s="23" t="str">
        <f t="shared" si="59"/>
        <v>A15</v>
      </c>
    </row>
    <row r="99" spans="1:24" x14ac:dyDescent="0.25">
      <c r="A99" s="10" t="s">
        <v>16</v>
      </c>
      <c r="B99" s="13">
        <f>B90</f>
        <v>280.40000000000009</v>
      </c>
      <c r="C99" s="13">
        <f>B99+C86+C90</f>
        <v>363.15482666666679</v>
      </c>
      <c r="D99" s="13">
        <f t="shared" ref="D99:Q99" si="60">C99+D86+D90</f>
        <v>417.47270345637344</v>
      </c>
      <c r="E99" s="13">
        <f t="shared" si="60"/>
        <v>484.62522302405876</v>
      </c>
      <c r="F99" s="13">
        <f t="shared" si="60"/>
        <v>554.7362118375811</v>
      </c>
      <c r="G99" s="13">
        <f t="shared" si="60"/>
        <v>627.9349286194448</v>
      </c>
      <c r="H99" s="13">
        <f t="shared" si="60"/>
        <v>704.35630407295946</v>
      </c>
      <c r="I99" s="13">
        <f t="shared" si="60"/>
        <v>784.14119124173567</v>
      </c>
      <c r="J99" s="13">
        <f t="shared" si="60"/>
        <v>867.436626976041</v>
      </c>
      <c r="K99" s="13">
        <f t="shared" si="60"/>
        <v>954.39610500069534</v>
      </c>
      <c r="L99" s="13">
        <f t="shared" si="60"/>
        <v>1045.1798611012771</v>
      </c>
      <c r="M99" s="13">
        <f t="shared" si="60"/>
        <v>1139.9551709684949</v>
      </c>
      <c r="N99" s="13">
        <f t="shared" si="60"/>
        <v>1238.8966612647075</v>
      </c>
      <c r="O99" s="13">
        <f t="shared" si="60"/>
        <v>1342.1866345017615</v>
      </c>
      <c r="P99" s="13">
        <f t="shared" si="60"/>
        <v>1450.0154083456496</v>
      </c>
      <c r="Q99" s="13">
        <f t="shared" si="60"/>
        <v>1562.5816699909997</v>
      </c>
    </row>
    <row r="100" spans="1:24" x14ac:dyDescent="0.25">
      <c r="A100" s="10" t="s">
        <v>19</v>
      </c>
      <c r="B100" s="13">
        <f>B91</f>
        <v>1121.6000000000004</v>
      </c>
      <c r="C100" s="13">
        <f>B100+C91</f>
        <v>1067.6355528184754</v>
      </c>
      <c r="D100" s="13">
        <f t="shared" ref="D100:Q100" si="61">C100+D91</f>
        <v>1011.2427055137819</v>
      </c>
      <c r="E100" s="13">
        <f t="shared" si="61"/>
        <v>952.31218008037717</v>
      </c>
      <c r="F100" s="13">
        <f t="shared" si="61"/>
        <v>890.72978100246928</v>
      </c>
      <c r="G100" s="13">
        <f t="shared" si="61"/>
        <v>826.37617396605549</v>
      </c>
      <c r="H100" s="13">
        <f t="shared" si="61"/>
        <v>759.1266546130031</v>
      </c>
      <c r="I100" s="13">
        <f t="shared" si="61"/>
        <v>688.85090688906337</v>
      </c>
      <c r="J100" s="13">
        <f t="shared" si="61"/>
        <v>615.41275051754633</v>
      </c>
      <c r="K100" s="13">
        <f t="shared" si="61"/>
        <v>538.66987710931107</v>
      </c>
      <c r="L100" s="13">
        <f t="shared" si="61"/>
        <v>458.47357439770519</v>
      </c>
      <c r="M100" s="13">
        <f t="shared" si="61"/>
        <v>374.66843806407701</v>
      </c>
      <c r="N100" s="13">
        <f t="shared" si="61"/>
        <v>287.09207059543559</v>
      </c>
      <c r="O100" s="13">
        <f t="shared" si="61"/>
        <v>195.57476659070528</v>
      </c>
      <c r="P100" s="13">
        <f t="shared" si="61"/>
        <v>99.939183905762121</v>
      </c>
      <c r="Q100" s="13">
        <f t="shared" si="61"/>
        <v>-3.4816594052244909E-12</v>
      </c>
      <c r="S100" s="36"/>
      <c r="T100" s="36"/>
      <c r="U100" s="36"/>
      <c r="V100" s="36"/>
      <c r="W100" s="36"/>
      <c r="X100" s="36"/>
    </row>
    <row r="101" spans="1:24" x14ac:dyDescent="0.25">
      <c r="B101" s="36"/>
      <c r="C101" s="36"/>
      <c r="D101" s="36"/>
      <c r="E101" s="36"/>
      <c r="F101" s="36"/>
      <c r="G101" s="36"/>
      <c r="H101" s="36"/>
      <c r="I101" s="36"/>
      <c r="J101" s="36"/>
      <c r="K101" s="36"/>
      <c r="L101" s="36"/>
      <c r="M101" s="36"/>
      <c r="N101" s="36"/>
      <c r="O101" s="36"/>
      <c r="P101" s="36"/>
      <c r="Q101" s="36"/>
    </row>
    <row r="102" spans="1:24" x14ac:dyDescent="0.25">
      <c r="A102" s="10" t="s">
        <v>24</v>
      </c>
      <c r="B102" s="13">
        <f>-B92</f>
        <v>0</v>
      </c>
      <c r="C102" s="10">
        <f>B102-C81</f>
        <v>0</v>
      </c>
      <c r="D102" s="10">
        <f t="shared" ref="D102:Q102" si="62">C102-D81</f>
        <v>0</v>
      </c>
      <c r="E102" s="10">
        <f t="shared" si="62"/>
        <v>0</v>
      </c>
      <c r="F102" s="10">
        <f t="shared" si="62"/>
        <v>0</v>
      </c>
      <c r="G102" s="10">
        <f t="shared" si="62"/>
        <v>0</v>
      </c>
      <c r="H102" s="10">
        <f t="shared" si="62"/>
        <v>0</v>
      </c>
      <c r="I102" s="10">
        <f t="shared" si="62"/>
        <v>0</v>
      </c>
      <c r="J102" s="10">
        <f t="shared" si="62"/>
        <v>0</v>
      </c>
      <c r="K102" s="10">
        <f t="shared" si="62"/>
        <v>0</v>
      </c>
      <c r="L102" s="10">
        <f t="shared" si="62"/>
        <v>0</v>
      </c>
      <c r="M102" s="10">
        <f t="shared" si="62"/>
        <v>0</v>
      </c>
      <c r="N102" s="10">
        <f t="shared" si="62"/>
        <v>0</v>
      </c>
      <c r="O102" s="10">
        <f t="shared" si="62"/>
        <v>0</v>
      </c>
      <c r="P102" s="10">
        <f t="shared" si="62"/>
        <v>0</v>
      </c>
      <c r="Q102" s="10">
        <f t="shared" si="62"/>
        <v>0</v>
      </c>
    </row>
    <row r="103" spans="1:24" x14ac:dyDescent="0.25">
      <c r="A103" s="10" t="s">
        <v>27</v>
      </c>
      <c r="B103" s="13">
        <f>-B93</f>
        <v>1392.0000000000005</v>
      </c>
      <c r="C103" s="13">
        <f>B103</f>
        <v>1392.0000000000005</v>
      </c>
      <c r="D103" s="13">
        <f t="shared" ref="D103:Q103" si="63">C103</f>
        <v>1392.0000000000005</v>
      </c>
      <c r="E103" s="13">
        <f t="shared" si="63"/>
        <v>1392.0000000000005</v>
      </c>
      <c r="F103" s="13">
        <f t="shared" si="63"/>
        <v>1392.0000000000005</v>
      </c>
      <c r="G103" s="13">
        <f t="shared" si="63"/>
        <v>1392.0000000000005</v>
      </c>
      <c r="H103" s="13">
        <f t="shared" si="63"/>
        <v>1392.0000000000005</v>
      </c>
      <c r="I103" s="13">
        <f t="shared" si="63"/>
        <v>1392.0000000000005</v>
      </c>
      <c r="J103" s="13">
        <f t="shared" si="63"/>
        <v>1392.0000000000005</v>
      </c>
      <c r="K103" s="13">
        <f t="shared" si="63"/>
        <v>1392.0000000000005</v>
      </c>
      <c r="L103" s="13">
        <f t="shared" si="63"/>
        <v>1392.0000000000005</v>
      </c>
      <c r="M103" s="13">
        <f t="shared" si="63"/>
        <v>1392.0000000000005</v>
      </c>
      <c r="N103" s="13">
        <f t="shared" si="63"/>
        <v>1392.0000000000005</v>
      </c>
      <c r="O103" s="13">
        <f t="shared" si="63"/>
        <v>1392.0000000000005</v>
      </c>
      <c r="P103" s="13">
        <f t="shared" si="63"/>
        <v>1392.0000000000005</v>
      </c>
      <c r="Q103" s="13">
        <f t="shared" si="63"/>
        <v>1392.0000000000005</v>
      </c>
    </row>
    <row r="104" spans="1:24" x14ac:dyDescent="0.25">
      <c r="A104" s="10" t="s">
        <v>30</v>
      </c>
      <c r="B104" s="13">
        <f>-B94</f>
        <v>0</v>
      </c>
      <c r="C104" s="13">
        <f>B104-C94</f>
        <v>0</v>
      </c>
      <c r="D104" s="13">
        <f t="shared" ref="D104:Q104" si="64">C104-D94</f>
        <v>0</v>
      </c>
      <c r="E104" s="13">
        <f t="shared" si="64"/>
        <v>0</v>
      </c>
      <c r="F104" s="13">
        <f t="shared" si="64"/>
        <v>0</v>
      </c>
      <c r="G104" s="13">
        <f t="shared" si="64"/>
        <v>0</v>
      </c>
      <c r="H104" s="13">
        <f t="shared" si="64"/>
        <v>0</v>
      </c>
      <c r="I104" s="13">
        <f t="shared" si="64"/>
        <v>0</v>
      </c>
      <c r="J104" s="13">
        <f t="shared" si="64"/>
        <v>0</v>
      </c>
      <c r="K104" s="13">
        <f t="shared" si="64"/>
        <v>0</v>
      </c>
      <c r="L104" s="13">
        <f t="shared" si="64"/>
        <v>0</v>
      </c>
      <c r="M104" s="13">
        <f t="shared" si="64"/>
        <v>0</v>
      </c>
      <c r="N104" s="13">
        <f t="shared" si="64"/>
        <v>0</v>
      </c>
      <c r="O104" s="13">
        <f t="shared" si="64"/>
        <v>0</v>
      </c>
      <c r="P104" s="13">
        <f t="shared" si="64"/>
        <v>0</v>
      </c>
      <c r="Q104" s="13">
        <f t="shared" si="64"/>
        <v>0</v>
      </c>
    </row>
    <row r="105" spans="1:24" x14ac:dyDescent="0.25">
      <c r="A105" s="10" t="s">
        <v>32</v>
      </c>
      <c r="B105" s="13">
        <f>B96</f>
        <v>10</v>
      </c>
      <c r="C105" s="13">
        <f>C96</f>
        <v>38.79037948514182</v>
      </c>
      <c r="D105" s="13">
        <f t="shared" ref="D105:Q105" si="65">D96</f>
        <v>36.715408970154982</v>
      </c>
      <c r="E105" s="13">
        <f t="shared" si="65"/>
        <v>44.937403104435582</v>
      </c>
      <c r="F105" s="13">
        <f t="shared" si="65"/>
        <v>53.465992840050049</v>
      </c>
      <c r="G105" s="13">
        <f t="shared" si="65"/>
        <v>62.31110258549991</v>
      </c>
      <c r="H105" s="13">
        <f t="shared" si="65"/>
        <v>71.482958685962274</v>
      </c>
      <c r="I105" s="13">
        <f t="shared" si="65"/>
        <v>80.99209813079878</v>
      </c>
      <c r="J105" s="13">
        <f t="shared" si="65"/>
        <v>90.849377493587099</v>
      </c>
      <c r="K105" s="13">
        <f t="shared" si="65"/>
        <v>101.06598211000625</v>
      </c>
      <c r="L105" s="13">
        <f t="shared" si="65"/>
        <v>111.65343549898198</v>
      </c>
      <c r="M105" s="13">
        <f t="shared" si="65"/>
        <v>122.62360903257151</v>
      </c>
      <c r="N105" s="13">
        <f t="shared" si="65"/>
        <v>133.98873186014271</v>
      </c>
      <c r="O105" s="13">
        <f t="shared" si="65"/>
        <v>145.76140109246637</v>
      </c>
      <c r="P105" s="13">
        <f t="shared" si="65"/>
        <v>157.95459225141119</v>
      </c>
      <c r="Q105" s="13">
        <f t="shared" si="65"/>
        <v>170.58166999099569</v>
      </c>
    </row>
    <row r="106" spans="1:24" x14ac:dyDescent="0.25">
      <c r="A106" s="8" t="s">
        <v>34</v>
      </c>
      <c r="B106" s="21">
        <f>SUM(B102:B105)</f>
        <v>1402.0000000000005</v>
      </c>
      <c r="C106" s="21">
        <f>SUM(C102:C105)</f>
        <v>1430.7903794851422</v>
      </c>
      <c r="D106" s="21">
        <f t="shared" ref="D106:Q106" si="66">SUM(D102:D105)</f>
        <v>1428.7154089701555</v>
      </c>
      <c r="E106" s="21">
        <f t="shared" si="66"/>
        <v>1436.937403104436</v>
      </c>
      <c r="F106" s="21">
        <f t="shared" si="66"/>
        <v>1445.4659928400506</v>
      </c>
      <c r="G106" s="21">
        <f t="shared" si="66"/>
        <v>1454.3111025855003</v>
      </c>
      <c r="H106" s="21">
        <f t="shared" si="66"/>
        <v>1463.4829586859628</v>
      </c>
      <c r="I106" s="21">
        <f t="shared" si="66"/>
        <v>1472.9920981307991</v>
      </c>
      <c r="J106" s="21">
        <f t="shared" si="66"/>
        <v>1482.8493774935876</v>
      </c>
      <c r="K106" s="21">
        <f t="shared" si="66"/>
        <v>1493.0659821100066</v>
      </c>
      <c r="L106" s="21">
        <f t="shared" si="66"/>
        <v>1503.6534354989824</v>
      </c>
      <c r="M106" s="21">
        <f t="shared" si="66"/>
        <v>1514.6236090325719</v>
      </c>
      <c r="N106" s="21">
        <f t="shared" si="66"/>
        <v>1525.9887318601432</v>
      </c>
      <c r="O106" s="21">
        <f t="shared" si="66"/>
        <v>1537.7614010924667</v>
      </c>
      <c r="P106" s="21">
        <f t="shared" si="66"/>
        <v>1549.9545922514117</v>
      </c>
      <c r="Q106" s="21">
        <f t="shared" si="66"/>
        <v>1562.581669990996</v>
      </c>
    </row>
    <row r="107" spans="1:24" x14ac:dyDescent="0.25">
      <c r="A107" s="10" t="s">
        <v>65</v>
      </c>
      <c r="B107" s="13">
        <f>B106-B99-B100</f>
        <v>0</v>
      </c>
      <c r="C107" s="13">
        <f>C106-C99-C100</f>
        <v>0</v>
      </c>
      <c r="D107" s="13">
        <f t="shared" ref="D107:Q107" si="67">D106-D99-D100</f>
        <v>0</v>
      </c>
      <c r="E107" s="13">
        <f t="shared" si="67"/>
        <v>0</v>
      </c>
      <c r="F107" s="13">
        <f t="shared" si="67"/>
        <v>0</v>
      </c>
      <c r="G107" s="13">
        <f t="shared" si="67"/>
        <v>0</v>
      </c>
      <c r="H107" s="13">
        <f t="shared" si="67"/>
        <v>0</v>
      </c>
      <c r="I107" s="13">
        <f t="shared" si="67"/>
        <v>0</v>
      </c>
      <c r="J107" s="13">
        <f t="shared" si="67"/>
        <v>0</v>
      </c>
      <c r="K107" s="13">
        <f t="shared" si="67"/>
        <v>0</v>
      </c>
      <c r="L107" s="13">
        <f t="shared" si="67"/>
        <v>0</v>
      </c>
      <c r="M107" s="13">
        <f t="shared" si="67"/>
        <v>0</v>
      </c>
      <c r="N107" s="13">
        <f t="shared" si="67"/>
        <v>0</v>
      </c>
      <c r="O107" s="13">
        <f t="shared" si="67"/>
        <v>0</v>
      </c>
      <c r="P107" s="13">
        <f t="shared" si="67"/>
        <v>0</v>
      </c>
      <c r="Q107" s="13">
        <f t="shared" si="67"/>
        <v>-1.5631940186722204E-13</v>
      </c>
    </row>
    <row r="108" spans="1:24" x14ac:dyDescent="0.25">
      <c r="A108" t="str">
        <f>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  <c r="B108" s="36"/>
      <c r="C108" s="36"/>
      <c r="D108" s="36"/>
      <c r="E108" s="36"/>
      <c r="F108" s="36"/>
      <c r="G108" s="36"/>
      <c r="H108" s="36"/>
      <c r="I108" s="36"/>
      <c r="J108" s="36"/>
      <c r="K108" s="36"/>
      <c r="L108" s="36"/>
      <c r="M108" s="36"/>
      <c r="N108" s="36"/>
      <c r="O108" s="36"/>
      <c r="P108" s="36"/>
      <c r="Q108" s="36"/>
    </row>
    <row r="109" spans="1:24" x14ac:dyDescent="0.25">
      <c r="A109" s="10"/>
      <c r="B109" s="13"/>
      <c r="C109" s="23" t="str">
        <f>C98</f>
        <v>A1</v>
      </c>
      <c r="D109" s="23" t="str">
        <f t="shared" ref="D109:Q109" si="68">D98</f>
        <v>A2</v>
      </c>
      <c r="E109" s="23" t="str">
        <f t="shared" si="68"/>
        <v>A3</v>
      </c>
      <c r="F109" s="23" t="str">
        <f t="shared" si="68"/>
        <v>A4</v>
      </c>
      <c r="G109" s="23" t="str">
        <f t="shared" si="68"/>
        <v>A5</v>
      </c>
      <c r="H109" s="23" t="str">
        <f t="shared" si="68"/>
        <v>A6</v>
      </c>
      <c r="I109" s="23" t="str">
        <f t="shared" si="68"/>
        <v>A7</v>
      </c>
      <c r="J109" s="23" t="str">
        <f t="shared" si="68"/>
        <v>A8</v>
      </c>
      <c r="K109" s="23" t="str">
        <f t="shared" si="68"/>
        <v>A9</v>
      </c>
      <c r="L109" s="23" t="str">
        <f t="shared" si="68"/>
        <v>A10</v>
      </c>
      <c r="M109" s="23" t="str">
        <f t="shared" si="68"/>
        <v>A11</v>
      </c>
      <c r="N109" s="23" t="str">
        <f t="shared" si="68"/>
        <v>A12</v>
      </c>
      <c r="O109" s="23" t="str">
        <f t="shared" si="68"/>
        <v>A13</v>
      </c>
      <c r="P109" s="23" t="str">
        <f t="shared" si="68"/>
        <v>A14</v>
      </c>
      <c r="Q109" s="23" t="str">
        <f t="shared" si="68"/>
        <v>A15</v>
      </c>
    </row>
    <row r="110" spans="1:24" x14ac:dyDescent="0.25">
      <c r="A110" s="10" t="s">
        <v>66</v>
      </c>
      <c r="B110" s="13">
        <f>-B90</f>
        <v>-280.40000000000009</v>
      </c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</row>
    <row r="111" spans="1:24" x14ac:dyDescent="0.25">
      <c r="A111" s="10" t="s">
        <v>67</v>
      </c>
      <c r="B111" s="13"/>
      <c r="C111" s="10"/>
      <c r="D111" s="13">
        <f>-D90</f>
        <v>38.79037948514182</v>
      </c>
      <c r="E111" s="13">
        <f t="shared" ref="E111:Q111" si="69">-E90</f>
        <v>36.715408970154982</v>
      </c>
      <c r="F111" s="13">
        <f t="shared" si="69"/>
        <v>44.937403104435582</v>
      </c>
      <c r="G111" s="13">
        <f t="shared" si="69"/>
        <v>53.465992840050049</v>
      </c>
      <c r="H111" s="13">
        <f t="shared" si="69"/>
        <v>62.31110258549991</v>
      </c>
      <c r="I111" s="13">
        <f t="shared" si="69"/>
        <v>71.482958685962274</v>
      </c>
      <c r="J111" s="13">
        <f t="shared" si="69"/>
        <v>80.99209813079878</v>
      </c>
      <c r="K111" s="13">
        <f t="shared" si="69"/>
        <v>90.849377493587099</v>
      </c>
      <c r="L111" s="13">
        <f t="shared" si="69"/>
        <v>101.06598211000625</v>
      </c>
      <c r="M111" s="13">
        <f t="shared" si="69"/>
        <v>111.65343549898198</v>
      </c>
      <c r="N111" s="13">
        <f t="shared" si="69"/>
        <v>122.62360903257151</v>
      </c>
      <c r="O111" s="13">
        <f t="shared" si="69"/>
        <v>133.98873186014271</v>
      </c>
      <c r="P111" s="13">
        <f t="shared" si="69"/>
        <v>145.76140109246637</v>
      </c>
      <c r="Q111" s="13">
        <f t="shared" si="69"/>
        <v>157.95459225141119</v>
      </c>
    </row>
    <row r="112" spans="1:24" x14ac:dyDescent="0.25">
      <c r="A112" s="10" t="s">
        <v>68</v>
      </c>
      <c r="B112" s="13"/>
      <c r="C112" s="10"/>
      <c r="D112" s="13"/>
      <c r="E112" s="13"/>
      <c r="F112" s="13"/>
      <c r="G112" s="13"/>
      <c r="H112" s="13"/>
      <c r="I112" s="13"/>
      <c r="J112" s="13"/>
      <c r="K112" s="13"/>
      <c r="L112" s="13"/>
      <c r="M112" s="13"/>
      <c r="N112" s="13"/>
      <c r="O112" s="13"/>
      <c r="P112" s="13"/>
      <c r="Q112" s="13">
        <f>H24</f>
        <v>2818.2138323231593</v>
      </c>
    </row>
    <row r="113" spans="1:17" x14ac:dyDescent="0.25">
      <c r="A113" s="10" t="s">
        <v>69</v>
      </c>
      <c r="B113" s="13">
        <f>SUM(B110:B112)</f>
        <v>-280.40000000000009</v>
      </c>
      <c r="C113" s="10">
        <f t="shared" ref="C113:Q113" si="70">SUM(C110:C112)</f>
        <v>0</v>
      </c>
      <c r="D113" s="13">
        <f t="shared" si="70"/>
        <v>38.79037948514182</v>
      </c>
      <c r="E113" s="13">
        <f t="shared" si="70"/>
        <v>36.715408970154982</v>
      </c>
      <c r="F113" s="13">
        <f t="shared" si="70"/>
        <v>44.937403104435582</v>
      </c>
      <c r="G113" s="13">
        <f t="shared" si="70"/>
        <v>53.465992840050049</v>
      </c>
      <c r="H113" s="13">
        <f t="shared" si="70"/>
        <v>62.31110258549991</v>
      </c>
      <c r="I113" s="13">
        <f t="shared" si="70"/>
        <v>71.482958685962274</v>
      </c>
      <c r="J113" s="13">
        <f t="shared" si="70"/>
        <v>80.99209813079878</v>
      </c>
      <c r="K113" s="13">
        <f t="shared" si="70"/>
        <v>90.849377493587099</v>
      </c>
      <c r="L113" s="13">
        <f t="shared" si="70"/>
        <v>101.06598211000625</v>
      </c>
      <c r="M113" s="13">
        <f t="shared" si="70"/>
        <v>111.65343549898198</v>
      </c>
      <c r="N113" s="13">
        <f t="shared" si="70"/>
        <v>122.62360903257151</v>
      </c>
      <c r="O113" s="13">
        <f t="shared" si="70"/>
        <v>133.98873186014271</v>
      </c>
      <c r="P113" s="13">
        <f t="shared" si="70"/>
        <v>145.76140109246637</v>
      </c>
      <c r="Q113" s="13">
        <f t="shared" si="70"/>
        <v>2976.1684245745705</v>
      </c>
    </row>
    <row r="114" spans="1:17" x14ac:dyDescent="0.25">
      <c r="A114" s="10" t="s">
        <v>70</v>
      </c>
      <c r="B114" s="37">
        <f>IRR(B113:Q113)</f>
        <v>0.25165310953599818</v>
      </c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</row>
    <row r="115" spans="1:17" x14ac:dyDescent="0.25">
      <c r="A115" t="str">
        <f>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</row>
  </sheetData>
  <mergeCells count="2">
    <mergeCell ref="X3:Y3"/>
    <mergeCell ref="Z3:AA3"/>
  </mergeCells>
  <pageMargins left="0.7" right="0.7" top="0.75" bottom="0.75" header="0.3" footer="0.3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"/>
  <sheetViews>
    <sheetView workbookViewId="0">
      <selection activeCell="M8" sqref="M8"/>
    </sheetView>
  </sheetViews>
  <sheetFormatPr baseColWidth="10" defaultColWidth="9" defaultRowHeight="15" x14ac:dyDescent="0.25"/>
  <cols>
    <col min="1" max="1" width="21.85546875" customWidth="1"/>
    <col min="12" max="12" width="5.7109375" customWidth="1"/>
  </cols>
  <sheetData>
    <row r="1" spans="1:12" x14ac:dyDescent="0.25">
      <c r="A1" t="str">
        <f>REPT("-",300)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</row>
    <row r="3" spans="1:12" x14ac:dyDescent="0.25">
      <c r="A3" t="str">
        <f>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</row>
    <row r="4" spans="1:12" x14ac:dyDescent="0.25">
      <c r="A4" s="13"/>
      <c r="B4" s="13">
        <v>1</v>
      </c>
      <c r="C4" s="13">
        <f>+B4+1</f>
        <v>2</v>
      </c>
      <c r="D4" s="13">
        <f t="shared" ref="D4:K4" si="0">+C4+1</f>
        <v>3</v>
      </c>
      <c r="E4" s="13">
        <f t="shared" si="0"/>
        <v>4</v>
      </c>
      <c r="F4" s="13">
        <f t="shared" si="0"/>
        <v>5</v>
      </c>
      <c r="G4" s="13">
        <f t="shared" si="0"/>
        <v>6</v>
      </c>
      <c r="H4" s="13">
        <f t="shared" si="0"/>
        <v>7</v>
      </c>
      <c r="I4" s="13">
        <f t="shared" si="0"/>
        <v>8</v>
      </c>
      <c r="J4" s="13">
        <f t="shared" si="0"/>
        <v>9</v>
      </c>
      <c r="K4" s="13">
        <f t="shared" si="0"/>
        <v>10</v>
      </c>
      <c r="L4" s="10"/>
    </row>
    <row r="5" spans="1:12" x14ac:dyDescent="0.25">
      <c r="A5" s="13" t="s">
        <v>23</v>
      </c>
      <c r="B5" s="13">
        <v>100</v>
      </c>
      <c r="C5" s="13">
        <f>B5*(1+$L$5)</f>
        <v>103</v>
      </c>
      <c r="D5" s="13">
        <f t="shared" ref="D5:K5" si="1">C5*(1+$L$5)</f>
        <v>106.09</v>
      </c>
      <c r="E5" s="13">
        <f t="shared" si="1"/>
        <v>109.2727</v>
      </c>
      <c r="F5" s="13">
        <f t="shared" si="1"/>
        <v>112.550881</v>
      </c>
      <c r="G5" s="13">
        <f t="shared" si="1"/>
        <v>115.92740743</v>
      </c>
      <c r="H5" s="13">
        <f t="shared" si="1"/>
        <v>119.4052296529</v>
      </c>
      <c r="I5" s="13">
        <f t="shared" si="1"/>
        <v>122.987386542487</v>
      </c>
      <c r="J5" s="13">
        <f t="shared" si="1"/>
        <v>126.67700813876162</v>
      </c>
      <c r="K5" s="13">
        <f t="shared" si="1"/>
        <v>130.47731838292447</v>
      </c>
      <c r="L5" s="90">
        <v>0.03</v>
      </c>
    </row>
    <row r="6" spans="1:12" x14ac:dyDescent="0.25">
      <c r="A6" s="13" t="s">
        <v>85</v>
      </c>
      <c r="B6" s="13">
        <v>1500</v>
      </c>
      <c r="C6" s="13">
        <f>B6*(1+$L$6)</f>
        <v>1635.0000000000002</v>
      </c>
      <c r="D6" s="13">
        <f t="shared" ref="D6:K6" si="2">C6*(1+$L$6)</f>
        <v>1782.1500000000003</v>
      </c>
      <c r="E6" s="13">
        <f t="shared" si="2"/>
        <v>1942.5435000000004</v>
      </c>
      <c r="F6" s="13">
        <f t="shared" si="2"/>
        <v>2117.3724150000007</v>
      </c>
      <c r="G6" s="13">
        <f t="shared" si="2"/>
        <v>2307.9359323500012</v>
      </c>
      <c r="H6" s="13">
        <f t="shared" si="2"/>
        <v>2515.6501662615015</v>
      </c>
      <c r="I6" s="13">
        <f t="shared" si="2"/>
        <v>2742.0586812250367</v>
      </c>
      <c r="J6" s="13">
        <f t="shared" si="2"/>
        <v>2988.8439625352903</v>
      </c>
      <c r="K6" s="13">
        <f t="shared" si="2"/>
        <v>3257.8399191634667</v>
      </c>
      <c r="L6" s="90">
        <v>0.09</v>
      </c>
    </row>
    <row r="7" spans="1:12" x14ac:dyDescent="0.25">
      <c r="A7" s="13" t="s">
        <v>86</v>
      </c>
      <c r="B7" s="20">
        <f>B5/B6</f>
        <v>6.6666666666666666E-2</v>
      </c>
      <c r="C7" s="20">
        <f t="shared" ref="C7:K7" si="3">C5/C6</f>
        <v>6.299694189602445E-2</v>
      </c>
      <c r="D7" s="20">
        <f t="shared" si="3"/>
        <v>5.952922032376623E-2</v>
      </c>
      <c r="E7" s="20">
        <f t="shared" si="3"/>
        <v>5.6252382507779093E-2</v>
      </c>
      <c r="F7" s="20">
        <f t="shared" si="3"/>
        <v>5.3155921085332535E-2</v>
      </c>
      <c r="G7" s="20">
        <f t="shared" si="3"/>
        <v>5.0229907080635322E-2</v>
      </c>
      <c r="H7" s="20">
        <f t="shared" si="3"/>
        <v>4.7464958067022361E-2</v>
      </c>
      <c r="I7" s="20">
        <f t="shared" si="3"/>
        <v>4.485220808168168E-2</v>
      </c>
      <c r="J7" s="20">
        <f t="shared" si="3"/>
        <v>4.2383279196451497E-2</v>
      </c>
      <c r="K7" s="20">
        <f t="shared" si="3"/>
        <v>4.0050254653527552E-2</v>
      </c>
      <c r="L7" s="90">
        <f>K7/B7</f>
        <v>0.60075381980291331</v>
      </c>
    </row>
    <row r="8" spans="1:12" x14ac:dyDescent="0.25">
      <c r="A8" s="13" t="s">
        <v>87</v>
      </c>
      <c r="B8" s="13"/>
      <c r="C8" s="20">
        <f>(C5+C6-B6)/B6</f>
        <v>0.15866666666666682</v>
      </c>
      <c r="D8" s="20">
        <f t="shared" ref="D8:K8" si="4">(D5+D6-C6)/C6</f>
        <v>0.15488685015290518</v>
      </c>
      <c r="E8" s="20">
        <f t="shared" si="4"/>
        <v>0.15131509693347939</v>
      </c>
      <c r="F8" s="20">
        <f t="shared" si="4"/>
        <v>0.14793995398301266</v>
      </c>
      <c r="G8" s="20">
        <f t="shared" si="4"/>
        <v>0.14475059871789275</v>
      </c>
      <c r="H8" s="20">
        <f t="shared" si="4"/>
        <v>0.14173680429305438</v>
      </c>
      <c r="I8" s="20">
        <f t="shared" si="4"/>
        <v>0.13888890680903307</v>
      </c>
      <c r="J8" s="20">
        <f t="shared" si="4"/>
        <v>0.13619777432413227</v>
      </c>
      <c r="K8" s="20">
        <f t="shared" si="4"/>
        <v>0.13365477757234506</v>
      </c>
      <c r="L8" s="10"/>
    </row>
    <row r="9" spans="1:12" x14ac:dyDescent="0.25">
      <c r="A9" s="36"/>
      <c r="B9" s="36"/>
      <c r="C9" s="36"/>
      <c r="D9" s="36"/>
      <c r="E9" s="36"/>
      <c r="F9" s="36"/>
      <c r="G9" s="36"/>
      <c r="H9" s="36"/>
      <c r="I9" s="36"/>
      <c r="J9" s="36"/>
      <c r="K9" s="36"/>
    </row>
    <row r="10" spans="1:12" x14ac:dyDescent="0.25">
      <c r="A10" s="36"/>
      <c r="B10" s="36"/>
      <c r="C10" s="36"/>
      <c r="D10" s="36"/>
      <c r="E10" s="36"/>
      <c r="F10" s="36"/>
      <c r="G10" s="36"/>
      <c r="H10" s="36"/>
      <c r="I10" s="36"/>
      <c r="J10" s="36"/>
      <c r="K10" s="36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0"/>
  <sheetViews>
    <sheetView topLeftCell="A2" workbookViewId="0">
      <selection activeCell="B14" sqref="B14"/>
    </sheetView>
  </sheetViews>
  <sheetFormatPr baseColWidth="10" defaultColWidth="8.7109375" defaultRowHeight="15" x14ac:dyDescent="0.25"/>
  <cols>
    <col min="1" max="1" width="19.7109375" customWidth="1"/>
    <col min="2" max="16" width="7.140625" customWidth="1"/>
  </cols>
  <sheetData>
    <row r="1" spans="1:16" x14ac:dyDescent="0.25">
      <c r="A1" t="str">
        <f>REPT("-",300)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</row>
    <row r="2" spans="1:16" x14ac:dyDescent="0.25">
      <c r="A2" s="1" t="s">
        <v>126</v>
      </c>
      <c r="H2" t="s">
        <v>127</v>
      </c>
    </row>
    <row r="3" spans="1:16" x14ac:dyDescent="0.25">
      <c r="A3" t="str">
        <f>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</row>
    <row r="4" spans="1:16" x14ac:dyDescent="0.25">
      <c r="A4" s="8" t="s">
        <v>107</v>
      </c>
      <c r="B4" s="108" t="s">
        <v>98</v>
      </c>
      <c r="C4" s="115" t="s">
        <v>99</v>
      </c>
      <c r="D4" s="108" t="s">
        <v>100</v>
      </c>
      <c r="F4" s="124" t="s">
        <v>112</v>
      </c>
      <c r="G4" s="124"/>
      <c r="I4" s="124" t="s">
        <v>111</v>
      </c>
      <c r="J4" s="124"/>
      <c r="L4" s="124" t="s">
        <v>113</v>
      </c>
      <c r="M4" s="124"/>
    </row>
    <row r="5" spans="1:16" x14ac:dyDescent="0.25">
      <c r="A5" s="10" t="s">
        <v>101</v>
      </c>
      <c r="B5" s="110">
        <f>G6*G5</f>
        <v>24</v>
      </c>
      <c r="C5" s="110"/>
      <c r="D5" s="110"/>
      <c r="F5" s="111" t="s">
        <v>24</v>
      </c>
      <c r="G5" s="15">
        <v>300</v>
      </c>
      <c r="I5" s="112" t="s">
        <v>49</v>
      </c>
      <c r="J5" s="28">
        <v>0.3</v>
      </c>
      <c r="L5" s="112" t="s">
        <v>109</v>
      </c>
      <c r="M5" s="15">
        <v>15</v>
      </c>
    </row>
    <row r="6" spans="1:16" x14ac:dyDescent="0.25">
      <c r="A6" s="10" t="s">
        <v>108</v>
      </c>
      <c r="B6" s="110"/>
      <c r="C6" s="110">
        <f>G5*0.8/J9</f>
        <v>9.6</v>
      </c>
      <c r="D6" s="110"/>
      <c r="F6" s="112" t="s">
        <v>103</v>
      </c>
      <c r="G6" s="28">
        <v>0.08</v>
      </c>
      <c r="I6" s="113" t="s">
        <v>99</v>
      </c>
      <c r="J6" s="10">
        <f>G5*(1-J5)</f>
        <v>210</v>
      </c>
      <c r="L6" s="112" t="s">
        <v>110</v>
      </c>
      <c r="M6" s="15">
        <v>0</v>
      </c>
    </row>
    <row r="7" spans="1:16" x14ac:dyDescent="0.25">
      <c r="A7" s="10" t="s">
        <v>102</v>
      </c>
      <c r="B7" s="110"/>
      <c r="C7" s="110">
        <f>J6*J8/2</f>
        <v>4.7249999999999996</v>
      </c>
      <c r="D7" s="110"/>
      <c r="F7" s="112" t="s">
        <v>89</v>
      </c>
      <c r="G7" s="28">
        <v>0.33</v>
      </c>
      <c r="I7" s="112" t="s">
        <v>106</v>
      </c>
      <c r="J7" s="15">
        <v>15</v>
      </c>
      <c r="L7" s="112" t="s">
        <v>49</v>
      </c>
      <c r="M7" s="15">
        <v>0</v>
      </c>
    </row>
    <row r="8" spans="1:16" x14ac:dyDescent="0.25">
      <c r="A8" s="10" t="s">
        <v>114</v>
      </c>
      <c r="B8" s="110"/>
      <c r="C8" s="110"/>
      <c r="D8" s="110">
        <f>M9</f>
        <v>20</v>
      </c>
      <c r="F8" s="112" t="s">
        <v>121</v>
      </c>
      <c r="G8" s="28">
        <v>0.2</v>
      </c>
      <c r="I8" s="112" t="s">
        <v>104</v>
      </c>
      <c r="J8" s="29">
        <v>4.4999999999999998E-2</v>
      </c>
      <c r="L8" s="113" t="s">
        <v>102</v>
      </c>
      <c r="M8" s="10">
        <f>G5*(J8+M13)/2</f>
        <v>9.75</v>
      </c>
      <c r="N8" t="s">
        <v>131</v>
      </c>
    </row>
    <row r="9" spans="1:16" x14ac:dyDescent="0.25">
      <c r="A9" s="10" t="s">
        <v>115</v>
      </c>
      <c r="B9" s="110"/>
      <c r="C9" s="110"/>
      <c r="D9" s="110">
        <f>M8</f>
        <v>9.75</v>
      </c>
      <c r="I9" s="112" t="s">
        <v>105</v>
      </c>
      <c r="J9" s="15">
        <v>25</v>
      </c>
      <c r="L9" s="112" t="s">
        <v>132</v>
      </c>
      <c r="M9" s="15">
        <f>G5/M5</f>
        <v>20</v>
      </c>
      <c r="P9">
        <v>100</v>
      </c>
    </row>
    <row r="10" spans="1:16" x14ac:dyDescent="0.25">
      <c r="A10" s="10" t="s">
        <v>116</v>
      </c>
      <c r="B10" s="110">
        <f>SUM(B5:B9)</f>
        <v>24</v>
      </c>
      <c r="C10" s="110">
        <f t="shared" ref="C10:D10" si="0">SUM(C5:C9)</f>
        <v>14.324999999999999</v>
      </c>
      <c r="D10" s="110">
        <f t="shared" si="0"/>
        <v>29.75</v>
      </c>
      <c r="I10" s="113" t="s">
        <v>89</v>
      </c>
      <c r="J10" s="90">
        <f>+G7</f>
        <v>0.33</v>
      </c>
      <c r="L10" s="113" t="s">
        <v>89</v>
      </c>
      <c r="M10" s="90">
        <f>+J10</f>
        <v>0.33</v>
      </c>
      <c r="O10" s="22">
        <v>0.1</v>
      </c>
      <c r="P10">
        <f>$P$9*POWER((1+O10),15)</f>
        <v>417.72481694156556</v>
      </c>
    </row>
    <row r="11" spans="1:16" x14ac:dyDescent="0.25">
      <c r="A11" s="10" t="s">
        <v>117</v>
      </c>
      <c r="B11" s="110">
        <f>-B10*(1-$G$7)</f>
        <v>-16.079999999999998</v>
      </c>
      <c r="C11" s="110">
        <f>-C10*(1-$G$7)</f>
        <v>-9.5977499999999978</v>
      </c>
      <c r="D11" s="110">
        <f>-D10*(1-$G$7)</f>
        <v>-19.932499999999997</v>
      </c>
      <c r="I11" s="112" t="s">
        <v>130</v>
      </c>
      <c r="J11" s="28">
        <v>0.02</v>
      </c>
      <c r="L11" s="112" t="s">
        <v>128</v>
      </c>
      <c r="M11" s="28">
        <f>G8</f>
        <v>0.2</v>
      </c>
      <c r="O11" s="22">
        <v>0.15</v>
      </c>
      <c r="P11">
        <f>$P$9*POWER((1+O11),15)</f>
        <v>813.70616291623196</v>
      </c>
    </row>
    <row r="12" spans="1:16" x14ac:dyDescent="0.25">
      <c r="A12" s="12" t="s">
        <v>133</v>
      </c>
      <c r="B12" s="110">
        <v>0</v>
      </c>
      <c r="C12" s="110">
        <f>C6</f>
        <v>9.6</v>
      </c>
      <c r="D12" s="110"/>
      <c r="I12" s="112" t="s">
        <v>95</v>
      </c>
      <c r="J12" s="118">
        <v>0.4</v>
      </c>
      <c r="L12" s="114" t="s">
        <v>130</v>
      </c>
      <c r="M12" s="35">
        <f>J11</f>
        <v>0.02</v>
      </c>
    </row>
    <row r="13" spans="1:16" x14ac:dyDescent="0.25">
      <c r="A13" s="12" t="s">
        <v>134</v>
      </c>
      <c r="B13" s="110">
        <v>0</v>
      </c>
      <c r="C13" s="110">
        <f>-J6/J7</f>
        <v>-14</v>
      </c>
      <c r="D13" s="110"/>
      <c r="F13" s="108"/>
      <c r="G13" s="108" t="s">
        <v>77</v>
      </c>
      <c r="H13" s="108" t="s">
        <v>129</v>
      </c>
      <c r="I13" s="117" t="s">
        <v>100</v>
      </c>
      <c r="L13" s="112" t="s">
        <v>135</v>
      </c>
      <c r="M13" s="28">
        <v>0.02</v>
      </c>
    </row>
    <row r="14" spans="1:16" x14ac:dyDescent="0.25">
      <c r="A14" s="12" t="s">
        <v>124</v>
      </c>
      <c r="B14" s="110">
        <f>B11+B12+B13</f>
        <v>-16.079999999999998</v>
      </c>
      <c r="C14" s="110">
        <f t="shared" ref="C14:D14" si="1">C11+C12+C13</f>
        <v>-13.997749999999998</v>
      </c>
      <c r="D14" s="110">
        <f t="shared" si="1"/>
        <v>-19.932499999999997</v>
      </c>
      <c r="F14" s="108" t="s">
        <v>70</v>
      </c>
      <c r="G14" s="116">
        <f>B22</f>
        <v>0.14997515411593998</v>
      </c>
      <c r="H14" s="116">
        <f>B30</f>
        <v>-1.9028942040519969E-2</v>
      </c>
      <c r="I14" s="116">
        <f>B38</f>
        <v>0.15264059482558556</v>
      </c>
    </row>
    <row r="16" spans="1:16" x14ac:dyDescent="0.25">
      <c r="A16" s="8" t="s">
        <v>75</v>
      </c>
      <c r="B16" s="8">
        <v>1</v>
      </c>
      <c r="C16" s="8">
        <f>+B16+1</f>
        <v>2</v>
      </c>
      <c r="D16" s="8">
        <f t="shared" ref="D16:P16" si="2">+C16+1</f>
        <v>3</v>
      </c>
      <c r="E16" s="8">
        <f t="shared" si="2"/>
        <v>4</v>
      </c>
      <c r="F16" s="8">
        <f t="shared" si="2"/>
        <v>5</v>
      </c>
      <c r="G16" s="8">
        <f t="shared" si="2"/>
        <v>6</v>
      </c>
      <c r="H16" s="8">
        <f t="shared" si="2"/>
        <v>7</v>
      </c>
      <c r="I16" s="8">
        <f t="shared" si="2"/>
        <v>8</v>
      </c>
      <c r="J16" s="8">
        <f t="shared" si="2"/>
        <v>9</v>
      </c>
      <c r="K16" s="8">
        <f t="shared" si="2"/>
        <v>10</v>
      </c>
      <c r="L16" s="8">
        <f t="shared" si="2"/>
        <v>11</v>
      </c>
      <c r="M16" s="8">
        <f t="shared" si="2"/>
        <v>12</v>
      </c>
      <c r="N16" s="8">
        <f t="shared" si="2"/>
        <v>13</v>
      </c>
      <c r="O16" s="8">
        <f t="shared" si="2"/>
        <v>14</v>
      </c>
      <c r="P16" s="8">
        <f t="shared" si="2"/>
        <v>15</v>
      </c>
    </row>
    <row r="17" spans="1:16" x14ac:dyDescent="0.25">
      <c r="A17" s="10" t="s">
        <v>118</v>
      </c>
      <c r="B17" s="10">
        <v>-300</v>
      </c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</row>
    <row r="18" spans="1:16" x14ac:dyDescent="0.25">
      <c r="A18" s="10" t="s">
        <v>120</v>
      </c>
      <c r="B18" s="10"/>
      <c r="C18" s="13">
        <f>B14</f>
        <v>-16.079999999999998</v>
      </c>
      <c r="D18" s="13">
        <f>C18</f>
        <v>-16.079999999999998</v>
      </c>
      <c r="E18" s="13">
        <f t="shared" ref="E18:P18" si="3">D18</f>
        <v>-16.079999999999998</v>
      </c>
      <c r="F18" s="13">
        <f t="shared" si="3"/>
        <v>-16.079999999999998</v>
      </c>
      <c r="G18" s="13">
        <f t="shared" si="3"/>
        <v>-16.079999999999998</v>
      </c>
      <c r="H18" s="13">
        <f t="shared" si="3"/>
        <v>-16.079999999999998</v>
      </c>
      <c r="I18" s="13">
        <f t="shared" si="3"/>
        <v>-16.079999999999998</v>
      </c>
      <c r="J18" s="13">
        <f t="shared" si="3"/>
        <v>-16.079999999999998</v>
      </c>
      <c r="K18" s="13">
        <f t="shared" si="3"/>
        <v>-16.079999999999998</v>
      </c>
      <c r="L18" s="13">
        <f t="shared" si="3"/>
        <v>-16.079999999999998</v>
      </c>
      <c r="M18" s="13">
        <f t="shared" si="3"/>
        <v>-16.079999999999998</v>
      </c>
      <c r="N18" s="13">
        <f t="shared" si="3"/>
        <v>-16.079999999999998</v>
      </c>
      <c r="O18" s="13">
        <f t="shared" si="3"/>
        <v>-16.079999999999998</v>
      </c>
      <c r="P18" s="13">
        <f t="shared" si="3"/>
        <v>-16.079999999999998</v>
      </c>
    </row>
    <row r="19" spans="1:16" x14ac:dyDescent="0.25">
      <c r="A19" s="10" t="s">
        <v>119</v>
      </c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</row>
    <row r="20" spans="1:16" x14ac:dyDescent="0.25">
      <c r="A20" s="10" t="s">
        <v>122</v>
      </c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3">
        <f>G5*POWER((1+G8),15)*(1-J12)</f>
        <v>2773.2638834255454</v>
      </c>
    </row>
    <row r="21" spans="1:16" x14ac:dyDescent="0.25">
      <c r="A21" s="10" t="s">
        <v>69</v>
      </c>
      <c r="B21" s="13">
        <f>SUM(B17:B20)</f>
        <v>-300</v>
      </c>
      <c r="C21" s="13">
        <f t="shared" ref="C21:P21" si="4">SUM(C17:C20)</f>
        <v>-16.079999999999998</v>
      </c>
      <c r="D21" s="13">
        <f t="shared" si="4"/>
        <v>-16.079999999999998</v>
      </c>
      <c r="E21" s="13">
        <f t="shared" si="4"/>
        <v>-16.079999999999998</v>
      </c>
      <c r="F21" s="13">
        <f t="shared" si="4"/>
        <v>-16.079999999999998</v>
      </c>
      <c r="G21" s="13">
        <f t="shared" si="4"/>
        <v>-16.079999999999998</v>
      </c>
      <c r="H21" s="13">
        <f t="shared" si="4"/>
        <v>-16.079999999999998</v>
      </c>
      <c r="I21" s="13">
        <f t="shared" si="4"/>
        <v>-16.079999999999998</v>
      </c>
      <c r="J21" s="13">
        <f t="shared" si="4"/>
        <v>-16.079999999999998</v>
      </c>
      <c r="K21" s="13">
        <f t="shared" si="4"/>
        <v>-16.079999999999998</v>
      </c>
      <c r="L21" s="13">
        <f t="shared" si="4"/>
        <v>-16.079999999999998</v>
      </c>
      <c r="M21" s="13">
        <f t="shared" si="4"/>
        <v>-16.079999999999998</v>
      </c>
      <c r="N21" s="13">
        <f t="shared" si="4"/>
        <v>-16.079999999999998</v>
      </c>
      <c r="O21" s="13">
        <f t="shared" si="4"/>
        <v>-16.079999999999998</v>
      </c>
      <c r="P21" s="13">
        <f t="shared" si="4"/>
        <v>2757.1838834255454</v>
      </c>
    </row>
    <row r="22" spans="1:16" x14ac:dyDescent="0.25">
      <c r="A22" s="10" t="s">
        <v>70</v>
      </c>
      <c r="B22" s="16">
        <f>IRR(B21:P21)</f>
        <v>0.14997515411593998</v>
      </c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</row>
    <row r="24" spans="1:16" x14ac:dyDescent="0.25">
      <c r="A24" s="8" t="s">
        <v>123</v>
      </c>
      <c r="B24" s="8">
        <v>1</v>
      </c>
      <c r="C24" s="8">
        <f>+B24+1</f>
        <v>2</v>
      </c>
      <c r="D24" s="8">
        <f t="shared" ref="D24:P24" si="5">+C24+1</f>
        <v>3</v>
      </c>
      <c r="E24" s="8">
        <f t="shared" si="5"/>
        <v>4</v>
      </c>
      <c r="F24" s="8">
        <f t="shared" si="5"/>
        <v>5</v>
      </c>
      <c r="G24" s="8">
        <f t="shared" si="5"/>
        <v>6</v>
      </c>
      <c r="H24" s="8">
        <f t="shared" si="5"/>
        <v>7</v>
      </c>
      <c r="I24" s="8">
        <f t="shared" si="5"/>
        <v>8</v>
      </c>
      <c r="J24" s="8">
        <f t="shared" si="5"/>
        <v>9</v>
      </c>
      <c r="K24" s="8">
        <f t="shared" si="5"/>
        <v>10</v>
      </c>
      <c r="L24" s="8">
        <f t="shared" si="5"/>
        <v>11</v>
      </c>
      <c r="M24" s="8">
        <f t="shared" si="5"/>
        <v>12</v>
      </c>
      <c r="N24" s="8">
        <f t="shared" si="5"/>
        <v>13</v>
      </c>
      <c r="O24" s="8">
        <f t="shared" si="5"/>
        <v>14</v>
      </c>
      <c r="P24" s="8">
        <f t="shared" si="5"/>
        <v>15</v>
      </c>
    </row>
    <row r="25" spans="1:16" x14ac:dyDescent="0.25">
      <c r="A25" s="10" t="s">
        <v>118</v>
      </c>
      <c r="B25" s="10">
        <f>-G5+J6</f>
        <v>-90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</row>
    <row r="26" spans="1:16" x14ac:dyDescent="0.25">
      <c r="A26" s="10" t="s">
        <v>120</v>
      </c>
      <c r="B26" s="10"/>
      <c r="C26" s="13">
        <f>C14</f>
        <v>-13.997749999999998</v>
      </c>
      <c r="D26" s="13">
        <f>C26</f>
        <v>-13.997749999999998</v>
      </c>
      <c r="E26" s="13">
        <f t="shared" ref="E26:P26" si="6">D26</f>
        <v>-13.997749999999998</v>
      </c>
      <c r="F26" s="13">
        <f t="shared" si="6"/>
        <v>-13.997749999999998</v>
      </c>
      <c r="G26" s="13">
        <f t="shared" si="6"/>
        <v>-13.997749999999998</v>
      </c>
      <c r="H26" s="13">
        <f t="shared" si="6"/>
        <v>-13.997749999999998</v>
      </c>
      <c r="I26" s="13">
        <f t="shared" si="6"/>
        <v>-13.997749999999998</v>
      </c>
      <c r="J26" s="13">
        <f t="shared" si="6"/>
        <v>-13.997749999999998</v>
      </c>
      <c r="K26" s="13">
        <f t="shared" si="6"/>
        <v>-13.997749999999998</v>
      </c>
      <c r="L26" s="13">
        <f t="shared" si="6"/>
        <v>-13.997749999999998</v>
      </c>
      <c r="M26" s="13">
        <f t="shared" si="6"/>
        <v>-13.997749999999998</v>
      </c>
      <c r="N26" s="13">
        <f t="shared" si="6"/>
        <v>-13.997749999999998</v>
      </c>
      <c r="O26" s="13">
        <f t="shared" si="6"/>
        <v>-13.997749999999998</v>
      </c>
      <c r="P26" s="13">
        <f t="shared" si="6"/>
        <v>-13.997749999999998</v>
      </c>
    </row>
    <row r="27" spans="1:16" x14ac:dyDescent="0.25">
      <c r="A27" s="10" t="s">
        <v>119</v>
      </c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</row>
    <row r="28" spans="1:16" x14ac:dyDescent="0.25">
      <c r="A28" s="10" t="s">
        <v>122</v>
      </c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3">
        <f>G5*POWER((1+$J$11),15)*(1-J12)</f>
        <v>242.25630089834323</v>
      </c>
    </row>
    <row r="29" spans="1:16" x14ac:dyDescent="0.25">
      <c r="A29" s="10" t="s">
        <v>69</v>
      </c>
      <c r="B29" s="13">
        <f>SUM(B25:B28)</f>
        <v>-90</v>
      </c>
      <c r="C29" s="13">
        <f t="shared" ref="C29" si="7">SUM(C25:C28)</f>
        <v>-13.997749999999998</v>
      </c>
      <c r="D29" s="13">
        <f t="shared" ref="D29" si="8">SUM(D25:D28)</f>
        <v>-13.997749999999998</v>
      </c>
      <c r="E29" s="13">
        <f t="shared" ref="E29" si="9">SUM(E25:E28)</f>
        <v>-13.997749999999998</v>
      </c>
      <c r="F29" s="13">
        <f t="shared" ref="F29" si="10">SUM(F25:F28)</f>
        <v>-13.997749999999998</v>
      </c>
      <c r="G29" s="13">
        <f t="shared" ref="G29" si="11">SUM(G25:G28)</f>
        <v>-13.997749999999998</v>
      </c>
      <c r="H29" s="13">
        <f t="shared" ref="H29" si="12">SUM(H25:H28)</f>
        <v>-13.997749999999998</v>
      </c>
      <c r="I29" s="13">
        <f t="shared" ref="I29" si="13">SUM(I25:I28)</f>
        <v>-13.997749999999998</v>
      </c>
      <c r="J29" s="13">
        <f t="shared" ref="J29" si="14">SUM(J25:J28)</f>
        <v>-13.997749999999998</v>
      </c>
      <c r="K29" s="13">
        <f t="shared" ref="K29" si="15">SUM(K25:K28)</f>
        <v>-13.997749999999998</v>
      </c>
      <c r="L29" s="13">
        <f t="shared" ref="L29" si="16">SUM(L25:L28)</f>
        <v>-13.997749999999998</v>
      </c>
      <c r="M29" s="13">
        <f t="shared" ref="M29" si="17">SUM(M25:M28)</f>
        <v>-13.997749999999998</v>
      </c>
      <c r="N29" s="13">
        <f t="shared" ref="N29" si="18">SUM(N25:N28)</f>
        <v>-13.997749999999998</v>
      </c>
      <c r="O29" s="13">
        <f t="shared" ref="O29" si="19">SUM(O25:O28)</f>
        <v>-13.997749999999998</v>
      </c>
      <c r="P29" s="13">
        <f t="shared" ref="P29" si="20">SUM(P25:P28)</f>
        <v>228.25855089834323</v>
      </c>
    </row>
    <row r="30" spans="1:16" x14ac:dyDescent="0.25">
      <c r="A30" s="10" t="s">
        <v>70</v>
      </c>
      <c r="B30" s="16">
        <f>IRR(B29:P29)</f>
        <v>-1.9028942040519969E-2</v>
      </c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</row>
    <row r="32" spans="1:16" x14ac:dyDescent="0.25">
      <c r="A32" s="8" t="s">
        <v>125</v>
      </c>
      <c r="B32" s="8">
        <v>1</v>
      </c>
      <c r="C32" s="8">
        <f>+B32+1</f>
        <v>2</v>
      </c>
      <c r="D32" s="8">
        <f t="shared" ref="D32:P32" si="21">+C32+1</f>
        <v>3</v>
      </c>
      <c r="E32" s="8">
        <f t="shared" si="21"/>
        <v>4</v>
      </c>
      <c r="F32" s="8">
        <f t="shared" si="21"/>
        <v>5</v>
      </c>
      <c r="G32" s="8">
        <f t="shared" si="21"/>
        <v>6</v>
      </c>
      <c r="H32" s="8">
        <f t="shared" si="21"/>
        <v>7</v>
      </c>
      <c r="I32" s="8">
        <f t="shared" si="21"/>
        <v>8</v>
      </c>
      <c r="J32" s="8">
        <f t="shared" si="21"/>
        <v>9</v>
      </c>
      <c r="K32" s="8">
        <f t="shared" si="21"/>
        <v>10</v>
      </c>
      <c r="L32" s="8">
        <f t="shared" si="21"/>
        <v>11</v>
      </c>
      <c r="M32" s="8">
        <f t="shared" si="21"/>
        <v>12</v>
      </c>
      <c r="N32" s="8">
        <f t="shared" si="21"/>
        <v>13</v>
      </c>
      <c r="O32" s="8">
        <f t="shared" si="21"/>
        <v>14</v>
      </c>
      <c r="P32" s="8">
        <f t="shared" si="21"/>
        <v>15</v>
      </c>
    </row>
    <row r="33" spans="1:16" x14ac:dyDescent="0.25">
      <c r="A33" s="10" t="s">
        <v>118</v>
      </c>
      <c r="B33" s="10">
        <v>-300</v>
      </c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</row>
    <row r="34" spans="1:16" x14ac:dyDescent="0.25">
      <c r="A34" s="10" t="s">
        <v>120</v>
      </c>
      <c r="B34" s="10"/>
      <c r="C34" s="13">
        <f>D14</f>
        <v>-19.932499999999997</v>
      </c>
      <c r="D34" s="13">
        <f>C34</f>
        <v>-19.932499999999997</v>
      </c>
      <c r="E34" s="13">
        <f t="shared" ref="E34:P34" si="22">D34</f>
        <v>-19.932499999999997</v>
      </c>
      <c r="F34" s="13">
        <f t="shared" si="22"/>
        <v>-19.932499999999997</v>
      </c>
      <c r="G34" s="13">
        <f t="shared" si="22"/>
        <v>-19.932499999999997</v>
      </c>
      <c r="H34" s="13">
        <f t="shared" si="22"/>
        <v>-19.932499999999997</v>
      </c>
      <c r="I34" s="13">
        <f t="shared" si="22"/>
        <v>-19.932499999999997</v>
      </c>
      <c r="J34" s="13">
        <f t="shared" si="22"/>
        <v>-19.932499999999997</v>
      </c>
      <c r="K34" s="13">
        <f t="shared" si="22"/>
        <v>-19.932499999999997</v>
      </c>
      <c r="L34" s="13">
        <f t="shared" si="22"/>
        <v>-19.932499999999997</v>
      </c>
      <c r="M34" s="13">
        <f t="shared" si="22"/>
        <v>-19.932499999999997</v>
      </c>
      <c r="N34" s="13">
        <f t="shared" si="22"/>
        <v>-19.932499999999997</v>
      </c>
      <c r="O34" s="13">
        <f t="shared" si="22"/>
        <v>-19.932499999999997</v>
      </c>
      <c r="P34" s="13">
        <f t="shared" si="22"/>
        <v>-19.932499999999997</v>
      </c>
    </row>
    <row r="35" spans="1:16" x14ac:dyDescent="0.25">
      <c r="A35" s="10" t="s">
        <v>119</v>
      </c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</row>
    <row r="36" spans="1:16" x14ac:dyDescent="0.25">
      <c r="A36" s="10" t="s">
        <v>122</v>
      </c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3">
        <f>(G5*POWER((1+J11),15)+G5*POWER((1+G8),15))*(1-J12)</f>
        <v>3015.5201843238888</v>
      </c>
    </row>
    <row r="37" spans="1:16" x14ac:dyDescent="0.25">
      <c r="A37" s="10" t="s">
        <v>69</v>
      </c>
      <c r="B37" s="13">
        <f>SUM(B33:B36)</f>
        <v>-300</v>
      </c>
      <c r="C37" s="13">
        <f t="shared" ref="C37" si="23">SUM(C33:C36)</f>
        <v>-19.932499999999997</v>
      </c>
      <c r="D37" s="13">
        <f t="shared" ref="D37" si="24">SUM(D33:D36)</f>
        <v>-19.932499999999997</v>
      </c>
      <c r="E37" s="13">
        <f t="shared" ref="E37" si="25">SUM(E33:E36)</f>
        <v>-19.932499999999997</v>
      </c>
      <c r="F37" s="13">
        <f t="shared" ref="F37" si="26">SUM(F33:F36)</f>
        <v>-19.932499999999997</v>
      </c>
      <c r="G37" s="13">
        <f t="shared" ref="G37" si="27">SUM(G33:G36)</f>
        <v>-19.932499999999997</v>
      </c>
      <c r="H37" s="13">
        <f t="shared" ref="H37" si="28">SUM(H33:H36)</f>
        <v>-19.932499999999997</v>
      </c>
      <c r="I37" s="13">
        <f t="shared" ref="I37" si="29">SUM(I33:I36)</f>
        <v>-19.932499999999997</v>
      </c>
      <c r="J37" s="13">
        <f t="shared" ref="J37" si="30">SUM(J33:J36)</f>
        <v>-19.932499999999997</v>
      </c>
      <c r="K37" s="13">
        <f t="shared" ref="K37" si="31">SUM(K33:K36)</f>
        <v>-19.932499999999997</v>
      </c>
      <c r="L37" s="13">
        <f t="shared" ref="L37" si="32">SUM(L33:L36)</f>
        <v>-19.932499999999997</v>
      </c>
      <c r="M37" s="13">
        <f t="shared" ref="M37" si="33">SUM(M33:M36)</f>
        <v>-19.932499999999997</v>
      </c>
      <c r="N37" s="13">
        <f t="shared" ref="N37" si="34">SUM(N33:N36)</f>
        <v>-19.932499999999997</v>
      </c>
      <c r="O37" s="13">
        <f t="shared" ref="O37" si="35">SUM(O33:O36)</f>
        <v>-19.932499999999997</v>
      </c>
      <c r="P37" s="13">
        <f t="shared" ref="P37" si="36">SUM(P33:P36)</f>
        <v>2995.5876843238889</v>
      </c>
    </row>
    <row r="38" spans="1:16" x14ac:dyDescent="0.25">
      <c r="A38" s="10" t="s">
        <v>70</v>
      </c>
      <c r="B38" s="16">
        <f>IRR(B37:P37)</f>
        <v>0.15264059482558556</v>
      </c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</row>
    <row r="40" spans="1:16" x14ac:dyDescent="0.25">
      <c r="A40" s="8" t="s">
        <v>107</v>
      </c>
      <c r="B40" s="109" t="s">
        <v>98</v>
      </c>
      <c r="C40" s="109" t="s">
        <v>99</v>
      </c>
      <c r="D40" s="109" t="s">
        <v>100</v>
      </c>
    </row>
    <row r="41" spans="1:16" x14ac:dyDescent="0.25">
      <c r="A41" s="10" t="s">
        <v>101</v>
      </c>
      <c r="B41" s="110">
        <f>G42*G41</f>
        <v>0</v>
      </c>
      <c r="C41" s="110"/>
      <c r="D41" s="110"/>
    </row>
    <row r="42" spans="1:16" x14ac:dyDescent="0.25">
      <c r="A42" s="10" t="s">
        <v>108</v>
      </c>
      <c r="B42" s="110"/>
      <c r="C42" s="110" t="e">
        <f>G41*0.8/J45</f>
        <v>#DIV/0!</v>
      </c>
      <c r="D42" s="110"/>
    </row>
    <row r="43" spans="1:16" x14ac:dyDescent="0.25">
      <c r="A43" s="10" t="s">
        <v>102</v>
      </c>
      <c r="B43" s="110"/>
      <c r="C43" s="110">
        <f>J42*J44/2</f>
        <v>0</v>
      </c>
      <c r="D43" s="110"/>
    </row>
    <row r="44" spans="1:16" x14ac:dyDescent="0.25">
      <c r="A44" s="10" t="s">
        <v>114</v>
      </c>
      <c r="B44" s="110"/>
      <c r="C44" s="110"/>
      <c r="D44" s="110">
        <f>M45</f>
        <v>0</v>
      </c>
    </row>
    <row r="45" spans="1:16" x14ac:dyDescent="0.25">
      <c r="A45" s="10" t="s">
        <v>115</v>
      </c>
      <c r="B45" s="110"/>
      <c r="C45" s="110"/>
      <c r="D45" s="110">
        <f>M44</f>
        <v>0</v>
      </c>
    </row>
    <row r="46" spans="1:16" x14ac:dyDescent="0.25">
      <c r="A46" s="10" t="s">
        <v>116</v>
      </c>
      <c r="B46" s="110">
        <f>SUM(B41:B45)</f>
        <v>0</v>
      </c>
      <c r="C46" s="110" t="e">
        <f t="shared" ref="C46:D46" si="37">SUM(C41:C45)</f>
        <v>#DIV/0!</v>
      </c>
      <c r="D46" s="110">
        <f t="shared" si="37"/>
        <v>0</v>
      </c>
    </row>
    <row r="47" spans="1:16" x14ac:dyDescent="0.25">
      <c r="A47" s="10" t="s">
        <v>117</v>
      </c>
      <c r="B47" s="110">
        <f>-B46*(1-$G$7)</f>
        <v>0</v>
      </c>
      <c r="C47" s="110" t="e">
        <f>-C46*(1-$G$7)</f>
        <v>#DIV/0!</v>
      </c>
      <c r="D47" s="110">
        <f>-D46*(1-$G$7)</f>
        <v>0</v>
      </c>
    </row>
    <row r="48" spans="1:16" x14ac:dyDescent="0.25">
      <c r="A48" s="12" t="s">
        <v>133</v>
      </c>
      <c r="B48" s="110">
        <v>0</v>
      </c>
      <c r="C48" s="110" t="e">
        <f>C42</f>
        <v>#DIV/0!</v>
      </c>
      <c r="D48" s="110"/>
    </row>
    <row r="49" spans="1:4" x14ac:dyDescent="0.25">
      <c r="A49" s="12" t="s">
        <v>134</v>
      </c>
      <c r="B49" s="110">
        <v>0</v>
      </c>
      <c r="C49" s="110" t="e">
        <f>-G41/J43</f>
        <v>#DIV/0!</v>
      </c>
      <c r="D49" s="110"/>
    </row>
    <row r="50" spans="1:4" x14ac:dyDescent="0.25">
      <c r="A50" s="12" t="s">
        <v>124</v>
      </c>
      <c r="B50" s="110">
        <f>B47+B48+B49</f>
        <v>0</v>
      </c>
      <c r="C50" s="110" t="e">
        <f t="shared" ref="C50" si="38">C47+C48+C49</f>
        <v>#DIV/0!</v>
      </c>
      <c r="D50" s="110">
        <f t="shared" ref="D50" si="39">D47+D48+D49</f>
        <v>0</v>
      </c>
    </row>
  </sheetData>
  <mergeCells count="3">
    <mergeCell ref="L4:M4"/>
    <mergeCell ref="F4:G4"/>
    <mergeCell ref="I4:J4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0"/>
  <sheetViews>
    <sheetView topLeftCell="A11" workbookViewId="0">
      <selection activeCell="A26" sqref="A26"/>
    </sheetView>
  </sheetViews>
  <sheetFormatPr baseColWidth="10" defaultColWidth="8.7109375" defaultRowHeight="15" x14ac:dyDescent="0.25"/>
  <cols>
    <col min="1" max="1" width="19.7109375" customWidth="1"/>
    <col min="2" max="16" width="7.140625" customWidth="1"/>
  </cols>
  <sheetData>
    <row r="1" spans="1:16" x14ac:dyDescent="0.25">
      <c r="A1" t="str">
        <f>REPT("-",300)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</row>
    <row r="2" spans="1:16" x14ac:dyDescent="0.25">
      <c r="A2" s="1" t="s">
        <v>126</v>
      </c>
      <c r="H2" t="s">
        <v>127</v>
      </c>
      <c r="L2" t="s">
        <v>148</v>
      </c>
    </row>
    <row r="3" spans="1:16" x14ac:dyDescent="0.25">
      <c r="A3" t="str">
        <f>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</row>
    <row r="4" spans="1:16" x14ac:dyDescent="0.25">
      <c r="A4" s="8" t="s">
        <v>107</v>
      </c>
      <c r="B4" s="119" t="s">
        <v>98</v>
      </c>
      <c r="C4" s="120" t="s">
        <v>99</v>
      </c>
      <c r="D4" s="119" t="s">
        <v>100</v>
      </c>
      <c r="F4" s="124" t="s">
        <v>112</v>
      </c>
      <c r="G4" s="124"/>
      <c r="I4" s="124" t="s">
        <v>111</v>
      </c>
      <c r="J4" s="124"/>
      <c r="L4" s="124" t="s">
        <v>113</v>
      </c>
      <c r="M4" s="124"/>
    </row>
    <row r="5" spans="1:16" x14ac:dyDescent="0.25">
      <c r="A5" s="10" t="s">
        <v>101</v>
      </c>
      <c r="B5" s="110">
        <f>G6*G5</f>
        <v>24</v>
      </c>
      <c r="C5" s="110"/>
      <c r="D5" s="110"/>
      <c r="F5" s="111" t="s">
        <v>24</v>
      </c>
      <c r="G5" s="15">
        <v>300</v>
      </c>
      <c r="I5" s="112" t="s">
        <v>49</v>
      </c>
      <c r="J5" s="28">
        <v>0.3</v>
      </c>
      <c r="L5" s="112" t="s">
        <v>109</v>
      </c>
      <c r="M5" s="15">
        <v>15</v>
      </c>
    </row>
    <row r="6" spans="1:16" x14ac:dyDescent="0.25">
      <c r="A6" s="10" t="s">
        <v>108</v>
      </c>
      <c r="B6" s="110"/>
      <c r="C6" s="110">
        <f>G5*0.8/J9</f>
        <v>9.6</v>
      </c>
      <c r="D6" s="110"/>
      <c r="F6" s="112" t="s">
        <v>103</v>
      </c>
      <c r="G6" s="28">
        <v>0.08</v>
      </c>
      <c r="I6" s="113" t="s">
        <v>99</v>
      </c>
      <c r="J6" s="10">
        <f>G5*(1-J5)</f>
        <v>210</v>
      </c>
      <c r="L6" s="112" t="s">
        <v>110</v>
      </c>
      <c r="M6" s="15">
        <v>0</v>
      </c>
    </row>
    <row r="7" spans="1:16" x14ac:dyDescent="0.25">
      <c r="A7" s="10" t="s">
        <v>102</v>
      </c>
      <c r="B7" s="110"/>
      <c r="C7" s="110">
        <f>J6*J8/2</f>
        <v>4.7249999999999996</v>
      </c>
      <c r="D7" s="110"/>
      <c r="F7" s="112" t="s">
        <v>89</v>
      </c>
      <c r="G7" s="28">
        <v>0.33</v>
      </c>
      <c r="I7" s="112" t="s">
        <v>106</v>
      </c>
      <c r="J7" s="15">
        <v>15</v>
      </c>
      <c r="L7" s="112" t="s">
        <v>49</v>
      </c>
      <c r="M7" s="15">
        <v>0</v>
      </c>
    </row>
    <row r="8" spans="1:16" x14ac:dyDescent="0.25">
      <c r="A8" s="10" t="s">
        <v>114</v>
      </c>
      <c r="B8" s="110"/>
      <c r="C8" s="110"/>
      <c r="D8" s="110">
        <f>M9</f>
        <v>20</v>
      </c>
      <c r="F8" s="112" t="s">
        <v>121</v>
      </c>
      <c r="G8" s="28">
        <v>0.2</v>
      </c>
      <c r="I8" s="112" t="s">
        <v>104</v>
      </c>
      <c r="J8" s="29">
        <v>4.4999999999999998E-2</v>
      </c>
      <c r="L8" s="113" t="s">
        <v>102</v>
      </c>
      <c r="M8" s="10">
        <f>G5*(J8+M13)/2</f>
        <v>9.75</v>
      </c>
      <c r="N8" t="s">
        <v>131</v>
      </c>
    </row>
    <row r="9" spans="1:16" x14ac:dyDescent="0.25">
      <c r="A9" s="10" t="s">
        <v>115</v>
      </c>
      <c r="B9" s="110"/>
      <c r="C9" s="110"/>
      <c r="D9" s="110">
        <f>M8</f>
        <v>9.75</v>
      </c>
      <c r="I9" s="112" t="s">
        <v>105</v>
      </c>
      <c r="J9" s="15">
        <v>25</v>
      </c>
      <c r="L9" s="112" t="s">
        <v>132</v>
      </c>
      <c r="M9" s="15">
        <f>G5/M5</f>
        <v>20</v>
      </c>
      <c r="P9">
        <v>100</v>
      </c>
    </row>
    <row r="10" spans="1:16" x14ac:dyDescent="0.25">
      <c r="A10" s="10" t="s">
        <v>116</v>
      </c>
      <c r="B10" s="110">
        <f>SUM(B5:B9)</f>
        <v>24</v>
      </c>
      <c r="C10" s="110">
        <f t="shared" ref="C10:D10" si="0">SUM(C5:C9)</f>
        <v>14.324999999999999</v>
      </c>
      <c r="D10" s="110">
        <f t="shared" si="0"/>
        <v>29.75</v>
      </c>
      <c r="I10" s="113" t="s">
        <v>89</v>
      </c>
      <c r="J10" s="90">
        <f>+G7</f>
        <v>0.33</v>
      </c>
      <c r="L10" s="113" t="s">
        <v>89</v>
      </c>
      <c r="M10" s="90">
        <f>+J10</f>
        <v>0.33</v>
      </c>
      <c r="O10" s="22">
        <v>0.1</v>
      </c>
      <c r="P10">
        <f>$P$9*POWER((1+O10),15)</f>
        <v>417.72481694156556</v>
      </c>
    </row>
    <row r="11" spans="1:16" x14ac:dyDescent="0.25">
      <c r="A11" s="10" t="s">
        <v>117</v>
      </c>
      <c r="B11" s="110">
        <f>-B10*(1-$G$7)</f>
        <v>-16.079999999999998</v>
      </c>
      <c r="C11" s="110">
        <f>-C10*(1-$G$7)</f>
        <v>-9.5977499999999978</v>
      </c>
      <c r="D11" s="110">
        <f>-D10*(1-$G$7)</f>
        <v>-19.932499999999997</v>
      </c>
      <c r="I11" s="112" t="s">
        <v>130</v>
      </c>
      <c r="J11" s="28">
        <v>0.02</v>
      </c>
      <c r="L11" s="112" t="s">
        <v>128</v>
      </c>
      <c r="M11" s="28">
        <f>J11</f>
        <v>0.02</v>
      </c>
      <c r="O11" s="22">
        <v>0.15</v>
      </c>
      <c r="P11">
        <f>$P$9*POWER((1+O11),15)</f>
        <v>813.70616291623196</v>
      </c>
    </row>
    <row r="12" spans="1:16" x14ac:dyDescent="0.25">
      <c r="A12" s="12" t="s">
        <v>133</v>
      </c>
      <c r="B12" s="110">
        <v>0</v>
      </c>
      <c r="C12" s="110">
        <f>C6</f>
        <v>9.6</v>
      </c>
      <c r="D12" s="110"/>
      <c r="I12" s="112" t="s">
        <v>95</v>
      </c>
      <c r="J12" s="118">
        <v>0.4</v>
      </c>
      <c r="L12" s="114" t="s">
        <v>130</v>
      </c>
      <c r="M12" s="35">
        <f>J11</f>
        <v>0.02</v>
      </c>
    </row>
    <row r="13" spans="1:16" x14ac:dyDescent="0.25">
      <c r="A13" s="12" t="s">
        <v>134</v>
      </c>
      <c r="B13" s="110">
        <v>0</v>
      </c>
      <c r="C13" s="110">
        <f>-J6/J7</f>
        <v>-14</v>
      </c>
      <c r="D13" s="110"/>
      <c r="F13" s="119"/>
      <c r="G13" s="119" t="s">
        <v>77</v>
      </c>
      <c r="H13" s="119" t="s">
        <v>129</v>
      </c>
      <c r="I13" s="117" t="s">
        <v>100</v>
      </c>
      <c r="L13" s="112" t="s">
        <v>135</v>
      </c>
      <c r="M13" s="28">
        <v>0.02</v>
      </c>
    </row>
    <row r="14" spans="1:16" x14ac:dyDescent="0.25">
      <c r="A14" s="12" t="s">
        <v>124</v>
      </c>
      <c r="B14" s="110">
        <f>B11+B12+B13</f>
        <v>-16.079999999999998</v>
      </c>
      <c r="C14" s="110">
        <f t="shared" ref="C14:D14" si="1">C11+C12+C13</f>
        <v>-13.997749999999998</v>
      </c>
      <c r="D14" s="110">
        <f t="shared" si="1"/>
        <v>-19.932499999999997</v>
      </c>
      <c r="F14" s="119" t="s">
        <v>70</v>
      </c>
      <c r="G14" s="116">
        <f>B22</f>
        <v>0.14997515411593998</v>
      </c>
      <c r="H14" s="116">
        <f>B30</f>
        <v>-1.9028942040519969E-2</v>
      </c>
      <c r="I14" s="116">
        <f>B38</f>
        <v>8.0534197503932203E-2</v>
      </c>
    </row>
    <row r="16" spans="1:16" x14ac:dyDescent="0.25">
      <c r="A16" s="8" t="s">
        <v>75</v>
      </c>
      <c r="B16" s="8">
        <v>1</v>
      </c>
      <c r="C16" s="8">
        <f>+B16+1</f>
        <v>2</v>
      </c>
      <c r="D16" s="8">
        <f t="shared" ref="D16:P16" si="2">+C16+1</f>
        <v>3</v>
      </c>
      <c r="E16" s="8">
        <f t="shared" si="2"/>
        <v>4</v>
      </c>
      <c r="F16" s="8">
        <f t="shared" si="2"/>
        <v>5</v>
      </c>
      <c r="G16" s="8">
        <f t="shared" si="2"/>
        <v>6</v>
      </c>
      <c r="H16" s="8">
        <f t="shared" si="2"/>
        <v>7</v>
      </c>
      <c r="I16" s="8">
        <f t="shared" si="2"/>
        <v>8</v>
      </c>
      <c r="J16" s="8">
        <f t="shared" si="2"/>
        <v>9</v>
      </c>
      <c r="K16" s="8">
        <f t="shared" si="2"/>
        <v>10</v>
      </c>
      <c r="L16" s="8">
        <f t="shared" si="2"/>
        <v>11</v>
      </c>
      <c r="M16" s="8">
        <f t="shared" si="2"/>
        <v>12</v>
      </c>
      <c r="N16" s="8">
        <f t="shared" si="2"/>
        <v>13</v>
      </c>
      <c r="O16" s="8">
        <f t="shared" si="2"/>
        <v>14</v>
      </c>
      <c r="P16" s="8">
        <f t="shared" si="2"/>
        <v>15</v>
      </c>
    </row>
    <row r="17" spans="1:16" x14ac:dyDescent="0.25">
      <c r="A17" s="10" t="s">
        <v>118</v>
      </c>
      <c r="B17" s="10">
        <v>-300</v>
      </c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</row>
    <row r="18" spans="1:16" x14ac:dyDescent="0.25">
      <c r="A18" s="10" t="s">
        <v>120</v>
      </c>
      <c r="B18" s="10"/>
      <c r="C18" s="13">
        <f>B14</f>
        <v>-16.079999999999998</v>
      </c>
      <c r="D18" s="13">
        <f>C18</f>
        <v>-16.079999999999998</v>
      </c>
      <c r="E18" s="13">
        <f t="shared" ref="E18:P18" si="3">D18</f>
        <v>-16.079999999999998</v>
      </c>
      <c r="F18" s="13">
        <f t="shared" si="3"/>
        <v>-16.079999999999998</v>
      </c>
      <c r="G18" s="13">
        <f t="shared" si="3"/>
        <v>-16.079999999999998</v>
      </c>
      <c r="H18" s="13">
        <f t="shared" si="3"/>
        <v>-16.079999999999998</v>
      </c>
      <c r="I18" s="13">
        <f t="shared" si="3"/>
        <v>-16.079999999999998</v>
      </c>
      <c r="J18" s="13">
        <f t="shared" si="3"/>
        <v>-16.079999999999998</v>
      </c>
      <c r="K18" s="13">
        <f t="shared" si="3"/>
        <v>-16.079999999999998</v>
      </c>
      <c r="L18" s="13">
        <f t="shared" si="3"/>
        <v>-16.079999999999998</v>
      </c>
      <c r="M18" s="13">
        <f t="shared" si="3"/>
        <v>-16.079999999999998</v>
      </c>
      <c r="N18" s="13">
        <f t="shared" si="3"/>
        <v>-16.079999999999998</v>
      </c>
      <c r="O18" s="13">
        <f t="shared" si="3"/>
        <v>-16.079999999999998</v>
      </c>
      <c r="P18" s="13">
        <f t="shared" si="3"/>
        <v>-16.079999999999998</v>
      </c>
    </row>
    <row r="19" spans="1:16" x14ac:dyDescent="0.25">
      <c r="A19" s="10" t="s">
        <v>119</v>
      </c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</row>
    <row r="20" spans="1:16" x14ac:dyDescent="0.25">
      <c r="A20" s="10" t="s">
        <v>122</v>
      </c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3">
        <f>G5*POWER((1+G8),15)*(1-J12)</f>
        <v>2773.2638834255454</v>
      </c>
    </row>
    <row r="21" spans="1:16" x14ac:dyDescent="0.25">
      <c r="A21" s="10" t="s">
        <v>69</v>
      </c>
      <c r="B21" s="13">
        <f>SUM(B17:B20)</f>
        <v>-300</v>
      </c>
      <c r="C21" s="13">
        <f t="shared" ref="C21:P21" si="4">SUM(C17:C20)</f>
        <v>-16.079999999999998</v>
      </c>
      <c r="D21" s="13">
        <f t="shared" si="4"/>
        <v>-16.079999999999998</v>
      </c>
      <c r="E21" s="13">
        <f t="shared" si="4"/>
        <v>-16.079999999999998</v>
      </c>
      <c r="F21" s="13">
        <f t="shared" si="4"/>
        <v>-16.079999999999998</v>
      </c>
      <c r="G21" s="13">
        <f t="shared" si="4"/>
        <v>-16.079999999999998</v>
      </c>
      <c r="H21" s="13">
        <f t="shared" si="4"/>
        <v>-16.079999999999998</v>
      </c>
      <c r="I21" s="13">
        <f t="shared" si="4"/>
        <v>-16.079999999999998</v>
      </c>
      <c r="J21" s="13">
        <f t="shared" si="4"/>
        <v>-16.079999999999998</v>
      </c>
      <c r="K21" s="13">
        <f t="shared" si="4"/>
        <v>-16.079999999999998</v>
      </c>
      <c r="L21" s="13">
        <f t="shared" si="4"/>
        <v>-16.079999999999998</v>
      </c>
      <c r="M21" s="13">
        <f t="shared" si="4"/>
        <v>-16.079999999999998</v>
      </c>
      <c r="N21" s="13">
        <f t="shared" si="4"/>
        <v>-16.079999999999998</v>
      </c>
      <c r="O21" s="13">
        <f t="shared" si="4"/>
        <v>-16.079999999999998</v>
      </c>
      <c r="P21" s="13">
        <f t="shared" si="4"/>
        <v>2757.1838834255454</v>
      </c>
    </row>
    <row r="22" spans="1:16" x14ac:dyDescent="0.25">
      <c r="A22" s="10" t="s">
        <v>70</v>
      </c>
      <c r="B22" s="16">
        <f>IRR(B21:P21)</f>
        <v>0.14997515411593998</v>
      </c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</row>
    <row r="24" spans="1:16" x14ac:dyDescent="0.25">
      <c r="A24" s="8" t="s">
        <v>123</v>
      </c>
      <c r="B24" s="8">
        <v>1</v>
      </c>
      <c r="C24" s="8">
        <f>+B24+1</f>
        <v>2</v>
      </c>
      <c r="D24" s="8">
        <f t="shared" ref="D24:P24" si="5">+C24+1</f>
        <v>3</v>
      </c>
      <c r="E24" s="8">
        <f t="shared" si="5"/>
        <v>4</v>
      </c>
      <c r="F24" s="8">
        <f t="shared" si="5"/>
        <v>5</v>
      </c>
      <c r="G24" s="8">
        <f t="shared" si="5"/>
        <v>6</v>
      </c>
      <c r="H24" s="8">
        <f t="shared" si="5"/>
        <v>7</v>
      </c>
      <c r="I24" s="8">
        <f t="shared" si="5"/>
        <v>8</v>
      </c>
      <c r="J24" s="8">
        <f t="shared" si="5"/>
        <v>9</v>
      </c>
      <c r="K24" s="8">
        <f t="shared" si="5"/>
        <v>10</v>
      </c>
      <c r="L24" s="8">
        <f t="shared" si="5"/>
        <v>11</v>
      </c>
      <c r="M24" s="8">
        <f t="shared" si="5"/>
        <v>12</v>
      </c>
      <c r="N24" s="8">
        <f t="shared" si="5"/>
        <v>13</v>
      </c>
      <c r="O24" s="8">
        <f t="shared" si="5"/>
        <v>14</v>
      </c>
      <c r="P24" s="8">
        <f t="shared" si="5"/>
        <v>15</v>
      </c>
    </row>
    <row r="25" spans="1:16" x14ac:dyDescent="0.25">
      <c r="A25" s="10" t="s">
        <v>118</v>
      </c>
      <c r="B25" s="10">
        <f>-G5+J6</f>
        <v>-90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</row>
    <row r="26" spans="1:16" x14ac:dyDescent="0.25">
      <c r="A26" s="10" t="s">
        <v>120</v>
      </c>
      <c r="B26" s="10"/>
      <c r="C26" s="13">
        <f>C14</f>
        <v>-13.997749999999998</v>
      </c>
      <c r="D26" s="13">
        <f>C26</f>
        <v>-13.997749999999998</v>
      </c>
      <c r="E26" s="13">
        <f t="shared" ref="E26:P26" si="6">D26</f>
        <v>-13.997749999999998</v>
      </c>
      <c r="F26" s="13">
        <f t="shared" si="6"/>
        <v>-13.997749999999998</v>
      </c>
      <c r="G26" s="13">
        <f t="shared" si="6"/>
        <v>-13.997749999999998</v>
      </c>
      <c r="H26" s="13">
        <f t="shared" si="6"/>
        <v>-13.997749999999998</v>
      </c>
      <c r="I26" s="13">
        <f t="shared" si="6"/>
        <v>-13.997749999999998</v>
      </c>
      <c r="J26" s="13">
        <f t="shared" si="6"/>
        <v>-13.997749999999998</v>
      </c>
      <c r="K26" s="13">
        <f t="shared" si="6"/>
        <v>-13.997749999999998</v>
      </c>
      <c r="L26" s="13">
        <f t="shared" si="6"/>
        <v>-13.997749999999998</v>
      </c>
      <c r="M26" s="13">
        <f t="shared" si="6"/>
        <v>-13.997749999999998</v>
      </c>
      <c r="N26" s="13">
        <f t="shared" si="6"/>
        <v>-13.997749999999998</v>
      </c>
      <c r="O26" s="13">
        <f t="shared" si="6"/>
        <v>-13.997749999999998</v>
      </c>
      <c r="P26" s="13">
        <f t="shared" si="6"/>
        <v>-13.997749999999998</v>
      </c>
    </row>
    <row r="27" spans="1:16" x14ac:dyDescent="0.25">
      <c r="A27" s="10" t="s">
        <v>119</v>
      </c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</row>
    <row r="28" spans="1:16" x14ac:dyDescent="0.25">
      <c r="A28" s="10" t="s">
        <v>122</v>
      </c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3">
        <f>G5*POWER((1+$J$11),15)*(1-J12)</f>
        <v>242.25630089834323</v>
      </c>
    </row>
    <row r="29" spans="1:16" x14ac:dyDescent="0.25">
      <c r="A29" s="10" t="s">
        <v>69</v>
      </c>
      <c r="B29" s="13">
        <f>SUM(B25:B28)</f>
        <v>-90</v>
      </c>
      <c r="C29" s="13">
        <f t="shared" ref="C29:P29" si="7">SUM(C25:C28)</f>
        <v>-13.997749999999998</v>
      </c>
      <c r="D29" s="13">
        <f t="shared" si="7"/>
        <v>-13.997749999999998</v>
      </c>
      <c r="E29" s="13">
        <f t="shared" si="7"/>
        <v>-13.997749999999998</v>
      </c>
      <c r="F29" s="13">
        <f t="shared" si="7"/>
        <v>-13.997749999999998</v>
      </c>
      <c r="G29" s="13">
        <f t="shared" si="7"/>
        <v>-13.997749999999998</v>
      </c>
      <c r="H29" s="13">
        <f t="shared" si="7"/>
        <v>-13.997749999999998</v>
      </c>
      <c r="I29" s="13">
        <f t="shared" si="7"/>
        <v>-13.997749999999998</v>
      </c>
      <c r="J29" s="13">
        <f t="shared" si="7"/>
        <v>-13.997749999999998</v>
      </c>
      <c r="K29" s="13">
        <f t="shared" si="7"/>
        <v>-13.997749999999998</v>
      </c>
      <c r="L29" s="13">
        <f t="shared" si="7"/>
        <v>-13.997749999999998</v>
      </c>
      <c r="M29" s="13">
        <f t="shared" si="7"/>
        <v>-13.997749999999998</v>
      </c>
      <c r="N29" s="13">
        <f t="shared" si="7"/>
        <v>-13.997749999999998</v>
      </c>
      <c r="O29" s="13">
        <f t="shared" si="7"/>
        <v>-13.997749999999998</v>
      </c>
      <c r="P29" s="13">
        <f t="shared" si="7"/>
        <v>228.25855089834323</v>
      </c>
    </row>
    <row r="30" spans="1:16" x14ac:dyDescent="0.25">
      <c r="A30" s="10" t="s">
        <v>70</v>
      </c>
      <c r="B30" s="16">
        <f>IRR(B29:P29)</f>
        <v>-1.9028942040519969E-2</v>
      </c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</row>
    <row r="32" spans="1:16" x14ac:dyDescent="0.25">
      <c r="A32" s="8" t="s">
        <v>125</v>
      </c>
      <c r="B32" s="8">
        <v>1</v>
      </c>
      <c r="C32" s="8">
        <f>+B32+1</f>
        <v>2</v>
      </c>
      <c r="D32" s="8">
        <f t="shared" ref="D32:P32" si="8">+C32+1</f>
        <v>3</v>
      </c>
      <c r="E32" s="8">
        <f t="shared" si="8"/>
        <v>4</v>
      </c>
      <c r="F32" s="8">
        <f t="shared" si="8"/>
        <v>5</v>
      </c>
      <c r="G32" s="8">
        <f t="shared" si="8"/>
        <v>6</v>
      </c>
      <c r="H32" s="8">
        <f t="shared" si="8"/>
        <v>7</v>
      </c>
      <c r="I32" s="8">
        <f t="shared" si="8"/>
        <v>8</v>
      </c>
      <c r="J32" s="8">
        <f t="shared" si="8"/>
        <v>9</v>
      </c>
      <c r="K32" s="8">
        <f t="shared" si="8"/>
        <v>10</v>
      </c>
      <c r="L32" s="8">
        <f t="shared" si="8"/>
        <v>11</v>
      </c>
      <c r="M32" s="8">
        <f t="shared" si="8"/>
        <v>12</v>
      </c>
      <c r="N32" s="8">
        <f t="shared" si="8"/>
        <v>13</v>
      </c>
      <c r="O32" s="8">
        <f t="shared" si="8"/>
        <v>14</v>
      </c>
      <c r="P32" s="8">
        <f t="shared" si="8"/>
        <v>15</v>
      </c>
    </row>
    <row r="33" spans="1:16" x14ac:dyDescent="0.25">
      <c r="A33" s="10" t="s">
        <v>118</v>
      </c>
      <c r="B33" s="10">
        <v>0</v>
      </c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</row>
    <row r="34" spans="1:16" x14ac:dyDescent="0.25">
      <c r="A34" s="10" t="s">
        <v>120</v>
      </c>
      <c r="B34" s="10"/>
      <c r="C34" s="13">
        <f>D14</f>
        <v>-19.932499999999997</v>
      </c>
      <c r="D34" s="13">
        <f>C34</f>
        <v>-19.932499999999997</v>
      </c>
      <c r="E34" s="13">
        <f t="shared" ref="E34:P34" si="9">D34</f>
        <v>-19.932499999999997</v>
      </c>
      <c r="F34" s="13">
        <f t="shared" si="9"/>
        <v>-19.932499999999997</v>
      </c>
      <c r="G34" s="13">
        <f t="shared" si="9"/>
        <v>-19.932499999999997</v>
      </c>
      <c r="H34" s="13">
        <f t="shared" si="9"/>
        <v>-19.932499999999997</v>
      </c>
      <c r="I34" s="13">
        <f t="shared" si="9"/>
        <v>-19.932499999999997</v>
      </c>
      <c r="J34" s="13">
        <f t="shared" si="9"/>
        <v>-19.932499999999997</v>
      </c>
      <c r="K34" s="13">
        <f t="shared" si="9"/>
        <v>-19.932499999999997</v>
      </c>
      <c r="L34" s="13">
        <f t="shared" si="9"/>
        <v>-19.932499999999997</v>
      </c>
      <c r="M34" s="13">
        <f t="shared" si="9"/>
        <v>-19.932499999999997</v>
      </c>
      <c r="N34" s="13">
        <f t="shared" si="9"/>
        <v>-19.932499999999997</v>
      </c>
      <c r="O34" s="13">
        <f t="shared" si="9"/>
        <v>-19.932499999999997</v>
      </c>
      <c r="P34" s="13">
        <f t="shared" si="9"/>
        <v>-19.932499999999997</v>
      </c>
    </row>
    <row r="35" spans="1:16" x14ac:dyDescent="0.25">
      <c r="A35" s="10" t="s">
        <v>119</v>
      </c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</row>
    <row r="36" spans="1:16" x14ac:dyDescent="0.25">
      <c r="A36" s="10" t="s">
        <v>122</v>
      </c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3">
        <f>(G5*POWER((1+J11),15)+G5*POWER((1+M11),15))*(1-J12)</f>
        <v>484.51260179668645</v>
      </c>
    </row>
    <row r="37" spans="1:16" x14ac:dyDescent="0.25">
      <c r="A37" s="10" t="s">
        <v>69</v>
      </c>
      <c r="B37" s="13">
        <f>SUM(B33:B36)</f>
        <v>0</v>
      </c>
      <c r="C37" s="13">
        <f t="shared" ref="C37:P37" si="10">SUM(C33:C36)</f>
        <v>-19.932499999999997</v>
      </c>
      <c r="D37" s="13">
        <f t="shared" si="10"/>
        <v>-19.932499999999997</v>
      </c>
      <c r="E37" s="13">
        <f t="shared" si="10"/>
        <v>-19.932499999999997</v>
      </c>
      <c r="F37" s="13">
        <f t="shared" si="10"/>
        <v>-19.932499999999997</v>
      </c>
      <c r="G37" s="13">
        <f t="shared" si="10"/>
        <v>-19.932499999999997</v>
      </c>
      <c r="H37" s="13">
        <f t="shared" si="10"/>
        <v>-19.932499999999997</v>
      </c>
      <c r="I37" s="13">
        <f t="shared" si="10"/>
        <v>-19.932499999999997</v>
      </c>
      <c r="J37" s="13">
        <f t="shared" si="10"/>
        <v>-19.932499999999997</v>
      </c>
      <c r="K37" s="13">
        <f t="shared" si="10"/>
        <v>-19.932499999999997</v>
      </c>
      <c r="L37" s="13">
        <f t="shared" si="10"/>
        <v>-19.932499999999997</v>
      </c>
      <c r="M37" s="13">
        <f t="shared" si="10"/>
        <v>-19.932499999999997</v>
      </c>
      <c r="N37" s="13">
        <f t="shared" si="10"/>
        <v>-19.932499999999997</v>
      </c>
      <c r="O37" s="13">
        <f t="shared" si="10"/>
        <v>-19.932499999999997</v>
      </c>
      <c r="P37" s="13">
        <f t="shared" si="10"/>
        <v>464.58010179668645</v>
      </c>
    </row>
    <row r="38" spans="1:16" x14ac:dyDescent="0.25">
      <c r="A38" s="10" t="s">
        <v>70</v>
      </c>
      <c r="B38" s="16">
        <f>IRR(B37:P37)</f>
        <v>8.0534197503932203E-2</v>
      </c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</row>
    <row r="40" spans="1:16" x14ac:dyDescent="0.25">
      <c r="A40" s="8" t="s">
        <v>107</v>
      </c>
      <c r="B40" s="119" t="s">
        <v>98</v>
      </c>
      <c r="C40" s="119" t="s">
        <v>99</v>
      </c>
      <c r="D40" s="119" t="s">
        <v>100</v>
      </c>
    </row>
    <row r="41" spans="1:16" x14ac:dyDescent="0.25">
      <c r="A41" s="10" t="s">
        <v>101</v>
      </c>
      <c r="B41" s="110">
        <f>G42*G41</f>
        <v>0</v>
      </c>
      <c r="C41" s="110"/>
      <c r="D41" s="110"/>
    </row>
    <row r="42" spans="1:16" x14ac:dyDescent="0.25">
      <c r="A42" s="10" t="s">
        <v>108</v>
      </c>
      <c r="B42" s="110"/>
      <c r="C42" s="110" t="e">
        <f>G41*0.8/J45</f>
        <v>#DIV/0!</v>
      </c>
      <c r="D42" s="110"/>
    </row>
    <row r="43" spans="1:16" x14ac:dyDescent="0.25">
      <c r="A43" s="10" t="s">
        <v>102</v>
      </c>
      <c r="B43" s="110"/>
      <c r="C43" s="110">
        <f>J42*J44/2</f>
        <v>0</v>
      </c>
      <c r="D43" s="110"/>
    </row>
    <row r="44" spans="1:16" x14ac:dyDescent="0.25">
      <c r="A44" s="10" t="s">
        <v>114</v>
      </c>
      <c r="B44" s="110"/>
      <c r="C44" s="110"/>
      <c r="D44" s="110">
        <f>M45</f>
        <v>0</v>
      </c>
    </row>
    <row r="45" spans="1:16" x14ac:dyDescent="0.25">
      <c r="A45" s="10" t="s">
        <v>115</v>
      </c>
      <c r="B45" s="110"/>
      <c r="C45" s="110"/>
      <c r="D45" s="110">
        <f>M44</f>
        <v>0</v>
      </c>
    </row>
    <row r="46" spans="1:16" x14ac:dyDescent="0.25">
      <c r="A46" s="10" t="s">
        <v>116</v>
      </c>
      <c r="B46" s="110">
        <f>SUM(B41:B45)</f>
        <v>0</v>
      </c>
      <c r="C46" s="110" t="e">
        <f t="shared" ref="C46:D46" si="11">SUM(C41:C45)</f>
        <v>#DIV/0!</v>
      </c>
      <c r="D46" s="110">
        <f t="shared" si="11"/>
        <v>0</v>
      </c>
    </row>
    <row r="47" spans="1:16" x14ac:dyDescent="0.25">
      <c r="A47" s="10" t="s">
        <v>117</v>
      </c>
      <c r="B47" s="110">
        <f>-B46*(1-$G$7)</f>
        <v>0</v>
      </c>
      <c r="C47" s="110" t="e">
        <f>-C46*(1-$G$7)</f>
        <v>#DIV/0!</v>
      </c>
      <c r="D47" s="110">
        <f>-D46*(1-$G$7)</f>
        <v>0</v>
      </c>
    </row>
    <row r="48" spans="1:16" x14ac:dyDescent="0.25">
      <c r="A48" s="12" t="s">
        <v>133</v>
      </c>
      <c r="B48" s="110">
        <v>0</v>
      </c>
      <c r="C48" s="110" t="e">
        <f>C42</f>
        <v>#DIV/0!</v>
      </c>
      <c r="D48" s="110"/>
    </row>
    <row r="49" spans="1:4" x14ac:dyDescent="0.25">
      <c r="A49" s="12" t="s">
        <v>134</v>
      </c>
      <c r="B49" s="110">
        <v>0</v>
      </c>
      <c r="C49" s="110" t="e">
        <f>-G41/J43</f>
        <v>#DIV/0!</v>
      </c>
      <c r="D49" s="110"/>
    </row>
    <row r="50" spans="1:4" x14ac:dyDescent="0.25">
      <c r="A50" s="12" t="s">
        <v>124</v>
      </c>
      <c r="B50" s="110">
        <f>B47+B48+B49</f>
        <v>0</v>
      </c>
      <c r="C50" s="110" t="e">
        <f t="shared" ref="C50:D50" si="12">C47+C48+C49</f>
        <v>#DIV/0!</v>
      </c>
      <c r="D50" s="110">
        <f t="shared" si="12"/>
        <v>0</v>
      </c>
    </row>
  </sheetData>
  <mergeCells count="3">
    <mergeCell ref="F4:G4"/>
    <mergeCell ref="I4:J4"/>
    <mergeCell ref="L4:M4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topLeftCell="A16" workbookViewId="0">
      <selection activeCell="B23" sqref="B23"/>
    </sheetView>
  </sheetViews>
  <sheetFormatPr baseColWidth="10" defaultColWidth="8" defaultRowHeight="15" x14ac:dyDescent="0.25"/>
  <cols>
    <col min="1" max="1" width="24.5703125" customWidth="1"/>
  </cols>
  <sheetData>
    <row r="1" spans="1:5" x14ac:dyDescent="0.25">
      <c r="A1" t="str">
        <f>REPT("-",300)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</row>
    <row r="3" spans="1:5" x14ac:dyDescent="0.25">
      <c r="A3" t="str">
        <f>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</row>
    <row r="4" spans="1:5" x14ac:dyDescent="0.25">
      <c r="A4" s="10"/>
      <c r="B4" s="33" t="s">
        <v>77</v>
      </c>
      <c r="C4" s="33" t="s">
        <v>129</v>
      </c>
      <c r="D4" s="33" t="s">
        <v>146</v>
      </c>
      <c r="E4" s="33" t="s">
        <v>147</v>
      </c>
    </row>
    <row r="5" spans="1:5" x14ac:dyDescent="0.25">
      <c r="A5" s="15" t="s">
        <v>139</v>
      </c>
      <c r="B5" s="15">
        <v>450</v>
      </c>
      <c r="C5" s="15">
        <v>450</v>
      </c>
      <c r="D5" s="15">
        <v>450</v>
      </c>
      <c r="E5" s="15">
        <v>450</v>
      </c>
    </row>
    <row r="6" spans="1:5" x14ac:dyDescent="0.25">
      <c r="A6" s="15" t="s">
        <v>140</v>
      </c>
      <c r="B6" s="28">
        <v>0.25</v>
      </c>
      <c r="C6" s="28">
        <v>0.25</v>
      </c>
      <c r="D6" s="28">
        <v>0.25</v>
      </c>
      <c r="E6" s="28">
        <v>0.25</v>
      </c>
    </row>
    <row r="7" spans="1:5" x14ac:dyDescent="0.25">
      <c r="A7" s="10" t="s">
        <v>141</v>
      </c>
      <c r="B7" s="10">
        <f>B5/B6-B5</f>
        <v>1350</v>
      </c>
      <c r="C7" s="10">
        <f t="shared" ref="C7:E7" si="0">C5/C6-C5</f>
        <v>1350</v>
      </c>
      <c r="D7" s="10">
        <f t="shared" si="0"/>
        <v>1350</v>
      </c>
      <c r="E7" s="10">
        <f t="shared" si="0"/>
        <v>1350</v>
      </c>
    </row>
    <row r="8" spans="1:5" x14ac:dyDescent="0.25">
      <c r="A8" s="8" t="s">
        <v>142</v>
      </c>
      <c r="B8" s="8">
        <f>B5+B7</f>
        <v>1800</v>
      </c>
      <c r="C8" s="8">
        <f t="shared" ref="C8:E8" si="1">C5+C7</f>
        <v>1800</v>
      </c>
      <c r="D8" s="8">
        <f t="shared" si="1"/>
        <v>1800</v>
      </c>
      <c r="E8" s="8">
        <f t="shared" si="1"/>
        <v>1800</v>
      </c>
    </row>
    <row r="9" spans="1:5" x14ac:dyDescent="0.25">
      <c r="A9" s="10"/>
      <c r="B9" s="10"/>
      <c r="C9" s="10"/>
      <c r="D9" s="10"/>
      <c r="E9" s="10"/>
    </row>
    <row r="10" spans="1:5" x14ac:dyDescent="0.25">
      <c r="A10" s="10" t="s">
        <v>136</v>
      </c>
      <c r="B10" s="10">
        <v>1500</v>
      </c>
      <c r="C10" s="10">
        <v>1500</v>
      </c>
      <c r="D10" s="10">
        <v>1500</v>
      </c>
      <c r="E10" s="10">
        <v>1500</v>
      </c>
    </row>
    <row r="11" spans="1:5" x14ac:dyDescent="0.25">
      <c r="A11" s="10" t="s">
        <v>144</v>
      </c>
      <c r="B11" s="10">
        <v>300</v>
      </c>
      <c r="C11" s="10">
        <v>0</v>
      </c>
      <c r="D11" s="10">
        <v>300</v>
      </c>
      <c r="E11" s="10">
        <v>0</v>
      </c>
    </row>
    <row r="12" spans="1:5" x14ac:dyDescent="0.25">
      <c r="A12" s="10" t="s">
        <v>138</v>
      </c>
      <c r="B12" s="10">
        <v>0</v>
      </c>
      <c r="C12" s="10">
        <v>300</v>
      </c>
      <c r="D12" s="10">
        <v>300</v>
      </c>
      <c r="E12" s="10">
        <v>300</v>
      </c>
    </row>
    <row r="13" spans="1:5" x14ac:dyDescent="0.25">
      <c r="A13" s="8" t="s">
        <v>143</v>
      </c>
      <c r="B13" s="8">
        <f>B10+B11+B12</f>
        <v>1800</v>
      </c>
      <c r="C13" s="8">
        <f t="shared" ref="C13:E13" si="2">C10+C11+C12</f>
        <v>1800</v>
      </c>
      <c r="D13" s="8">
        <f t="shared" si="2"/>
        <v>2100</v>
      </c>
      <c r="E13" s="8">
        <f t="shared" si="2"/>
        <v>1800</v>
      </c>
    </row>
    <row r="14" spans="1:5" x14ac:dyDescent="0.25">
      <c r="A14" s="10"/>
      <c r="B14" s="10"/>
      <c r="C14" s="10"/>
      <c r="D14" s="10"/>
      <c r="E14" s="10"/>
    </row>
    <row r="15" spans="1:5" x14ac:dyDescent="0.25">
      <c r="A15" s="8" t="s">
        <v>145</v>
      </c>
      <c r="B15" s="10"/>
      <c r="C15" s="10"/>
      <c r="D15" s="10"/>
      <c r="E15" s="10"/>
    </row>
    <row r="16" spans="1:5" x14ac:dyDescent="0.25">
      <c r="A16" s="10" t="s">
        <v>136</v>
      </c>
      <c r="B16" s="10">
        <f>B10/$B$13*$B$5</f>
        <v>375</v>
      </c>
      <c r="C16" s="10">
        <f>C10/$B$13*$B$5</f>
        <v>375</v>
      </c>
      <c r="D16" s="10">
        <f>D10/$B$13*$B$5</f>
        <v>375</v>
      </c>
      <c r="E16" s="10">
        <f>E10/$B$13*$B$5</f>
        <v>375</v>
      </c>
    </row>
    <row r="17" spans="1:5" x14ac:dyDescent="0.25">
      <c r="A17" s="10" t="s">
        <v>144</v>
      </c>
      <c r="B17" s="10">
        <f t="shared" ref="B17:C18" si="3">B11/$B$13*$B$5</f>
        <v>75</v>
      </c>
      <c r="C17" s="10">
        <f t="shared" si="3"/>
        <v>0</v>
      </c>
      <c r="D17" s="10">
        <f t="shared" ref="D17:E17" si="4">D11/$B$13*$B$5</f>
        <v>75</v>
      </c>
      <c r="E17" s="10">
        <f t="shared" si="4"/>
        <v>0</v>
      </c>
    </row>
    <row r="18" spans="1:5" x14ac:dyDescent="0.25">
      <c r="A18" s="10" t="s">
        <v>138</v>
      </c>
      <c r="B18" s="10">
        <f t="shared" si="3"/>
        <v>0</v>
      </c>
      <c r="C18" s="10">
        <f t="shared" si="3"/>
        <v>75</v>
      </c>
      <c r="D18" s="10">
        <v>0</v>
      </c>
      <c r="E18" s="10">
        <v>0</v>
      </c>
    </row>
    <row r="19" spans="1:5" x14ac:dyDescent="0.25">
      <c r="A19" s="9" t="s">
        <v>79</v>
      </c>
      <c r="B19" s="8">
        <f>SUM(B16:B18)</f>
        <v>450</v>
      </c>
      <c r="C19" s="8">
        <f t="shared" ref="C19:E19" si="5">SUM(C16:C18)</f>
        <v>450</v>
      </c>
      <c r="D19" s="8">
        <f t="shared" si="5"/>
        <v>450</v>
      </c>
      <c r="E19" s="8">
        <f t="shared" si="5"/>
        <v>375</v>
      </c>
    </row>
    <row r="20" spans="1:5" x14ac:dyDescent="0.25">
      <c r="A20" s="38"/>
      <c r="B20" s="127"/>
      <c r="C20" s="127"/>
      <c r="D20" s="127"/>
      <c r="E20" s="127"/>
    </row>
    <row r="21" spans="1:5" x14ac:dyDescent="0.25">
      <c r="A21" s="8" t="s">
        <v>154</v>
      </c>
      <c r="B21" s="10"/>
      <c r="C21" s="10"/>
      <c r="D21" s="10"/>
      <c r="E21" s="10"/>
    </row>
    <row r="22" spans="1:5" x14ac:dyDescent="0.25">
      <c r="A22" s="10" t="s">
        <v>136</v>
      </c>
      <c r="B22" s="10">
        <f>B10-B16</f>
        <v>1125</v>
      </c>
      <c r="C22" s="10">
        <f t="shared" ref="C22" si="6">C10-C16</f>
        <v>1125</v>
      </c>
      <c r="D22" s="10"/>
      <c r="E22" s="10"/>
    </row>
    <row r="23" spans="1:5" x14ac:dyDescent="0.25">
      <c r="A23" s="10" t="s">
        <v>144</v>
      </c>
      <c r="B23" s="10">
        <f t="shared" ref="B23:C24" si="7">B11-B17</f>
        <v>225</v>
      </c>
      <c r="C23" s="10">
        <f t="shared" si="7"/>
        <v>0</v>
      </c>
      <c r="D23" s="10"/>
      <c r="E23" s="10"/>
    </row>
    <row r="24" spans="1:5" x14ac:dyDescent="0.25">
      <c r="A24" s="10" t="s">
        <v>138</v>
      </c>
      <c r="B24" s="10">
        <f t="shared" si="7"/>
        <v>0</v>
      </c>
      <c r="C24" s="10">
        <f t="shared" si="7"/>
        <v>225</v>
      </c>
      <c r="D24" s="10"/>
      <c r="E24" s="10"/>
    </row>
    <row r="25" spans="1:5" x14ac:dyDescent="0.25">
      <c r="A25" s="9" t="s">
        <v>79</v>
      </c>
      <c r="B25" s="8">
        <f>SUM(B22:B24)</f>
        <v>1350</v>
      </c>
      <c r="C25" s="8">
        <f t="shared" ref="C25" si="8">SUM(C22:C24)</f>
        <v>1350</v>
      </c>
      <c r="D25" s="8">
        <f t="shared" ref="D25" si="9">SUM(D22:D24)</f>
        <v>0</v>
      </c>
      <c r="E25" s="8">
        <f t="shared" ref="E25" si="10">SUM(E22:E24)</f>
        <v>0</v>
      </c>
    </row>
    <row r="26" spans="1:5" x14ac:dyDescent="0.25">
      <c r="A26" s="38"/>
      <c r="B26" s="127"/>
      <c r="C26" s="127"/>
      <c r="D26" s="127"/>
      <c r="E26" s="127"/>
    </row>
    <row r="27" spans="1:5" x14ac:dyDescent="0.25">
      <c r="A27" t="s">
        <v>149</v>
      </c>
    </row>
    <row r="28" spans="1:5" x14ac:dyDescent="0.25">
      <c r="A28" s="10" t="s">
        <v>51</v>
      </c>
      <c r="B28" s="34">
        <v>4.4999999999999998E-2</v>
      </c>
      <c r="C28" s="34">
        <v>4.4999999999999998E-2</v>
      </c>
    </row>
    <row r="29" spans="1:5" x14ac:dyDescent="0.25">
      <c r="A29" s="10" t="s">
        <v>150</v>
      </c>
      <c r="B29" s="10">
        <f>B28*B7/2/15</f>
        <v>2.0249999999999999</v>
      </c>
      <c r="C29" s="10">
        <f>C28*C7/2/15</f>
        <v>2.0249999999999999</v>
      </c>
    </row>
    <row r="30" spans="1:5" x14ac:dyDescent="0.25">
      <c r="A30" s="10" t="s">
        <v>151</v>
      </c>
      <c r="B30" s="10">
        <f>$B$28*B22/2/15</f>
        <v>1.6875</v>
      </c>
      <c r="C30" s="10">
        <f>$B$28*C22/2/15</f>
        <v>1.6875</v>
      </c>
    </row>
    <row r="31" spans="1:5" x14ac:dyDescent="0.25">
      <c r="A31" s="10" t="s">
        <v>152</v>
      </c>
      <c r="B31" s="10">
        <f t="shared" ref="B31:C32" si="11">$B$28*B23/2/15</f>
        <v>0.33750000000000002</v>
      </c>
      <c r="C31" s="10">
        <f t="shared" si="11"/>
        <v>0</v>
      </c>
    </row>
    <row r="32" spans="1:5" x14ac:dyDescent="0.25">
      <c r="A32" s="10" t="s">
        <v>153</v>
      </c>
      <c r="B32" s="10">
        <f t="shared" si="11"/>
        <v>0</v>
      </c>
      <c r="C32" s="10">
        <f t="shared" si="11"/>
        <v>0.33750000000000002</v>
      </c>
    </row>
    <row r="33" spans="1:3" x14ac:dyDescent="0.25">
      <c r="A33" s="12" t="s">
        <v>155</v>
      </c>
      <c r="B33" s="10">
        <f>SUM(B30:B32)-B29</f>
        <v>0</v>
      </c>
      <c r="C33" s="10">
        <f>SUM(C30:C32)-C29</f>
        <v>0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1"/>
  <sheetViews>
    <sheetView tabSelected="1" zoomScale="85" zoomScaleNormal="85" workbookViewId="0">
      <selection activeCell="B3" sqref="B3"/>
    </sheetView>
  </sheetViews>
  <sheetFormatPr baseColWidth="10" defaultColWidth="8.7109375" defaultRowHeight="15" x14ac:dyDescent="0.25"/>
  <cols>
    <col min="1" max="1" width="16.5703125" customWidth="1"/>
    <col min="2" max="3" width="7.85546875" customWidth="1"/>
    <col min="4" max="4" width="9.5703125" customWidth="1"/>
    <col min="5" max="5" width="9.7109375" customWidth="1"/>
  </cols>
  <sheetData>
    <row r="1" spans="1:19" x14ac:dyDescent="0.25">
      <c r="A1" t="str">
        <f>REPT("-",300)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</row>
    <row r="3" spans="1:19" x14ac:dyDescent="0.25">
      <c r="A3" t="str">
        <f>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</row>
    <row r="4" spans="1:19" x14ac:dyDescent="0.25">
      <c r="A4" s="10" t="s">
        <v>118</v>
      </c>
      <c r="B4" s="10">
        <v>300</v>
      </c>
      <c r="D4" s="8" t="s">
        <v>24</v>
      </c>
      <c r="E4" s="10">
        <f>1</f>
        <v>1</v>
      </c>
      <c r="F4" s="10">
        <f>E4+1</f>
        <v>2</v>
      </c>
      <c r="G4" s="10">
        <f>F4+1</f>
        <v>3</v>
      </c>
      <c r="H4" s="10">
        <f>G4+1</f>
        <v>4</v>
      </c>
      <c r="I4" s="10">
        <f>H4+1</f>
        <v>5</v>
      </c>
      <c r="J4" s="10">
        <f>I4+1</f>
        <v>6</v>
      </c>
      <c r="K4" s="10">
        <f>J4+1</f>
        <v>7</v>
      </c>
      <c r="L4" s="10">
        <f>K4+1</f>
        <v>8</v>
      </c>
      <c r="M4" s="10">
        <f>L4+1</f>
        <v>9</v>
      </c>
      <c r="N4" s="10">
        <f>M4+1</f>
        <v>10</v>
      </c>
      <c r="O4" s="10">
        <f>N4+1</f>
        <v>11</v>
      </c>
      <c r="P4" s="10">
        <f>O4+1</f>
        <v>12</v>
      </c>
      <c r="Q4" s="10">
        <f>P4+1</f>
        <v>13</v>
      </c>
      <c r="R4" s="10">
        <f>Q4+1</f>
        <v>14</v>
      </c>
      <c r="S4" s="10">
        <f>R4+1</f>
        <v>15</v>
      </c>
    </row>
    <row r="5" spans="1:19" x14ac:dyDescent="0.25">
      <c r="A5" s="10" t="s">
        <v>156</v>
      </c>
      <c r="B5" s="90">
        <v>0.35</v>
      </c>
      <c r="C5" s="22"/>
      <c r="D5" s="10" t="s">
        <v>167</v>
      </c>
      <c r="E5" s="10">
        <f>-B4</f>
        <v>-300</v>
      </c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</row>
    <row r="6" spans="1:19" x14ac:dyDescent="0.25">
      <c r="A6" s="10" t="s">
        <v>157</v>
      </c>
      <c r="B6" s="10">
        <f>B5*B4</f>
        <v>105</v>
      </c>
      <c r="D6" s="10" t="s">
        <v>171</v>
      </c>
      <c r="E6" s="13">
        <f>-C30</f>
        <v>0</v>
      </c>
      <c r="F6" s="13">
        <f>-D30</f>
        <v>0.36874999999999858</v>
      </c>
      <c r="G6" s="13">
        <f>-E30</f>
        <v>0.76069999999999993</v>
      </c>
      <c r="H6" s="13">
        <f>-F30</f>
        <v>1.1526499999999995</v>
      </c>
      <c r="I6" s="13">
        <f>-G30</f>
        <v>1.5445999999999991</v>
      </c>
      <c r="J6" s="13">
        <f>-H30</f>
        <v>1.9365500000000004</v>
      </c>
      <c r="K6" s="13">
        <f>-I30</f>
        <v>2.3285</v>
      </c>
      <c r="L6" s="13">
        <f>-J30</f>
        <v>2.7204499999999996</v>
      </c>
      <c r="M6" s="13">
        <f>-K30</f>
        <v>3.1124000000000009</v>
      </c>
      <c r="N6" s="13">
        <f>-L30</f>
        <v>3.5043499999999987</v>
      </c>
      <c r="O6" s="13">
        <f>-M30</f>
        <v>3.8963000000000001</v>
      </c>
      <c r="P6" s="13">
        <f>-N30</f>
        <v>4.2882500000000014</v>
      </c>
      <c r="Q6" s="13">
        <f>-O30</f>
        <v>4.6801999999999992</v>
      </c>
      <c r="R6" s="13">
        <f>-P30</f>
        <v>5.0721500000000006</v>
      </c>
      <c r="S6" s="13">
        <f>-Q30</f>
        <v>5.464100000000002</v>
      </c>
    </row>
    <row r="7" spans="1:19" x14ac:dyDescent="0.25">
      <c r="A7" s="10" t="s">
        <v>19</v>
      </c>
      <c r="B7" s="10">
        <f>B4-B6</f>
        <v>195</v>
      </c>
      <c r="D7" s="10" t="s">
        <v>172</v>
      </c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3">
        <f>S37*(1-$B$17)</f>
        <v>264.683460991245</v>
      </c>
    </row>
    <row r="8" spans="1:19" x14ac:dyDescent="0.25">
      <c r="A8" s="10" t="s">
        <v>158</v>
      </c>
      <c r="B8" s="34">
        <v>4.4999999999999998E-2</v>
      </c>
      <c r="C8" s="126"/>
      <c r="D8" s="10" t="s">
        <v>69</v>
      </c>
      <c r="E8" s="13">
        <f>E5+E6+E7</f>
        <v>-300</v>
      </c>
      <c r="F8" s="13">
        <f t="shared" ref="F8:S8" si="0">F5+F6+F7</f>
        <v>0.36874999999999858</v>
      </c>
      <c r="G8" s="13">
        <f t="shared" si="0"/>
        <v>0.76069999999999993</v>
      </c>
      <c r="H8" s="13">
        <f t="shared" si="0"/>
        <v>1.1526499999999995</v>
      </c>
      <c r="I8" s="13">
        <f t="shared" si="0"/>
        <v>1.5445999999999991</v>
      </c>
      <c r="J8" s="13">
        <f t="shared" si="0"/>
        <v>1.9365500000000004</v>
      </c>
      <c r="K8" s="13">
        <f t="shared" si="0"/>
        <v>2.3285</v>
      </c>
      <c r="L8" s="13">
        <f t="shared" si="0"/>
        <v>2.7204499999999996</v>
      </c>
      <c r="M8" s="13">
        <f t="shared" si="0"/>
        <v>3.1124000000000009</v>
      </c>
      <c r="N8" s="13">
        <f t="shared" si="0"/>
        <v>3.5043499999999987</v>
      </c>
      <c r="O8" s="13">
        <f t="shared" si="0"/>
        <v>3.8963000000000001</v>
      </c>
      <c r="P8" s="13">
        <f t="shared" si="0"/>
        <v>4.2882500000000014</v>
      </c>
      <c r="Q8" s="13">
        <f t="shared" si="0"/>
        <v>4.6801999999999992</v>
      </c>
      <c r="R8" s="13">
        <f t="shared" si="0"/>
        <v>5.0721500000000006</v>
      </c>
      <c r="S8" s="13">
        <f t="shared" si="0"/>
        <v>270.14756099124497</v>
      </c>
    </row>
    <row r="9" spans="1:19" x14ac:dyDescent="0.25">
      <c r="A9" s="10" t="s">
        <v>170</v>
      </c>
      <c r="B9" s="13">
        <v>15</v>
      </c>
      <c r="C9" s="36"/>
      <c r="D9" s="15" t="s">
        <v>70</v>
      </c>
      <c r="E9" s="139">
        <f>IRR(E8:S8)</f>
        <v>1.357873022015621E-3</v>
      </c>
      <c r="F9" s="131"/>
      <c r="G9" s="131"/>
      <c r="H9" s="131"/>
      <c r="I9" s="131"/>
      <c r="J9" s="131"/>
      <c r="K9" s="131"/>
      <c r="L9" s="131"/>
      <c r="M9" s="131"/>
      <c r="N9" s="131"/>
      <c r="O9" s="131"/>
      <c r="P9" s="131"/>
      <c r="Q9" s="131"/>
      <c r="R9" s="131"/>
      <c r="S9" s="131"/>
    </row>
    <row r="10" spans="1:19" x14ac:dyDescent="0.25">
      <c r="A10" s="10" t="s">
        <v>159</v>
      </c>
      <c r="B10" s="90">
        <v>0.08</v>
      </c>
      <c r="C10" s="22"/>
    </row>
    <row r="11" spans="1:19" x14ac:dyDescent="0.25">
      <c r="A11" s="10" t="s">
        <v>160</v>
      </c>
      <c r="B11" s="10"/>
      <c r="D11" s="8" t="s">
        <v>121</v>
      </c>
      <c r="E11" s="10">
        <f>1</f>
        <v>1</v>
      </c>
      <c r="F11" s="10">
        <f>E11+1</f>
        <v>2</v>
      </c>
      <c r="G11" s="10">
        <f>F11+1</f>
        <v>3</v>
      </c>
      <c r="H11" s="10">
        <f>G11+1</f>
        <v>4</v>
      </c>
      <c r="I11" s="10">
        <f>H11+1</f>
        <v>5</v>
      </c>
      <c r="J11" s="10">
        <f>I11+1</f>
        <v>6</v>
      </c>
      <c r="K11" s="10">
        <f>J11+1</f>
        <v>7</v>
      </c>
      <c r="L11" s="10">
        <f>K11+1</f>
        <v>8</v>
      </c>
      <c r="M11" s="10">
        <f>L11+1</f>
        <v>9</v>
      </c>
      <c r="N11" s="10">
        <f>M11+1</f>
        <v>10</v>
      </c>
      <c r="O11" s="10">
        <f>N11+1</f>
        <v>11</v>
      </c>
      <c r="P11" s="10">
        <f>O11+1</f>
        <v>12</v>
      </c>
      <c r="Q11" s="10">
        <f>P11+1</f>
        <v>13</v>
      </c>
      <c r="R11" s="10">
        <f>Q11+1</f>
        <v>14</v>
      </c>
      <c r="S11" s="10">
        <f>R11+1</f>
        <v>15</v>
      </c>
    </row>
    <row r="12" spans="1:19" x14ac:dyDescent="0.25">
      <c r="A12" s="10" t="s">
        <v>89</v>
      </c>
      <c r="B12" s="90">
        <v>0.33</v>
      </c>
      <c r="C12" s="22"/>
      <c r="D12" s="10" t="s">
        <v>167</v>
      </c>
      <c r="E12" s="10">
        <f>-B4</f>
        <v>-300</v>
      </c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</row>
    <row r="13" spans="1:19" x14ac:dyDescent="0.25">
      <c r="A13" s="10" t="s">
        <v>161</v>
      </c>
      <c r="B13" s="90">
        <v>0</v>
      </c>
      <c r="C13" s="22"/>
      <c r="D13" s="10" t="s">
        <v>171</v>
      </c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</row>
    <row r="14" spans="1:19" x14ac:dyDescent="0.25">
      <c r="A14" s="10" t="s">
        <v>163</v>
      </c>
      <c r="B14" s="74">
        <v>25</v>
      </c>
      <c r="C14" s="129"/>
      <c r="D14" s="10" t="s">
        <v>172</v>
      </c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3">
        <f>S64*(1-B17)-B12*R51</f>
        <v>2631.4351334255457</v>
      </c>
    </row>
    <row r="15" spans="1:19" x14ac:dyDescent="0.25">
      <c r="A15" s="12" t="s">
        <v>174</v>
      </c>
      <c r="B15" s="20">
        <v>0.04</v>
      </c>
      <c r="C15" s="129"/>
      <c r="D15" s="10" t="s">
        <v>69</v>
      </c>
      <c r="E15" s="13">
        <f>E12+E13+E14</f>
        <v>-300</v>
      </c>
      <c r="F15" s="13">
        <f t="shared" ref="F15" si="1">F12+F13+F14</f>
        <v>0</v>
      </c>
      <c r="G15" s="13">
        <f t="shared" ref="G15" si="2">G12+G13+G14</f>
        <v>0</v>
      </c>
      <c r="H15" s="13">
        <f t="shared" ref="H15" si="3">H12+H13+H14</f>
        <v>0</v>
      </c>
      <c r="I15" s="13">
        <f t="shared" ref="I15" si="4">I12+I13+I14</f>
        <v>0</v>
      </c>
      <c r="J15" s="13">
        <f t="shared" ref="J15" si="5">J12+J13+J14</f>
        <v>0</v>
      </c>
      <c r="K15" s="13">
        <f t="shared" ref="K15" si="6">K12+K13+K14</f>
        <v>0</v>
      </c>
      <c r="L15" s="13">
        <f t="shared" ref="L15" si="7">L12+L13+L14</f>
        <v>0</v>
      </c>
      <c r="M15" s="13">
        <f t="shared" ref="M15" si="8">M12+M13+M14</f>
        <v>0</v>
      </c>
      <c r="N15" s="13">
        <f t="shared" ref="N15" si="9">N12+N13+N14</f>
        <v>0</v>
      </c>
      <c r="O15" s="13">
        <f t="shared" ref="O15" si="10">O12+O13+O14</f>
        <v>0</v>
      </c>
      <c r="P15" s="13">
        <f t="shared" ref="P15" si="11">P12+P13+P14</f>
        <v>0</v>
      </c>
      <c r="Q15" s="13">
        <f t="shared" ref="Q15" si="12">Q12+Q13+Q14</f>
        <v>0</v>
      </c>
      <c r="R15" s="13">
        <f t="shared" ref="R15" si="13">R12+R13+R14</f>
        <v>0</v>
      </c>
      <c r="S15" s="13">
        <f t="shared" ref="S15" si="14">S12+S13+S14</f>
        <v>2631.4351334255457</v>
      </c>
    </row>
    <row r="16" spans="1:19" x14ac:dyDescent="0.25">
      <c r="A16" s="12" t="s">
        <v>176</v>
      </c>
      <c r="B16" s="20">
        <v>0.2</v>
      </c>
      <c r="C16" s="129"/>
      <c r="D16" s="15" t="s">
        <v>70</v>
      </c>
      <c r="E16" s="139">
        <f>IRR(E15:S15)</f>
        <v>0.16778325584110809</v>
      </c>
      <c r="F16" s="131"/>
      <c r="G16" s="131"/>
      <c r="H16" s="131"/>
      <c r="I16" s="131"/>
      <c r="J16" s="131"/>
      <c r="K16" s="131"/>
      <c r="L16" s="131"/>
      <c r="M16" s="131"/>
      <c r="N16" s="131"/>
      <c r="O16" s="131"/>
      <c r="P16" s="131"/>
      <c r="Q16" s="131"/>
      <c r="R16" s="131"/>
      <c r="S16" s="131"/>
    </row>
    <row r="17" spans="1:20" x14ac:dyDescent="0.25">
      <c r="A17" s="12" t="s">
        <v>95</v>
      </c>
      <c r="B17" s="20">
        <v>0.4</v>
      </c>
      <c r="C17" s="129"/>
      <c r="D17" s="128"/>
      <c r="E17" s="140"/>
      <c r="F17" s="128"/>
      <c r="G17" s="128"/>
      <c r="H17" s="128"/>
      <c r="I17" s="128"/>
      <c r="J17" s="128"/>
      <c r="K17" s="128"/>
      <c r="L17" s="128"/>
      <c r="M17" s="128"/>
      <c r="N17" s="128"/>
      <c r="O17" s="128"/>
      <c r="P17" s="128"/>
      <c r="Q17" s="128"/>
      <c r="R17" s="128"/>
      <c r="S17" s="128"/>
      <c r="T17" s="30"/>
    </row>
    <row r="18" spans="1:20" x14ac:dyDescent="0.25">
      <c r="A18" t="str">
        <f>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</row>
    <row r="19" spans="1:20" x14ac:dyDescent="0.25">
      <c r="A19" s="132" t="s">
        <v>40</v>
      </c>
      <c r="B19" s="132">
        <v>0</v>
      </c>
      <c r="C19" s="132">
        <f>B19+1</f>
        <v>1</v>
      </c>
      <c r="D19" s="132">
        <f>C19+1</f>
        <v>2</v>
      </c>
      <c r="E19" s="132">
        <f t="shared" ref="E19:Q19" si="15">D19+1</f>
        <v>3</v>
      </c>
      <c r="F19" s="132">
        <f t="shared" si="15"/>
        <v>4</v>
      </c>
      <c r="G19" s="132">
        <f t="shared" si="15"/>
        <v>5</v>
      </c>
      <c r="H19" s="132">
        <f t="shared" si="15"/>
        <v>6</v>
      </c>
      <c r="I19" s="132">
        <f t="shared" si="15"/>
        <v>7</v>
      </c>
      <c r="J19" s="132">
        <f t="shared" si="15"/>
        <v>8</v>
      </c>
      <c r="K19" s="132">
        <f t="shared" si="15"/>
        <v>9</v>
      </c>
      <c r="L19" s="132">
        <f t="shared" si="15"/>
        <v>10</v>
      </c>
      <c r="M19" s="132">
        <f t="shared" si="15"/>
        <v>11</v>
      </c>
      <c r="N19" s="132">
        <f t="shared" si="15"/>
        <v>12</v>
      </c>
      <c r="O19" s="132">
        <f t="shared" si="15"/>
        <v>13</v>
      </c>
      <c r="P19" s="132">
        <f t="shared" si="15"/>
        <v>14</v>
      </c>
      <c r="Q19" s="132">
        <f t="shared" si="15"/>
        <v>15</v>
      </c>
      <c r="R19" s="135"/>
    </row>
    <row r="20" spans="1:20" x14ac:dyDescent="0.25">
      <c r="A20" s="133" t="s">
        <v>101</v>
      </c>
      <c r="B20" s="133"/>
      <c r="C20" s="134">
        <f>B4*$B$10</f>
        <v>24</v>
      </c>
      <c r="D20" s="134">
        <f>C20</f>
        <v>24</v>
      </c>
      <c r="E20" s="134">
        <f t="shared" ref="E20:Q20" si="16">D20</f>
        <v>24</v>
      </c>
      <c r="F20" s="134">
        <f t="shared" si="16"/>
        <v>24</v>
      </c>
      <c r="G20" s="134">
        <f t="shared" si="16"/>
        <v>24</v>
      </c>
      <c r="H20" s="134">
        <f t="shared" si="16"/>
        <v>24</v>
      </c>
      <c r="I20" s="134">
        <f t="shared" si="16"/>
        <v>24</v>
      </c>
      <c r="J20" s="134">
        <f t="shared" si="16"/>
        <v>24</v>
      </c>
      <c r="K20" s="134">
        <f t="shared" si="16"/>
        <v>24</v>
      </c>
      <c r="L20" s="134">
        <f t="shared" si="16"/>
        <v>24</v>
      </c>
      <c r="M20" s="134">
        <f t="shared" si="16"/>
        <v>24</v>
      </c>
      <c r="N20" s="134">
        <f t="shared" si="16"/>
        <v>24</v>
      </c>
      <c r="O20" s="134">
        <f t="shared" si="16"/>
        <v>24</v>
      </c>
      <c r="P20" s="134">
        <f t="shared" si="16"/>
        <v>24</v>
      </c>
      <c r="Q20" s="134">
        <f t="shared" si="16"/>
        <v>24</v>
      </c>
      <c r="R20" s="135"/>
    </row>
    <row r="21" spans="1:20" x14ac:dyDescent="0.25">
      <c r="A21" s="133" t="s">
        <v>161</v>
      </c>
      <c r="B21" s="133"/>
      <c r="C21" s="134">
        <f>$B$13*C20</f>
        <v>0</v>
      </c>
      <c r="D21" s="134">
        <f>$B$13*D20</f>
        <v>0</v>
      </c>
      <c r="E21" s="134">
        <f>$B$13*E20</f>
        <v>0</v>
      </c>
      <c r="F21" s="134">
        <f>$B$13*F20</f>
        <v>0</v>
      </c>
      <c r="G21" s="134">
        <f>$B$13*G20</f>
        <v>0</v>
      </c>
      <c r="H21" s="134">
        <f>$B$13*H20</f>
        <v>0</v>
      </c>
      <c r="I21" s="134">
        <f>$B$13*I20</f>
        <v>0</v>
      </c>
      <c r="J21" s="134">
        <f>$B$13*J20</f>
        <v>0</v>
      </c>
      <c r="K21" s="134">
        <f>$B$13*K20</f>
        <v>0</v>
      </c>
      <c r="L21" s="134">
        <f>$B$13*L20</f>
        <v>0</v>
      </c>
      <c r="M21" s="134">
        <f>$B$13*M20</f>
        <v>0</v>
      </c>
      <c r="N21" s="134">
        <f>$B$13*N20</f>
        <v>0</v>
      </c>
      <c r="O21" s="134">
        <f>$B$13*O20</f>
        <v>0</v>
      </c>
      <c r="P21" s="134">
        <f>$B$13*P20</f>
        <v>0</v>
      </c>
      <c r="Q21" s="134">
        <f>$B$13*Q20</f>
        <v>0</v>
      </c>
      <c r="R21" s="135"/>
    </row>
    <row r="22" spans="1:20" x14ac:dyDescent="0.25">
      <c r="A22" s="133" t="s">
        <v>162</v>
      </c>
      <c r="B22" s="133"/>
      <c r="C22" s="134">
        <f>B4*80%/B14</f>
        <v>9.6</v>
      </c>
      <c r="D22" s="134">
        <f>C22</f>
        <v>9.6</v>
      </c>
      <c r="E22" s="134">
        <f t="shared" ref="E22:Q22" si="17">D22</f>
        <v>9.6</v>
      </c>
      <c r="F22" s="134">
        <f t="shared" si="17"/>
        <v>9.6</v>
      </c>
      <c r="G22" s="134">
        <f t="shared" si="17"/>
        <v>9.6</v>
      </c>
      <c r="H22" s="134">
        <f t="shared" si="17"/>
        <v>9.6</v>
      </c>
      <c r="I22" s="134">
        <f t="shared" si="17"/>
        <v>9.6</v>
      </c>
      <c r="J22" s="134">
        <f t="shared" si="17"/>
        <v>9.6</v>
      </c>
      <c r="K22" s="134">
        <f t="shared" si="17"/>
        <v>9.6</v>
      </c>
      <c r="L22" s="134">
        <f t="shared" si="17"/>
        <v>9.6</v>
      </c>
      <c r="M22" s="134">
        <f t="shared" si="17"/>
        <v>9.6</v>
      </c>
      <c r="N22" s="134">
        <f t="shared" si="17"/>
        <v>9.6</v>
      </c>
      <c r="O22" s="134">
        <f t="shared" si="17"/>
        <v>9.6</v>
      </c>
      <c r="P22" s="134">
        <f t="shared" si="17"/>
        <v>9.6</v>
      </c>
      <c r="Q22" s="134">
        <f t="shared" si="17"/>
        <v>9.6</v>
      </c>
      <c r="R22" s="135"/>
    </row>
    <row r="23" spans="1:20" x14ac:dyDescent="0.25">
      <c r="A23" s="133" t="s">
        <v>166</v>
      </c>
      <c r="B23" s="133"/>
      <c r="C23" s="134">
        <f>C20-C21-C22</f>
        <v>14.4</v>
      </c>
      <c r="D23" s="134">
        <f t="shared" ref="D23:Q23" si="18">D20-D21-D22</f>
        <v>14.4</v>
      </c>
      <c r="E23" s="134">
        <f t="shared" si="18"/>
        <v>14.4</v>
      </c>
      <c r="F23" s="134">
        <f t="shared" si="18"/>
        <v>14.4</v>
      </c>
      <c r="G23" s="134">
        <f t="shared" si="18"/>
        <v>14.4</v>
      </c>
      <c r="H23" s="134">
        <f t="shared" si="18"/>
        <v>14.4</v>
      </c>
      <c r="I23" s="134">
        <f t="shared" si="18"/>
        <v>14.4</v>
      </c>
      <c r="J23" s="134">
        <f t="shared" si="18"/>
        <v>14.4</v>
      </c>
      <c r="K23" s="134">
        <f t="shared" si="18"/>
        <v>14.4</v>
      </c>
      <c r="L23" s="134">
        <f t="shared" si="18"/>
        <v>14.4</v>
      </c>
      <c r="M23" s="134">
        <f t="shared" si="18"/>
        <v>14.4</v>
      </c>
      <c r="N23" s="134">
        <f t="shared" si="18"/>
        <v>14.4</v>
      </c>
      <c r="O23" s="134">
        <f t="shared" si="18"/>
        <v>14.4</v>
      </c>
      <c r="P23" s="134">
        <f t="shared" si="18"/>
        <v>14.4</v>
      </c>
      <c r="Q23" s="134">
        <f t="shared" si="18"/>
        <v>14.4</v>
      </c>
      <c r="R23" s="135"/>
    </row>
    <row r="24" spans="1:20" x14ac:dyDescent="0.25">
      <c r="A24" s="133" t="s">
        <v>102</v>
      </c>
      <c r="B24" s="133"/>
      <c r="C24" s="134">
        <f>-B38*$B$8</f>
        <v>-8.7750000000000004</v>
      </c>
      <c r="D24" s="134">
        <f t="shared" ref="D24:Q24" si="19">-C38*$B$8</f>
        <v>-8.19</v>
      </c>
      <c r="E24" s="134">
        <f t="shared" si="19"/>
        <v>-7.6049999999999995</v>
      </c>
      <c r="F24" s="134">
        <f t="shared" si="19"/>
        <v>-7.02</v>
      </c>
      <c r="G24" s="134">
        <f t="shared" si="19"/>
        <v>-6.4349999999999996</v>
      </c>
      <c r="H24" s="134">
        <f t="shared" si="19"/>
        <v>-5.85</v>
      </c>
      <c r="I24" s="134">
        <f t="shared" si="19"/>
        <v>-5.2649999999999997</v>
      </c>
      <c r="J24" s="134">
        <f t="shared" si="19"/>
        <v>-4.68</v>
      </c>
      <c r="K24" s="134">
        <f t="shared" si="19"/>
        <v>-4.0949999999999998</v>
      </c>
      <c r="L24" s="134">
        <f t="shared" si="19"/>
        <v>-3.51</v>
      </c>
      <c r="M24" s="134">
        <f t="shared" si="19"/>
        <v>-2.9249999999999998</v>
      </c>
      <c r="N24" s="134">
        <f t="shared" si="19"/>
        <v>-2.34</v>
      </c>
      <c r="O24" s="134">
        <f t="shared" si="19"/>
        <v>-1.7549999999999999</v>
      </c>
      <c r="P24" s="134">
        <f t="shared" si="19"/>
        <v>-1.17</v>
      </c>
      <c r="Q24" s="134">
        <f t="shared" si="19"/>
        <v>-0.58499999999999996</v>
      </c>
      <c r="R24" s="135"/>
    </row>
    <row r="25" spans="1:20" x14ac:dyDescent="0.25">
      <c r="A25" s="133" t="s">
        <v>89</v>
      </c>
      <c r="B25" s="133"/>
      <c r="C25" s="134">
        <f>-(C23+C24)*$B$12</f>
        <v>-1.8562500000000002</v>
      </c>
      <c r="D25" s="134">
        <f t="shared" ref="D25:Q25" si="20">-(D23+D24)*$B$12</f>
        <v>-2.0493000000000006</v>
      </c>
      <c r="E25" s="134">
        <f t="shared" si="20"/>
        <v>-2.2423500000000005</v>
      </c>
      <c r="F25" s="134">
        <f t="shared" si="20"/>
        <v>-2.4354000000000005</v>
      </c>
      <c r="G25" s="134">
        <f t="shared" si="20"/>
        <v>-2.6284500000000004</v>
      </c>
      <c r="H25" s="134">
        <f t="shared" si="20"/>
        <v>-2.8215000000000003</v>
      </c>
      <c r="I25" s="134">
        <f t="shared" si="20"/>
        <v>-3.0145500000000007</v>
      </c>
      <c r="J25" s="134">
        <f t="shared" si="20"/>
        <v>-3.2076000000000002</v>
      </c>
      <c r="K25" s="134">
        <f t="shared" si="20"/>
        <v>-3.4006500000000002</v>
      </c>
      <c r="L25" s="134">
        <f t="shared" si="20"/>
        <v>-3.5937000000000006</v>
      </c>
      <c r="M25" s="134">
        <f t="shared" si="20"/>
        <v>-3.7867500000000005</v>
      </c>
      <c r="N25" s="134">
        <f t="shared" si="20"/>
        <v>-3.9798000000000004</v>
      </c>
      <c r="O25" s="134">
        <f t="shared" si="20"/>
        <v>-4.1728500000000004</v>
      </c>
      <c r="P25" s="134">
        <f t="shared" si="20"/>
        <v>-4.3659000000000008</v>
      </c>
      <c r="Q25" s="134">
        <f t="shared" si="20"/>
        <v>-4.5589500000000003</v>
      </c>
      <c r="R25" s="135"/>
    </row>
    <row r="26" spans="1:20" x14ac:dyDescent="0.25">
      <c r="A26" s="133" t="s">
        <v>25</v>
      </c>
      <c r="B26" s="133"/>
      <c r="C26" s="134">
        <f>C23+C24+C25</f>
        <v>3.7687499999999998</v>
      </c>
      <c r="D26" s="134">
        <f t="shared" ref="D26:Q26" si="21">D23+D24+D25</f>
        <v>4.1607000000000003</v>
      </c>
      <c r="E26" s="134">
        <f t="shared" si="21"/>
        <v>4.5526499999999999</v>
      </c>
      <c r="F26" s="134">
        <f t="shared" si="21"/>
        <v>4.9446000000000003</v>
      </c>
      <c r="G26" s="134">
        <f t="shared" si="21"/>
        <v>5.3365500000000008</v>
      </c>
      <c r="H26" s="134">
        <f t="shared" si="21"/>
        <v>5.7285000000000004</v>
      </c>
      <c r="I26" s="134">
        <f t="shared" si="21"/>
        <v>6.1204500000000008</v>
      </c>
      <c r="J26" s="134">
        <f t="shared" si="21"/>
        <v>6.5124000000000004</v>
      </c>
      <c r="K26" s="134">
        <f t="shared" si="21"/>
        <v>6.9043499999999991</v>
      </c>
      <c r="L26" s="134">
        <f t="shared" si="21"/>
        <v>7.2963000000000005</v>
      </c>
      <c r="M26" s="134">
        <f t="shared" si="21"/>
        <v>7.6882500000000009</v>
      </c>
      <c r="N26" s="134">
        <f t="shared" si="21"/>
        <v>8.0801999999999996</v>
      </c>
      <c r="O26" s="134">
        <f t="shared" si="21"/>
        <v>8.4721499999999992</v>
      </c>
      <c r="P26" s="134">
        <f t="shared" si="21"/>
        <v>8.8641000000000005</v>
      </c>
      <c r="Q26" s="134">
        <f t="shared" si="21"/>
        <v>9.2560500000000019</v>
      </c>
      <c r="R26" s="135"/>
    </row>
    <row r="27" spans="1:20" x14ac:dyDescent="0.25">
      <c r="A27" s="135" t="str">
        <f>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  <c r="B27" s="135"/>
      <c r="C27" s="136"/>
      <c r="D27" s="136"/>
      <c r="E27" s="136"/>
      <c r="F27" s="136"/>
      <c r="G27" s="136"/>
      <c r="H27" s="136"/>
      <c r="I27" s="136"/>
      <c r="J27" s="136"/>
      <c r="K27" s="136"/>
      <c r="L27" s="136"/>
      <c r="M27" s="136"/>
      <c r="N27" s="136"/>
      <c r="O27" s="136"/>
      <c r="P27" s="136"/>
      <c r="Q27" s="136"/>
      <c r="R27" s="135"/>
    </row>
    <row r="28" spans="1:20" x14ac:dyDescent="0.25">
      <c r="A28" s="132"/>
      <c r="B28" s="132">
        <f>B19</f>
        <v>0</v>
      </c>
      <c r="C28" s="137">
        <f t="shared" ref="C28:Q28" si="22">C19</f>
        <v>1</v>
      </c>
      <c r="D28" s="137">
        <f t="shared" si="22"/>
        <v>2</v>
      </c>
      <c r="E28" s="137">
        <f t="shared" si="22"/>
        <v>3</v>
      </c>
      <c r="F28" s="137">
        <f t="shared" si="22"/>
        <v>4</v>
      </c>
      <c r="G28" s="137">
        <f t="shared" si="22"/>
        <v>5</v>
      </c>
      <c r="H28" s="137">
        <f t="shared" si="22"/>
        <v>6</v>
      </c>
      <c r="I28" s="137">
        <f t="shared" si="22"/>
        <v>7</v>
      </c>
      <c r="J28" s="137">
        <f t="shared" si="22"/>
        <v>8</v>
      </c>
      <c r="K28" s="137">
        <f t="shared" si="22"/>
        <v>9</v>
      </c>
      <c r="L28" s="137">
        <f t="shared" si="22"/>
        <v>10</v>
      </c>
      <c r="M28" s="137">
        <f t="shared" si="22"/>
        <v>11</v>
      </c>
      <c r="N28" s="137">
        <f t="shared" si="22"/>
        <v>12</v>
      </c>
      <c r="O28" s="137">
        <f t="shared" si="22"/>
        <v>13</v>
      </c>
      <c r="P28" s="137">
        <f t="shared" si="22"/>
        <v>14</v>
      </c>
      <c r="Q28" s="137">
        <f t="shared" si="22"/>
        <v>15</v>
      </c>
      <c r="R28" s="135"/>
    </row>
    <row r="29" spans="1:20" x14ac:dyDescent="0.25">
      <c r="A29" s="133" t="s">
        <v>28</v>
      </c>
      <c r="B29" s="133"/>
      <c r="C29" s="134">
        <f>C26+C22</f>
        <v>13.368749999999999</v>
      </c>
      <c r="D29" s="134">
        <f t="shared" ref="D29:Q29" si="23">D26+D22</f>
        <v>13.7607</v>
      </c>
      <c r="E29" s="134">
        <f t="shared" si="23"/>
        <v>14.15265</v>
      </c>
      <c r="F29" s="134">
        <f t="shared" si="23"/>
        <v>14.544599999999999</v>
      </c>
      <c r="G29" s="134">
        <f t="shared" si="23"/>
        <v>14.93655</v>
      </c>
      <c r="H29" s="134">
        <f t="shared" si="23"/>
        <v>15.3285</v>
      </c>
      <c r="I29" s="134">
        <f t="shared" si="23"/>
        <v>15.72045</v>
      </c>
      <c r="J29" s="134">
        <f t="shared" si="23"/>
        <v>16.112400000000001</v>
      </c>
      <c r="K29" s="134">
        <f t="shared" si="23"/>
        <v>16.504349999999999</v>
      </c>
      <c r="L29" s="134">
        <f t="shared" si="23"/>
        <v>16.8963</v>
      </c>
      <c r="M29" s="134">
        <f t="shared" si="23"/>
        <v>17.288250000000001</v>
      </c>
      <c r="N29" s="134">
        <f t="shared" si="23"/>
        <v>17.680199999999999</v>
      </c>
      <c r="O29" s="134">
        <f t="shared" si="23"/>
        <v>18.072150000000001</v>
      </c>
      <c r="P29" s="134">
        <f t="shared" si="23"/>
        <v>18.464100000000002</v>
      </c>
      <c r="Q29" s="134">
        <f t="shared" si="23"/>
        <v>18.856050000000003</v>
      </c>
      <c r="R29" s="135"/>
    </row>
    <row r="30" spans="1:20" x14ac:dyDescent="0.25">
      <c r="A30" s="133" t="s">
        <v>16</v>
      </c>
      <c r="B30" s="133"/>
      <c r="C30" s="134"/>
      <c r="D30" s="134">
        <f>-C34</f>
        <v>-0.36874999999999858</v>
      </c>
      <c r="E30" s="134">
        <f t="shared" ref="E30:Q30" si="24">-D34</f>
        <v>-0.76069999999999993</v>
      </c>
      <c r="F30" s="134">
        <f t="shared" si="24"/>
        <v>-1.1526499999999995</v>
      </c>
      <c r="G30" s="134">
        <f t="shared" si="24"/>
        <v>-1.5445999999999991</v>
      </c>
      <c r="H30" s="134">
        <f t="shared" si="24"/>
        <v>-1.9365500000000004</v>
      </c>
      <c r="I30" s="134">
        <f t="shared" si="24"/>
        <v>-2.3285</v>
      </c>
      <c r="J30" s="134">
        <f t="shared" si="24"/>
        <v>-2.7204499999999996</v>
      </c>
      <c r="K30" s="134">
        <f t="shared" si="24"/>
        <v>-3.1124000000000009</v>
      </c>
      <c r="L30" s="134">
        <f t="shared" si="24"/>
        <v>-3.5043499999999987</v>
      </c>
      <c r="M30" s="134">
        <f t="shared" si="24"/>
        <v>-3.8963000000000001</v>
      </c>
      <c r="N30" s="134">
        <f t="shared" si="24"/>
        <v>-4.2882500000000014</v>
      </c>
      <c r="O30" s="134">
        <f t="shared" si="24"/>
        <v>-4.6801999999999992</v>
      </c>
      <c r="P30" s="134">
        <f t="shared" si="24"/>
        <v>-5.0721500000000006</v>
      </c>
      <c r="Q30" s="134">
        <f t="shared" si="24"/>
        <v>-5.464100000000002</v>
      </c>
      <c r="R30" s="135"/>
    </row>
    <row r="31" spans="1:20" x14ac:dyDescent="0.25">
      <c r="A31" s="133" t="s">
        <v>19</v>
      </c>
      <c r="B31" s="133"/>
      <c r="C31" s="134">
        <f>-B7/$B$9</f>
        <v>-13</v>
      </c>
      <c r="D31" s="134">
        <f>C31</f>
        <v>-13</v>
      </c>
      <c r="E31" s="134">
        <f t="shared" ref="E31:Q31" si="25">D31</f>
        <v>-13</v>
      </c>
      <c r="F31" s="134">
        <f t="shared" si="25"/>
        <v>-13</v>
      </c>
      <c r="G31" s="134">
        <f t="shared" si="25"/>
        <v>-13</v>
      </c>
      <c r="H31" s="134">
        <f t="shared" si="25"/>
        <v>-13</v>
      </c>
      <c r="I31" s="134">
        <f t="shared" si="25"/>
        <v>-13</v>
      </c>
      <c r="J31" s="134">
        <f t="shared" si="25"/>
        <v>-13</v>
      </c>
      <c r="K31" s="134">
        <f t="shared" si="25"/>
        <v>-13</v>
      </c>
      <c r="L31" s="134">
        <f t="shared" si="25"/>
        <v>-13</v>
      </c>
      <c r="M31" s="134">
        <f t="shared" si="25"/>
        <v>-13</v>
      </c>
      <c r="N31" s="134">
        <f t="shared" si="25"/>
        <v>-13</v>
      </c>
      <c r="O31" s="134">
        <f t="shared" si="25"/>
        <v>-13</v>
      </c>
      <c r="P31" s="134">
        <f t="shared" si="25"/>
        <v>-13</v>
      </c>
      <c r="Q31" s="134">
        <f t="shared" si="25"/>
        <v>-13</v>
      </c>
      <c r="R31" s="135"/>
    </row>
    <row r="32" spans="1:20" x14ac:dyDescent="0.25">
      <c r="A32" s="133" t="s">
        <v>167</v>
      </c>
      <c r="B32" s="133"/>
      <c r="C32" s="134"/>
      <c r="D32" s="134"/>
      <c r="E32" s="134"/>
      <c r="F32" s="134"/>
      <c r="G32" s="134"/>
      <c r="H32" s="134"/>
      <c r="I32" s="134"/>
      <c r="J32" s="134"/>
      <c r="K32" s="134"/>
      <c r="L32" s="134"/>
      <c r="M32" s="134"/>
      <c r="N32" s="134"/>
      <c r="O32" s="134"/>
      <c r="P32" s="134"/>
      <c r="Q32" s="134"/>
      <c r="R32" s="135"/>
    </row>
    <row r="33" spans="1:19" x14ac:dyDescent="0.25">
      <c r="A33" s="133" t="s">
        <v>168</v>
      </c>
      <c r="B33" s="133"/>
      <c r="C33" s="134">
        <f>B34</f>
        <v>0</v>
      </c>
      <c r="D33" s="134">
        <f t="shared" ref="D33:Q33" si="26">C34</f>
        <v>0.36874999999999858</v>
      </c>
      <c r="E33" s="134">
        <f t="shared" si="26"/>
        <v>0.76069999999999993</v>
      </c>
      <c r="F33" s="134">
        <f t="shared" si="26"/>
        <v>1.1526499999999995</v>
      </c>
      <c r="G33" s="134">
        <f t="shared" si="26"/>
        <v>1.5445999999999991</v>
      </c>
      <c r="H33" s="134">
        <f t="shared" si="26"/>
        <v>1.9365500000000004</v>
      </c>
      <c r="I33" s="134">
        <f t="shared" si="26"/>
        <v>2.3285</v>
      </c>
      <c r="J33" s="134">
        <f t="shared" si="26"/>
        <v>2.7204499999999996</v>
      </c>
      <c r="K33" s="134">
        <f t="shared" si="26"/>
        <v>3.1124000000000009</v>
      </c>
      <c r="L33" s="134">
        <f t="shared" si="26"/>
        <v>3.5043499999999987</v>
      </c>
      <c r="M33" s="134">
        <f t="shared" si="26"/>
        <v>3.8963000000000001</v>
      </c>
      <c r="N33" s="134">
        <f t="shared" si="26"/>
        <v>4.2882500000000014</v>
      </c>
      <c r="O33" s="134">
        <f t="shared" si="26"/>
        <v>4.6801999999999992</v>
      </c>
      <c r="P33" s="134">
        <f t="shared" si="26"/>
        <v>5.0721500000000006</v>
      </c>
      <c r="Q33" s="134">
        <f t="shared" si="26"/>
        <v>5.464100000000002</v>
      </c>
      <c r="R33" s="135"/>
    </row>
    <row r="34" spans="1:19" x14ac:dyDescent="0.25">
      <c r="A34" s="133" t="s">
        <v>169</v>
      </c>
      <c r="B34" s="133"/>
      <c r="C34" s="134">
        <f>SUM(C29:C33)</f>
        <v>0.36874999999999858</v>
      </c>
      <c r="D34" s="134">
        <f t="shared" ref="D34:Q34" si="27">SUM(D29:D33)</f>
        <v>0.76069999999999993</v>
      </c>
      <c r="E34" s="134">
        <f t="shared" si="27"/>
        <v>1.1526499999999995</v>
      </c>
      <c r="F34" s="134">
        <f t="shared" si="27"/>
        <v>1.5445999999999991</v>
      </c>
      <c r="G34" s="134">
        <f t="shared" si="27"/>
        <v>1.9365500000000004</v>
      </c>
      <c r="H34" s="134">
        <f t="shared" si="27"/>
        <v>2.3285</v>
      </c>
      <c r="I34" s="134">
        <f t="shared" si="27"/>
        <v>2.7204499999999996</v>
      </c>
      <c r="J34" s="134">
        <f t="shared" si="27"/>
        <v>3.1124000000000009</v>
      </c>
      <c r="K34" s="134">
        <f t="shared" si="27"/>
        <v>3.5043499999999987</v>
      </c>
      <c r="L34" s="134">
        <f t="shared" si="27"/>
        <v>3.8963000000000001</v>
      </c>
      <c r="M34" s="134">
        <f t="shared" si="27"/>
        <v>4.2882500000000014</v>
      </c>
      <c r="N34" s="134">
        <f t="shared" si="27"/>
        <v>4.6801999999999992</v>
      </c>
      <c r="O34" s="134">
        <f t="shared" si="27"/>
        <v>5.0721500000000006</v>
      </c>
      <c r="P34" s="134">
        <f t="shared" si="27"/>
        <v>5.464100000000002</v>
      </c>
      <c r="Q34" s="134">
        <f t="shared" si="27"/>
        <v>5.8560500000000033</v>
      </c>
      <c r="R34" s="135"/>
    </row>
    <row r="35" spans="1:19" x14ac:dyDescent="0.25">
      <c r="A35" s="135" t="str">
        <f>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  <c r="B35" s="135"/>
      <c r="C35" s="136"/>
      <c r="D35" s="136"/>
      <c r="E35" s="136"/>
      <c r="F35" s="136"/>
      <c r="G35" s="136"/>
      <c r="H35" s="136"/>
      <c r="I35" s="136"/>
      <c r="J35" s="136"/>
      <c r="K35" s="136"/>
      <c r="L35" s="136"/>
      <c r="M35" s="136"/>
      <c r="N35" s="136"/>
      <c r="O35" s="136"/>
      <c r="P35" s="136"/>
      <c r="Q35" s="136"/>
      <c r="R35" s="135"/>
    </row>
    <row r="36" spans="1:19" x14ac:dyDescent="0.25">
      <c r="A36" s="132"/>
      <c r="B36" s="132">
        <f>B28</f>
        <v>0</v>
      </c>
      <c r="C36" s="137">
        <f t="shared" ref="C36:Q36" si="28">C28</f>
        <v>1</v>
      </c>
      <c r="D36" s="137">
        <f t="shared" si="28"/>
        <v>2</v>
      </c>
      <c r="E36" s="137">
        <f t="shared" si="28"/>
        <v>3</v>
      </c>
      <c r="F36" s="137">
        <f t="shared" si="28"/>
        <v>4</v>
      </c>
      <c r="G36" s="137">
        <f t="shared" si="28"/>
        <v>5</v>
      </c>
      <c r="H36" s="137">
        <f t="shared" si="28"/>
        <v>6</v>
      </c>
      <c r="I36" s="137">
        <f t="shared" si="28"/>
        <v>7</v>
      </c>
      <c r="J36" s="137">
        <f t="shared" si="28"/>
        <v>8</v>
      </c>
      <c r="K36" s="137">
        <f t="shared" si="28"/>
        <v>9</v>
      </c>
      <c r="L36" s="137">
        <f t="shared" si="28"/>
        <v>10</v>
      </c>
      <c r="M36" s="137">
        <f t="shared" si="28"/>
        <v>11</v>
      </c>
      <c r="N36" s="137">
        <f t="shared" si="28"/>
        <v>12</v>
      </c>
      <c r="O36" s="137">
        <f t="shared" si="28"/>
        <v>13</v>
      </c>
      <c r="P36" s="137">
        <f t="shared" si="28"/>
        <v>14</v>
      </c>
      <c r="Q36" s="137">
        <f t="shared" si="28"/>
        <v>15</v>
      </c>
      <c r="R36" s="138" t="s">
        <v>173</v>
      </c>
      <c r="S36" s="7" t="s">
        <v>177</v>
      </c>
    </row>
    <row r="37" spans="1:19" x14ac:dyDescent="0.25">
      <c r="A37" s="133" t="s">
        <v>16</v>
      </c>
      <c r="B37" s="133">
        <f>$B$6</f>
        <v>105</v>
      </c>
      <c r="C37" s="134">
        <f>B37+C26+C30</f>
        <v>108.76875</v>
      </c>
      <c r="D37" s="134">
        <f t="shared" ref="D37:Q37" si="29">C37+D26+D30</f>
        <v>112.5607</v>
      </c>
      <c r="E37" s="134">
        <f t="shared" si="29"/>
        <v>116.35265</v>
      </c>
      <c r="F37" s="134">
        <f t="shared" si="29"/>
        <v>120.1446</v>
      </c>
      <c r="G37" s="134">
        <f t="shared" si="29"/>
        <v>123.93655</v>
      </c>
      <c r="H37" s="134">
        <f t="shared" si="29"/>
        <v>127.72850000000001</v>
      </c>
      <c r="I37" s="134">
        <f t="shared" si="29"/>
        <v>131.52045000000001</v>
      </c>
      <c r="J37" s="134">
        <f t="shared" si="29"/>
        <v>135.31240000000003</v>
      </c>
      <c r="K37" s="134">
        <f t="shared" si="29"/>
        <v>139.10435000000001</v>
      </c>
      <c r="L37" s="134">
        <f t="shared" si="29"/>
        <v>142.89630000000002</v>
      </c>
      <c r="M37" s="134">
        <f t="shared" si="29"/>
        <v>146.68825000000004</v>
      </c>
      <c r="N37" s="134">
        <f t="shared" si="29"/>
        <v>150.48020000000002</v>
      </c>
      <c r="O37" s="134">
        <f t="shared" si="29"/>
        <v>154.27215000000001</v>
      </c>
      <c r="P37" s="134">
        <f t="shared" si="29"/>
        <v>158.06410000000002</v>
      </c>
      <c r="Q37" s="134">
        <f t="shared" si="29"/>
        <v>161.85605000000001</v>
      </c>
      <c r="R37" s="134">
        <f>R42-R38</f>
        <v>546.13910165207506</v>
      </c>
      <c r="S37" s="142">
        <f>R37-B37</f>
        <v>441.13910165207506</v>
      </c>
    </row>
    <row r="38" spans="1:19" x14ac:dyDescent="0.25">
      <c r="A38" s="133" t="s">
        <v>19</v>
      </c>
      <c r="B38" s="133">
        <f>$B$7</f>
        <v>195</v>
      </c>
      <c r="C38" s="134">
        <f>B38+C31</f>
        <v>182</v>
      </c>
      <c r="D38" s="134">
        <f t="shared" ref="D38:Q38" si="30">C38+D31</f>
        <v>169</v>
      </c>
      <c r="E38" s="134">
        <f t="shared" si="30"/>
        <v>156</v>
      </c>
      <c r="F38" s="134">
        <f t="shared" si="30"/>
        <v>143</v>
      </c>
      <c r="G38" s="134">
        <f t="shared" si="30"/>
        <v>130</v>
      </c>
      <c r="H38" s="134">
        <f t="shared" si="30"/>
        <v>117</v>
      </c>
      <c r="I38" s="134">
        <f t="shared" si="30"/>
        <v>104</v>
      </c>
      <c r="J38" s="134">
        <f t="shared" si="30"/>
        <v>91</v>
      </c>
      <c r="K38" s="134">
        <f t="shared" si="30"/>
        <v>78</v>
      </c>
      <c r="L38" s="134">
        <f t="shared" si="30"/>
        <v>65</v>
      </c>
      <c r="M38" s="134">
        <f t="shared" si="30"/>
        <v>52</v>
      </c>
      <c r="N38" s="134">
        <f t="shared" si="30"/>
        <v>39</v>
      </c>
      <c r="O38" s="134">
        <f t="shared" si="30"/>
        <v>26</v>
      </c>
      <c r="P38" s="134">
        <f t="shared" si="30"/>
        <v>13</v>
      </c>
      <c r="Q38" s="134">
        <f t="shared" si="30"/>
        <v>0</v>
      </c>
      <c r="R38" s="134">
        <f>Q38</f>
        <v>0</v>
      </c>
    </row>
    <row r="39" spans="1:19" x14ac:dyDescent="0.25">
      <c r="A39" s="133"/>
      <c r="B39" s="133"/>
      <c r="C39" s="134"/>
      <c r="D39" s="134"/>
      <c r="E39" s="134"/>
      <c r="F39" s="134"/>
      <c r="G39" s="134"/>
      <c r="H39" s="134"/>
      <c r="I39" s="134"/>
      <c r="J39" s="134"/>
      <c r="K39" s="134"/>
      <c r="L39" s="134"/>
      <c r="M39" s="134"/>
      <c r="N39" s="134"/>
      <c r="O39" s="134"/>
      <c r="P39" s="134"/>
      <c r="Q39" s="134"/>
      <c r="R39" s="133"/>
    </row>
    <row r="40" spans="1:19" x14ac:dyDescent="0.25">
      <c r="A40" s="133" t="s">
        <v>164</v>
      </c>
      <c r="B40" s="133">
        <f>$B$4</f>
        <v>300</v>
      </c>
      <c r="C40" s="134">
        <f>B40-C22</f>
        <v>290.39999999999998</v>
      </c>
      <c r="D40" s="134">
        <f t="shared" ref="D40:Q40" si="31">C40-D22</f>
        <v>280.79999999999995</v>
      </c>
      <c r="E40" s="134">
        <f t="shared" si="31"/>
        <v>271.19999999999993</v>
      </c>
      <c r="F40" s="134">
        <f t="shared" si="31"/>
        <v>261.59999999999991</v>
      </c>
      <c r="G40" s="134">
        <f t="shared" si="31"/>
        <v>251.99999999999991</v>
      </c>
      <c r="H40" s="134">
        <f t="shared" si="31"/>
        <v>242.39999999999992</v>
      </c>
      <c r="I40" s="134">
        <f t="shared" si="31"/>
        <v>232.79999999999993</v>
      </c>
      <c r="J40" s="134">
        <f t="shared" si="31"/>
        <v>223.19999999999993</v>
      </c>
      <c r="K40" s="134">
        <f t="shared" si="31"/>
        <v>213.59999999999994</v>
      </c>
      <c r="L40" s="134">
        <f t="shared" si="31"/>
        <v>203.99999999999994</v>
      </c>
      <c r="M40" s="134">
        <f t="shared" si="31"/>
        <v>194.39999999999995</v>
      </c>
      <c r="N40" s="134">
        <f t="shared" si="31"/>
        <v>184.79999999999995</v>
      </c>
      <c r="O40" s="134">
        <f t="shared" si="31"/>
        <v>175.19999999999996</v>
      </c>
      <c r="P40" s="134">
        <f t="shared" si="31"/>
        <v>165.59999999999997</v>
      </c>
      <c r="Q40" s="134">
        <f t="shared" si="31"/>
        <v>155.99999999999997</v>
      </c>
      <c r="R40" s="134">
        <f>B4*POWER((1+B15),15)</f>
        <v>540.28305165207507</v>
      </c>
    </row>
    <row r="41" spans="1:19" x14ac:dyDescent="0.25">
      <c r="A41" s="133" t="s">
        <v>32</v>
      </c>
      <c r="B41" s="133"/>
      <c r="C41" s="134">
        <f>C34</f>
        <v>0.36874999999999858</v>
      </c>
      <c r="D41" s="134">
        <f t="shared" ref="D41:Q41" si="32">D34</f>
        <v>0.76069999999999993</v>
      </c>
      <c r="E41" s="134">
        <f t="shared" si="32"/>
        <v>1.1526499999999995</v>
      </c>
      <c r="F41" s="134">
        <f t="shared" si="32"/>
        <v>1.5445999999999991</v>
      </c>
      <c r="G41" s="134">
        <f t="shared" si="32"/>
        <v>1.9365500000000004</v>
      </c>
      <c r="H41" s="134">
        <f t="shared" si="32"/>
        <v>2.3285</v>
      </c>
      <c r="I41" s="134">
        <f t="shared" si="32"/>
        <v>2.7204499999999996</v>
      </c>
      <c r="J41" s="134">
        <f t="shared" si="32"/>
        <v>3.1124000000000009</v>
      </c>
      <c r="K41" s="134">
        <f t="shared" si="32"/>
        <v>3.5043499999999987</v>
      </c>
      <c r="L41" s="134">
        <f t="shared" si="32"/>
        <v>3.8963000000000001</v>
      </c>
      <c r="M41" s="134">
        <f t="shared" si="32"/>
        <v>4.2882500000000014</v>
      </c>
      <c r="N41" s="134">
        <f t="shared" si="32"/>
        <v>4.6801999999999992</v>
      </c>
      <c r="O41" s="134">
        <f t="shared" si="32"/>
        <v>5.0721500000000006</v>
      </c>
      <c r="P41" s="134">
        <f t="shared" si="32"/>
        <v>5.464100000000002</v>
      </c>
      <c r="Q41" s="134">
        <f t="shared" si="32"/>
        <v>5.8560500000000033</v>
      </c>
      <c r="R41" s="134">
        <f>Q41</f>
        <v>5.8560500000000033</v>
      </c>
    </row>
    <row r="42" spans="1:19" x14ac:dyDescent="0.25">
      <c r="A42" s="133" t="s">
        <v>165</v>
      </c>
      <c r="B42" s="133">
        <f>SUM(B40:B41)</f>
        <v>300</v>
      </c>
      <c r="C42" s="134">
        <f>SUM(C40:C41)</f>
        <v>290.76874999999995</v>
      </c>
      <c r="D42" s="134">
        <f t="shared" ref="D42:R42" si="33">SUM(D40:D41)</f>
        <v>281.56069999999994</v>
      </c>
      <c r="E42" s="134">
        <f t="shared" si="33"/>
        <v>272.35264999999993</v>
      </c>
      <c r="F42" s="134">
        <f t="shared" si="33"/>
        <v>263.14459999999991</v>
      </c>
      <c r="G42" s="134">
        <f t="shared" si="33"/>
        <v>253.93654999999993</v>
      </c>
      <c r="H42" s="134">
        <f t="shared" si="33"/>
        <v>244.72849999999991</v>
      </c>
      <c r="I42" s="134">
        <f t="shared" si="33"/>
        <v>235.52044999999993</v>
      </c>
      <c r="J42" s="134">
        <f t="shared" si="33"/>
        <v>226.31239999999994</v>
      </c>
      <c r="K42" s="134">
        <f t="shared" si="33"/>
        <v>217.10434999999993</v>
      </c>
      <c r="L42" s="134">
        <f t="shared" si="33"/>
        <v>207.89629999999994</v>
      </c>
      <c r="M42" s="134">
        <f t="shared" si="33"/>
        <v>198.68824999999995</v>
      </c>
      <c r="N42" s="134">
        <f t="shared" si="33"/>
        <v>189.48019999999997</v>
      </c>
      <c r="O42" s="134">
        <f t="shared" si="33"/>
        <v>180.27214999999995</v>
      </c>
      <c r="P42" s="134">
        <f t="shared" si="33"/>
        <v>171.06409999999997</v>
      </c>
      <c r="Q42" s="134">
        <f t="shared" si="33"/>
        <v>161.85604999999998</v>
      </c>
      <c r="R42" s="134">
        <f>SUM(R40:R41)</f>
        <v>546.13910165207506</v>
      </c>
    </row>
    <row r="43" spans="1:19" x14ac:dyDescent="0.25">
      <c r="A43" s="133" t="s">
        <v>65</v>
      </c>
      <c r="B43" s="133">
        <f>B37+B38-B42</f>
        <v>0</v>
      </c>
      <c r="C43" s="134">
        <f>C37+C38-C42</f>
        <v>0</v>
      </c>
      <c r="D43" s="134">
        <f t="shared" ref="D43:R43" si="34">D37+D38-D42</f>
        <v>0</v>
      </c>
      <c r="E43" s="134">
        <f t="shared" si="34"/>
        <v>0</v>
      </c>
      <c r="F43" s="134">
        <f t="shared" si="34"/>
        <v>0</v>
      </c>
      <c r="G43" s="134">
        <f t="shared" si="34"/>
        <v>0</v>
      </c>
      <c r="H43" s="134">
        <f t="shared" si="34"/>
        <v>0</v>
      </c>
      <c r="I43" s="134">
        <f t="shared" si="34"/>
        <v>0</v>
      </c>
      <c r="J43" s="134">
        <f t="shared" si="34"/>
        <v>0</v>
      </c>
      <c r="K43" s="134">
        <f t="shared" si="34"/>
        <v>0</v>
      </c>
      <c r="L43" s="134">
        <f t="shared" si="34"/>
        <v>0</v>
      </c>
      <c r="M43" s="134">
        <f t="shared" si="34"/>
        <v>0</v>
      </c>
      <c r="N43" s="134">
        <f t="shared" si="34"/>
        <v>0</v>
      </c>
      <c r="O43" s="134">
        <f t="shared" si="34"/>
        <v>0</v>
      </c>
      <c r="P43" s="134">
        <f t="shared" si="34"/>
        <v>0</v>
      </c>
      <c r="Q43" s="134">
        <f t="shared" si="34"/>
        <v>0</v>
      </c>
      <c r="R43" s="134">
        <f t="shared" si="34"/>
        <v>0</v>
      </c>
    </row>
    <row r="44" spans="1:19" x14ac:dyDescent="0.25">
      <c r="A44" t="str">
        <f>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</row>
    <row r="45" spans="1:19" x14ac:dyDescent="0.25">
      <c r="A45" t="str">
        <f>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</row>
    <row r="46" spans="1:19" x14ac:dyDescent="0.25">
      <c r="A46" s="8" t="s">
        <v>137</v>
      </c>
      <c r="B46" s="8">
        <v>0</v>
      </c>
      <c r="C46" s="8">
        <f>B46+1</f>
        <v>1</v>
      </c>
      <c r="D46" s="8">
        <f>C46+1</f>
        <v>2</v>
      </c>
      <c r="E46" s="8">
        <f t="shared" ref="E46:Q46" si="35">D46+1</f>
        <v>3</v>
      </c>
      <c r="F46" s="8">
        <f t="shared" si="35"/>
        <v>4</v>
      </c>
      <c r="G46" s="8">
        <f t="shared" si="35"/>
        <v>5</v>
      </c>
      <c r="H46" s="8">
        <f t="shared" si="35"/>
        <v>6</v>
      </c>
      <c r="I46" s="8">
        <f t="shared" si="35"/>
        <v>7</v>
      </c>
      <c r="J46" s="8">
        <f t="shared" si="35"/>
        <v>8</v>
      </c>
      <c r="K46" s="8">
        <f t="shared" si="35"/>
        <v>9</v>
      </c>
      <c r="L46" s="8">
        <f t="shared" si="35"/>
        <v>10</v>
      </c>
      <c r="M46" s="8">
        <f t="shared" si="35"/>
        <v>11</v>
      </c>
      <c r="N46" s="8">
        <f t="shared" si="35"/>
        <v>12</v>
      </c>
      <c r="O46" s="8">
        <f t="shared" si="35"/>
        <v>13</v>
      </c>
      <c r="P46" s="8">
        <f t="shared" si="35"/>
        <v>14</v>
      </c>
      <c r="Q46" s="8">
        <f t="shared" si="35"/>
        <v>15</v>
      </c>
    </row>
    <row r="47" spans="1:19" x14ac:dyDescent="0.25">
      <c r="A47" s="10" t="s">
        <v>175</v>
      </c>
      <c r="B47" s="10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</row>
    <row r="48" spans="1:19" x14ac:dyDescent="0.25">
      <c r="A48" s="10" t="s">
        <v>161</v>
      </c>
      <c r="B48" s="10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</row>
    <row r="49" spans="1:19" x14ac:dyDescent="0.25">
      <c r="A49" s="10" t="s">
        <v>162</v>
      </c>
      <c r="B49" s="10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</row>
    <row r="50" spans="1:19" x14ac:dyDescent="0.25">
      <c r="A50" s="10" t="s">
        <v>166</v>
      </c>
      <c r="B50" s="10"/>
      <c r="C50" s="13">
        <f>C47-C48-C49</f>
        <v>0</v>
      </c>
      <c r="D50" s="13">
        <f t="shared" ref="D50" si="36">D47-D48-D49</f>
        <v>0</v>
      </c>
      <c r="E50" s="13">
        <f t="shared" ref="E50" si="37">E47-E48-E49</f>
        <v>0</v>
      </c>
      <c r="F50" s="13">
        <f t="shared" ref="F50" si="38">F47-F48-F49</f>
        <v>0</v>
      </c>
      <c r="G50" s="13">
        <f t="shared" ref="G50" si="39">G47-G48-G49</f>
        <v>0</v>
      </c>
      <c r="H50" s="13">
        <f t="shared" ref="H50" si="40">H47-H48-H49</f>
        <v>0</v>
      </c>
      <c r="I50" s="13">
        <f t="shared" ref="I50" si="41">I47-I48-I49</f>
        <v>0</v>
      </c>
      <c r="J50" s="13">
        <f t="shared" ref="J50" si="42">J47-J48-J49</f>
        <v>0</v>
      </c>
      <c r="K50" s="13">
        <f t="shared" ref="K50" si="43">K47-K48-K49</f>
        <v>0</v>
      </c>
      <c r="L50" s="13">
        <f t="shared" ref="L50" si="44">L47-L48-L49</f>
        <v>0</v>
      </c>
      <c r="M50" s="13">
        <f t="shared" ref="M50" si="45">M47-M48-M49</f>
        <v>0</v>
      </c>
      <c r="N50" s="13">
        <f t="shared" ref="N50" si="46">N47-N48-N49</f>
        <v>0</v>
      </c>
      <c r="O50" s="13">
        <f t="shared" ref="O50" si="47">O47-O48-O49</f>
        <v>0</v>
      </c>
      <c r="P50" s="13">
        <f t="shared" ref="P50" si="48">P47-P48-P49</f>
        <v>0</v>
      </c>
      <c r="Q50" s="13">
        <f t="shared" ref="Q50" si="49">Q47-Q48-Q49</f>
        <v>0</v>
      </c>
      <c r="R50" s="119" t="s">
        <v>178</v>
      </c>
    </row>
    <row r="51" spans="1:19" x14ac:dyDescent="0.25">
      <c r="A51" s="10" t="s">
        <v>102</v>
      </c>
      <c r="B51" s="10"/>
      <c r="C51" s="13">
        <f>-B65*$B$8</f>
        <v>-8.7750000000000004</v>
      </c>
      <c r="D51" s="13">
        <f t="shared" ref="D51:Q51" si="50">-C65*$B$8</f>
        <v>-8.7750000000000004</v>
      </c>
      <c r="E51" s="13">
        <f t="shared" si="50"/>
        <v>-8.7750000000000004</v>
      </c>
      <c r="F51" s="13">
        <f t="shared" si="50"/>
        <v>-8.7750000000000004</v>
      </c>
      <c r="G51" s="13">
        <f t="shared" si="50"/>
        <v>-8.7750000000000004</v>
      </c>
      <c r="H51" s="13">
        <f t="shared" si="50"/>
        <v>-8.7750000000000004</v>
      </c>
      <c r="I51" s="13">
        <f t="shared" si="50"/>
        <v>-8.7750000000000004</v>
      </c>
      <c r="J51" s="13">
        <f t="shared" si="50"/>
        <v>-8.7750000000000004</v>
      </c>
      <c r="K51" s="13">
        <f t="shared" si="50"/>
        <v>-8.7750000000000004</v>
      </c>
      <c r="L51" s="13">
        <f t="shared" si="50"/>
        <v>-8.7750000000000004</v>
      </c>
      <c r="M51" s="13">
        <f t="shared" si="50"/>
        <v>-8.7750000000000004</v>
      </c>
      <c r="N51" s="13">
        <f t="shared" si="50"/>
        <v>-8.7750000000000004</v>
      </c>
      <c r="O51" s="13">
        <f t="shared" si="50"/>
        <v>-8.7750000000000004</v>
      </c>
      <c r="P51" s="13">
        <f t="shared" si="50"/>
        <v>-8.7750000000000004</v>
      </c>
      <c r="Q51" s="13">
        <f t="shared" si="50"/>
        <v>-8.7750000000000004</v>
      </c>
      <c r="R51" s="142">
        <f>SUM(C51:Q51)</f>
        <v>-131.62500000000003</v>
      </c>
    </row>
    <row r="52" spans="1:19" x14ac:dyDescent="0.25">
      <c r="A52" s="10" t="s">
        <v>89</v>
      </c>
      <c r="B52" s="10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</row>
    <row r="53" spans="1:19" x14ac:dyDescent="0.25">
      <c r="A53" s="10" t="s">
        <v>25</v>
      </c>
      <c r="B53" s="10"/>
      <c r="C53" s="13">
        <f>C50+C51+C52</f>
        <v>-8.7750000000000004</v>
      </c>
      <c r="D53" s="13">
        <f t="shared" ref="D53" si="51">D50+D51+D52</f>
        <v>-8.7750000000000004</v>
      </c>
      <c r="E53" s="13">
        <f t="shared" ref="E53" si="52">E50+E51+E52</f>
        <v>-8.7750000000000004</v>
      </c>
      <c r="F53" s="13">
        <f t="shared" ref="F53" si="53">F50+F51+F52</f>
        <v>-8.7750000000000004</v>
      </c>
      <c r="G53" s="13">
        <f t="shared" ref="G53" si="54">G50+G51+G52</f>
        <v>-8.7750000000000004</v>
      </c>
      <c r="H53" s="13">
        <f t="shared" ref="H53" si="55">H50+H51+H52</f>
        <v>-8.7750000000000004</v>
      </c>
      <c r="I53" s="13">
        <f t="shared" ref="I53" si="56">I50+I51+I52</f>
        <v>-8.7750000000000004</v>
      </c>
      <c r="J53" s="13">
        <f t="shared" ref="J53" si="57">J50+J51+J52</f>
        <v>-8.7750000000000004</v>
      </c>
      <c r="K53" s="13">
        <f t="shared" ref="K53" si="58">K50+K51+K52</f>
        <v>-8.7750000000000004</v>
      </c>
      <c r="L53" s="13">
        <f t="shared" ref="L53" si="59">L50+L51+L52</f>
        <v>-8.7750000000000004</v>
      </c>
      <c r="M53" s="13">
        <f t="shared" ref="M53" si="60">M50+M51+M52</f>
        <v>-8.7750000000000004</v>
      </c>
      <c r="N53" s="13">
        <f t="shared" ref="N53" si="61">N50+N51+N52</f>
        <v>-8.7750000000000004</v>
      </c>
      <c r="O53" s="13">
        <f t="shared" ref="O53" si="62">O50+O51+O52</f>
        <v>-8.7750000000000004</v>
      </c>
      <c r="P53" s="13">
        <f t="shared" ref="P53" si="63">P50+P51+P52</f>
        <v>-8.7750000000000004</v>
      </c>
      <c r="Q53" s="13">
        <f t="shared" ref="Q53" si="64">Q50+Q51+Q52</f>
        <v>-8.7750000000000004</v>
      </c>
    </row>
    <row r="54" spans="1:19" x14ac:dyDescent="0.25">
      <c r="A54" t="str">
        <f>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  <c r="C54" s="36"/>
      <c r="D54" s="36"/>
      <c r="E54" s="36"/>
      <c r="F54" s="36"/>
      <c r="G54" s="36"/>
      <c r="H54" s="36"/>
      <c r="I54" s="36"/>
      <c r="J54" s="36"/>
      <c r="K54" s="36"/>
      <c r="L54" s="36"/>
      <c r="M54" s="36"/>
      <c r="N54" s="36"/>
      <c r="O54" s="36"/>
      <c r="P54" s="36"/>
      <c r="Q54" s="36"/>
    </row>
    <row r="55" spans="1:19" x14ac:dyDescent="0.25">
      <c r="A55" s="8"/>
      <c r="B55" s="8">
        <f>B46</f>
        <v>0</v>
      </c>
      <c r="C55" s="21">
        <f t="shared" ref="C55:Q55" si="65">C46</f>
        <v>1</v>
      </c>
      <c r="D55" s="21">
        <f t="shared" si="65"/>
        <v>2</v>
      </c>
      <c r="E55" s="21">
        <f t="shared" si="65"/>
        <v>3</v>
      </c>
      <c r="F55" s="21">
        <f t="shared" si="65"/>
        <v>4</v>
      </c>
      <c r="G55" s="21">
        <f t="shared" si="65"/>
        <v>5</v>
      </c>
      <c r="H55" s="21">
        <f t="shared" si="65"/>
        <v>6</v>
      </c>
      <c r="I55" s="21">
        <f t="shared" si="65"/>
        <v>7</v>
      </c>
      <c r="J55" s="21">
        <f t="shared" si="65"/>
        <v>8</v>
      </c>
      <c r="K55" s="21">
        <f t="shared" si="65"/>
        <v>9</v>
      </c>
      <c r="L55" s="21">
        <f t="shared" si="65"/>
        <v>10</v>
      </c>
      <c r="M55" s="21">
        <f t="shared" si="65"/>
        <v>11</v>
      </c>
      <c r="N55" s="21">
        <f t="shared" si="65"/>
        <v>12</v>
      </c>
      <c r="O55" s="21">
        <f t="shared" si="65"/>
        <v>13</v>
      </c>
      <c r="P55" s="21">
        <f t="shared" si="65"/>
        <v>14</v>
      </c>
      <c r="Q55" s="21">
        <f t="shared" si="65"/>
        <v>15</v>
      </c>
    </row>
    <row r="56" spans="1:19" x14ac:dyDescent="0.25">
      <c r="A56" s="10" t="s">
        <v>28</v>
      </c>
      <c r="B56" s="10"/>
      <c r="C56" s="13">
        <f>C53+C49</f>
        <v>-8.7750000000000004</v>
      </c>
      <c r="D56" s="13">
        <f t="shared" ref="D56:Q56" si="66">D53+D49</f>
        <v>-8.7750000000000004</v>
      </c>
      <c r="E56" s="13">
        <f t="shared" si="66"/>
        <v>-8.7750000000000004</v>
      </c>
      <c r="F56" s="13">
        <f t="shared" si="66"/>
        <v>-8.7750000000000004</v>
      </c>
      <c r="G56" s="13">
        <f t="shared" si="66"/>
        <v>-8.7750000000000004</v>
      </c>
      <c r="H56" s="13">
        <f t="shared" si="66"/>
        <v>-8.7750000000000004</v>
      </c>
      <c r="I56" s="13">
        <f t="shared" si="66"/>
        <v>-8.7750000000000004</v>
      </c>
      <c r="J56" s="13">
        <f t="shared" si="66"/>
        <v>-8.7750000000000004</v>
      </c>
      <c r="K56" s="13">
        <f t="shared" si="66"/>
        <v>-8.7750000000000004</v>
      </c>
      <c r="L56" s="13">
        <f t="shared" si="66"/>
        <v>-8.7750000000000004</v>
      </c>
      <c r="M56" s="13">
        <f t="shared" si="66"/>
        <v>-8.7750000000000004</v>
      </c>
      <c r="N56" s="13">
        <f t="shared" si="66"/>
        <v>-8.7750000000000004</v>
      </c>
      <c r="O56" s="13">
        <f t="shared" si="66"/>
        <v>-8.7750000000000004</v>
      </c>
      <c r="P56" s="13">
        <f t="shared" si="66"/>
        <v>-8.7750000000000004</v>
      </c>
      <c r="Q56" s="13">
        <f t="shared" si="66"/>
        <v>-8.7750000000000004</v>
      </c>
    </row>
    <row r="57" spans="1:19" x14ac:dyDescent="0.25">
      <c r="A57" s="10" t="s">
        <v>16</v>
      </c>
      <c r="B57" s="10"/>
      <c r="C57" s="13"/>
      <c r="D57" s="13">
        <f>-C61</f>
        <v>8.7750000000000004</v>
      </c>
      <c r="E57" s="13">
        <f t="shared" ref="E57:Q57" si="67">-D61</f>
        <v>8.7750000000000004</v>
      </c>
      <c r="F57" s="13">
        <f t="shared" si="67"/>
        <v>8.7750000000000004</v>
      </c>
      <c r="G57" s="13">
        <f t="shared" si="67"/>
        <v>8.7750000000000004</v>
      </c>
      <c r="H57" s="13">
        <f t="shared" si="67"/>
        <v>8.7750000000000004</v>
      </c>
      <c r="I57" s="13">
        <f t="shared" si="67"/>
        <v>8.7750000000000004</v>
      </c>
      <c r="J57" s="13">
        <f t="shared" si="67"/>
        <v>8.7750000000000004</v>
      </c>
      <c r="K57" s="13">
        <f t="shared" si="67"/>
        <v>8.7750000000000004</v>
      </c>
      <c r="L57" s="13">
        <f t="shared" si="67"/>
        <v>8.7750000000000004</v>
      </c>
      <c r="M57" s="13">
        <f t="shared" si="67"/>
        <v>8.7750000000000004</v>
      </c>
      <c r="N57" s="13">
        <f t="shared" si="67"/>
        <v>8.7750000000000004</v>
      </c>
      <c r="O57" s="13">
        <f t="shared" si="67"/>
        <v>8.7750000000000004</v>
      </c>
      <c r="P57" s="13">
        <f t="shared" si="67"/>
        <v>8.7750000000000004</v>
      </c>
      <c r="Q57" s="13">
        <f t="shared" si="67"/>
        <v>8.7750000000000004</v>
      </c>
    </row>
    <row r="58" spans="1:19" x14ac:dyDescent="0.25">
      <c r="A58" s="10" t="s">
        <v>19</v>
      </c>
      <c r="B58" s="10"/>
      <c r="C58" s="13">
        <f>-B35/$B$9</f>
        <v>0</v>
      </c>
      <c r="D58" s="13">
        <f>C58</f>
        <v>0</v>
      </c>
      <c r="E58" s="13">
        <f t="shared" ref="E58:Q58" si="68">D58</f>
        <v>0</v>
      </c>
      <c r="F58" s="13">
        <f t="shared" si="68"/>
        <v>0</v>
      </c>
      <c r="G58" s="13">
        <f t="shared" si="68"/>
        <v>0</v>
      </c>
      <c r="H58" s="13">
        <f t="shared" si="68"/>
        <v>0</v>
      </c>
      <c r="I58" s="13">
        <f t="shared" si="68"/>
        <v>0</v>
      </c>
      <c r="J58" s="13">
        <f t="shared" si="68"/>
        <v>0</v>
      </c>
      <c r="K58" s="13">
        <f t="shared" si="68"/>
        <v>0</v>
      </c>
      <c r="L58" s="13">
        <f t="shared" si="68"/>
        <v>0</v>
      </c>
      <c r="M58" s="13">
        <f t="shared" si="68"/>
        <v>0</v>
      </c>
      <c r="N58" s="13">
        <f t="shared" si="68"/>
        <v>0</v>
      </c>
      <c r="O58" s="13">
        <f t="shared" si="68"/>
        <v>0</v>
      </c>
      <c r="P58" s="13">
        <f t="shared" si="68"/>
        <v>0</v>
      </c>
      <c r="Q58" s="13">
        <f t="shared" si="68"/>
        <v>0</v>
      </c>
    </row>
    <row r="59" spans="1:19" x14ac:dyDescent="0.25">
      <c r="A59" s="10" t="s">
        <v>167</v>
      </c>
      <c r="B59" s="10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</row>
    <row r="60" spans="1:19" x14ac:dyDescent="0.25">
      <c r="A60" s="10" t="s">
        <v>168</v>
      </c>
      <c r="B60" s="10"/>
      <c r="C60" s="13">
        <f>B61</f>
        <v>0</v>
      </c>
      <c r="D60" s="13">
        <f t="shared" ref="D60:Q60" si="69">C61</f>
        <v>-8.7750000000000004</v>
      </c>
      <c r="E60" s="13">
        <f t="shared" si="69"/>
        <v>-8.7750000000000004</v>
      </c>
      <c r="F60" s="13">
        <f t="shared" si="69"/>
        <v>-8.7750000000000004</v>
      </c>
      <c r="G60" s="13">
        <f t="shared" si="69"/>
        <v>-8.7750000000000004</v>
      </c>
      <c r="H60" s="13">
        <f t="shared" si="69"/>
        <v>-8.7750000000000004</v>
      </c>
      <c r="I60" s="13">
        <f t="shared" si="69"/>
        <v>-8.7750000000000004</v>
      </c>
      <c r="J60" s="13">
        <f t="shared" si="69"/>
        <v>-8.7750000000000004</v>
      </c>
      <c r="K60" s="13">
        <f t="shared" si="69"/>
        <v>-8.7750000000000004</v>
      </c>
      <c r="L60" s="13">
        <f t="shared" si="69"/>
        <v>-8.7750000000000004</v>
      </c>
      <c r="M60" s="13">
        <f t="shared" si="69"/>
        <v>-8.7750000000000004</v>
      </c>
      <c r="N60" s="13">
        <f t="shared" si="69"/>
        <v>-8.7750000000000004</v>
      </c>
      <c r="O60" s="13">
        <f t="shared" si="69"/>
        <v>-8.7750000000000004</v>
      </c>
      <c r="P60" s="13">
        <f t="shared" si="69"/>
        <v>-8.7750000000000004</v>
      </c>
      <c r="Q60" s="13">
        <f t="shared" si="69"/>
        <v>-8.7750000000000004</v>
      </c>
    </row>
    <row r="61" spans="1:19" x14ac:dyDescent="0.25">
      <c r="A61" s="10" t="s">
        <v>169</v>
      </c>
      <c r="B61" s="10"/>
      <c r="C61" s="13">
        <f>SUM(C56:C60)</f>
        <v>-8.7750000000000004</v>
      </c>
      <c r="D61" s="13">
        <f t="shared" ref="D61" si="70">SUM(D56:D60)</f>
        <v>-8.7750000000000004</v>
      </c>
      <c r="E61" s="13">
        <f t="shared" ref="E61" si="71">SUM(E56:E60)</f>
        <v>-8.7750000000000004</v>
      </c>
      <c r="F61" s="13">
        <f t="shared" ref="F61" si="72">SUM(F56:F60)</f>
        <v>-8.7750000000000004</v>
      </c>
      <c r="G61" s="13">
        <f t="shared" ref="G61" si="73">SUM(G56:G60)</f>
        <v>-8.7750000000000004</v>
      </c>
      <c r="H61" s="13">
        <f t="shared" ref="H61" si="74">SUM(H56:H60)</f>
        <v>-8.7750000000000004</v>
      </c>
      <c r="I61" s="13">
        <f t="shared" ref="I61" si="75">SUM(I56:I60)</f>
        <v>-8.7750000000000004</v>
      </c>
      <c r="J61" s="13">
        <f t="shared" ref="J61" si="76">SUM(J56:J60)</f>
        <v>-8.7750000000000004</v>
      </c>
      <c r="K61" s="13">
        <f t="shared" ref="K61" si="77">SUM(K56:K60)</f>
        <v>-8.7750000000000004</v>
      </c>
      <c r="L61" s="13">
        <f t="shared" ref="L61" si="78">SUM(L56:L60)</f>
        <v>-8.7750000000000004</v>
      </c>
      <c r="M61" s="13">
        <f t="shared" ref="M61" si="79">SUM(M56:M60)</f>
        <v>-8.7750000000000004</v>
      </c>
      <c r="N61" s="13">
        <f t="shared" ref="N61" si="80">SUM(N56:N60)</f>
        <v>-8.7750000000000004</v>
      </c>
      <c r="O61" s="13">
        <f t="shared" ref="O61" si="81">SUM(O56:O60)</f>
        <v>-8.7750000000000004</v>
      </c>
      <c r="P61" s="13">
        <f t="shared" ref="P61" si="82">SUM(P56:P60)</f>
        <v>-8.7750000000000004</v>
      </c>
      <c r="Q61" s="13">
        <f t="shared" ref="Q61" si="83">SUM(Q56:Q60)</f>
        <v>-8.7750000000000004</v>
      </c>
    </row>
    <row r="62" spans="1:19" x14ac:dyDescent="0.25">
      <c r="A62" t="str">
        <f>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  <c r="C62" s="36"/>
      <c r="D62" s="36"/>
      <c r="E62" s="36"/>
      <c r="F62" s="36"/>
      <c r="G62" s="36"/>
      <c r="H62" s="36"/>
      <c r="I62" s="36"/>
      <c r="J62" s="36"/>
      <c r="K62" s="36"/>
      <c r="L62" s="36"/>
      <c r="M62" s="36"/>
      <c r="N62" s="36"/>
      <c r="O62" s="36"/>
      <c r="P62" s="36"/>
      <c r="Q62" s="36"/>
    </row>
    <row r="63" spans="1:19" x14ac:dyDescent="0.25">
      <c r="A63" s="8"/>
      <c r="B63" s="8">
        <f>B55</f>
        <v>0</v>
      </c>
      <c r="C63" s="21">
        <f t="shared" ref="C63:Q63" si="84">C55</f>
        <v>1</v>
      </c>
      <c r="D63" s="21">
        <f t="shared" si="84"/>
        <v>2</v>
      </c>
      <c r="E63" s="21">
        <f t="shared" si="84"/>
        <v>3</v>
      </c>
      <c r="F63" s="21">
        <f t="shared" si="84"/>
        <v>4</v>
      </c>
      <c r="G63" s="21">
        <f t="shared" si="84"/>
        <v>5</v>
      </c>
      <c r="H63" s="21">
        <f t="shared" si="84"/>
        <v>6</v>
      </c>
      <c r="I63" s="21">
        <f t="shared" si="84"/>
        <v>7</v>
      </c>
      <c r="J63" s="21">
        <f t="shared" si="84"/>
        <v>8</v>
      </c>
      <c r="K63" s="21">
        <f t="shared" si="84"/>
        <v>9</v>
      </c>
      <c r="L63" s="21">
        <f t="shared" si="84"/>
        <v>10</v>
      </c>
      <c r="M63" s="21">
        <f t="shared" si="84"/>
        <v>11</v>
      </c>
      <c r="N63" s="21">
        <f t="shared" si="84"/>
        <v>12</v>
      </c>
      <c r="O63" s="21">
        <f t="shared" si="84"/>
        <v>13</v>
      </c>
      <c r="P63" s="21">
        <f t="shared" si="84"/>
        <v>14</v>
      </c>
      <c r="Q63" s="21">
        <f t="shared" si="84"/>
        <v>15</v>
      </c>
      <c r="R63" s="125" t="s">
        <v>173</v>
      </c>
      <c r="S63" s="141" t="s">
        <v>177</v>
      </c>
    </row>
    <row r="64" spans="1:19" x14ac:dyDescent="0.25">
      <c r="A64" s="10" t="s">
        <v>16</v>
      </c>
      <c r="B64" s="10">
        <f>$B$6</f>
        <v>105</v>
      </c>
      <c r="C64" s="13">
        <f>B64+C53+C57</f>
        <v>96.224999999999994</v>
      </c>
      <c r="D64" s="13">
        <f t="shared" ref="D64:Q64" si="85">C64+D53+D57</f>
        <v>96.224999999999994</v>
      </c>
      <c r="E64" s="13">
        <f t="shared" si="85"/>
        <v>96.224999999999994</v>
      </c>
      <c r="F64" s="13">
        <f t="shared" si="85"/>
        <v>96.224999999999994</v>
      </c>
      <c r="G64" s="13">
        <f t="shared" si="85"/>
        <v>96.224999999999994</v>
      </c>
      <c r="H64" s="13">
        <f t="shared" si="85"/>
        <v>96.224999999999994</v>
      </c>
      <c r="I64" s="13">
        <f t="shared" si="85"/>
        <v>96.224999999999994</v>
      </c>
      <c r="J64" s="13">
        <f t="shared" si="85"/>
        <v>96.224999999999994</v>
      </c>
      <c r="K64" s="13">
        <f t="shared" si="85"/>
        <v>96.224999999999994</v>
      </c>
      <c r="L64" s="13">
        <f t="shared" si="85"/>
        <v>96.224999999999994</v>
      </c>
      <c r="M64" s="13">
        <f t="shared" si="85"/>
        <v>96.224999999999994</v>
      </c>
      <c r="N64" s="13">
        <f t="shared" si="85"/>
        <v>96.224999999999994</v>
      </c>
      <c r="O64" s="13">
        <f t="shared" si="85"/>
        <v>96.224999999999994</v>
      </c>
      <c r="P64" s="13">
        <f t="shared" si="85"/>
        <v>96.224999999999994</v>
      </c>
      <c r="Q64" s="13">
        <f t="shared" si="85"/>
        <v>96.224999999999994</v>
      </c>
      <c r="R64" s="13">
        <f>R69-R65</f>
        <v>4418.3314723759095</v>
      </c>
      <c r="S64" s="130">
        <f>R64-B64</f>
        <v>4313.3314723759095</v>
      </c>
    </row>
    <row r="65" spans="1:18" x14ac:dyDescent="0.25">
      <c r="A65" s="10" t="s">
        <v>19</v>
      </c>
      <c r="B65" s="10">
        <f>$B$7</f>
        <v>195</v>
      </c>
      <c r="C65" s="13">
        <f>B65+C58</f>
        <v>195</v>
      </c>
      <c r="D65" s="13">
        <f t="shared" ref="D65:Q65" si="86">C65+D58</f>
        <v>195</v>
      </c>
      <c r="E65" s="13">
        <f t="shared" si="86"/>
        <v>195</v>
      </c>
      <c r="F65" s="13">
        <f t="shared" si="86"/>
        <v>195</v>
      </c>
      <c r="G65" s="13">
        <f t="shared" si="86"/>
        <v>195</v>
      </c>
      <c r="H65" s="13">
        <f t="shared" si="86"/>
        <v>195</v>
      </c>
      <c r="I65" s="13">
        <f t="shared" si="86"/>
        <v>195</v>
      </c>
      <c r="J65" s="13">
        <f t="shared" si="86"/>
        <v>195</v>
      </c>
      <c r="K65" s="13">
        <f t="shared" si="86"/>
        <v>195</v>
      </c>
      <c r="L65" s="13">
        <f t="shared" si="86"/>
        <v>195</v>
      </c>
      <c r="M65" s="13">
        <f t="shared" si="86"/>
        <v>195</v>
      </c>
      <c r="N65" s="13">
        <f t="shared" si="86"/>
        <v>195</v>
      </c>
      <c r="O65" s="13">
        <f t="shared" si="86"/>
        <v>195</v>
      </c>
      <c r="P65" s="13">
        <f t="shared" si="86"/>
        <v>195</v>
      </c>
      <c r="Q65" s="13">
        <f t="shared" si="86"/>
        <v>195</v>
      </c>
      <c r="R65" s="13">
        <f>Q65</f>
        <v>195</v>
      </c>
    </row>
    <row r="66" spans="1:18" x14ac:dyDescent="0.25">
      <c r="A66" s="10"/>
      <c r="B66" s="10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0"/>
    </row>
    <row r="67" spans="1:18" x14ac:dyDescent="0.25">
      <c r="A67" s="10" t="s">
        <v>164</v>
      </c>
      <c r="B67" s="10">
        <f>$B$4</f>
        <v>300</v>
      </c>
      <c r="C67" s="13">
        <f>B67-C49</f>
        <v>300</v>
      </c>
      <c r="D67" s="13">
        <f t="shared" ref="D67:Q67" si="87">C67-D49</f>
        <v>300</v>
      </c>
      <c r="E67" s="13">
        <f t="shared" si="87"/>
        <v>300</v>
      </c>
      <c r="F67" s="13">
        <f t="shared" si="87"/>
        <v>300</v>
      </c>
      <c r="G67" s="13">
        <f t="shared" si="87"/>
        <v>300</v>
      </c>
      <c r="H67" s="13">
        <f t="shared" si="87"/>
        <v>300</v>
      </c>
      <c r="I67" s="13">
        <f t="shared" si="87"/>
        <v>300</v>
      </c>
      <c r="J67" s="13">
        <f t="shared" si="87"/>
        <v>300</v>
      </c>
      <c r="K67" s="13">
        <f t="shared" si="87"/>
        <v>300</v>
      </c>
      <c r="L67" s="13">
        <f t="shared" si="87"/>
        <v>300</v>
      </c>
      <c r="M67" s="13">
        <f t="shared" si="87"/>
        <v>300</v>
      </c>
      <c r="N67" s="13">
        <f t="shared" si="87"/>
        <v>300</v>
      </c>
      <c r="O67" s="13">
        <f t="shared" si="87"/>
        <v>300</v>
      </c>
      <c r="P67" s="13">
        <f t="shared" si="87"/>
        <v>300</v>
      </c>
      <c r="Q67" s="13">
        <f t="shared" si="87"/>
        <v>300</v>
      </c>
      <c r="R67" s="14">
        <f>B4*POWER((1+B16),15)</f>
        <v>4622.1064723759091</v>
      </c>
    </row>
    <row r="68" spans="1:18" x14ac:dyDescent="0.25">
      <c r="A68" s="10" t="s">
        <v>32</v>
      </c>
      <c r="B68" s="10"/>
      <c r="C68" s="13">
        <f>C61</f>
        <v>-8.7750000000000004</v>
      </c>
      <c r="D68" s="13">
        <f t="shared" ref="D68:Q68" si="88">D61</f>
        <v>-8.7750000000000004</v>
      </c>
      <c r="E68" s="13">
        <f t="shared" si="88"/>
        <v>-8.7750000000000004</v>
      </c>
      <c r="F68" s="13">
        <f t="shared" si="88"/>
        <v>-8.7750000000000004</v>
      </c>
      <c r="G68" s="13">
        <f t="shared" si="88"/>
        <v>-8.7750000000000004</v>
      </c>
      <c r="H68" s="13">
        <f t="shared" si="88"/>
        <v>-8.7750000000000004</v>
      </c>
      <c r="I68" s="13">
        <f t="shared" si="88"/>
        <v>-8.7750000000000004</v>
      </c>
      <c r="J68" s="13">
        <f t="shared" si="88"/>
        <v>-8.7750000000000004</v>
      </c>
      <c r="K68" s="13">
        <f t="shared" si="88"/>
        <v>-8.7750000000000004</v>
      </c>
      <c r="L68" s="13">
        <f t="shared" si="88"/>
        <v>-8.7750000000000004</v>
      </c>
      <c r="M68" s="13">
        <f t="shared" si="88"/>
        <v>-8.7750000000000004</v>
      </c>
      <c r="N68" s="13">
        <f t="shared" si="88"/>
        <v>-8.7750000000000004</v>
      </c>
      <c r="O68" s="13">
        <f t="shared" si="88"/>
        <v>-8.7750000000000004</v>
      </c>
      <c r="P68" s="13">
        <f t="shared" si="88"/>
        <v>-8.7750000000000004</v>
      </c>
      <c r="Q68" s="13">
        <f t="shared" si="88"/>
        <v>-8.7750000000000004</v>
      </c>
      <c r="R68" s="13">
        <f>Q68</f>
        <v>-8.7750000000000004</v>
      </c>
    </row>
    <row r="69" spans="1:18" x14ac:dyDescent="0.25">
      <c r="A69" s="10" t="s">
        <v>165</v>
      </c>
      <c r="B69" s="10">
        <f>SUM(B67:B68)</f>
        <v>300</v>
      </c>
      <c r="C69" s="13">
        <f>SUM(C67:C68)</f>
        <v>291.22500000000002</v>
      </c>
      <c r="D69" s="13">
        <f t="shared" ref="D69" si="89">SUM(D67:D68)</f>
        <v>291.22500000000002</v>
      </c>
      <c r="E69" s="13">
        <f t="shared" ref="E69" si="90">SUM(E67:E68)</f>
        <v>291.22500000000002</v>
      </c>
      <c r="F69" s="13">
        <f t="shared" ref="F69" si="91">SUM(F67:F68)</f>
        <v>291.22500000000002</v>
      </c>
      <c r="G69" s="13">
        <f t="shared" ref="G69" si="92">SUM(G67:G68)</f>
        <v>291.22500000000002</v>
      </c>
      <c r="H69" s="13">
        <f t="shared" ref="H69" si="93">SUM(H67:H68)</f>
        <v>291.22500000000002</v>
      </c>
      <c r="I69" s="13">
        <f t="shared" ref="I69" si="94">SUM(I67:I68)</f>
        <v>291.22500000000002</v>
      </c>
      <c r="J69" s="13">
        <f t="shared" ref="J69" si="95">SUM(J67:J68)</f>
        <v>291.22500000000002</v>
      </c>
      <c r="K69" s="13">
        <f t="shared" ref="K69" si="96">SUM(K67:K68)</f>
        <v>291.22500000000002</v>
      </c>
      <c r="L69" s="13">
        <f t="shared" ref="L69" si="97">SUM(L67:L68)</f>
        <v>291.22500000000002</v>
      </c>
      <c r="M69" s="13">
        <f t="shared" ref="M69" si="98">SUM(M67:M68)</f>
        <v>291.22500000000002</v>
      </c>
      <c r="N69" s="13">
        <f t="shared" ref="N69" si="99">SUM(N67:N68)</f>
        <v>291.22500000000002</v>
      </c>
      <c r="O69" s="13">
        <f t="shared" ref="O69" si="100">SUM(O67:O68)</f>
        <v>291.22500000000002</v>
      </c>
      <c r="P69" s="13">
        <f t="shared" ref="P69" si="101">SUM(P67:P68)</f>
        <v>291.22500000000002</v>
      </c>
      <c r="Q69" s="13">
        <f t="shared" ref="Q69" si="102">SUM(Q67:Q68)</f>
        <v>291.22500000000002</v>
      </c>
      <c r="R69" s="13">
        <f>SUM(R67:R68)</f>
        <v>4613.3314723759095</v>
      </c>
    </row>
    <row r="70" spans="1:18" x14ac:dyDescent="0.25">
      <c r="A70" s="10" t="s">
        <v>65</v>
      </c>
      <c r="B70" s="10">
        <f>B64+B65-B69</f>
        <v>0</v>
      </c>
      <c r="C70" s="13">
        <f>C64+C65-C69</f>
        <v>0</v>
      </c>
      <c r="D70" s="13">
        <f t="shared" ref="D70" si="103">D64+D65-D69</f>
        <v>0</v>
      </c>
      <c r="E70" s="13">
        <f t="shared" ref="E70" si="104">E64+E65-E69</f>
        <v>0</v>
      </c>
      <c r="F70" s="13">
        <f t="shared" ref="F70" si="105">F64+F65-F69</f>
        <v>0</v>
      </c>
      <c r="G70" s="13">
        <f t="shared" ref="G70" si="106">G64+G65-G69</f>
        <v>0</v>
      </c>
      <c r="H70" s="13">
        <f t="shared" ref="H70" si="107">H64+H65-H69</f>
        <v>0</v>
      </c>
      <c r="I70" s="13">
        <f t="shared" ref="I70" si="108">I64+I65-I69</f>
        <v>0</v>
      </c>
      <c r="J70" s="13">
        <f t="shared" ref="J70" si="109">J64+J65-J69</f>
        <v>0</v>
      </c>
      <c r="K70" s="13">
        <f t="shared" ref="K70" si="110">K64+K65-K69</f>
        <v>0</v>
      </c>
      <c r="L70" s="13">
        <f t="shared" ref="L70" si="111">L64+L65-L69</f>
        <v>0</v>
      </c>
      <c r="M70" s="13">
        <f t="shared" ref="M70" si="112">M64+M65-M69</f>
        <v>0</v>
      </c>
      <c r="N70" s="13">
        <f t="shared" ref="N70" si="113">N64+N65-N69</f>
        <v>0</v>
      </c>
      <c r="O70" s="13">
        <f t="shared" ref="O70" si="114">O64+O65-O69</f>
        <v>0</v>
      </c>
      <c r="P70" s="13">
        <f t="shared" ref="P70" si="115">P64+P65-P69</f>
        <v>0</v>
      </c>
      <c r="Q70" s="13">
        <f t="shared" ref="Q70" si="116">Q64+Q65-Q69</f>
        <v>0</v>
      </c>
      <c r="R70" s="13">
        <f t="shared" ref="R70" si="117">R64+R65-R69</f>
        <v>0</v>
      </c>
    </row>
    <row r="71" spans="1:18" x14ac:dyDescent="0.25">
      <c r="A71" t="str">
        <f>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9</vt:i4>
      </vt:variant>
    </vt:vector>
  </HeadingPairs>
  <TitlesOfParts>
    <vt:vector size="9" baseType="lpstr">
      <vt:lpstr>cas 1 fi only</vt:lpstr>
      <vt:lpstr>cas 2 fi+eco</vt:lpstr>
      <vt:lpstr>cas 2 fi+eco (2)</vt:lpstr>
      <vt:lpstr>cas 2 fi+eco (3)</vt:lpstr>
      <vt:lpstr>Feuil1</vt:lpstr>
      <vt:lpstr>comparaison loc prop cb</vt:lpstr>
      <vt:lpstr>comparaison loc prop cb (2)</vt:lpstr>
      <vt:lpstr>Feuil3</vt:lpstr>
      <vt:lpstr>Loc vs propr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SAINTCRICQJ</dc:creator>
  <cp:lastModifiedBy>SAINTCRICQJ</cp:lastModifiedBy>
  <dcterms:created xsi:type="dcterms:W3CDTF">2012-02-28T16:58:49Z</dcterms:created>
  <dcterms:modified xsi:type="dcterms:W3CDTF">2012-03-09T13:38:58Z</dcterms:modified>
</cp:coreProperties>
</file>