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6390" activeTab="2"/>
  </bookViews>
  <sheets>
    <sheet name="tronc commun" sheetId="4" r:id="rId1"/>
    <sheet name="Immob vs plcmt" sheetId="7" r:id="rId2"/>
    <sheet name="RENTA ACTIFS" sheetId="6" r:id="rId3"/>
  </sheets>
  <externalReferences>
    <externalReference r:id="rId4"/>
  </externalReferences>
  <definedNames>
    <definedName name="_xlnm.Print_Area" localSheetId="1">'Immob vs plcmt'!$A$1:$T$71</definedName>
    <definedName name="_xlnm.Print_Area" localSheetId="0">'tronc commun'!$A$1:$X$72</definedName>
  </definedNames>
  <calcPr calcId="145621"/>
</workbook>
</file>

<file path=xl/calcChain.xml><?xml version="1.0" encoding="utf-8"?>
<calcChain xmlns="http://schemas.openxmlformats.org/spreadsheetml/2006/main">
  <c r="K16" i="7" l="1"/>
  <c r="M16" i="7"/>
  <c r="M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C19" i="7"/>
  <c r="C14" i="6"/>
  <c r="D14" i="6"/>
  <c r="E14" i="6"/>
  <c r="B14" i="6"/>
  <c r="J8" i="6"/>
  <c r="J9" i="6"/>
  <c r="J10" i="6"/>
  <c r="I8" i="6"/>
  <c r="I9" i="6"/>
  <c r="I10" i="6"/>
  <c r="G10" i="6"/>
  <c r="G9" i="6"/>
  <c r="G8" i="6"/>
  <c r="H7" i="6"/>
  <c r="J7" i="6" s="1"/>
  <c r="F8" i="6"/>
  <c r="F9" i="6"/>
  <c r="F10" i="6"/>
  <c r="F11" i="6"/>
  <c r="F7" i="6"/>
  <c r="C19" i="6"/>
  <c r="D20" i="6"/>
  <c r="E19" i="6"/>
  <c r="B20" i="6"/>
  <c r="E20" i="6"/>
  <c r="G7" i="6" l="1"/>
  <c r="I7" i="6"/>
  <c r="B19" i="6"/>
  <c r="B22" i="6"/>
  <c r="H11" i="6" s="1"/>
  <c r="C16" i="6"/>
  <c r="J11" i="6" l="1"/>
  <c r="I11" i="6"/>
  <c r="G11" i="6"/>
  <c r="D16" i="6"/>
  <c r="E16" i="6" s="1"/>
  <c r="C15" i="6" l="1"/>
  <c r="D15" i="6" s="1"/>
  <c r="D17" i="6" s="1"/>
  <c r="C18" i="6"/>
  <c r="C20" i="6" s="1"/>
  <c r="A1" i="6"/>
  <c r="A3" i="6" s="1"/>
  <c r="C17" i="6" l="1"/>
  <c r="D19" i="6"/>
  <c r="F19" i="6" s="1"/>
  <c r="G20" i="6"/>
  <c r="E15" i="6"/>
  <c r="D18" i="6"/>
  <c r="E18" i="6" s="1"/>
  <c r="B21" i="6" l="1"/>
  <c r="C6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33" i="7"/>
  <c r="Q28" i="7"/>
  <c r="Q36" i="7" s="1"/>
  <c r="Q46" i="7" s="1"/>
  <c r="Q55" i="7" s="1"/>
  <c r="Q63" i="7" s="1"/>
  <c r="M28" i="7"/>
  <c r="M36" i="7" s="1"/>
  <c r="M46" i="7" s="1"/>
  <c r="M55" i="7" s="1"/>
  <c r="M63" i="7" s="1"/>
  <c r="I28" i="7"/>
  <c r="I36" i="7" s="1"/>
  <c r="I46" i="7" s="1"/>
  <c r="I55" i="7" s="1"/>
  <c r="I63" i="7" s="1"/>
  <c r="E28" i="7"/>
  <c r="E36" i="7" s="1"/>
  <c r="E46" i="7" s="1"/>
  <c r="E55" i="7" s="1"/>
  <c r="E63" i="7" s="1"/>
  <c r="B28" i="7"/>
  <c r="B36" i="7" s="1"/>
  <c r="B46" i="7" s="1"/>
  <c r="B55" i="7" s="1"/>
  <c r="B63" i="7" s="1"/>
  <c r="P28" i="7"/>
  <c r="P36" i="7" s="1"/>
  <c r="P46" i="7" s="1"/>
  <c r="P55" i="7" s="1"/>
  <c r="P63" i="7" s="1"/>
  <c r="O28" i="7"/>
  <c r="O36" i="7" s="1"/>
  <c r="O46" i="7" s="1"/>
  <c r="O55" i="7" s="1"/>
  <c r="O63" i="7" s="1"/>
  <c r="N28" i="7"/>
  <c r="N36" i="7" s="1"/>
  <c r="N46" i="7" s="1"/>
  <c r="N55" i="7" s="1"/>
  <c r="N63" i="7" s="1"/>
  <c r="L28" i="7"/>
  <c r="L36" i="7" s="1"/>
  <c r="L46" i="7" s="1"/>
  <c r="L55" i="7" s="1"/>
  <c r="L63" i="7" s="1"/>
  <c r="K28" i="7"/>
  <c r="K36" i="7" s="1"/>
  <c r="K46" i="7" s="1"/>
  <c r="K55" i="7" s="1"/>
  <c r="K63" i="7" s="1"/>
  <c r="J28" i="7"/>
  <c r="J36" i="7" s="1"/>
  <c r="J46" i="7" s="1"/>
  <c r="J55" i="7" s="1"/>
  <c r="J63" i="7" s="1"/>
  <c r="H28" i="7"/>
  <c r="H36" i="7" s="1"/>
  <c r="H46" i="7" s="1"/>
  <c r="H55" i="7" s="1"/>
  <c r="H63" i="7" s="1"/>
  <c r="G28" i="7"/>
  <c r="G36" i="7" s="1"/>
  <c r="G46" i="7" s="1"/>
  <c r="G55" i="7" s="1"/>
  <c r="G63" i="7" s="1"/>
  <c r="F28" i="7"/>
  <c r="F36" i="7" s="1"/>
  <c r="F46" i="7" s="1"/>
  <c r="F55" i="7" s="1"/>
  <c r="F63" i="7" s="1"/>
  <c r="D28" i="7"/>
  <c r="D36" i="7" s="1"/>
  <c r="D46" i="7" s="1"/>
  <c r="D55" i="7" s="1"/>
  <c r="D63" i="7" s="1"/>
  <c r="C28" i="7"/>
  <c r="C36" i="7" s="1"/>
  <c r="C46" i="7" s="1"/>
  <c r="C55" i="7" s="1"/>
  <c r="C63" i="7" s="1"/>
  <c r="H11" i="7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F11" i="7"/>
  <c r="G11" i="7" s="1"/>
  <c r="C10" i="7"/>
  <c r="F6" i="7"/>
  <c r="B5" i="7"/>
  <c r="B4" i="7"/>
  <c r="A1" i="7"/>
  <c r="A1" i="4"/>
  <c r="R40" i="7" l="1"/>
  <c r="B40" i="7"/>
  <c r="B67" i="7"/>
  <c r="C22" i="7"/>
  <c r="D22" i="7" s="1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C20" i="7"/>
  <c r="A71" i="7"/>
  <c r="A45" i="7"/>
  <c r="A35" i="7"/>
  <c r="A44" i="7"/>
  <c r="A62" i="7"/>
  <c r="A54" i="7"/>
  <c r="A3" i="7"/>
  <c r="B6" i="7"/>
  <c r="A18" i="7"/>
  <c r="A27" i="7"/>
  <c r="C70" i="4"/>
  <c r="B59" i="4"/>
  <c r="C59" i="4" s="1"/>
  <c r="B49" i="4"/>
  <c r="Q45" i="4"/>
  <c r="Q55" i="4" s="1"/>
  <c r="Q66" i="4" s="1"/>
  <c r="P45" i="4"/>
  <c r="P55" i="4" s="1"/>
  <c r="P66" i="4" s="1"/>
  <c r="O45" i="4"/>
  <c r="O55" i="4" s="1"/>
  <c r="O66" i="4" s="1"/>
  <c r="N45" i="4"/>
  <c r="N55" i="4" s="1"/>
  <c r="N66" i="4" s="1"/>
  <c r="M45" i="4"/>
  <c r="M55" i="4" s="1"/>
  <c r="M66" i="4" s="1"/>
  <c r="L45" i="4"/>
  <c r="L55" i="4" s="1"/>
  <c r="L66" i="4" s="1"/>
  <c r="K45" i="4"/>
  <c r="K55" i="4" s="1"/>
  <c r="K66" i="4" s="1"/>
  <c r="J45" i="4"/>
  <c r="J55" i="4" s="1"/>
  <c r="J66" i="4" s="1"/>
  <c r="I45" i="4"/>
  <c r="I55" i="4" s="1"/>
  <c r="I66" i="4" s="1"/>
  <c r="H45" i="4"/>
  <c r="H55" i="4" s="1"/>
  <c r="H66" i="4" s="1"/>
  <c r="G45" i="4"/>
  <c r="G55" i="4" s="1"/>
  <c r="G66" i="4" s="1"/>
  <c r="F45" i="4"/>
  <c r="F55" i="4" s="1"/>
  <c r="F66" i="4" s="1"/>
  <c r="E45" i="4"/>
  <c r="E55" i="4" s="1"/>
  <c r="E66" i="4" s="1"/>
  <c r="D45" i="4"/>
  <c r="D55" i="4" s="1"/>
  <c r="D66" i="4" s="1"/>
  <c r="C45" i="4"/>
  <c r="C55" i="4" s="1"/>
  <c r="C66" i="4" s="1"/>
  <c r="B42" i="4"/>
  <c r="B40" i="4"/>
  <c r="C32" i="4"/>
  <c r="D32" i="4" s="1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C30" i="4"/>
  <c r="C31" i="4" s="1"/>
  <c r="G22" i="4"/>
  <c r="F22" i="4"/>
  <c r="J15" i="4"/>
  <c r="I11" i="4"/>
  <c r="F9" i="4"/>
  <c r="B51" i="4" s="1"/>
  <c r="B61" i="4" s="1"/>
  <c r="C61" i="4" s="1"/>
  <c r="D61" i="4" s="1"/>
  <c r="E61" i="4" s="1"/>
  <c r="F61" i="4" s="1"/>
  <c r="G61" i="4" s="1"/>
  <c r="H61" i="4" s="1"/>
  <c r="I61" i="4" s="1"/>
  <c r="J61" i="4" s="1"/>
  <c r="K61" i="4" s="1"/>
  <c r="L61" i="4" s="1"/>
  <c r="M61" i="4" s="1"/>
  <c r="N61" i="4" s="1"/>
  <c r="O61" i="4" s="1"/>
  <c r="P61" i="4" s="1"/>
  <c r="Q61" i="4" s="1"/>
  <c r="J8" i="4"/>
  <c r="C8" i="4"/>
  <c r="B8" i="4"/>
  <c r="C33" i="4" s="1"/>
  <c r="B6" i="4"/>
  <c r="X4" i="4"/>
  <c r="X11" i="4" s="1"/>
  <c r="W4" i="4"/>
  <c r="W11" i="4" s="1"/>
  <c r="V4" i="4"/>
  <c r="V11" i="4" s="1"/>
  <c r="U4" i="4"/>
  <c r="U11" i="4" s="1"/>
  <c r="T4" i="4"/>
  <c r="T11" i="4" s="1"/>
  <c r="S4" i="4"/>
  <c r="S11" i="4" s="1"/>
  <c r="R4" i="4"/>
  <c r="R11" i="4" s="1"/>
  <c r="Q4" i="4"/>
  <c r="Q11" i="4" s="1"/>
  <c r="P4" i="4"/>
  <c r="P11" i="4" s="1"/>
  <c r="O4" i="4"/>
  <c r="O11" i="4" s="1"/>
  <c r="N4" i="4"/>
  <c r="N11" i="4" s="1"/>
  <c r="M4" i="4"/>
  <c r="M11" i="4" s="1"/>
  <c r="L4" i="4"/>
  <c r="L11" i="4" s="1"/>
  <c r="K4" i="4"/>
  <c r="K11" i="4" s="1"/>
  <c r="J4" i="4"/>
  <c r="J11" i="4" s="1"/>
  <c r="D20" i="7" l="1"/>
  <c r="C21" i="7"/>
  <c r="C23" i="7" s="1"/>
  <c r="B69" i="7"/>
  <c r="C67" i="7"/>
  <c r="B42" i="7"/>
  <c r="C40" i="7"/>
  <c r="B64" i="7"/>
  <c r="F12" i="7"/>
  <c r="F15" i="7" s="1"/>
  <c r="B37" i="7"/>
  <c r="F5" i="7"/>
  <c r="F8" i="7" s="1"/>
  <c r="B7" i="7"/>
  <c r="B11" i="4"/>
  <c r="B14" i="4" s="1"/>
  <c r="B9" i="4"/>
  <c r="C36" i="4"/>
  <c r="C34" i="4"/>
  <c r="D33" i="4"/>
  <c r="A72" i="4"/>
  <c r="A65" i="4"/>
  <c r="A54" i="4"/>
  <c r="A44" i="4"/>
  <c r="A28" i="4"/>
  <c r="D30" i="4"/>
  <c r="D59" i="4"/>
  <c r="A3" i="4"/>
  <c r="B12" i="4" l="1"/>
  <c r="B17" i="4"/>
  <c r="F8" i="4" s="1"/>
  <c r="B65" i="7"/>
  <c r="B70" i="7" s="1"/>
  <c r="C58" i="7"/>
  <c r="D58" i="7" s="1"/>
  <c r="E58" i="7" s="1"/>
  <c r="F58" i="7" s="1"/>
  <c r="G58" i="7" s="1"/>
  <c r="H58" i="7" s="1"/>
  <c r="I58" i="7" s="1"/>
  <c r="J58" i="7" s="1"/>
  <c r="K58" i="7" s="1"/>
  <c r="L58" i="7" s="1"/>
  <c r="M58" i="7" s="1"/>
  <c r="N58" i="7" s="1"/>
  <c r="O58" i="7" s="1"/>
  <c r="P58" i="7" s="1"/>
  <c r="Q58" i="7" s="1"/>
  <c r="B38" i="7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B43" i="7"/>
  <c r="D21" i="7"/>
  <c r="D23" i="7" s="1"/>
  <c r="E20" i="7"/>
  <c r="D40" i="7"/>
  <c r="D67" i="7"/>
  <c r="E59" i="4"/>
  <c r="D31" i="4"/>
  <c r="D36" i="4" s="1"/>
  <c r="E30" i="4"/>
  <c r="D34" i="4"/>
  <c r="E33" i="4"/>
  <c r="C37" i="4"/>
  <c r="C39" i="4"/>
  <c r="F11" i="4"/>
  <c r="F5" i="4"/>
  <c r="B50" i="4"/>
  <c r="B60" i="4" s="1"/>
  <c r="E40" i="7" l="1"/>
  <c r="E67" i="7"/>
  <c r="E21" i="7"/>
  <c r="E23" i="7" s="1"/>
  <c r="F20" i="7"/>
  <c r="C38" i="7"/>
  <c r="C24" i="7"/>
  <c r="C51" i="7"/>
  <c r="C65" i="7"/>
  <c r="F6" i="4"/>
  <c r="B48" i="4" s="1"/>
  <c r="B57" i="4" s="1"/>
  <c r="C60" i="4"/>
  <c r="B47" i="4"/>
  <c r="I5" i="4"/>
  <c r="E34" i="4"/>
  <c r="F33" i="4"/>
  <c r="E31" i="4"/>
  <c r="E36" i="4" s="1"/>
  <c r="F30" i="4"/>
  <c r="D39" i="4"/>
  <c r="D37" i="4"/>
  <c r="F59" i="4"/>
  <c r="C53" i="7" l="1"/>
  <c r="D38" i="7"/>
  <c r="F40" i="7"/>
  <c r="D65" i="7"/>
  <c r="C25" i="7"/>
  <c r="C26" i="7" s="1"/>
  <c r="F21" i="7"/>
  <c r="F23" i="7" s="1"/>
  <c r="G20" i="7"/>
  <c r="F67" i="7"/>
  <c r="F15" i="4"/>
  <c r="F17" i="4"/>
  <c r="F12" i="4"/>
  <c r="C40" i="4"/>
  <c r="C41" i="4" s="1"/>
  <c r="E37" i="4"/>
  <c r="E39" i="4"/>
  <c r="I8" i="4"/>
  <c r="I12" i="4"/>
  <c r="I15" i="4" s="1"/>
  <c r="G59" i="4"/>
  <c r="F31" i="4"/>
  <c r="F36" i="4" s="1"/>
  <c r="G30" i="4"/>
  <c r="F34" i="4"/>
  <c r="G33" i="4"/>
  <c r="B67" i="4"/>
  <c r="B70" i="4" s="1"/>
  <c r="B56" i="4"/>
  <c r="B53" i="4"/>
  <c r="D60" i="4"/>
  <c r="C29" i="7" l="1"/>
  <c r="C34" i="7" s="1"/>
  <c r="C37" i="7"/>
  <c r="G40" i="7"/>
  <c r="C56" i="7"/>
  <c r="C61" i="7" s="1"/>
  <c r="C64" i="7"/>
  <c r="G67" i="7"/>
  <c r="H20" i="7"/>
  <c r="G21" i="7"/>
  <c r="G23" i="7" s="1"/>
  <c r="E65" i="7"/>
  <c r="E38" i="7"/>
  <c r="C48" i="4"/>
  <c r="C57" i="4" s="1"/>
  <c r="D40" i="4" s="1"/>
  <c r="F16" i="4"/>
  <c r="E60" i="4"/>
  <c r="G34" i="4"/>
  <c r="H33" i="4"/>
  <c r="B62" i="4"/>
  <c r="B63" i="4" s="1"/>
  <c r="B64" i="4" s="1"/>
  <c r="C52" i="4"/>
  <c r="F39" i="4"/>
  <c r="F37" i="4"/>
  <c r="H59" i="4"/>
  <c r="G31" i="4"/>
  <c r="G36" i="4" s="1"/>
  <c r="H30" i="4"/>
  <c r="C42" i="4"/>
  <c r="C43" i="4" s="1"/>
  <c r="F38" i="7" l="1"/>
  <c r="F65" i="7"/>
  <c r="H21" i="7"/>
  <c r="H23" i="7" s="1"/>
  <c r="I20" i="7"/>
  <c r="H67" i="7"/>
  <c r="H40" i="7"/>
  <c r="C68" i="7"/>
  <c r="D60" i="7"/>
  <c r="D57" i="7"/>
  <c r="G12" i="7" s="1"/>
  <c r="G15" i="7" s="1"/>
  <c r="D33" i="7"/>
  <c r="C41" i="7"/>
  <c r="D30" i="7"/>
  <c r="G6" i="7" s="1"/>
  <c r="G8" i="7" s="1"/>
  <c r="C46" i="4"/>
  <c r="C53" i="4" s="1"/>
  <c r="C56" i="4"/>
  <c r="I59" i="4"/>
  <c r="G37" i="4"/>
  <c r="G39" i="4"/>
  <c r="H34" i="4"/>
  <c r="I33" i="4"/>
  <c r="D41" i="4"/>
  <c r="D48" i="4"/>
  <c r="D57" i="4" s="1"/>
  <c r="H31" i="4"/>
  <c r="H36" i="4" s="1"/>
  <c r="I30" i="4"/>
  <c r="F60" i="4"/>
  <c r="C69" i="7" l="1"/>
  <c r="C70" i="7" s="1"/>
  <c r="D51" i="7"/>
  <c r="C42" i="7"/>
  <c r="C43" i="7" s="1"/>
  <c r="D24" i="7"/>
  <c r="I40" i="7"/>
  <c r="I67" i="7"/>
  <c r="I21" i="7"/>
  <c r="I23" i="7" s="1"/>
  <c r="J20" i="7"/>
  <c r="G65" i="7"/>
  <c r="G38" i="7"/>
  <c r="G60" i="4"/>
  <c r="H39" i="4"/>
  <c r="H37" i="4"/>
  <c r="D42" i="4"/>
  <c r="D43" i="4" s="1"/>
  <c r="D46" i="4" s="1"/>
  <c r="I31" i="4"/>
  <c r="I36" i="4" s="1"/>
  <c r="J30" i="4"/>
  <c r="E40" i="4"/>
  <c r="I34" i="4"/>
  <c r="J33" i="4"/>
  <c r="J59" i="4"/>
  <c r="C62" i="4"/>
  <c r="C63" i="4" s="1"/>
  <c r="C64" i="4" s="1"/>
  <c r="D52" i="4"/>
  <c r="D47" i="4"/>
  <c r="H65" i="7" l="1"/>
  <c r="J21" i="7"/>
  <c r="J23" i="7" s="1"/>
  <c r="K20" i="7"/>
  <c r="H38" i="7"/>
  <c r="J67" i="7"/>
  <c r="J40" i="7"/>
  <c r="D25" i="7"/>
  <c r="D26" i="7" s="1"/>
  <c r="D53" i="7"/>
  <c r="D68" i="4"/>
  <c r="D70" i="4" s="1"/>
  <c r="K6" i="4"/>
  <c r="K59" i="4"/>
  <c r="J34" i="4"/>
  <c r="K33" i="4"/>
  <c r="E48" i="4"/>
  <c r="E57" i="4" s="1"/>
  <c r="E41" i="4"/>
  <c r="J31" i="4"/>
  <c r="J36" i="4" s="1"/>
  <c r="K30" i="4"/>
  <c r="D56" i="4"/>
  <c r="I37" i="4"/>
  <c r="I39" i="4"/>
  <c r="D53" i="4"/>
  <c r="H60" i="4"/>
  <c r="D29" i="7" l="1"/>
  <c r="D34" i="7" s="1"/>
  <c r="D37" i="7"/>
  <c r="K40" i="7"/>
  <c r="K67" i="7"/>
  <c r="D56" i="7"/>
  <c r="D61" i="7" s="1"/>
  <c r="D64" i="7"/>
  <c r="I38" i="7"/>
  <c r="L20" i="7"/>
  <c r="K21" i="7"/>
  <c r="K23" i="7" s="1"/>
  <c r="I65" i="7"/>
  <c r="I60" i="4"/>
  <c r="D62" i="4"/>
  <c r="D63" i="4" s="1"/>
  <c r="D64" i="4" s="1"/>
  <c r="E52" i="4"/>
  <c r="E47" i="4"/>
  <c r="K31" i="4"/>
  <c r="K36" i="4" s="1"/>
  <c r="L30" i="4"/>
  <c r="E42" i="4"/>
  <c r="E43" i="4" s="1"/>
  <c r="K34" i="4"/>
  <c r="L33" i="4"/>
  <c r="K13" i="4"/>
  <c r="K15" i="4" s="1"/>
  <c r="K8" i="4"/>
  <c r="J39" i="4"/>
  <c r="J37" i="4"/>
  <c r="F40" i="4"/>
  <c r="L59" i="4"/>
  <c r="J65" i="7" l="1"/>
  <c r="L21" i="7"/>
  <c r="L23" i="7" s="1"/>
  <c r="M20" i="7"/>
  <c r="L67" i="7"/>
  <c r="L40" i="7"/>
  <c r="J38" i="7"/>
  <c r="D68" i="7"/>
  <c r="E57" i="7"/>
  <c r="H12" i="7" s="1"/>
  <c r="H15" i="7" s="1"/>
  <c r="E60" i="7"/>
  <c r="D41" i="7"/>
  <c r="E33" i="7"/>
  <c r="E30" i="7"/>
  <c r="H6" i="7" s="1"/>
  <c r="H8" i="7" s="1"/>
  <c r="E46" i="4"/>
  <c r="E53" i="4" s="1"/>
  <c r="F52" i="4" s="1"/>
  <c r="E56" i="4"/>
  <c r="K37" i="4"/>
  <c r="K39" i="4"/>
  <c r="M59" i="4"/>
  <c r="F48" i="4"/>
  <c r="F57" i="4" s="1"/>
  <c r="F41" i="4"/>
  <c r="L34" i="4"/>
  <c r="M33" i="4"/>
  <c r="L31" i="4"/>
  <c r="L36" i="4" s="1"/>
  <c r="M30" i="4"/>
  <c r="E68" i="4"/>
  <c r="E70" i="4" s="1"/>
  <c r="L6" i="4"/>
  <c r="J60" i="4"/>
  <c r="D69" i="7" l="1"/>
  <c r="D70" i="7" s="1"/>
  <c r="E51" i="7"/>
  <c r="K38" i="7"/>
  <c r="D42" i="7"/>
  <c r="D43" i="7" s="1"/>
  <c r="E24" i="7"/>
  <c r="M40" i="7"/>
  <c r="M67" i="7"/>
  <c r="M21" i="7"/>
  <c r="M23" i="7" s="1"/>
  <c r="N20" i="7"/>
  <c r="K65" i="7"/>
  <c r="E62" i="4"/>
  <c r="E63" i="4" s="1"/>
  <c r="E64" i="4" s="1"/>
  <c r="F47" i="4"/>
  <c r="K60" i="4"/>
  <c r="L39" i="4"/>
  <c r="L37" i="4"/>
  <c r="F21" i="4"/>
  <c r="M34" i="4"/>
  <c r="N33" i="4"/>
  <c r="F42" i="4"/>
  <c r="F43" i="4" s="1"/>
  <c r="L13" i="4"/>
  <c r="L15" i="4" s="1"/>
  <c r="L8" i="4"/>
  <c r="M31" i="4"/>
  <c r="M36" i="4" s="1"/>
  <c r="N30" i="4"/>
  <c r="F68" i="4"/>
  <c r="F70" i="4" s="1"/>
  <c r="M6" i="4"/>
  <c r="G40" i="4"/>
  <c r="N59" i="4"/>
  <c r="L65" i="7" l="1"/>
  <c r="N21" i="7"/>
  <c r="N23" i="7" s="1"/>
  <c r="O20" i="7"/>
  <c r="E25" i="7"/>
  <c r="E26" i="7" s="1"/>
  <c r="E53" i="7"/>
  <c r="N67" i="7"/>
  <c r="N40" i="7"/>
  <c r="L38" i="7"/>
  <c r="M37" i="4"/>
  <c r="M39" i="4"/>
  <c r="N34" i="4"/>
  <c r="O33" i="4"/>
  <c r="O59" i="4"/>
  <c r="G48" i="4"/>
  <c r="G57" i="4" s="1"/>
  <c r="G41" i="4"/>
  <c r="M13" i="4"/>
  <c r="M15" i="4" s="1"/>
  <c r="M8" i="4"/>
  <c r="N31" i="4"/>
  <c r="N36" i="4" s="1"/>
  <c r="O30" i="4"/>
  <c r="F46" i="4"/>
  <c r="F53" i="4" s="1"/>
  <c r="F56" i="4"/>
  <c r="L60" i="4"/>
  <c r="M38" i="7" l="1"/>
  <c r="E56" i="7"/>
  <c r="E61" i="7" s="1"/>
  <c r="E64" i="7"/>
  <c r="E29" i="7"/>
  <c r="E34" i="7" s="1"/>
  <c r="E37" i="7"/>
  <c r="O40" i="7"/>
  <c r="O67" i="7"/>
  <c r="P20" i="7"/>
  <c r="O21" i="7"/>
  <c r="O23" i="7" s="1"/>
  <c r="M65" i="7"/>
  <c r="N39" i="4"/>
  <c r="N37" i="4"/>
  <c r="H40" i="4"/>
  <c r="P59" i="4"/>
  <c r="M60" i="4"/>
  <c r="F62" i="4"/>
  <c r="F63" i="4" s="1"/>
  <c r="F64" i="4" s="1"/>
  <c r="G52" i="4"/>
  <c r="G47" i="4"/>
  <c r="O31" i="4"/>
  <c r="O36" i="4" s="1"/>
  <c r="P30" i="4"/>
  <c r="G42" i="4"/>
  <c r="G43" i="4" s="1"/>
  <c r="O34" i="4"/>
  <c r="P33" i="4"/>
  <c r="N65" i="7" l="1"/>
  <c r="P21" i="7"/>
  <c r="P23" i="7" s="1"/>
  <c r="Q20" i="7"/>
  <c r="P67" i="7"/>
  <c r="P40" i="7"/>
  <c r="E41" i="7"/>
  <c r="F33" i="7"/>
  <c r="F30" i="7"/>
  <c r="I6" i="7" s="1"/>
  <c r="I8" i="7" s="1"/>
  <c r="E68" i="7"/>
  <c r="F60" i="7"/>
  <c r="F57" i="7"/>
  <c r="I12" i="7" s="1"/>
  <c r="I15" i="7" s="1"/>
  <c r="N38" i="7"/>
  <c r="G46" i="4"/>
  <c r="G53" i="4" s="1"/>
  <c r="G56" i="4"/>
  <c r="O37" i="4"/>
  <c r="O39" i="4"/>
  <c r="P34" i="4"/>
  <c r="Q33" i="4"/>
  <c r="P31" i="4"/>
  <c r="P36" i="4" s="1"/>
  <c r="Q30" i="4"/>
  <c r="Q31" i="4" s="1"/>
  <c r="Q36" i="4" s="1"/>
  <c r="G68" i="4"/>
  <c r="G70" i="4" s="1"/>
  <c r="N6" i="4"/>
  <c r="N60" i="4"/>
  <c r="Q59" i="4"/>
  <c r="H48" i="4"/>
  <c r="H57" i="4" s="1"/>
  <c r="H41" i="4"/>
  <c r="O38" i="7" l="1"/>
  <c r="E42" i="7"/>
  <c r="E43" i="7" s="1"/>
  <c r="F24" i="7"/>
  <c r="E69" i="7"/>
  <c r="E70" i="7" s="1"/>
  <c r="F51" i="7"/>
  <c r="Q40" i="7"/>
  <c r="Q67" i="7"/>
  <c r="Q21" i="7"/>
  <c r="Q23" i="7" s="1"/>
  <c r="O65" i="7"/>
  <c r="I40" i="4"/>
  <c r="O60" i="4"/>
  <c r="P39" i="4"/>
  <c r="P37" i="4"/>
  <c r="H42" i="4"/>
  <c r="H43" i="4" s="1"/>
  <c r="N13" i="4"/>
  <c r="N15" i="4" s="1"/>
  <c r="N8" i="4"/>
  <c r="Q37" i="4"/>
  <c r="G21" i="4"/>
  <c r="Q39" i="4"/>
  <c r="Q34" i="4"/>
  <c r="G62" i="4"/>
  <c r="G63" i="4" s="1"/>
  <c r="G64" i="4" s="1"/>
  <c r="H52" i="4"/>
  <c r="H47" i="4"/>
  <c r="F25" i="7" l="1"/>
  <c r="F26" i="7" s="1"/>
  <c r="P65" i="7"/>
  <c r="F53" i="7"/>
  <c r="P38" i="7"/>
  <c r="H46" i="4"/>
  <c r="H53" i="4" s="1"/>
  <c r="H56" i="4"/>
  <c r="H68" i="4"/>
  <c r="H70" i="4" s="1"/>
  <c r="O6" i="4"/>
  <c r="P60" i="4"/>
  <c r="I48" i="4"/>
  <c r="I57" i="4" s="1"/>
  <c r="I41" i="4"/>
  <c r="F29" i="7" l="1"/>
  <c r="F34" i="7" s="1"/>
  <c r="F37" i="7"/>
  <c r="Q38" i="7"/>
  <c r="R38" i="7" s="1"/>
  <c r="F56" i="7"/>
  <c r="F61" i="7" s="1"/>
  <c r="F64" i="7"/>
  <c r="Q65" i="7"/>
  <c r="R65" i="7" s="1"/>
  <c r="I42" i="4"/>
  <c r="I43" i="4" s="1"/>
  <c r="O13" i="4"/>
  <c r="O15" i="4" s="1"/>
  <c r="O8" i="4"/>
  <c r="J40" i="4"/>
  <c r="Q60" i="4"/>
  <c r="H62" i="4"/>
  <c r="H63" i="4" s="1"/>
  <c r="H64" i="4" s="1"/>
  <c r="I52" i="4"/>
  <c r="I47" i="4"/>
  <c r="G60" i="7" l="1"/>
  <c r="G57" i="7"/>
  <c r="J12" i="7" s="1"/>
  <c r="J15" i="7" s="1"/>
  <c r="F68" i="7"/>
  <c r="F41" i="7"/>
  <c r="G33" i="7"/>
  <c r="G30" i="7"/>
  <c r="J6" i="7" s="1"/>
  <c r="J8" i="7" s="1"/>
  <c r="I46" i="4"/>
  <c r="I53" i="4" s="1"/>
  <c r="I56" i="4"/>
  <c r="I68" i="4"/>
  <c r="I70" i="4" s="1"/>
  <c r="P6" i="4"/>
  <c r="J48" i="4"/>
  <c r="J57" i="4" s="1"/>
  <c r="J41" i="4"/>
  <c r="F42" i="7" l="1"/>
  <c r="F43" i="7" s="1"/>
  <c r="G24" i="7"/>
  <c r="F69" i="7"/>
  <c r="F70" i="7" s="1"/>
  <c r="G51" i="7"/>
  <c r="J42" i="4"/>
  <c r="J43" i="4" s="1"/>
  <c r="K40" i="4"/>
  <c r="P13" i="4"/>
  <c r="P15" i="4" s="1"/>
  <c r="P8" i="4"/>
  <c r="I62" i="4"/>
  <c r="I63" i="4" s="1"/>
  <c r="I64" i="4" s="1"/>
  <c r="J52" i="4"/>
  <c r="J47" i="4"/>
  <c r="G25" i="7" l="1"/>
  <c r="G26" i="7" s="1"/>
  <c r="G53" i="7"/>
  <c r="J46" i="4"/>
  <c r="J53" i="4" s="1"/>
  <c r="J56" i="4"/>
  <c r="J68" i="4"/>
  <c r="J70" i="4" s="1"/>
  <c r="Q6" i="4"/>
  <c r="K48" i="4"/>
  <c r="K57" i="4" s="1"/>
  <c r="K41" i="4"/>
  <c r="G29" i="7" l="1"/>
  <c r="G34" i="7" s="1"/>
  <c r="G37" i="7"/>
  <c r="G56" i="7"/>
  <c r="G61" i="7" s="1"/>
  <c r="G64" i="7"/>
  <c r="J62" i="4"/>
  <c r="J63" i="4" s="1"/>
  <c r="J64" i="4" s="1"/>
  <c r="K52" i="4"/>
  <c r="K47" i="4"/>
  <c r="K42" i="4"/>
  <c r="K43" i="4" s="1"/>
  <c r="Q13" i="4"/>
  <c r="Q15" i="4" s="1"/>
  <c r="Q8" i="4"/>
  <c r="L40" i="4"/>
  <c r="G68" i="7" l="1"/>
  <c r="H60" i="7"/>
  <c r="H57" i="7"/>
  <c r="K12" i="7" s="1"/>
  <c r="K15" i="7" s="1"/>
  <c r="H33" i="7"/>
  <c r="G41" i="7"/>
  <c r="H30" i="7"/>
  <c r="K6" i="7" s="1"/>
  <c r="K8" i="7" s="1"/>
  <c r="K46" i="4"/>
  <c r="K53" i="4" s="1"/>
  <c r="K56" i="4"/>
  <c r="L48" i="4"/>
  <c r="L57" i="4" s="1"/>
  <c r="L41" i="4"/>
  <c r="K68" i="4"/>
  <c r="K70" i="4" s="1"/>
  <c r="R6" i="4"/>
  <c r="G42" i="7" l="1"/>
  <c r="G43" i="7" s="1"/>
  <c r="H24" i="7"/>
  <c r="G69" i="7"/>
  <c r="G70" i="7" s="1"/>
  <c r="H51" i="7"/>
  <c r="H53" i="7" s="1"/>
  <c r="R13" i="4"/>
  <c r="R15" i="4" s="1"/>
  <c r="R8" i="4"/>
  <c r="L42" i="4"/>
  <c r="L43" i="4" s="1"/>
  <c r="L46" i="4" s="1"/>
  <c r="M40" i="4"/>
  <c r="K62" i="4"/>
  <c r="K63" i="4" s="1"/>
  <c r="K64" i="4" s="1"/>
  <c r="L52" i="4"/>
  <c r="L47" i="4"/>
  <c r="H56" i="7" l="1"/>
  <c r="H61" i="7" s="1"/>
  <c r="H64" i="7"/>
  <c r="H25" i="7"/>
  <c r="H26" i="7" s="1"/>
  <c r="L56" i="4"/>
  <c r="L68" i="4"/>
  <c r="L70" i="4" s="1"/>
  <c r="S6" i="4"/>
  <c r="M48" i="4"/>
  <c r="M57" i="4" s="1"/>
  <c r="M41" i="4"/>
  <c r="L53" i="4"/>
  <c r="H29" i="7" l="1"/>
  <c r="H34" i="7" s="1"/>
  <c r="H37" i="7"/>
  <c r="H68" i="7"/>
  <c r="I57" i="7"/>
  <c r="L12" i="7" s="1"/>
  <c r="L15" i="7" s="1"/>
  <c r="I60" i="7"/>
  <c r="L62" i="4"/>
  <c r="M52" i="4"/>
  <c r="M47" i="4"/>
  <c r="M42" i="4"/>
  <c r="M43" i="4" s="1"/>
  <c r="S13" i="4"/>
  <c r="S8" i="4"/>
  <c r="N40" i="4"/>
  <c r="H69" i="7" l="1"/>
  <c r="H70" i="7" s="1"/>
  <c r="I51" i="7"/>
  <c r="I53" i="7" s="1"/>
  <c r="H41" i="7"/>
  <c r="I33" i="7"/>
  <c r="I30" i="7"/>
  <c r="L6" i="7" s="1"/>
  <c r="L8" i="7" s="1"/>
  <c r="N48" i="4"/>
  <c r="N57" i="4" s="1"/>
  <c r="N41" i="4"/>
  <c r="M46" i="4"/>
  <c r="M53" i="4" s="1"/>
  <c r="M56" i="4"/>
  <c r="M68" i="4"/>
  <c r="M70" i="4" s="1"/>
  <c r="T6" i="4"/>
  <c r="T8" i="4" s="1"/>
  <c r="F23" i="4"/>
  <c r="L63" i="4"/>
  <c r="L64" i="4" s="1"/>
  <c r="I56" i="7" l="1"/>
  <c r="I61" i="7" s="1"/>
  <c r="I64" i="7"/>
  <c r="H42" i="7"/>
  <c r="H43" i="7" s="1"/>
  <c r="I24" i="7"/>
  <c r="F24" i="4"/>
  <c r="F25" i="4" s="1"/>
  <c r="F26" i="4" s="1"/>
  <c r="S14" i="4" s="1"/>
  <c r="S15" i="4" s="1"/>
  <c r="I16" i="4" s="1"/>
  <c r="M62" i="4"/>
  <c r="M63" i="4" s="1"/>
  <c r="M64" i="4" s="1"/>
  <c r="N52" i="4"/>
  <c r="N47" i="4"/>
  <c r="O40" i="4"/>
  <c r="N42" i="4"/>
  <c r="N43" i="4" s="1"/>
  <c r="N46" i="4" s="1"/>
  <c r="I25" i="7" l="1"/>
  <c r="I26" i="7" s="1"/>
  <c r="I68" i="7"/>
  <c r="J60" i="7"/>
  <c r="J57" i="7"/>
  <c r="M12" i="7" s="1"/>
  <c r="M15" i="7" s="1"/>
  <c r="N53" i="4"/>
  <c r="O52" i="4" s="1"/>
  <c r="N56" i="4"/>
  <c r="O48" i="4"/>
  <c r="O57" i="4" s="1"/>
  <c r="O41" i="4"/>
  <c r="N68" i="4"/>
  <c r="N70" i="4" s="1"/>
  <c r="U6" i="4"/>
  <c r="U8" i="4" s="1"/>
  <c r="I29" i="7" l="1"/>
  <c r="I34" i="7" s="1"/>
  <c r="I37" i="7"/>
  <c r="I69" i="7"/>
  <c r="I70" i="7" s="1"/>
  <c r="J51" i="7"/>
  <c r="J53" i="7" s="1"/>
  <c r="O47" i="4"/>
  <c r="O68" i="4" s="1"/>
  <c r="O70" i="4" s="1"/>
  <c r="N62" i="4"/>
  <c r="N63" i="4" s="1"/>
  <c r="O42" i="4"/>
  <c r="O43" i="4" s="1"/>
  <c r="N64" i="4"/>
  <c r="P40" i="4"/>
  <c r="J56" i="7" l="1"/>
  <c r="J61" i="7" s="1"/>
  <c r="J64" i="7"/>
  <c r="I41" i="7"/>
  <c r="J33" i="7"/>
  <c r="J30" i="7"/>
  <c r="M6" i="7" s="1"/>
  <c r="M8" i="7" s="1"/>
  <c r="V6" i="4"/>
  <c r="V8" i="4" s="1"/>
  <c r="O46" i="4"/>
  <c r="O53" i="4" s="1"/>
  <c r="O62" i="4" s="1"/>
  <c r="O63" i="4" s="1"/>
  <c r="O56" i="4"/>
  <c r="P48" i="4"/>
  <c r="P57" i="4" s="1"/>
  <c r="P41" i="4"/>
  <c r="I42" i="7" l="1"/>
  <c r="I43" i="7" s="1"/>
  <c r="J24" i="7"/>
  <c r="K60" i="7"/>
  <c r="K57" i="7"/>
  <c r="N12" i="7" s="1"/>
  <c r="N15" i="7" s="1"/>
  <c r="J68" i="7"/>
  <c r="O64" i="4"/>
  <c r="P52" i="4"/>
  <c r="P47" i="4"/>
  <c r="W6" i="4" s="1"/>
  <c r="W8" i="4" s="1"/>
  <c r="P68" i="4"/>
  <c r="P70" i="4" s="1"/>
  <c r="Q40" i="4"/>
  <c r="P42" i="4"/>
  <c r="P43" i="4" s="1"/>
  <c r="J25" i="7" l="1"/>
  <c r="J26" i="7" s="1"/>
  <c r="J69" i="7"/>
  <c r="J70" i="7" s="1"/>
  <c r="K51" i="7"/>
  <c r="K53" i="7" s="1"/>
  <c r="Q48" i="4"/>
  <c r="Q57" i="4" s="1"/>
  <c r="Q41" i="4"/>
  <c r="P46" i="4"/>
  <c r="P53" i="4" s="1"/>
  <c r="P56" i="4"/>
  <c r="J29" i="7" l="1"/>
  <c r="J34" i="7" s="1"/>
  <c r="J37" i="7"/>
  <c r="K56" i="7"/>
  <c r="K61" i="7" s="1"/>
  <c r="K64" i="7"/>
  <c r="Q42" i="4"/>
  <c r="Q43" i="4" s="1"/>
  <c r="P62" i="4"/>
  <c r="P63" i="4" s="1"/>
  <c r="P64" i="4" s="1"/>
  <c r="Q52" i="4"/>
  <c r="Q47" i="4"/>
  <c r="K68" i="7" l="1"/>
  <c r="L60" i="7"/>
  <c r="L57" i="7"/>
  <c r="O12" i="7" s="1"/>
  <c r="O15" i="7" s="1"/>
  <c r="J41" i="7"/>
  <c r="K33" i="7"/>
  <c r="K30" i="7"/>
  <c r="N6" i="7" s="1"/>
  <c r="N8" i="7" s="1"/>
  <c r="Q46" i="4"/>
  <c r="Q53" i="4" s="1"/>
  <c r="Q62" i="4" s="1"/>
  <c r="Q56" i="4"/>
  <c r="Q68" i="4"/>
  <c r="X6" i="4"/>
  <c r="J42" i="7" l="1"/>
  <c r="J43" i="7" s="1"/>
  <c r="K24" i="7"/>
  <c r="K69" i="7"/>
  <c r="K70" i="7" s="1"/>
  <c r="L51" i="7"/>
  <c r="L53" i="7" s="1"/>
  <c r="G23" i="4"/>
  <c r="Q63" i="4"/>
  <c r="Q64" i="4" s="1"/>
  <c r="L56" i="7" l="1"/>
  <c r="L61" i="7" s="1"/>
  <c r="L64" i="7"/>
  <c r="K25" i="7"/>
  <c r="K26" i="7" s="1"/>
  <c r="G24" i="4"/>
  <c r="G25" i="4" s="1"/>
  <c r="G26" i="4" s="1"/>
  <c r="K29" i="7" l="1"/>
  <c r="K34" i="7" s="1"/>
  <c r="K37" i="7"/>
  <c r="L68" i="7"/>
  <c r="M57" i="7"/>
  <c r="P12" i="7" s="1"/>
  <c r="P15" i="7" s="1"/>
  <c r="M60" i="7"/>
  <c r="Q69" i="4"/>
  <c r="Q70" i="4" s="1"/>
  <c r="B71" i="4" s="1"/>
  <c r="X7" i="4"/>
  <c r="X8" i="4" s="1"/>
  <c r="I9" i="4" s="1"/>
  <c r="B15" i="7" l="1"/>
  <c r="R67" i="7" s="1"/>
  <c r="L69" i="7"/>
  <c r="L70" i="7" s="1"/>
  <c r="M51" i="7"/>
  <c r="M53" i="7" s="1"/>
  <c r="L33" i="7"/>
  <c r="K41" i="7"/>
  <c r="L30" i="7"/>
  <c r="O6" i="7" s="1"/>
  <c r="O8" i="7" s="1"/>
  <c r="K42" i="7" l="1"/>
  <c r="K43" i="7" s="1"/>
  <c r="L24" i="7"/>
  <c r="M56" i="7"/>
  <c r="M61" i="7" s="1"/>
  <c r="M64" i="7"/>
  <c r="L25" i="7" l="1"/>
  <c r="L26" i="7" s="1"/>
  <c r="M68" i="7"/>
  <c r="N60" i="7"/>
  <c r="N57" i="7"/>
  <c r="Q12" i="7" s="1"/>
  <c r="Q15" i="7" s="1"/>
  <c r="L29" i="7" l="1"/>
  <c r="L34" i="7" s="1"/>
  <c r="L37" i="7"/>
  <c r="M69" i="7"/>
  <c r="M70" i="7" s="1"/>
  <c r="N51" i="7"/>
  <c r="N53" i="7" s="1"/>
  <c r="N56" i="7" l="1"/>
  <c r="N61" i="7" s="1"/>
  <c r="N64" i="7"/>
  <c r="L41" i="7"/>
  <c r="M33" i="7"/>
  <c r="M30" i="7"/>
  <c r="P6" i="7" s="1"/>
  <c r="P8" i="7" s="1"/>
  <c r="L42" i="7" l="1"/>
  <c r="L43" i="7" s="1"/>
  <c r="M24" i="7"/>
  <c r="O60" i="7"/>
  <c r="O57" i="7"/>
  <c r="R12" i="7" s="1"/>
  <c r="R15" i="7" s="1"/>
  <c r="N68" i="7"/>
  <c r="M25" i="7" l="1"/>
  <c r="M26" i="7" s="1"/>
  <c r="N69" i="7"/>
  <c r="N70" i="7" s="1"/>
  <c r="O51" i="7"/>
  <c r="O53" i="7" s="1"/>
  <c r="M29" i="7" l="1"/>
  <c r="M34" i="7" s="1"/>
  <c r="M37" i="7"/>
  <c r="O56" i="7"/>
  <c r="O61" i="7" s="1"/>
  <c r="O64" i="7"/>
  <c r="O68" i="7" l="1"/>
  <c r="P60" i="7"/>
  <c r="P57" i="7"/>
  <c r="S12" i="7" s="1"/>
  <c r="S15" i="7" s="1"/>
  <c r="M41" i="7"/>
  <c r="N33" i="7"/>
  <c r="N30" i="7"/>
  <c r="Q6" i="7" s="1"/>
  <c r="Q8" i="7" s="1"/>
  <c r="O69" i="7" l="1"/>
  <c r="O70" i="7" s="1"/>
  <c r="P51" i="7"/>
  <c r="P53" i="7" s="1"/>
  <c r="M42" i="7"/>
  <c r="M43" i="7" s="1"/>
  <c r="N24" i="7"/>
  <c r="N25" i="7" l="1"/>
  <c r="N26" i="7" s="1"/>
  <c r="P56" i="7"/>
  <c r="P61" i="7" s="1"/>
  <c r="P64" i="7"/>
  <c r="N29" i="7" l="1"/>
  <c r="N34" i="7" s="1"/>
  <c r="N37" i="7"/>
  <c r="P68" i="7"/>
  <c r="Q57" i="7"/>
  <c r="Q60" i="7"/>
  <c r="P69" i="7" l="1"/>
  <c r="P70" i="7" s="1"/>
  <c r="Q51" i="7"/>
  <c r="N41" i="7"/>
  <c r="O33" i="7"/>
  <c r="O30" i="7"/>
  <c r="R6" i="7" s="1"/>
  <c r="R8" i="7" s="1"/>
  <c r="Q53" i="7" l="1"/>
  <c r="R51" i="7"/>
  <c r="N42" i="7"/>
  <c r="N43" i="7" s="1"/>
  <c r="O24" i="7"/>
  <c r="O25" i="7" l="1"/>
  <c r="O26" i="7" s="1"/>
  <c r="Q56" i="7"/>
  <c r="Q61" i="7" s="1"/>
  <c r="Q68" i="7" s="1"/>
  <c r="Q64" i="7"/>
  <c r="O29" i="7" l="1"/>
  <c r="O34" i="7" s="1"/>
  <c r="O37" i="7"/>
  <c r="R68" i="7"/>
  <c r="R69" i="7" s="1"/>
  <c r="R64" i="7" s="1"/>
  <c r="Q69" i="7"/>
  <c r="Q70" i="7" s="1"/>
  <c r="R70" i="7" l="1"/>
  <c r="S64" i="7"/>
  <c r="T14" i="7"/>
  <c r="T15" i="7" s="1"/>
  <c r="P33" i="7"/>
  <c r="P30" i="7"/>
  <c r="S6" i="7" s="1"/>
  <c r="S8" i="7" s="1"/>
  <c r="O41" i="7"/>
  <c r="I16" i="7" l="1"/>
  <c r="O42" i="7"/>
  <c r="O43" i="7" s="1"/>
  <c r="P24" i="7"/>
  <c r="F16" i="7"/>
  <c r="P25" i="7" l="1"/>
  <c r="P26" i="7" s="1"/>
  <c r="P29" i="7" l="1"/>
  <c r="P34" i="7" s="1"/>
  <c r="P37" i="7"/>
  <c r="P41" i="7" l="1"/>
  <c r="Q33" i="7"/>
  <c r="Q30" i="7"/>
  <c r="T6" i="7" s="1"/>
  <c r="P42" i="7" l="1"/>
  <c r="P43" i="7" s="1"/>
  <c r="Q24" i="7"/>
  <c r="Q25" i="7" l="1"/>
  <c r="Q26" i="7" s="1"/>
  <c r="Q29" i="7" l="1"/>
  <c r="Q34" i="7" s="1"/>
  <c r="Q41" i="7" s="1"/>
  <c r="Q37" i="7"/>
  <c r="R41" i="7" l="1"/>
  <c r="R42" i="7" s="1"/>
  <c r="R37" i="7" s="1"/>
  <c r="Q42" i="7"/>
  <c r="Q43" i="7" s="1"/>
  <c r="R43" i="7" l="1"/>
  <c r="S37" i="7"/>
  <c r="T7" i="7"/>
  <c r="T8" i="7" s="1"/>
  <c r="I9" i="7" l="1"/>
  <c r="F9" i="7"/>
</calcChain>
</file>

<file path=xl/comments1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</commentList>
</comments>
</file>

<file path=xl/sharedStrings.xml><?xml version="1.0" encoding="utf-8"?>
<sst xmlns="http://schemas.openxmlformats.org/spreadsheetml/2006/main" count="251" uniqueCount="145">
  <si>
    <t>Tronc commun :</t>
  </si>
  <si>
    <t>JSC 12 mars 2012</t>
  </si>
  <si>
    <t>Exploitation</t>
  </si>
  <si>
    <t>Loc</t>
  </si>
  <si>
    <t>Delta</t>
  </si>
  <si>
    <t>Bilan de départ</t>
  </si>
  <si>
    <t>15ans</t>
  </si>
  <si>
    <t>A0</t>
  </si>
  <si>
    <t>chiffre d'affaires</t>
  </si>
  <si>
    <t>Capital</t>
  </si>
  <si>
    <t>Invstmt</t>
  </si>
  <si>
    <t>marge brute</t>
  </si>
  <si>
    <t>Dette</t>
  </si>
  <si>
    <t>dividendes</t>
  </si>
  <si>
    <t xml:space="preserve">charges d'exploitation </t>
  </si>
  <si>
    <t>Immob</t>
  </si>
  <si>
    <t>VT</t>
  </si>
  <si>
    <t>loyer</t>
  </si>
  <si>
    <t>Fonds</t>
  </si>
  <si>
    <t>Flux</t>
  </si>
  <si>
    <t>loyer%CA</t>
  </si>
  <si>
    <t>BFR</t>
  </si>
  <si>
    <t>TRI</t>
  </si>
  <si>
    <t>taxe foncière</t>
  </si>
  <si>
    <t>Cash</t>
  </si>
  <si>
    <t>EBE</t>
  </si>
  <si>
    <t>total</t>
  </si>
  <si>
    <t>10ans</t>
  </si>
  <si>
    <t>EBE%CA</t>
  </si>
  <si>
    <t>Levier</t>
  </si>
  <si>
    <t>Amortissements</t>
  </si>
  <si>
    <t>Résultat exploitation</t>
  </si>
  <si>
    <t>An Fi</t>
  </si>
  <si>
    <t>Total</t>
  </si>
  <si>
    <t>Immobilier</t>
  </si>
  <si>
    <t>Ppal</t>
  </si>
  <si>
    <t>Int</t>
  </si>
  <si>
    <t>Taux de cap</t>
  </si>
  <si>
    <t>Valo multiple EBE</t>
  </si>
  <si>
    <t>Amrtsmt (durée)</t>
  </si>
  <si>
    <t xml:space="preserve"> </t>
  </si>
  <si>
    <t>VEA10</t>
  </si>
  <si>
    <t>VEA15</t>
  </si>
  <si>
    <t>Apport</t>
  </si>
  <si>
    <t>Prêt (durée)</t>
  </si>
  <si>
    <t>mult</t>
  </si>
  <si>
    <t>Taux d'intérêt</t>
  </si>
  <si>
    <t>V titres</t>
  </si>
  <si>
    <t>Multiple valor/EBE</t>
  </si>
  <si>
    <t>+V/T</t>
  </si>
  <si>
    <t>Taux IS</t>
  </si>
  <si>
    <t>I/+V</t>
  </si>
  <si>
    <t>Vnette</t>
  </si>
  <si>
    <t>Location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</si>
  <si>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</si>
  <si>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</si>
  <si>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</si>
  <si>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</si>
  <si>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</si>
  <si>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</si>
  <si>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</si>
  <si>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</si>
  <si>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</si>
  <si>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</si>
  <si>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</si>
  <si>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</si>
  <si>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</si>
  <si>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</si>
  <si>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</si>
  <si>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marge brute 30%</t>
  </si>
  <si>
    <t>Frais financiers</t>
  </si>
  <si>
    <t>RCAI</t>
  </si>
  <si>
    <t>IS 30%</t>
  </si>
  <si>
    <t>RN</t>
  </si>
  <si>
    <t>MBA</t>
  </si>
  <si>
    <t>Delta BFR</t>
  </si>
  <si>
    <t>Dispo DP</t>
  </si>
  <si>
    <t>Dispo FP</t>
  </si>
  <si>
    <t>check</t>
  </si>
  <si>
    <t>TRI 15 ans</t>
  </si>
  <si>
    <t>Cash out</t>
  </si>
  <si>
    <t>Cash in</t>
  </si>
  <si>
    <t>Valeur sortie</t>
  </si>
  <si>
    <t>FONDS PHARMACIE LOUE LES MURS - SOIT A LA SCI DU PHARMACIEN - SOIT A MUR PHARMA - SI A MURS PHARMA, LE PHARMACIEN "PLACE" SES FONDS DANS LA/UNE PHARMACIE :</t>
  </si>
  <si>
    <t>Investissement</t>
  </si>
  <si>
    <t>Apport % invstmt</t>
  </si>
  <si>
    <t>Apport Keuros</t>
  </si>
  <si>
    <t>Taux intérêt</t>
  </si>
  <si>
    <t>Durée</t>
  </si>
  <si>
    <t>Tx cap</t>
  </si>
  <si>
    <t>IS</t>
  </si>
  <si>
    <t>Plcmt</t>
  </si>
  <si>
    <t>charges</t>
  </si>
  <si>
    <t>amrtsmt</t>
  </si>
  <si>
    <t>rééval bien</t>
  </si>
  <si>
    <t>tx plcmt</t>
  </si>
  <si>
    <t>Actualisation</t>
  </si>
  <si>
    <t>Loyer</t>
  </si>
  <si>
    <t>Amortissement</t>
  </si>
  <si>
    <t>EBIT</t>
  </si>
  <si>
    <t>Frais fi</t>
  </si>
  <si>
    <t>TDP</t>
  </si>
  <si>
    <t>TFP</t>
  </si>
  <si>
    <t>Réév</t>
  </si>
  <si>
    <t>+V</t>
  </si>
  <si>
    <t>Bien</t>
  </si>
  <si>
    <t>total bilan</t>
  </si>
  <si>
    <t>Placement</t>
  </si>
  <si>
    <t>Revenu</t>
  </si>
  <si>
    <t>DR</t>
  </si>
  <si>
    <t>Flux de trésorerie</t>
  </si>
  <si>
    <t>Mesures de renta</t>
  </si>
  <si>
    <t>Taux</t>
  </si>
  <si>
    <t>formule Excel = TRI</t>
  </si>
  <si>
    <t>formule manuelle = TRI</t>
  </si>
  <si>
    <t>∑</t>
  </si>
  <si>
    <t>Mode de calcul</t>
  </si>
  <si>
    <t>taux emprunteur</t>
  </si>
  <si>
    <t>taux prêteur(plcmt)</t>
  </si>
  <si>
    <t>Coefff emprunteur</t>
  </si>
  <si>
    <t>MIRR JSC</t>
  </si>
  <si>
    <t>Flux prêteurs</t>
  </si>
  <si>
    <t>Coeff prêteur</t>
  </si>
  <si>
    <t>Flux emprunteurs</t>
  </si>
  <si>
    <t>MIRR Excel</t>
  </si>
  <si>
    <t>Frwd val</t>
  </si>
  <si>
    <t>Pres val</t>
  </si>
  <si>
    <t>mirr</t>
  </si>
  <si>
    <t>Van JSC</t>
  </si>
  <si>
    <t>Van Excel</t>
  </si>
  <si>
    <t>Van JSC2</t>
  </si>
  <si>
    <t>formule manuelle VAN</t>
  </si>
  <si>
    <t>Où l'on voit que + le taux d'actualisation est élevé, plus la Van est faible.</t>
  </si>
  <si>
    <t>Calcul du TRI/Excel - Van à la main et Excel</t>
  </si>
  <si>
    <t>itérations TRI pour mettre Van à 0</t>
  </si>
  <si>
    <t>Van du Mirr</t>
  </si>
  <si>
    <t>COMMENTAIRES</t>
  </si>
  <si>
    <t>VAN=-I+d1/(1+i)+d2/(1+i)²+VT/(1+i)^3</t>
  </si>
  <si>
    <t>Calcul du MIRR</t>
  </si>
  <si>
    <t>=puissance(-FV/PV;1/3)-1</t>
  </si>
  <si>
    <t>=TRIM(série;tx empr;tx prêt)</t>
  </si>
  <si>
    <t>Van 5%</t>
  </si>
  <si>
    <t>TRIM(5%,4%)</t>
  </si>
  <si>
    <t xml:space="preserve">Les différentes mesure de la rentabilité des projets d'investissement : </t>
  </si>
  <si>
    <t>JSC 17 mars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</si>
</sst>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0.0%"/>
    <numFmt numFmtId="165" formatCode="0.0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0" fillId="0" borderId="0" xfId="0" applyFill="1"/>
    <xf numFmtId="9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164" fontId="0" fillId="2" borderId="1" xfId="0" applyNumberFormat="1" applyFill="1" applyBorder="1"/>
    <xf numFmtId="0" fontId="0" fillId="0" borderId="4" xfId="0" applyBorder="1"/>
    <xf numFmtId="1" fontId="0" fillId="0" borderId="5" xfId="0" applyNumberFormat="1" applyFill="1" applyBorder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Fill="1" applyBorder="1"/>
    <xf numFmtId="164" fontId="0" fillId="3" borderId="1" xfId="0" applyNumberFormat="1" applyFill="1" applyBorder="1"/>
    <xf numFmtId="0" fontId="0" fillId="0" borderId="6" xfId="0" applyBorder="1"/>
    <xf numFmtId="1" fontId="0" fillId="0" borderId="7" xfId="0" applyNumberFormat="1" applyBorder="1"/>
    <xf numFmtId="1" fontId="0" fillId="0" borderId="8" xfId="0" applyNumberFormat="1" applyBorder="1"/>
    <xf numFmtId="0" fontId="0" fillId="2" borderId="5" xfId="0" applyFill="1" applyBorder="1"/>
    <xf numFmtId="0" fontId="0" fillId="0" borderId="8" xfId="0" applyBorder="1"/>
    <xf numFmtId="10" fontId="0" fillId="2" borderId="1" xfId="0" applyNumberFormat="1" applyFill="1" applyBorder="1"/>
    <xf numFmtId="0" fontId="0" fillId="0" borderId="9" xfId="0" applyBorder="1"/>
    <xf numFmtId="1" fontId="0" fillId="0" borderId="10" xfId="0" applyNumberFormat="1" applyBorder="1"/>
    <xf numFmtId="1" fontId="0" fillId="0" borderId="0" xfId="0" applyNumberFormat="1"/>
    <xf numFmtId="164" fontId="0" fillId="0" borderId="1" xfId="1" applyNumberFormat="1" applyFont="1" applyBorder="1"/>
    <xf numFmtId="0" fontId="0" fillId="0" borderId="10" xfId="0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4" borderId="1" xfId="1" applyNumberFormat="1" applyFont="1" applyFill="1" applyBorder="1"/>
    <xf numFmtId="0" fontId="0" fillId="4" borderId="1" xfId="0" applyFill="1" applyBorder="1"/>
    <xf numFmtId="0" fontId="0" fillId="0" borderId="11" xfId="0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10" xfId="0" applyFill="1" applyBorder="1"/>
    <xf numFmtId="1" fontId="2" fillId="0" borderId="1" xfId="1" applyNumberFormat="1" applyFont="1" applyBorder="1"/>
    <xf numFmtId="0" fontId="2" fillId="0" borderId="9" xfId="0" applyFont="1" applyBorder="1"/>
    <xf numFmtId="1" fontId="0" fillId="0" borderId="10" xfId="0" applyNumberFormat="1" applyFill="1" applyBorder="1"/>
    <xf numFmtId="9" fontId="0" fillId="0" borderId="7" xfId="1" applyFont="1" applyBorder="1"/>
    <xf numFmtId="0" fontId="0" fillId="2" borderId="1" xfId="0" applyFill="1" applyBorder="1"/>
    <xf numFmtId="1" fontId="0" fillId="4" borderId="1" xfId="0" applyNumberFormat="1" applyFill="1" applyBorder="1"/>
    <xf numFmtId="1" fontId="2" fillId="0" borderId="1" xfId="0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14" xfId="0" applyBorder="1"/>
    <xf numFmtId="1" fontId="0" fillId="0" borderId="14" xfId="0" applyNumberFormat="1" applyBorder="1"/>
    <xf numFmtId="0" fontId="0" fillId="4" borderId="8" xfId="0" applyFill="1" applyBorder="1"/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1" fontId="0" fillId="0" borderId="0" xfId="0" applyNumberFormat="1" applyFill="1" applyBorder="1"/>
    <xf numFmtId="0" fontId="2" fillId="0" borderId="1" xfId="0" applyFont="1" applyFill="1" applyBorder="1" applyAlignment="1">
      <alignment horizontal="right"/>
    </xf>
    <xf numFmtId="9" fontId="0" fillId="2" borderId="1" xfId="0" applyNumberFormat="1" applyFill="1" applyBorder="1"/>
    <xf numFmtId="164" fontId="2" fillId="0" borderId="0" xfId="0" applyNumberFormat="1" applyFont="1" applyFill="1" applyBorder="1"/>
    <xf numFmtId="1" fontId="2" fillId="0" borderId="1" xfId="0" quotePrefix="1" applyNumberFormat="1" applyFont="1" applyFill="1" applyBorder="1"/>
    <xf numFmtId="1" fontId="0" fillId="2" borderId="1" xfId="1" applyNumberFormat="1" applyFont="1" applyFill="1" applyBorder="1"/>
    <xf numFmtId="1" fontId="2" fillId="0" borderId="1" xfId="0" applyNumberFormat="1" applyFont="1" applyFill="1" applyBorder="1"/>
    <xf numFmtId="9" fontId="3" fillId="2" borderId="1" xfId="1" applyFont="1" applyFill="1" applyBorder="1"/>
    <xf numFmtId="0" fontId="0" fillId="0" borderId="0" xfId="0" applyBorder="1"/>
    <xf numFmtId="1" fontId="0" fillId="0" borderId="0" xfId="0" applyNumberFormat="1" applyBorder="1"/>
    <xf numFmtId="0" fontId="2" fillId="0" borderId="0" xfId="0" applyFont="1" applyFill="1" applyBorder="1"/>
    <xf numFmtId="10" fontId="0" fillId="0" borderId="1" xfId="0" applyNumberFormat="1" applyBorder="1"/>
    <xf numFmtId="9" fontId="0" fillId="0" borderId="1" xfId="0" applyNumberFormat="1" applyFill="1" applyBorder="1"/>
    <xf numFmtId="164" fontId="0" fillId="0" borderId="1" xfId="0" applyNumberFormat="1" applyBorder="1"/>
    <xf numFmtId="0" fontId="0" fillId="0" borderId="15" xfId="0" applyBorder="1"/>
    <xf numFmtId="9" fontId="0" fillId="0" borderId="15" xfId="0" applyNumberFormat="1" applyBorder="1"/>
    <xf numFmtId="9" fontId="0" fillId="0" borderId="1" xfId="0" applyNumberFormat="1" applyBorder="1"/>
    <xf numFmtId="10" fontId="0" fillId="0" borderId="15" xfId="0" applyNumberFormat="1" applyBorder="1"/>
    <xf numFmtId="1" fontId="0" fillId="0" borderId="15" xfId="0" applyNumberFormat="1" applyBorder="1"/>
    <xf numFmtId="164" fontId="0" fillId="2" borderId="1" xfId="1" applyNumberFormat="1" applyFont="1" applyFill="1" applyBorder="1"/>
    <xf numFmtId="1" fontId="0" fillId="0" borderId="15" xfId="1" applyNumberFormat="1" applyFont="1" applyBorder="1"/>
    <xf numFmtId="9" fontId="0" fillId="0" borderId="15" xfId="1" applyFont="1" applyBorder="1"/>
    <xf numFmtId="1" fontId="0" fillId="0" borderId="1" xfId="1" applyNumberFormat="1" applyFont="1" applyBorder="1"/>
    <xf numFmtId="9" fontId="0" fillId="0" borderId="16" xfId="1" applyFont="1" applyBorder="1"/>
    <xf numFmtId="164" fontId="0" fillId="0" borderId="0" xfId="1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0" fillId="3" borderId="0" xfId="0" applyFill="1"/>
    <xf numFmtId="0" fontId="0" fillId="3" borderId="1" xfId="0" applyFill="1" applyBorder="1"/>
    <xf numFmtId="1" fontId="0" fillId="3" borderId="1" xfId="0" applyNumberFormat="1" applyFill="1" applyBorder="1"/>
    <xf numFmtId="1" fontId="0" fillId="3" borderId="0" xfId="0" applyNumberFormat="1" applyFill="1"/>
    <xf numFmtId="1" fontId="2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" fontId="2" fillId="0" borderId="1" xfId="0" quotePrefix="1" applyNumberFormat="1" applyFont="1" applyFill="1" applyBorder="1" applyAlignment="1">
      <alignment horizontal="right"/>
    </xf>
    <xf numFmtId="164" fontId="0" fillId="0" borderId="15" xfId="1" applyNumberFormat="1" applyFont="1" applyBorder="1"/>
    <xf numFmtId="164" fontId="0" fillId="0" borderId="0" xfId="0" applyNumberFormat="1" applyFill="1" applyBorder="1"/>
    <xf numFmtId="165" fontId="0" fillId="0" borderId="1" xfId="0" applyNumberFormat="1" applyBorder="1"/>
    <xf numFmtId="2" fontId="0" fillId="0" borderId="1" xfId="0" applyNumberFormat="1" applyBorder="1"/>
    <xf numFmtId="1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0" xfId="0" applyNumberFormat="1"/>
    <xf numFmtId="10" fontId="0" fillId="0" borderId="0" xfId="0" applyNumberFormat="1"/>
    <xf numFmtId="8" fontId="0" fillId="0" borderId="0" xfId="0" applyNumberFormat="1"/>
    <xf numFmtId="0" fontId="0" fillId="0" borderId="0" xfId="0" applyAlignment="1">
      <alignment horizontal="right"/>
    </xf>
    <xf numFmtId="10" fontId="0" fillId="0" borderId="0" xfId="1" applyNumberFormat="1" applyFont="1"/>
    <xf numFmtId="0" fontId="2" fillId="0" borderId="0" xfId="0" applyFont="1" applyBorder="1" applyAlignment="1">
      <alignment horizontal="right"/>
    </xf>
    <xf numFmtId="10" fontId="0" fillId="0" borderId="0" xfId="0" applyNumberFormat="1" applyBorder="1"/>
    <xf numFmtId="8" fontId="0" fillId="0" borderId="0" xfId="0" applyNumberFormat="1" applyBorder="1"/>
    <xf numFmtId="2" fontId="0" fillId="0" borderId="15" xfId="0" applyNumberFormat="1" applyBorder="1"/>
    <xf numFmtId="0" fontId="0" fillId="0" borderId="0" xfId="0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0" fontId="0" fillId="0" borderId="0" xfId="0" applyNumberFormat="1" applyFill="1" applyBorder="1"/>
    <xf numFmtId="1" fontId="6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" fontId="0" fillId="2" borderId="1" xfId="0" applyNumberFormat="1" applyFill="1" applyBorder="1" applyAlignment="1">
      <alignment horizontal="center"/>
    </xf>
    <xf numFmtId="0" fontId="2" fillId="0" borderId="0" xfId="0" applyFont="1" applyBorder="1" applyAlignment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1" fontId="2" fillId="3" borderId="1" xfId="0" applyNumberFormat="1" applyFont="1" applyFill="1" applyBorder="1" applyAlignment="1">
      <alignment horizontal="center"/>
    </xf>
    <xf numFmtId="166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SC%20Cslts%202012/Murs%20Pharma/murs%20pharma%20externalisation%20J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 1 fi only"/>
      <sheetName val="cas 2 fi+eco"/>
      <sheetName val="cas 2 fi+eco (2)"/>
      <sheetName val="cas 2 fi+eco (3)"/>
      <sheetName val="Feuil1"/>
      <sheetName val="comparaison loc prop cb"/>
      <sheetName val="comparaison loc prop cb (2)"/>
      <sheetName val="Feuil3"/>
      <sheetName val="tronc commun"/>
      <sheetName val="Immob vs plcmt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>
            <v>2.5000000000000001E-2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zoomScale="76" zoomScaleNormal="76" workbookViewId="0">
      <selection activeCell="B16" sqref="B16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7.2851562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4" x14ac:dyDescent="0.25">
      <c r="A1" t="str">
        <f>REPT("-",600)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4" x14ac:dyDescent="0.25">
      <c r="A2" s="1" t="s">
        <v>0</v>
      </c>
      <c r="C2" s="2"/>
      <c r="D2" s="2"/>
      <c r="E2" t="s">
        <v>1</v>
      </c>
      <c r="I2" s="1"/>
    </row>
    <row r="3" spans="1:24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4" ht="15.75" thickBot="1" x14ac:dyDescent="0.3">
      <c r="A4" s="3" t="s">
        <v>2</v>
      </c>
      <c r="B4" s="4" t="s">
        <v>3</v>
      </c>
      <c r="C4" s="5" t="s">
        <v>4</v>
      </c>
      <c r="E4" s="120" t="s">
        <v>5</v>
      </c>
      <c r="F4" s="121"/>
      <c r="H4" s="6" t="s">
        <v>6</v>
      </c>
      <c r="I4" s="5" t="s">
        <v>7</v>
      </c>
      <c r="J4" s="7" t="str">
        <f t="shared" ref="J4:X4" si="0">+C29</f>
        <v>A1</v>
      </c>
      <c r="K4" s="7" t="str">
        <f t="shared" si="0"/>
        <v>A2</v>
      </c>
      <c r="L4" s="7" t="str">
        <f t="shared" si="0"/>
        <v>A3</v>
      </c>
      <c r="M4" s="7" t="str">
        <f t="shared" si="0"/>
        <v>A4</v>
      </c>
      <c r="N4" s="7" t="str">
        <f t="shared" si="0"/>
        <v>A5</v>
      </c>
      <c r="O4" s="7" t="str">
        <f t="shared" si="0"/>
        <v>A6</v>
      </c>
      <c r="P4" s="7" t="str">
        <f t="shared" si="0"/>
        <v>A7</v>
      </c>
      <c r="Q4" s="7" t="str">
        <f t="shared" si="0"/>
        <v>A8</v>
      </c>
      <c r="R4" s="7" t="str">
        <f t="shared" si="0"/>
        <v>A9</v>
      </c>
      <c r="S4" s="7" t="str">
        <f t="shared" si="0"/>
        <v>A10</v>
      </c>
      <c r="T4" s="7" t="str">
        <f t="shared" si="0"/>
        <v>A11</v>
      </c>
      <c r="U4" s="7" t="str">
        <f t="shared" si="0"/>
        <v>A12</v>
      </c>
      <c r="V4" s="7" t="str">
        <f t="shared" si="0"/>
        <v>A13</v>
      </c>
      <c r="W4" s="7" t="str">
        <f t="shared" si="0"/>
        <v>A14</v>
      </c>
      <c r="X4" s="7" t="str">
        <f t="shared" si="0"/>
        <v>A15</v>
      </c>
    </row>
    <row r="5" spans="1:24" x14ac:dyDescent="0.25">
      <c r="A5" s="6" t="s">
        <v>8</v>
      </c>
      <c r="B5" s="8">
        <v>1500</v>
      </c>
      <c r="C5" s="9">
        <v>0.02</v>
      </c>
      <c r="E5" s="10" t="s">
        <v>9</v>
      </c>
      <c r="F5" s="11">
        <f>B21*(F7+F8+F9+F10)</f>
        <v>398.40000000000015</v>
      </c>
      <c r="H5" s="12" t="s">
        <v>10</v>
      </c>
      <c r="I5" s="13">
        <f>-F5</f>
        <v>-398.40000000000015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thickBot="1" x14ac:dyDescent="0.3">
      <c r="A6" s="12" t="s">
        <v>11</v>
      </c>
      <c r="B6" s="14">
        <f>B5*B27</f>
        <v>420.00000000000006</v>
      </c>
      <c r="C6" s="15"/>
      <c r="E6" s="16" t="s">
        <v>12</v>
      </c>
      <c r="F6" s="17">
        <f>F11-F5</f>
        <v>929.60000000000036</v>
      </c>
      <c r="H6" s="12" t="s">
        <v>13</v>
      </c>
      <c r="I6" s="12"/>
      <c r="J6" s="18"/>
      <c r="K6" s="13">
        <f t="shared" ref="K6:X6" si="1">-D47</f>
        <v>42.191003976510778</v>
      </c>
      <c r="L6" s="13">
        <f t="shared" si="1"/>
        <v>44.800194930193676</v>
      </c>
      <c r="M6" s="13">
        <f t="shared" si="1"/>
        <v>47.459809476792337</v>
      </c>
      <c r="N6" s="13">
        <f t="shared" si="1"/>
        <v>50.170376827987901</v>
      </c>
      <c r="O6" s="13">
        <f t="shared" si="1"/>
        <v>52.932409212237324</v>
      </c>
      <c r="P6" s="13">
        <f t="shared" si="1"/>
        <v>55.74640020456166</v>
      </c>
      <c r="Q6" s="13">
        <f t="shared" si="1"/>
        <v>58.612822961706115</v>
      </c>
      <c r="R6" s="13">
        <f t="shared" si="1"/>
        <v>61.532128358002481</v>
      </c>
      <c r="S6" s="13">
        <f t="shared" si="1"/>
        <v>64.504743017048455</v>
      </c>
      <c r="T6" s="13">
        <f t="shared" si="1"/>
        <v>67.531067234088255</v>
      </c>
      <c r="U6" s="13">
        <f t="shared" si="1"/>
        <v>70.611472783741021</v>
      </c>
      <c r="V6" s="13">
        <f t="shared" si="1"/>
        <v>73.746300607472008</v>
      </c>
      <c r="W6" s="13">
        <f t="shared" si="1"/>
        <v>76.93585837494193</v>
      </c>
      <c r="X6" s="13">
        <f t="shared" si="1"/>
        <v>80.18041791309534</v>
      </c>
    </row>
    <row r="7" spans="1:24" x14ac:dyDescent="0.25">
      <c r="A7" s="12" t="s">
        <v>14</v>
      </c>
      <c r="B7" s="12">
        <v>230</v>
      </c>
      <c r="C7" s="9">
        <v>1.4999999999999999E-2</v>
      </c>
      <c r="E7" s="10" t="s">
        <v>15</v>
      </c>
      <c r="F7" s="19">
        <v>0</v>
      </c>
      <c r="H7" s="12" t="s">
        <v>16</v>
      </c>
      <c r="I7" s="12"/>
      <c r="J7" s="20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>
        <f>G26</f>
        <v>1367.7607269706173</v>
      </c>
    </row>
    <row r="8" spans="1:24" x14ac:dyDescent="0.25">
      <c r="A8" s="12" t="s">
        <v>17</v>
      </c>
      <c r="B8" s="12">
        <f>B19*B16</f>
        <v>24</v>
      </c>
      <c r="C8" s="21">
        <f>C7</f>
        <v>1.4999999999999999E-2</v>
      </c>
      <c r="E8" s="22" t="s">
        <v>18</v>
      </c>
      <c r="F8" s="23">
        <f>B17</f>
        <v>1328.0000000000005</v>
      </c>
      <c r="H8" s="12" t="s">
        <v>19</v>
      </c>
      <c r="I8" s="13">
        <f>I5+I6+I7</f>
        <v>-398.40000000000015</v>
      </c>
      <c r="J8" s="13">
        <f t="shared" ref="J8:X8" si="2">J5+J6+J7</f>
        <v>0</v>
      </c>
      <c r="K8" s="13">
        <f t="shared" si="2"/>
        <v>42.191003976510778</v>
      </c>
      <c r="L8" s="13">
        <f t="shared" si="2"/>
        <v>44.800194930193676</v>
      </c>
      <c r="M8" s="13">
        <f t="shared" si="2"/>
        <v>47.459809476792337</v>
      </c>
      <c r="N8" s="13">
        <f t="shared" si="2"/>
        <v>50.170376827987901</v>
      </c>
      <c r="O8" s="13">
        <f t="shared" si="2"/>
        <v>52.932409212237324</v>
      </c>
      <c r="P8" s="13">
        <f t="shared" si="2"/>
        <v>55.74640020456166</v>
      </c>
      <c r="Q8" s="13">
        <f t="shared" si="2"/>
        <v>58.612822961706115</v>
      </c>
      <c r="R8" s="13">
        <f t="shared" si="2"/>
        <v>61.532128358002481</v>
      </c>
      <c r="S8" s="13">
        <f t="shared" si="2"/>
        <v>64.504743017048455</v>
      </c>
      <c r="T8" s="13">
        <f t="shared" si="2"/>
        <v>67.531067234088255</v>
      </c>
      <c r="U8" s="13">
        <f t="shared" si="2"/>
        <v>70.611472783741021</v>
      </c>
      <c r="V8" s="13">
        <f t="shared" si="2"/>
        <v>73.746300607472008</v>
      </c>
      <c r="W8" s="13">
        <f t="shared" si="2"/>
        <v>76.93585837494193</v>
      </c>
      <c r="X8" s="13">
        <f t="shared" si="2"/>
        <v>1447.9411448837127</v>
      </c>
    </row>
    <row r="9" spans="1:24" x14ac:dyDescent="0.25">
      <c r="A9" s="12" t="s">
        <v>20</v>
      </c>
      <c r="B9" s="25">
        <f>B8/B5</f>
        <v>1.6E-2</v>
      </c>
      <c r="C9" s="12"/>
      <c r="E9" s="22" t="s">
        <v>21</v>
      </c>
      <c r="F9" s="26">
        <f>B18</f>
        <v>0</v>
      </c>
      <c r="H9" s="27" t="s">
        <v>22</v>
      </c>
      <c r="I9" s="28">
        <f>IRR(I8:X8)</f>
        <v>0.16105257508809978</v>
      </c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x14ac:dyDescent="0.25">
      <c r="A10" s="31" t="s">
        <v>23</v>
      </c>
      <c r="B10" s="32"/>
      <c r="C10" s="33"/>
      <c r="E10" s="22" t="s">
        <v>24</v>
      </c>
      <c r="F10" s="34">
        <v>0</v>
      </c>
    </row>
    <row r="11" spans="1:24" x14ac:dyDescent="0.25">
      <c r="A11" s="6" t="s">
        <v>25</v>
      </c>
      <c r="B11" s="35">
        <f>B6-B7-B8-B10</f>
        <v>166.00000000000006</v>
      </c>
      <c r="C11" s="15"/>
      <c r="E11" s="36" t="s">
        <v>26</v>
      </c>
      <c r="F11" s="37">
        <f>SUM(F7:F10)</f>
        <v>1328.0000000000005</v>
      </c>
      <c r="H11" s="6" t="s">
        <v>27</v>
      </c>
      <c r="I11" s="5" t="str">
        <f>I4</f>
        <v>A0</v>
      </c>
      <c r="J11" s="7" t="str">
        <f>+J4</f>
        <v>A1</v>
      </c>
      <c r="K11" s="7" t="str">
        <f t="shared" ref="K11:X11" si="3">+K4</f>
        <v>A2</v>
      </c>
      <c r="L11" s="7" t="str">
        <f t="shared" si="3"/>
        <v>A3</v>
      </c>
      <c r="M11" s="7" t="str">
        <f t="shared" si="3"/>
        <v>A4</v>
      </c>
      <c r="N11" s="7" t="str">
        <f t="shared" si="3"/>
        <v>A5</v>
      </c>
      <c r="O11" s="7" t="str">
        <f t="shared" si="3"/>
        <v>A6</v>
      </c>
      <c r="P11" s="7" t="str">
        <f t="shared" si="3"/>
        <v>A7</v>
      </c>
      <c r="Q11" s="7" t="str">
        <f t="shared" si="3"/>
        <v>A8</v>
      </c>
      <c r="R11" s="7" t="str">
        <f t="shared" si="3"/>
        <v>A9</v>
      </c>
      <c r="S11" s="7" t="str">
        <f t="shared" si="3"/>
        <v>A10</v>
      </c>
      <c r="T11" s="7" t="str">
        <f t="shared" si="3"/>
        <v>A11</v>
      </c>
      <c r="U11" s="7" t="str">
        <f t="shared" si="3"/>
        <v>A12</v>
      </c>
      <c r="V11" s="7" t="str">
        <f t="shared" si="3"/>
        <v>A13</v>
      </c>
      <c r="W11" s="7" t="str">
        <f t="shared" si="3"/>
        <v>A14</v>
      </c>
      <c r="X11" s="7" t="str">
        <f t="shared" si="3"/>
        <v>A15</v>
      </c>
    </row>
    <row r="12" spans="1:24" ht="15.75" thickBot="1" x14ac:dyDescent="0.3">
      <c r="A12" s="12" t="s">
        <v>28</v>
      </c>
      <c r="B12" s="33">
        <f>B11/B5</f>
        <v>0.1106666666666667</v>
      </c>
      <c r="C12" s="15"/>
      <c r="E12" s="16" t="s">
        <v>29</v>
      </c>
      <c r="F12" s="38">
        <f>F6/F11</f>
        <v>0.70000000000000007</v>
      </c>
      <c r="H12" s="12" t="s">
        <v>10</v>
      </c>
      <c r="I12" s="13">
        <f>I5</f>
        <v>-398.40000000000015</v>
      </c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30"/>
      <c r="U12" s="30"/>
      <c r="V12" s="30"/>
      <c r="W12" s="30"/>
      <c r="X12" s="30"/>
    </row>
    <row r="13" spans="1:24" ht="15.75" thickBot="1" x14ac:dyDescent="0.3">
      <c r="A13" s="32" t="s">
        <v>30</v>
      </c>
      <c r="B13" s="39"/>
      <c r="C13" s="15"/>
      <c r="H13" s="12" t="s">
        <v>13</v>
      </c>
      <c r="I13" s="12"/>
      <c r="J13" s="13"/>
      <c r="K13" s="13">
        <f>K6</f>
        <v>42.191003976510778</v>
      </c>
      <c r="L13" s="13">
        <f t="shared" ref="L13:S13" si="4">L6</f>
        <v>44.800194930193676</v>
      </c>
      <c r="M13" s="13">
        <f t="shared" si="4"/>
        <v>47.459809476792337</v>
      </c>
      <c r="N13" s="13">
        <f t="shared" si="4"/>
        <v>50.170376827987901</v>
      </c>
      <c r="O13" s="13">
        <f t="shared" si="4"/>
        <v>52.932409212237324</v>
      </c>
      <c r="P13" s="13">
        <f t="shared" si="4"/>
        <v>55.74640020456166</v>
      </c>
      <c r="Q13" s="13">
        <f t="shared" si="4"/>
        <v>58.612822961706115</v>
      </c>
      <c r="R13" s="13">
        <f t="shared" si="4"/>
        <v>61.532128358002481</v>
      </c>
      <c r="S13" s="13">
        <f t="shared" si="4"/>
        <v>64.504743017048455</v>
      </c>
      <c r="T13" s="40"/>
      <c r="U13" s="40"/>
      <c r="V13" s="40"/>
      <c r="W13" s="40"/>
      <c r="X13" s="40"/>
    </row>
    <row r="14" spans="1:24" x14ac:dyDescent="0.25">
      <c r="A14" s="27" t="s">
        <v>31</v>
      </c>
      <c r="B14" s="41">
        <f>B11-B13</f>
        <v>166.00000000000006</v>
      </c>
      <c r="C14" s="15"/>
      <c r="E14" s="122" t="s">
        <v>32</v>
      </c>
      <c r="F14" s="123"/>
      <c r="H14" s="12" t="s">
        <v>16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>
        <f>F26</f>
        <v>987.17006653824365</v>
      </c>
      <c r="T14" s="30"/>
      <c r="U14" s="30"/>
      <c r="V14" s="30"/>
      <c r="W14" s="30"/>
      <c r="X14" s="40"/>
    </row>
    <row r="15" spans="1:24" x14ac:dyDescent="0.25">
      <c r="B15" s="42"/>
      <c r="C15" s="43"/>
      <c r="E15" s="36" t="s">
        <v>33</v>
      </c>
      <c r="F15" s="23">
        <f>F6*B23/(1-(1+B23)^-B22)</f>
        <v>86.558596023489258</v>
      </c>
      <c r="H15" s="44" t="s">
        <v>19</v>
      </c>
      <c r="I15" s="45">
        <f>I12+I13+I14</f>
        <v>-398.40000000000015</v>
      </c>
      <c r="J15" s="45">
        <f t="shared" ref="J15:S15" si="5">J12+J13+J14</f>
        <v>0</v>
      </c>
      <c r="K15" s="45">
        <f t="shared" si="5"/>
        <v>42.191003976510778</v>
      </c>
      <c r="L15" s="45">
        <f t="shared" si="5"/>
        <v>44.800194930193676</v>
      </c>
      <c r="M15" s="45">
        <f t="shared" si="5"/>
        <v>47.459809476792337</v>
      </c>
      <c r="N15" s="45">
        <f t="shared" si="5"/>
        <v>50.170376827987901</v>
      </c>
      <c r="O15" s="45">
        <f t="shared" si="5"/>
        <v>52.932409212237324</v>
      </c>
      <c r="P15" s="45">
        <f t="shared" si="5"/>
        <v>55.74640020456166</v>
      </c>
      <c r="Q15" s="45">
        <f t="shared" si="5"/>
        <v>58.612822961706115</v>
      </c>
      <c r="R15" s="45">
        <f t="shared" si="5"/>
        <v>61.532128358002481</v>
      </c>
      <c r="S15" s="45">
        <f t="shared" si="5"/>
        <v>1051.6748095552921</v>
      </c>
      <c r="T15" s="40"/>
      <c r="U15" s="40"/>
      <c r="V15" s="40"/>
      <c r="W15" s="40"/>
      <c r="X15" s="40"/>
    </row>
    <row r="16" spans="1:24" x14ac:dyDescent="0.25">
      <c r="A16" s="32" t="s">
        <v>34</v>
      </c>
      <c r="B16" s="39">
        <v>300</v>
      </c>
      <c r="C16" s="33"/>
      <c r="E16" s="36" t="s">
        <v>35</v>
      </c>
      <c r="F16" s="23">
        <f>F15-F17</f>
        <v>44.726596023489243</v>
      </c>
      <c r="H16" s="27" t="s">
        <v>22</v>
      </c>
      <c r="I16" s="28">
        <f>IRR(I15:S15)</f>
        <v>0.16934259295332632</v>
      </c>
      <c r="J16" s="46"/>
      <c r="K16" s="46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17" ht="15.75" thickBot="1" x14ac:dyDescent="0.3">
      <c r="A17" s="32" t="s">
        <v>18</v>
      </c>
      <c r="B17" s="14">
        <f>B24*B11</f>
        <v>1328.0000000000005</v>
      </c>
      <c r="C17" s="15"/>
      <c r="E17" s="47" t="s">
        <v>36</v>
      </c>
      <c r="F17" s="17">
        <f>B23*F6</f>
        <v>41.832000000000015</v>
      </c>
      <c r="H17" s="48"/>
      <c r="I17" s="48"/>
      <c r="J17" s="49"/>
    </row>
    <row r="18" spans="1:17" x14ac:dyDescent="0.25">
      <c r="A18" s="32" t="s">
        <v>21</v>
      </c>
      <c r="B18" s="39">
        <v>0</v>
      </c>
      <c r="C18" s="15"/>
      <c r="F18" s="50"/>
      <c r="G18" s="51"/>
      <c r="H18" s="51"/>
    </row>
    <row r="19" spans="1:17" x14ac:dyDescent="0.25">
      <c r="A19" s="32" t="s">
        <v>37</v>
      </c>
      <c r="B19" s="9">
        <v>0.08</v>
      </c>
      <c r="C19" s="15"/>
      <c r="E19" s="124" t="s">
        <v>38</v>
      </c>
      <c r="F19" s="125"/>
      <c r="G19" s="126"/>
      <c r="H19" s="52"/>
    </row>
    <row r="20" spans="1:17" x14ac:dyDescent="0.25">
      <c r="A20" s="32" t="s">
        <v>39</v>
      </c>
      <c r="B20" s="39"/>
      <c r="C20" s="15" t="s">
        <v>40</v>
      </c>
      <c r="E20" s="12"/>
      <c r="F20" s="53" t="s">
        <v>41</v>
      </c>
      <c r="G20" s="53" t="s">
        <v>42</v>
      </c>
      <c r="H20" s="52"/>
    </row>
    <row r="21" spans="1:17" x14ac:dyDescent="0.25">
      <c r="A21" s="32" t="s">
        <v>43</v>
      </c>
      <c r="B21" s="54">
        <v>0.3</v>
      </c>
      <c r="C21" s="15"/>
      <c r="E21" s="6" t="s">
        <v>25</v>
      </c>
      <c r="F21" s="13">
        <f>L36</f>
        <v>211.51782507123488</v>
      </c>
      <c r="G21" s="13">
        <f>Q36</f>
        <v>241.31512489014111</v>
      </c>
      <c r="H21" s="55"/>
    </row>
    <row r="22" spans="1:17" x14ac:dyDescent="0.25">
      <c r="A22" s="32" t="s">
        <v>44</v>
      </c>
      <c r="B22" s="39">
        <v>15</v>
      </c>
      <c r="C22" s="15"/>
      <c r="E22" s="6" t="s">
        <v>45</v>
      </c>
      <c r="F22" s="13">
        <f>B24</f>
        <v>8</v>
      </c>
      <c r="G22" s="13">
        <f>F22</f>
        <v>8</v>
      </c>
      <c r="H22" s="52"/>
    </row>
    <row r="23" spans="1:17" x14ac:dyDescent="0.25">
      <c r="A23" s="32" t="s">
        <v>46</v>
      </c>
      <c r="B23" s="21">
        <v>4.4999999999999998E-2</v>
      </c>
      <c r="C23" s="15"/>
      <c r="E23" s="56" t="s">
        <v>47</v>
      </c>
      <c r="F23" s="13">
        <f>F22*F21+L62-L57</f>
        <v>1379.6834442304059</v>
      </c>
      <c r="G23" s="13">
        <f>G22*G21+Q62-Q57</f>
        <v>2014.0012116176956</v>
      </c>
      <c r="H23" s="52"/>
    </row>
    <row r="24" spans="1:17" x14ac:dyDescent="0.25">
      <c r="A24" s="32" t="s">
        <v>48</v>
      </c>
      <c r="B24" s="57">
        <v>8</v>
      </c>
      <c r="C24" s="15"/>
      <c r="E24" s="56" t="s">
        <v>49</v>
      </c>
      <c r="F24" s="13">
        <f>F23-F5</f>
        <v>981.28344423040585</v>
      </c>
      <c r="G24" s="13">
        <f>G23-F5</f>
        <v>1615.6012116176955</v>
      </c>
      <c r="H24" s="52"/>
    </row>
    <row r="25" spans="1:17" x14ac:dyDescent="0.25">
      <c r="A25" s="32" t="s">
        <v>50</v>
      </c>
      <c r="B25" s="54">
        <v>0.3</v>
      </c>
      <c r="C25" s="15"/>
      <c r="E25" s="58" t="s">
        <v>51</v>
      </c>
      <c r="F25" s="41">
        <f>-F24*B26</f>
        <v>-392.51337769216235</v>
      </c>
      <c r="G25" s="41">
        <f>-B26*G24</f>
        <v>-646.24048464707823</v>
      </c>
      <c r="H25" s="55"/>
    </row>
    <row r="26" spans="1:17" x14ac:dyDescent="0.25">
      <c r="A26" s="32" t="s">
        <v>51</v>
      </c>
      <c r="B26" s="54">
        <v>0.4</v>
      </c>
      <c r="C26" s="15"/>
      <c r="E26" s="12" t="s">
        <v>52</v>
      </c>
      <c r="F26" s="13">
        <f>F23+F25</f>
        <v>987.17006653824365</v>
      </c>
      <c r="G26" s="13">
        <f>G23+G25</f>
        <v>1367.7607269706173</v>
      </c>
      <c r="H26" s="55"/>
    </row>
    <row r="27" spans="1:17" x14ac:dyDescent="0.25">
      <c r="A27" s="12" t="s">
        <v>11</v>
      </c>
      <c r="B27" s="59">
        <v>0.28000000000000003</v>
      </c>
      <c r="C27" s="9">
        <v>0</v>
      </c>
      <c r="H27" s="52"/>
    </row>
    <row r="28" spans="1:17" x14ac:dyDescent="0.25">
      <c r="A2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8" s="2"/>
      <c r="C28" s="2"/>
      <c r="J28" s="60"/>
      <c r="K28" s="61"/>
      <c r="L28" s="61"/>
      <c r="M28" s="61"/>
    </row>
    <row r="29" spans="1:17" x14ac:dyDescent="0.25">
      <c r="A29" s="62" t="s">
        <v>53</v>
      </c>
      <c r="C29" s="7" t="s">
        <v>54</v>
      </c>
      <c r="D29" s="5" t="s">
        <v>55</v>
      </c>
      <c r="E29" s="5" t="s">
        <v>56</v>
      </c>
      <c r="F29" s="53" t="s">
        <v>57</v>
      </c>
      <c r="G29" s="53" t="s">
        <v>58</v>
      </c>
      <c r="H29" s="53" t="s">
        <v>59</v>
      </c>
      <c r="I29" s="53" t="s">
        <v>60</v>
      </c>
      <c r="J29" s="53" t="s">
        <v>61</v>
      </c>
      <c r="K29" s="53" t="s">
        <v>62</v>
      </c>
      <c r="L29" s="53" t="s">
        <v>63</v>
      </c>
      <c r="M29" s="53" t="s">
        <v>64</v>
      </c>
      <c r="N29" s="53" t="s">
        <v>65</v>
      </c>
      <c r="O29" s="53" t="s">
        <v>66</v>
      </c>
      <c r="P29" s="53" t="s">
        <v>67</v>
      </c>
      <c r="Q29" s="53" t="s">
        <v>68</v>
      </c>
    </row>
    <row r="30" spans="1:17" x14ac:dyDescent="0.25">
      <c r="A30" s="6" t="s">
        <v>8</v>
      </c>
      <c r="B30" s="12"/>
      <c r="C30" s="13">
        <f>B5</f>
        <v>1500</v>
      </c>
      <c r="D30" s="13">
        <f t="shared" ref="D30:Q30" si="6">C30*(1+$C$5)</f>
        <v>1530</v>
      </c>
      <c r="E30" s="13">
        <f t="shared" si="6"/>
        <v>1560.6000000000001</v>
      </c>
      <c r="F30" s="13">
        <f t="shared" si="6"/>
        <v>1591.8120000000001</v>
      </c>
      <c r="G30" s="13">
        <f t="shared" si="6"/>
        <v>1623.6482400000002</v>
      </c>
      <c r="H30" s="13">
        <f t="shared" si="6"/>
        <v>1656.1212048000002</v>
      </c>
      <c r="I30" s="13">
        <f t="shared" si="6"/>
        <v>1689.2436288960002</v>
      </c>
      <c r="J30" s="13">
        <f t="shared" si="6"/>
        <v>1723.0285014739202</v>
      </c>
      <c r="K30" s="13">
        <f t="shared" si="6"/>
        <v>1757.4890715033987</v>
      </c>
      <c r="L30" s="13">
        <f t="shared" si="6"/>
        <v>1792.6388529334668</v>
      </c>
      <c r="M30" s="13">
        <f t="shared" si="6"/>
        <v>1828.491629992136</v>
      </c>
      <c r="N30" s="13">
        <f t="shared" si="6"/>
        <v>1865.0614625919789</v>
      </c>
      <c r="O30" s="13">
        <f t="shared" si="6"/>
        <v>1902.3626918438185</v>
      </c>
      <c r="P30" s="13">
        <f t="shared" si="6"/>
        <v>1940.409945680695</v>
      </c>
      <c r="Q30" s="13">
        <f t="shared" si="6"/>
        <v>1979.218144594309</v>
      </c>
    </row>
    <row r="31" spans="1:17" x14ac:dyDescent="0.25">
      <c r="A31" s="12" t="s">
        <v>69</v>
      </c>
      <c r="B31" s="13"/>
      <c r="C31" s="13">
        <f>C30*$B$27</f>
        <v>420.00000000000006</v>
      </c>
      <c r="D31" s="13">
        <f>D30*($B$27+$C$27/14)</f>
        <v>428.40000000000003</v>
      </c>
      <c r="E31" s="13">
        <f>E30*($B$27+2*$C$27/14)</f>
        <v>436.96800000000007</v>
      </c>
      <c r="F31" s="13">
        <f>F30*($B$27+3*$C$27/14)</f>
        <v>445.70736000000005</v>
      </c>
      <c r="G31" s="13">
        <f>G30*($B$27+4*$C$27/14)</f>
        <v>454.62150720000011</v>
      </c>
      <c r="H31" s="13">
        <f>H30*($B$27+5*$C$27/14)</f>
        <v>463.7139373440001</v>
      </c>
      <c r="I31" s="13">
        <f>I30*($B$27+6*$C$27/14)</f>
        <v>472.98821609088009</v>
      </c>
      <c r="J31" s="13">
        <f>J30*($B$27+7*$C$27/14)</f>
        <v>482.44798041269769</v>
      </c>
      <c r="K31" s="13">
        <f>K30*($B$27+8*$C$27/14)</f>
        <v>492.09694002095171</v>
      </c>
      <c r="L31" s="13">
        <f>L30*($B$27+9*$C$27/14)</f>
        <v>501.93887882137074</v>
      </c>
      <c r="M31" s="13">
        <f>M30*($B$27+10*$C$27/14)</f>
        <v>511.97765639779811</v>
      </c>
      <c r="N31" s="13">
        <f>N30*($B$27+11*$C$27/14)</f>
        <v>522.21720952575413</v>
      </c>
      <c r="O31" s="13">
        <f>O30*($B$27+12*$C$27/14)</f>
        <v>532.66155371626928</v>
      </c>
      <c r="P31" s="13">
        <f>P30*($B$27+13*$C$27/14)</f>
        <v>543.31478479059467</v>
      </c>
      <c r="Q31" s="13">
        <f>Q30*($B$27+$C$27)</f>
        <v>554.18108048640659</v>
      </c>
    </row>
    <row r="32" spans="1:17" x14ac:dyDescent="0.25">
      <c r="A32" s="12" t="s">
        <v>14</v>
      </c>
      <c r="B32" s="13"/>
      <c r="C32" s="13">
        <f>B7</f>
        <v>230</v>
      </c>
      <c r="D32" s="13">
        <f t="shared" ref="D32:Q32" si="7">C32*(1+$C$7)</f>
        <v>233.45</v>
      </c>
      <c r="E32" s="13">
        <f t="shared" si="7"/>
        <v>236.95174999999998</v>
      </c>
      <c r="F32" s="13">
        <f t="shared" si="7"/>
        <v>240.50602624999996</v>
      </c>
      <c r="G32" s="13">
        <f t="shared" si="7"/>
        <v>244.11361664374994</v>
      </c>
      <c r="H32" s="13">
        <f t="shared" si="7"/>
        <v>247.77532089340616</v>
      </c>
      <c r="I32" s="13">
        <f t="shared" si="7"/>
        <v>251.49195070680722</v>
      </c>
      <c r="J32" s="13">
        <f t="shared" si="7"/>
        <v>255.26432996740931</v>
      </c>
      <c r="K32" s="13">
        <f t="shared" si="7"/>
        <v>259.0932949169204</v>
      </c>
      <c r="L32" s="13">
        <f t="shared" si="7"/>
        <v>262.9796943406742</v>
      </c>
      <c r="M32" s="13">
        <f t="shared" si="7"/>
        <v>266.92438975578426</v>
      </c>
      <c r="N32" s="13">
        <f t="shared" si="7"/>
        <v>270.928255602121</v>
      </c>
      <c r="O32" s="13">
        <f t="shared" si="7"/>
        <v>274.99217943615281</v>
      </c>
      <c r="P32" s="13">
        <f t="shared" si="7"/>
        <v>279.11706212769508</v>
      </c>
      <c r="Q32" s="13">
        <f t="shared" si="7"/>
        <v>283.30381805961048</v>
      </c>
    </row>
    <row r="33" spans="1:17" x14ac:dyDescent="0.25">
      <c r="A33" s="12" t="s">
        <v>17</v>
      </c>
      <c r="B33" s="12"/>
      <c r="C33" s="13">
        <f>B8</f>
        <v>24</v>
      </c>
      <c r="D33" s="13">
        <f>C33*(1+$C$8)</f>
        <v>24.36</v>
      </c>
      <c r="E33" s="13">
        <f t="shared" ref="E33:Q33" si="8">D33*(1+$C$8)</f>
        <v>24.725399999999997</v>
      </c>
      <c r="F33" s="13">
        <f t="shared" si="8"/>
        <v>25.096280999999994</v>
      </c>
      <c r="G33" s="13">
        <f t="shared" si="8"/>
        <v>25.47272521499999</v>
      </c>
      <c r="H33" s="13">
        <f t="shared" si="8"/>
        <v>25.854816093224986</v>
      </c>
      <c r="I33" s="13">
        <f t="shared" si="8"/>
        <v>26.242638334623358</v>
      </c>
      <c r="J33" s="13">
        <f t="shared" si="8"/>
        <v>26.636277909642704</v>
      </c>
      <c r="K33" s="13">
        <f t="shared" si="8"/>
        <v>27.035822078287342</v>
      </c>
      <c r="L33" s="13">
        <f t="shared" si="8"/>
        <v>27.441359409461651</v>
      </c>
      <c r="M33" s="13">
        <f t="shared" si="8"/>
        <v>27.852979800603574</v>
      </c>
      <c r="N33" s="13">
        <f t="shared" si="8"/>
        <v>28.270774497612624</v>
      </c>
      <c r="O33" s="13">
        <f t="shared" si="8"/>
        <v>28.694836115076811</v>
      </c>
      <c r="P33" s="13">
        <f t="shared" si="8"/>
        <v>29.125258656802959</v>
      </c>
      <c r="Q33" s="13">
        <f t="shared" si="8"/>
        <v>29.562137536655001</v>
      </c>
    </row>
    <row r="34" spans="1:17" x14ac:dyDescent="0.25">
      <c r="A34" s="12" t="s">
        <v>20</v>
      </c>
      <c r="B34" s="12"/>
      <c r="C34" s="25">
        <f>C33/C30</f>
        <v>1.6E-2</v>
      </c>
      <c r="D34" s="25">
        <f t="shared" ref="D34:Q34" si="9">D33/D30</f>
        <v>1.5921568627450981E-2</v>
      </c>
      <c r="E34" s="25">
        <f t="shared" si="9"/>
        <v>1.5843521722414454E-2</v>
      </c>
      <c r="F34" s="25">
        <f t="shared" si="9"/>
        <v>1.5765857400245754E-2</v>
      </c>
      <c r="G34" s="25">
        <f t="shared" si="9"/>
        <v>1.5688573785538663E-2</v>
      </c>
      <c r="H34" s="25">
        <f t="shared" si="9"/>
        <v>1.5611669012080137E-2</v>
      </c>
      <c r="I34" s="25">
        <f t="shared" si="9"/>
        <v>1.5535141222805233E-2</v>
      </c>
      <c r="J34" s="25">
        <f t="shared" si="9"/>
        <v>1.5458988569752264E-2</v>
      </c>
      <c r="K34" s="25">
        <f t="shared" si="9"/>
        <v>1.5383209214018182E-2</v>
      </c>
      <c r="L34" s="25">
        <f t="shared" si="9"/>
        <v>1.530780132571417E-2</v>
      </c>
      <c r="M34" s="25">
        <f t="shared" si="9"/>
        <v>1.5232763083921453E-2</v>
      </c>
      <c r="N34" s="25">
        <f t="shared" si="9"/>
        <v>1.5158092676647325E-2</v>
      </c>
      <c r="O34" s="25">
        <f t="shared" si="9"/>
        <v>1.5083788300781404E-2</v>
      </c>
      <c r="P34" s="25">
        <f t="shared" si="9"/>
        <v>1.5009848162052081E-2</v>
      </c>
      <c r="Q34" s="25">
        <f t="shared" si="9"/>
        <v>1.4936270474983197E-2</v>
      </c>
    </row>
    <row r="35" spans="1:17" x14ac:dyDescent="0.25">
      <c r="A35" s="31" t="s">
        <v>23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6" t="s">
        <v>25</v>
      </c>
      <c r="B36" s="12"/>
      <c r="C36" s="13">
        <f>C31-C32-C33-C35</f>
        <v>166.00000000000006</v>
      </c>
      <c r="D36" s="13">
        <f t="shared" ref="D36:Q36" si="10">D31-D32-D33-D35</f>
        <v>170.59000000000003</v>
      </c>
      <c r="E36" s="13">
        <f t="shared" si="10"/>
        <v>175.29085000000009</v>
      </c>
      <c r="F36" s="13">
        <f t="shared" si="10"/>
        <v>180.10505275000008</v>
      </c>
      <c r="G36" s="13">
        <f t="shared" si="10"/>
        <v>185.03516534125018</v>
      </c>
      <c r="H36" s="13">
        <f t="shared" si="10"/>
        <v>190.08380035736894</v>
      </c>
      <c r="I36" s="13">
        <f t="shared" si="10"/>
        <v>195.25362704944951</v>
      </c>
      <c r="J36" s="13">
        <f t="shared" si="10"/>
        <v>200.54737253564568</v>
      </c>
      <c r="K36" s="13">
        <f t="shared" si="10"/>
        <v>205.96782302574397</v>
      </c>
      <c r="L36" s="13">
        <f t="shared" si="10"/>
        <v>211.51782507123488</v>
      </c>
      <c r="M36" s="13">
        <f t="shared" si="10"/>
        <v>217.20028684141027</v>
      </c>
      <c r="N36" s="13">
        <f t="shared" si="10"/>
        <v>223.01817942602051</v>
      </c>
      <c r="O36" s="13">
        <f t="shared" si="10"/>
        <v>228.97453816503966</v>
      </c>
      <c r="P36" s="13">
        <f t="shared" si="10"/>
        <v>235.07246400609662</v>
      </c>
      <c r="Q36" s="13">
        <f t="shared" si="10"/>
        <v>241.31512489014111</v>
      </c>
    </row>
    <row r="37" spans="1:17" x14ac:dyDescent="0.25">
      <c r="A37" s="12" t="s">
        <v>28</v>
      </c>
      <c r="B37" s="12"/>
      <c r="C37" s="25">
        <f>C36/C30</f>
        <v>0.1106666666666667</v>
      </c>
      <c r="D37" s="25">
        <f t="shared" ref="D37:Q37" si="11">D36/D30</f>
        <v>0.11149673202614381</v>
      </c>
      <c r="E37" s="25">
        <f t="shared" si="11"/>
        <v>0.11232272843778039</v>
      </c>
      <c r="F37" s="25">
        <f t="shared" si="11"/>
        <v>0.11314467584739911</v>
      </c>
      <c r="G37" s="25">
        <f t="shared" si="11"/>
        <v>0.11396259410304917</v>
      </c>
      <c r="H37" s="25">
        <f t="shared" si="11"/>
        <v>0.11477650295548521</v>
      </c>
      <c r="I37" s="25">
        <f t="shared" si="11"/>
        <v>0.11558642205864461</v>
      </c>
      <c r="J37" s="25">
        <f t="shared" si="11"/>
        <v>0.11639237097012187</v>
      </c>
      <c r="K37" s="25">
        <f t="shared" si="11"/>
        <v>0.11719436915164093</v>
      </c>
      <c r="L37" s="25">
        <f t="shared" si="11"/>
        <v>0.11799243596952504</v>
      </c>
      <c r="M37" s="25">
        <f t="shared" si="11"/>
        <v>0.11878659069516463</v>
      </c>
      <c r="N37" s="25">
        <f t="shared" si="11"/>
        <v>0.11957685250548249</v>
      </c>
      <c r="O37" s="25">
        <f t="shared" si="11"/>
        <v>0.12036324048339683</v>
      </c>
      <c r="P37" s="25">
        <f t="shared" si="11"/>
        <v>0.12114577361828213</v>
      </c>
      <c r="Q37" s="25">
        <f t="shared" si="11"/>
        <v>0.12192447080642783</v>
      </c>
    </row>
    <row r="38" spans="1:17" x14ac:dyDescent="0.25">
      <c r="A38" s="32" t="s">
        <v>30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27" t="s">
        <v>31</v>
      </c>
      <c r="B39" s="12"/>
      <c r="C39" s="13">
        <f>C36-C38</f>
        <v>166.00000000000006</v>
      </c>
      <c r="D39" s="13">
        <f t="shared" ref="D39:Q39" si="12">D36-D38</f>
        <v>170.59000000000003</v>
      </c>
      <c r="E39" s="13">
        <f t="shared" si="12"/>
        <v>175.29085000000009</v>
      </c>
      <c r="F39" s="13">
        <f t="shared" si="12"/>
        <v>180.10505275000008</v>
      </c>
      <c r="G39" s="13">
        <f t="shared" si="12"/>
        <v>185.03516534125018</v>
      </c>
      <c r="H39" s="13">
        <f t="shared" si="12"/>
        <v>190.08380035736894</v>
      </c>
      <c r="I39" s="13">
        <f t="shared" si="12"/>
        <v>195.25362704944951</v>
      </c>
      <c r="J39" s="13">
        <f t="shared" si="12"/>
        <v>200.54737253564568</v>
      </c>
      <c r="K39" s="13">
        <f t="shared" si="12"/>
        <v>205.96782302574397</v>
      </c>
      <c r="L39" s="13">
        <f t="shared" si="12"/>
        <v>211.51782507123488</v>
      </c>
      <c r="M39" s="13">
        <f t="shared" si="12"/>
        <v>217.20028684141027</v>
      </c>
      <c r="N39" s="13">
        <f t="shared" si="12"/>
        <v>223.01817942602051</v>
      </c>
      <c r="O39" s="13">
        <f t="shared" si="12"/>
        <v>228.97453816503966</v>
      </c>
      <c r="P39" s="13">
        <f t="shared" si="12"/>
        <v>235.07246400609662</v>
      </c>
      <c r="Q39" s="13">
        <f t="shared" si="12"/>
        <v>241.31512489014111</v>
      </c>
    </row>
    <row r="40" spans="1:17" x14ac:dyDescent="0.25">
      <c r="A40" s="32" t="s">
        <v>70</v>
      </c>
      <c r="B40" s="63">
        <f>B23</f>
        <v>4.4999999999999998E-2</v>
      </c>
      <c r="C40" s="13">
        <f t="shared" ref="C40:Q40" si="13">-$B$40*(B57)</f>
        <v>-41.832000000000015</v>
      </c>
      <c r="D40" s="13">
        <f t="shared" si="13"/>
        <v>-39.819303178942995</v>
      </c>
      <c r="E40" s="13">
        <f t="shared" si="13"/>
        <v>-37.716035000938412</v>
      </c>
      <c r="F40" s="13">
        <f t="shared" si="13"/>
        <v>-35.518119754923624</v>
      </c>
      <c r="G40" s="13">
        <f t="shared" si="13"/>
        <v>-33.221298322838173</v>
      </c>
      <c r="H40" s="13">
        <f t="shared" si="13"/>
        <v>-30.821119926308874</v>
      </c>
      <c r="I40" s="13">
        <f t="shared" si="13"/>
        <v>-28.312933501935756</v>
      </c>
      <c r="J40" s="13">
        <f t="shared" si="13"/>
        <v>-25.691878688465845</v>
      </c>
      <c r="K40" s="13">
        <f t="shared" si="13"/>
        <v>-22.952876408389795</v>
      </c>
      <c r="L40" s="13">
        <f t="shared" si="13"/>
        <v>-20.090619025710318</v>
      </c>
      <c r="M40" s="13">
        <f t="shared" si="13"/>
        <v>-17.099560060810266</v>
      </c>
      <c r="N40" s="13">
        <f t="shared" si="13"/>
        <v>-13.973903442489712</v>
      </c>
      <c r="O40" s="13">
        <f t="shared" si="13"/>
        <v>-10.707592276344732</v>
      </c>
      <c r="P40" s="13">
        <f t="shared" si="13"/>
        <v>-7.2942971077232279</v>
      </c>
      <c r="Q40" s="13">
        <f t="shared" si="13"/>
        <v>-3.7274036565137565</v>
      </c>
    </row>
    <row r="41" spans="1:17" x14ac:dyDescent="0.25">
      <c r="A41" s="27" t="s">
        <v>71</v>
      </c>
      <c r="B41" s="12"/>
      <c r="C41" s="13">
        <f>C39+C40</f>
        <v>124.16800000000003</v>
      </c>
      <c r="D41" s="13">
        <f t="shared" ref="D41:Q41" si="14">D39+D40</f>
        <v>130.77069682105704</v>
      </c>
      <c r="E41" s="13">
        <f t="shared" si="14"/>
        <v>137.57481499906169</v>
      </c>
      <c r="F41" s="13">
        <f t="shared" si="14"/>
        <v>144.58693299507647</v>
      </c>
      <c r="G41" s="13">
        <f t="shared" si="14"/>
        <v>151.813867018412</v>
      </c>
      <c r="H41" s="13">
        <f t="shared" si="14"/>
        <v>159.26268043106006</v>
      </c>
      <c r="I41" s="13">
        <f t="shared" si="14"/>
        <v>166.94069354751375</v>
      </c>
      <c r="J41" s="13">
        <f t="shared" si="14"/>
        <v>174.85549384717984</v>
      </c>
      <c r="K41" s="13">
        <f t="shared" si="14"/>
        <v>183.01494661735418</v>
      </c>
      <c r="L41" s="13">
        <f t="shared" si="14"/>
        <v>191.42720604552457</v>
      </c>
      <c r="M41" s="13">
        <f t="shared" si="14"/>
        <v>200.10072678060001</v>
      </c>
      <c r="N41" s="13">
        <f t="shared" si="14"/>
        <v>209.04427598353081</v>
      </c>
      <c r="O41" s="13">
        <f t="shared" si="14"/>
        <v>218.26694588869492</v>
      </c>
      <c r="P41" s="13">
        <f t="shared" si="14"/>
        <v>227.7781668983734</v>
      </c>
      <c r="Q41" s="13">
        <f t="shared" si="14"/>
        <v>237.58772123362735</v>
      </c>
    </row>
    <row r="42" spans="1:17" x14ac:dyDescent="0.25">
      <c r="A42" s="32" t="s">
        <v>72</v>
      </c>
      <c r="B42" s="64">
        <f>B25</f>
        <v>0.3</v>
      </c>
      <c r="C42" s="13">
        <f t="shared" ref="C42:Q42" si="15">-$B$42*C41</f>
        <v>-37.250400000000006</v>
      </c>
      <c r="D42" s="13">
        <f t="shared" si="15"/>
        <v>-39.231209046317112</v>
      </c>
      <c r="E42" s="13">
        <f t="shared" si="15"/>
        <v>-41.272444499718503</v>
      </c>
      <c r="F42" s="13">
        <f t="shared" si="15"/>
        <v>-43.376079898522939</v>
      </c>
      <c r="G42" s="13">
        <f t="shared" si="15"/>
        <v>-45.544160105523595</v>
      </c>
      <c r="H42" s="13">
        <f t="shared" si="15"/>
        <v>-47.778804129318019</v>
      </c>
      <c r="I42" s="13">
        <f t="shared" si="15"/>
        <v>-50.082208064254125</v>
      </c>
      <c r="J42" s="13">
        <f t="shared" si="15"/>
        <v>-52.456648154153953</v>
      </c>
      <c r="K42" s="13">
        <f t="shared" si="15"/>
        <v>-54.904483985206255</v>
      </c>
      <c r="L42" s="13">
        <f t="shared" si="15"/>
        <v>-57.428161813657368</v>
      </c>
      <c r="M42" s="13">
        <f t="shared" si="15"/>
        <v>-60.030218034180002</v>
      </c>
      <c r="N42" s="13">
        <f t="shared" si="15"/>
        <v>-62.713282795059243</v>
      </c>
      <c r="O42" s="13">
        <f t="shared" si="15"/>
        <v>-65.480083766608473</v>
      </c>
      <c r="P42" s="13">
        <f t="shared" si="15"/>
        <v>-68.333450069512011</v>
      </c>
      <c r="Q42" s="13">
        <f t="shared" si="15"/>
        <v>-71.276316370088196</v>
      </c>
    </row>
    <row r="43" spans="1:17" x14ac:dyDescent="0.25">
      <c r="A43" s="27" t="s">
        <v>73</v>
      </c>
      <c r="B43" s="6"/>
      <c r="C43" s="41">
        <f>C41+C42</f>
        <v>86.917600000000022</v>
      </c>
      <c r="D43" s="41">
        <f t="shared" ref="D43:Q43" si="16">D41+D42</f>
        <v>91.539487774739939</v>
      </c>
      <c r="E43" s="41">
        <f t="shared" si="16"/>
        <v>96.302370499343183</v>
      </c>
      <c r="F43" s="41">
        <f t="shared" si="16"/>
        <v>101.21085309655354</v>
      </c>
      <c r="G43" s="41">
        <f t="shared" si="16"/>
        <v>106.26970691288841</v>
      </c>
      <c r="H43" s="41">
        <f t="shared" si="16"/>
        <v>111.48387630174204</v>
      </c>
      <c r="I43" s="41">
        <f t="shared" si="16"/>
        <v>116.85848548325961</v>
      </c>
      <c r="J43" s="41">
        <f t="shared" si="16"/>
        <v>122.39884569302589</v>
      </c>
      <c r="K43" s="41">
        <f t="shared" si="16"/>
        <v>128.11046263214791</v>
      </c>
      <c r="L43" s="41">
        <f t="shared" si="16"/>
        <v>133.9990442318672</v>
      </c>
      <c r="M43" s="41">
        <f t="shared" si="16"/>
        <v>140.07050874642002</v>
      </c>
      <c r="N43" s="41">
        <f t="shared" si="16"/>
        <v>146.33099318847155</v>
      </c>
      <c r="O43" s="41">
        <f t="shared" si="16"/>
        <v>152.78686212208646</v>
      </c>
      <c r="P43" s="41">
        <f t="shared" si="16"/>
        <v>159.44471682886137</v>
      </c>
      <c r="Q43" s="41">
        <f t="shared" si="16"/>
        <v>166.31140486353917</v>
      </c>
    </row>
    <row r="44" spans="1:17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7" x14ac:dyDescent="0.25">
      <c r="B45" s="12"/>
      <c r="C45" s="7" t="str">
        <f>C29</f>
        <v>A1</v>
      </c>
      <c r="D45" s="7" t="str">
        <f t="shared" ref="D45:Q45" si="17">D29</f>
        <v>A2</v>
      </c>
      <c r="E45" s="7" t="str">
        <f t="shared" si="17"/>
        <v>A3</v>
      </c>
      <c r="F45" s="7" t="str">
        <f t="shared" si="17"/>
        <v>A4</v>
      </c>
      <c r="G45" s="7" t="str">
        <f t="shared" si="17"/>
        <v>A5</v>
      </c>
      <c r="H45" s="7" t="str">
        <f t="shared" si="17"/>
        <v>A6</v>
      </c>
      <c r="I45" s="7" t="str">
        <f t="shared" si="17"/>
        <v>A7</v>
      </c>
      <c r="J45" s="7" t="str">
        <f t="shared" si="17"/>
        <v>A8</v>
      </c>
      <c r="K45" s="7" t="str">
        <f t="shared" si="17"/>
        <v>A9</v>
      </c>
      <c r="L45" s="7" t="str">
        <f t="shared" si="17"/>
        <v>A10</v>
      </c>
      <c r="M45" s="7" t="str">
        <f t="shared" si="17"/>
        <v>A11</v>
      </c>
      <c r="N45" s="7" t="str">
        <f t="shared" si="17"/>
        <v>A12</v>
      </c>
      <c r="O45" s="7" t="str">
        <f t="shared" si="17"/>
        <v>A13</v>
      </c>
      <c r="P45" s="7" t="str">
        <f t="shared" si="17"/>
        <v>A14</v>
      </c>
      <c r="Q45" s="7" t="str">
        <f t="shared" si="17"/>
        <v>A15</v>
      </c>
    </row>
    <row r="46" spans="1:17" x14ac:dyDescent="0.25">
      <c r="A46" s="12" t="s">
        <v>74</v>
      </c>
      <c r="B46" s="12"/>
      <c r="C46" s="13">
        <f>C43+C38</f>
        <v>86.917600000000022</v>
      </c>
      <c r="D46" s="13">
        <f>D43+D38</f>
        <v>91.539487774739939</v>
      </c>
      <c r="E46" s="13">
        <f t="shared" ref="E46:Q46" si="18">E43+E38</f>
        <v>96.302370499343183</v>
      </c>
      <c r="F46" s="13">
        <f t="shared" si="18"/>
        <v>101.21085309655354</v>
      </c>
      <c r="G46" s="13">
        <f t="shared" si="18"/>
        <v>106.26970691288841</v>
      </c>
      <c r="H46" s="13">
        <f t="shared" si="18"/>
        <v>111.48387630174204</v>
      </c>
      <c r="I46" s="13">
        <f t="shared" si="18"/>
        <v>116.85848548325961</v>
      </c>
      <c r="J46" s="13">
        <f t="shared" si="18"/>
        <v>122.39884569302589</v>
      </c>
      <c r="K46" s="13">
        <f t="shared" si="18"/>
        <v>128.11046263214791</v>
      </c>
      <c r="L46" s="13">
        <f t="shared" si="18"/>
        <v>133.9990442318672</v>
      </c>
      <c r="M46" s="13">
        <f t="shared" si="18"/>
        <v>140.07050874642002</v>
      </c>
      <c r="N46" s="13">
        <f t="shared" si="18"/>
        <v>146.33099318847155</v>
      </c>
      <c r="O46" s="13">
        <f t="shared" si="18"/>
        <v>152.78686212208646</v>
      </c>
      <c r="P46" s="13">
        <f t="shared" si="18"/>
        <v>159.44471682886137</v>
      </c>
      <c r="Q46" s="13">
        <f t="shared" si="18"/>
        <v>166.31140486353917</v>
      </c>
    </row>
    <row r="47" spans="1:17" x14ac:dyDescent="0.25">
      <c r="A47" s="12" t="s">
        <v>9</v>
      </c>
      <c r="B47" s="13">
        <f>F5</f>
        <v>398.40000000000015</v>
      </c>
      <c r="C47" s="13"/>
      <c r="D47" s="13">
        <f>-C53</f>
        <v>-42.191003976510778</v>
      </c>
      <c r="E47" s="13">
        <f t="shared" ref="E47:Q47" si="19">-D53</f>
        <v>-44.800194930193676</v>
      </c>
      <c r="F47" s="13">
        <f t="shared" si="19"/>
        <v>-47.459809476792337</v>
      </c>
      <c r="G47" s="13">
        <f t="shared" si="19"/>
        <v>-50.170376827987901</v>
      </c>
      <c r="H47" s="13">
        <f t="shared" si="19"/>
        <v>-52.932409212237324</v>
      </c>
      <c r="I47" s="13">
        <f t="shared" si="19"/>
        <v>-55.74640020456166</v>
      </c>
      <c r="J47" s="13">
        <f t="shared" si="19"/>
        <v>-58.612822961706115</v>
      </c>
      <c r="K47" s="13">
        <f t="shared" si="19"/>
        <v>-61.532128358002481</v>
      </c>
      <c r="L47" s="13">
        <f t="shared" si="19"/>
        <v>-64.504743017048455</v>
      </c>
      <c r="M47" s="13">
        <f t="shared" si="19"/>
        <v>-67.531067234088255</v>
      </c>
      <c r="N47" s="13">
        <f t="shared" si="19"/>
        <v>-70.611472783741021</v>
      </c>
      <c r="O47" s="13">
        <f t="shared" si="19"/>
        <v>-73.746300607472008</v>
      </c>
      <c r="P47" s="13">
        <f t="shared" si="19"/>
        <v>-76.93585837494193</v>
      </c>
      <c r="Q47" s="13">
        <f t="shared" si="19"/>
        <v>-80.18041791309534</v>
      </c>
    </row>
    <row r="48" spans="1:17" x14ac:dyDescent="0.25">
      <c r="A48" s="12" t="s">
        <v>12</v>
      </c>
      <c r="B48" s="13">
        <f>F6</f>
        <v>929.60000000000036</v>
      </c>
      <c r="C48" s="13">
        <f t="shared" ref="C48:Q48" si="20">-$F$15-C40</f>
        <v>-44.726596023489243</v>
      </c>
      <c r="D48" s="13">
        <f t="shared" si="20"/>
        <v>-46.739292844546263</v>
      </c>
      <c r="E48" s="13">
        <f t="shared" si="20"/>
        <v>-48.842561022550846</v>
      </c>
      <c r="F48" s="13">
        <f t="shared" si="20"/>
        <v>-51.040476268565634</v>
      </c>
      <c r="G48" s="13">
        <f t="shared" si="20"/>
        <v>-53.337297700651085</v>
      </c>
      <c r="H48" s="13">
        <f t="shared" si="20"/>
        <v>-55.737476097180384</v>
      </c>
      <c r="I48" s="13">
        <f t="shared" si="20"/>
        <v>-58.245662521553498</v>
      </c>
      <c r="J48" s="13">
        <f t="shared" si="20"/>
        <v>-60.866717335023409</v>
      </c>
      <c r="K48" s="13">
        <f t="shared" si="20"/>
        <v>-63.60571961509946</v>
      </c>
      <c r="L48" s="13">
        <f t="shared" si="20"/>
        <v>-66.467976997778948</v>
      </c>
      <c r="M48" s="13">
        <f t="shared" si="20"/>
        <v>-69.459035962678996</v>
      </c>
      <c r="N48" s="13">
        <f t="shared" si="20"/>
        <v>-72.584692580999544</v>
      </c>
      <c r="O48" s="13">
        <f t="shared" si="20"/>
        <v>-75.851003747144532</v>
      </c>
      <c r="P48" s="13">
        <f t="shared" si="20"/>
        <v>-79.264298915766034</v>
      </c>
      <c r="Q48" s="13">
        <f t="shared" si="20"/>
        <v>-82.8311923669755</v>
      </c>
    </row>
    <row r="49" spans="1:23" x14ac:dyDescent="0.25">
      <c r="A49" s="12" t="s">
        <v>15</v>
      </c>
      <c r="B49" s="14">
        <f>-F7</f>
        <v>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23" x14ac:dyDescent="0.25">
      <c r="A50" s="12" t="s">
        <v>18</v>
      </c>
      <c r="B50" s="14">
        <f>-F8</f>
        <v>-1328.0000000000005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23" x14ac:dyDescent="0.25">
      <c r="A51" s="12" t="s">
        <v>75</v>
      </c>
      <c r="B51" s="14">
        <f>-F9</f>
        <v>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3" x14ac:dyDescent="0.25">
      <c r="A52" s="12" t="s">
        <v>76</v>
      </c>
      <c r="B52" s="13">
        <v>0</v>
      </c>
      <c r="C52" s="13">
        <f>B53</f>
        <v>0</v>
      </c>
      <c r="D52" s="13">
        <f t="shared" ref="D52:Q52" si="21">C53</f>
        <v>42.191003976510778</v>
      </c>
      <c r="E52" s="13">
        <f t="shared" si="21"/>
        <v>44.800194930193676</v>
      </c>
      <c r="F52" s="13">
        <f t="shared" si="21"/>
        <v>47.459809476792337</v>
      </c>
      <c r="G52" s="13">
        <f t="shared" si="21"/>
        <v>50.170376827987901</v>
      </c>
      <c r="H52" s="13">
        <f t="shared" si="21"/>
        <v>52.932409212237324</v>
      </c>
      <c r="I52" s="13">
        <f t="shared" si="21"/>
        <v>55.74640020456166</v>
      </c>
      <c r="J52" s="13">
        <f t="shared" si="21"/>
        <v>58.612822961706115</v>
      </c>
      <c r="K52" s="13">
        <f t="shared" si="21"/>
        <v>61.532128358002481</v>
      </c>
      <c r="L52" s="13">
        <f t="shared" si="21"/>
        <v>64.504743017048455</v>
      </c>
      <c r="M52" s="13">
        <f t="shared" si="21"/>
        <v>67.531067234088255</v>
      </c>
      <c r="N52" s="13">
        <f t="shared" si="21"/>
        <v>70.611472783741021</v>
      </c>
      <c r="O52" s="13">
        <f t="shared" si="21"/>
        <v>73.746300607472008</v>
      </c>
      <c r="P52" s="13">
        <f t="shared" si="21"/>
        <v>76.93585837494193</v>
      </c>
      <c r="Q52" s="13">
        <f t="shared" si="21"/>
        <v>80.18041791309534</v>
      </c>
    </row>
    <row r="53" spans="1:23" x14ac:dyDescent="0.25">
      <c r="A53" s="12" t="s">
        <v>77</v>
      </c>
      <c r="B53" s="13">
        <f>SUM(B46:B52)</f>
        <v>0</v>
      </c>
      <c r="C53" s="13">
        <f>SUM(C46:C52)</f>
        <v>42.191003976510778</v>
      </c>
      <c r="D53" s="13">
        <f t="shared" ref="D53:Q53" si="22">SUM(D46:D52)</f>
        <v>44.800194930193676</v>
      </c>
      <c r="E53" s="13">
        <f t="shared" si="22"/>
        <v>47.459809476792337</v>
      </c>
      <c r="F53" s="13">
        <f t="shared" si="22"/>
        <v>50.170376827987901</v>
      </c>
      <c r="G53" s="13">
        <f t="shared" si="22"/>
        <v>52.932409212237324</v>
      </c>
      <c r="H53" s="13">
        <f t="shared" si="22"/>
        <v>55.74640020456166</v>
      </c>
      <c r="I53" s="13">
        <f t="shared" si="22"/>
        <v>58.612822961706115</v>
      </c>
      <c r="J53" s="13">
        <f t="shared" si="22"/>
        <v>61.532128358002481</v>
      </c>
      <c r="K53" s="13">
        <f t="shared" si="22"/>
        <v>64.504743017048455</v>
      </c>
      <c r="L53" s="13">
        <f t="shared" si="22"/>
        <v>67.531067234088255</v>
      </c>
      <c r="M53" s="13">
        <f t="shared" si="22"/>
        <v>70.611472783741021</v>
      </c>
      <c r="N53" s="13">
        <f t="shared" si="22"/>
        <v>73.746300607472008</v>
      </c>
      <c r="O53" s="13">
        <f t="shared" si="22"/>
        <v>76.93585837494193</v>
      </c>
      <c r="P53" s="13">
        <f t="shared" si="22"/>
        <v>80.18041791309534</v>
      </c>
      <c r="Q53" s="13">
        <f t="shared" si="22"/>
        <v>83.480212496563666</v>
      </c>
    </row>
    <row r="54" spans="1:23" x14ac:dyDescent="0.25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23" x14ac:dyDescent="0.25">
      <c r="B55" s="13"/>
      <c r="C55" s="7" t="str">
        <f>C45</f>
        <v>A1</v>
      </c>
      <c r="D55" s="7" t="str">
        <f t="shared" ref="D55:Q55" si="23">D45</f>
        <v>A2</v>
      </c>
      <c r="E55" s="7" t="str">
        <f t="shared" si="23"/>
        <v>A3</v>
      </c>
      <c r="F55" s="7" t="str">
        <f t="shared" si="23"/>
        <v>A4</v>
      </c>
      <c r="G55" s="7" t="str">
        <f t="shared" si="23"/>
        <v>A5</v>
      </c>
      <c r="H55" s="7" t="str">
        <f t="shared" si="23"/>
        <v>A6</v>
      </c>
      <c r="I55" s="7" t="str">
        <f t="shared" si="23"/>
        <v>A7</v>
      </c>
      <c r="J55" s="7" t="str">
        <f t="shared" si="23"/>
        <v>A8</v>
      </c>
      <c r="K55" s="7" t="str">
        <f t="shared" si="23"/>
        <v>A9</v>
      </c>
      <c r="L55" s="7" t="str">
        <f t="shared" si="23"/>
        <v>A10</v>
      </c>
      <c r="M55" s="7" t="str">
        <f t="shared" si="23"/>
        <v>A11</v>
      </c>
      <c r="N55" s="7" t="str">
        <f t="shared" si="23"/>
        <v>A12</v>
      </c>
      <c r="O55" s="7" t="str">
        <f t="shared" si="23"/>
        <v>A13</v>
      </c>
      <c r="P55" s="7" t="str">
        <f t="shared" si="23"/>
        <v>A14</v>
      </c>
      <c r="Q55" s="7" t="str">
        <f t="shared" si="23"/>
        <v>A15</v>
      </c>
    </row>
    <row r="56" spans="1:23" x14ac:dyDescent="0.25">
      <c r="A56" s="12" t="s">
        <v>9</v>
      </c>
      <c r="B56" s="13">
        <f>B47</f>
        <v>398.40000000000015</v>
      </c>
      <c r="C56" s="13">
        <f>B56+C43+C47</f>
        <v>485.3176000000002</v>
      </c>
      <c r="D56" s="13">
        <f t="shared" ref="D56:Q56" si="24">C56+D43+D47</f>
        <v>534.66608379822947</v>
      </c>
      <c r="E56" s="13">
        <f t="shared" si="24"/>
        <v>586.16825936737894</v>
      </c>
      <c r="F56" s="13">
        <f t="shared" si="24"/>
        <v>639.9193029871401</v>
      </c>
      <c r="G56" s="13">
        <f t="shared" si="24"/>
        <v>696.01863307204064</v>
      </c>
      <c r="H56" s="13">
        <f t="shared" si="24"/>
        <v>754.57010016154538</v>
      </c>
      <c r="I56" s="13">
        <f t="shared" si="24"/>
        <v>815.68218544024342</v>
      </c>
      <c r="J56" s="13">
        <f t="shared" si="24"/>
        <v>879.46820817156322</v>
      </c>
      <c r="K56" s="13">
        <f t="shared" si="24"/>
        <v>946.04654244570861</v>
      </c>
      <c r="L56" s="13">
        <f t="shared" si="24"/>
        <v>1015.5408436605273</v>
      </c>
      <c r="M56" s="13">
        <f t="shared" si="24"/>
        <v>1088.080285172859</v>
      </c>
      <c r="N56" s="13">
        <f t="shared" si="24"/>
        <v>1163.7998055775895</v>
      </c>
      <c r="O56" s="13">
        <f t="shared" si="24"/>
        <v>1242.8403670922039</v>
      </c>
      <c r="P56" s="13">
        <f t="shared" si="24"/>
        <v>1325.3492255461233</v>
      </c>
      <c r="Q56" s="13">
        <f t="shared" si="24"/>
        <v>1411.480212496567</v>
      </c>
    </row>
    <row r="57" spans="1:23" x14ac:dyDescent="0.25">
      <c r="A57" s="12" t="s">
        <v>12</v>
      </c>
      <c r="B57" s="13">
        <f>B48</f>
        <v>929.60000000000036</v>
      </c>
      <c r="C57" s="13">
        <f>B57+C48</f>
        <v>884.8734039765111</v>
      </c>
      <c r="D57" s="13">
        <f t="shared" ref="D57:Q57" si="25">C57+D48</f>
        <v>838.1341111319648</v>
      </c>
      <c r="E57" s="13">
        <f t="shared" si="25"/>
        <v>789.29155010941395</v>
      </c>
      <c r="F57" s="13">
        <f t="shared" si="25"/>
        <v>738.25107384084833</v>
      </c>
      <c r="G57" s="13">
        <f t="shared" si="25"/>
        <v>684.91377614019723</v>
      </c>
      <c r="H57" s="13">
        <f t="shared" si="25"/>
        <v>629.17630004301679</v>
      </c>
      <c r="I57" s="13">
        <f t="shared" si="25"/>
        <v>570.93063752146327</v>
      </c>
      <c r="J57" s="13">
        <f t="shared" si="25"/>
        <v>510.06392018643987</v>
      </c>
      <c r="K57" s="13">
        <f t="shared" si="25"/>
        <v>446.4582005713404</v>
      </c>
      <c r="L57" s="13">
        <f t="shared" si="25"/>
        <v>379.99022357356148</v>
      </c>
      <c r="M57" s="13">
        <f t="shared" si="25"/>
        <v>310.53118761088251</v>
      </c>
      <c r="N57" s="13">
        <f t="shared" si="25"/>
        <v>237.94649502988295</v>
      </c>
      <c r="O57" s="13">
        <f t="shared" si="25"/>
        <v>162.09549128273841</v>
      </c>
      <c r="P57" s="13">
        <f t="shared" si="25"/>
        <v>82.831192366972374</v>
      </c>
      <c r="Q57" s="13">
        <f t="shared" si="25"/>
        <v>-3.1263880373444408E-12</v>
      </c>
      <c r="S57" s="24"/>
      <c r="T57" s="24"/>
      <c r="U57" s="24"/>
      <c r="V57" s="24"/>
      <c r="W57" s="24"/>
    </row>
    <row r="58" spans="1:23" x14ac:dyDescent="0.2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23" x14ac:dyDescent="0.25">
      <c r="A59" s="12" t="s">
        <v>15</v>
      </c>
      <c r="B59" s="13">
        <f>-B49</f>
        <v>0</v>
      </c>
      <c r="C59" s="12">
        <f>B59-C38</f>
        <v>0</v>
      </c>
      <c r="D59" s="12">
        <f t="shared" ref="D59:Q59" si="26">C59-D38</f>
        <v>0</v>
      </c>
      <c r="E59" s="12">
        <f t="shared" si="26"/>
        <v>0</v>
      </c>
      <c r="F59" s="12">
        <f t="shared" si="26"/>
        <v>0</v>
      </c>
      <c r="G59" s="12">
        <f t="shared" si="26"/>
        <v>0</v>
      </c>
      <c r="H59" s="12">
        <f t="shared" si="26"/>
        <v>0</v>
      </c>
      <c r="I59" s="12">
        <f t="shared" si="26"/>
        <v>0</v>
      </c>
      <c r="J59" s="12">
        <f t="shared" si="26"/>
        <v>0</v>
      </c>
      <c r="K59" s="12">
        <f t="shared" si="26"/>
        <v>0</v>
      </c>
      <c r="L59" s="12">
        <f t="shared" si="26"/>
        <v>0</v>
      </c>
      <c r="M59" s="12">
        <f t="shared" si="26"/>
        <v>0</v>
      </c>
      <c r="N59" s="12">
        <f t="shared" si="26"/>
        <v>0</v>
      </c>
      <c r="O59" s="12">
        <f t="shared" si="26"/>
        <v>0</v>
      </c>
      <c r="P59" s="12">
        <f t="shared" si="26"/>
        <v>0</v>
      </c>
      <c r="Q59" s="12">
        <f t="shared" si="26"/>
        <v>0</v>
      </c>
    </row>
    <row r="60" spans="1:23" x14ac:dyDescent="0.25">
      <c r="A60" s="12" t="s">
        <v>18</v>
      </c>
      <c r="B60" s="13">
        <f>-B50</f>
        <v>1328.0000000000005</v>
      </c>
      <c r="C60" s="13">
        <f>B60</f>
        <v>1328.0000000000005</v>
      </c>
      <c r="D60" s="13">
        <f t="shared" ref="D60:Q60" si="27">C60</f>
        <v>1328.0000000000005</v>
      </c>
      <c r="E60" s="13">
        <f t="shared" si="27"/>
        <v>1328.0000000000005</v>
      </c>
      <c r="F60" s="13">
        <f t="shared" si="27"/>
        <v>1328.0000000000005</v>
      </c>
      <c r="G60" s="13">
        <f t="shared" si="27"/>
        <v>1328.0000000000005</v>
      </c>
      <c r="H60" s="13">
        <f t="shared" si="27"/>
        <v>1328.0000000000005</v>
      </c>
      <c r="I60" s="13">
        <f t="shared" si="27"/>
        <v>1328.0000000000005</v>
      </c>
      <c r="J60" s="13">
        <f t="shared" si="27"/>
        <v>1328.0000000000005</v>
      </c>
      <c r="K60" s="13">
        <f t="shared" si="27"/>
        <v>1328.0000000000005</v>
      </c>
      <c r="L60" s="13">
        <f t="shared" si="27"/>
        <v>1328.0000000000005</v>
      </c>
      <c r="M60" s="13">
        <f t="shared" si="27"/>
        <v>1328.0000000000005</v>
      </c>
      <c r="N60" s="13">
        <f t="shared" si="27"/>
        <v>1328.0000000000005</v>
      </c>
      <c r="O60" s="13">
        <f t="shared" si="27"/>
        <v>1328.0000000000005</v>
      </c>
      <c r="P60" s="13">
        <f t="shared" si="27"/>
        <v>1328.0000000000005</v>
      </c>
      <c r="Q60" s="13">
        <f t="shared" si="27"/>
        <v>1328.0000000000005</v>
      </c>
    </row>
    <row r="61" spans="1:23" x14ac:dyDescent="0.25">
      <c r="A61" s="12" t="s">
        <v>21</v>
      </c>
      <c r="B61" s="13">
        <f>-B51</f>
        <v>0</v>
      </c>
      <c r="C61" s="13">
        <f>B61-C51</f>
        <v>0</v>
      </c>
      <c r="D61" s="13">
        <f t="shared" ref="D61:Q61" si="28">C61-D51</f>
        <v>0</v>
      </c>
      <c r="E61" s="13">
        <f t="shared" si="28"/>
        <v>0</v>
      </c>
      <c r="F61" s="13">
        <f t="shared" si="28"/>
        <v>0</v>
      </c>
      <c r="G61" s="13">
        <f t="shared" si="28"/>
        <v>0</v>
      </c>
      <c r="H61" s="13">
        <f t="shared" si="28"/>
        <v>0</v>
      </c>
      <c r="I61" s="13">
        <f t="shared" si="28"/>
        <v>0</v>
      </c>
      <c r="J61" s="13">
        <f t="shared" si="28"/>
        <v>0</v>
      </c>
      <c r="K61" s="13">
        <f t="shared" si="28"/>
        <v>0</v>
      </c>
      <c r="L61" s="13">
        <f t="shared" si="28"/>
        <v>0</v>
      </c>
      <c r="M61" s="13">
        <f t="shared" si="28"/>
        <v>0</v>
      </c>
      <c r="N61" s="13">
        <f t="shared" si="28"/>
        <v>0</v>
      </c>
      <c r="O61" s="13">
        <f t="shared" si="28"/>
        <v>0</v>
      </c>
      <c r="P61" s="13">
        <f t="shared" si="28"/>
        <v>0</v>
      </c>
      <c r="Q61" s="13">
        <f t="shared" si="28"/>
        <v>0</v>
      </c>
    </row>
    <row r="62" spans="1:23" x14ac:dyDescent="0.25">
      <c r="A62" s="12" t="s">
        <v>24</v>
      </c>
      <c r="B62" s="13">
        <f>B53</f>
        <v>0</v>
      </c>
      <c r="C62" s="13">
        <f>C53</f>
        <v>42.191003976510778</v>
      </c>
      <c r="D62" s="13">
        <f t="shared" ref="D62:Q62" si="29">D53</f>
        <v>44.800194930193676</v>
      </c>
      <c r="E62" s="13">
        <f t="shared" si="29"/>
        <v>47.459809476792337</v>
      </c>
      <c r="F62" s="13">
        <f t="shared" si="29"/>
        <v>50.170376827987901</v>
      </c>
      <c r="G62" s="13">
        <f t="shared" si="29"/>
        <v>52.932409212237324</v>
      </c>
      <c r="H62" s="13">
        <f t="shared" si="29"/>
        <v>55.74640020456166</v>
      </c>
      <c r="I62" s="13">
        <f t="shared" si="29"/>
        <v>58.612822961706115</v>
      </c>
      <c r="J62" s="13">
        <f t="shared" si="29"/>
        <v>61.532128358002481</v>
      </c>
      <c r="K62" s="13">
        <f t="shared" si="29"/>
        <v>64.504743017048455</v>
      </c>
      <c r="L62" s="13">
        <f t="shared" si="29"/>
        <v>67.531067234088255</v>
      </c>
      <c r="M62" s="13">
        <f t="shared" si="29"/>
        <v>70.611472783741021</v>
      </c>
      <c r="N62" s="13">
        <f t="shared" si="29"/>
        <v>73.746300607472008</v>
      </c>
      <c r="O62" s="13">
        <f t="shared" si="29"/>
        <v>76.93585837494193</v>
      </c>
      <c r="P62" s="13">
        <f t="shared" si="29"/>
        <v>80.18041791309534</v>
      </c>
      <c r="Q62" s="13">
        <f t="shared" si="29"/>
        <v>83.480212496563666</v>
      </c>
    </row>
    <row r="63" spans="1:23" x14ac:dyDescent="0.25">
      <c r="A63" s="6" t="s">
        <v>26</v>
      </c>
      <c r="B63" s="41">
        <f>SUM(B59:B62)</f>
        <v>1328.0000000000005</v>
      </c>
      <c r="C63" s="41">
        <f>SUM(C59:C62)</f>
        <v>1370.1910039765112</v>
      </c>
      <c r="D63" s="41">
        <f t="shared" ref="D63:Q63" si="30">SUM(D59:D62)</f>
        <v>1372.800194930194</v>
      </c>
      <c r="E63" s="41">
        <f t="shared" si="30"/>
        <v>1375.4598094767928</v>
      </c>
      <c r="F63" s="41">
        <f t="shared" si="30"/>
        <v>1378.1703768279883</v>
      </c>
      <c r="G63" s="41">
        <f t="shared" si="30"/>
        <v>1380.9324092122379</v>
      </c>
      <c r="H63" s="41">
        <f t="shared" si="30"/>
        <v>1383.7464002045622</v>
      </c>
      <c r="I63" s="41">
        <f t="shared" si="30"/>
        <v>1386.6128229617066</v>
      </c>
      <c r="J63" s="41">
        <f t="shared" si="30"/>
        <v>1389.5321283580029</v>
      </c>
      <c r="K63" s="41">
        <f t="shared" si="30"/>
        <v>1392.5047430170489</v>
      </c>
      <c r="L63" s="41">
        <f t="shared" si="30"/>
        <v>1395.5310672340888</v>
      </c>
      <c r="M63" s="41">
        <f t="shared" si="30"/>
        <v>1398.6114727837414</v>
      </c>
      <c r="N63" s="41">
        <f t="shared" si="30"/>
        <v>1401.7463006074724</v>
      </c>
      <c r="O63" s="41">
        <f t="shared" si="30"/>
        <v>1404.9358583749424</v>
      </c>
      <c r="P63" s="41">
        <f t="shared" si="30"/>
        <v>1408.1804179130959</v>
      </c>
      <c r="Q63" s="41">
        <f t="shared" si="30"/>
        <v>1411.480212496564</v>
      </c>
    </row>
    <row r="64" spans="1:23" x14ac:dyDescent="0.25">
      <c r="A64" s="12" t="s">
        <v>78</v>
      </c>
      <c r="B64" s="13">
        <f>B63-B56-B57</f>
        <v>0</v>
      </c>
      <c r="C64" s="13">
        <f>C63-C56-C57</f>
        <v>0</v>
      </c>
      <c r="D64" s="13">
        <f t="shared" ref="D64:Q64" si="31">D63-D56-D57</f>
        <v>0</v>
      </c>
      <c r="E64" s="13">
        <f t="shared" si="31"/>
        <v>0</v>
      </c>
      <c r="F64" s="13">
        <f t="shared" si="31"/>
        <v>0</v>
      </c>
      <c r="G64" s="13">
        <f t="shared" si="31"/>
        <v>0</v>
      </c>
      <c r="H64" s="13">
        <f t="shared" si="31"/>
        <v>0</v>
      </c>
      <c r="I64" s="13">
        <f t="shared" si="31"/>
        <v>0</v>
      </c>
      <c r="J64" s="13">
        <f t="shared" si="31"/>
        <v>0</v>
      </c>
      <c r="K64" s="13">
        <f t="shared" si="31"/>
        <v>0</v>
      </c>
      <c r="L64" s="13">
        <f t="shared" si="31"/>
        <v>0</v>
      </c>
      <c r="M64" s="13">
        <f t="shared" si="31"/>
        <v>0</v>
      </c>
      <c r="N64" s="13">
        <f t="shared" si="31"/>
        <v>0</v>
      </c>
      <c r="O64" s="13">
        <f t="shared" si="31"/>
        <v>0</v>
      </c>
      <c r="P64" s="13">
        <f t="shared" si="31"/>
        <v>1.9895196601282805E-13</v>
      </c>
      <c r="Q64" s="13">
        <f t="shared" si="31"/>
        <v>1.7053025658242404E-13</v>
      </c>
    </row>
    <row r="65" spans="1:17" x14ac:dyDescent="0.25">
      <c r="A6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x14ac:dyDescent="0.25">
      <c r="A66" s="6" t="s">
        <v>79</v>
      </c>
      <c r="B66" s="13"/>
      <c r="C66" s="7" t="str">
        <f>C55</f>
        <v>A1</v>
      </c>
      <c r="D66" s="7" t="str">
        <f t="shared" ref="D66:Q66" si="32">D55</f>
        <v>A2</v>
      </c>
      <c r="E66" s="7" t="str">
        <f t="shared" si="32"/>
        <v>A3</v>
      </c>
      <c r="F66" s="7" t="str">
        <f t="shared" si="32"/>
        <v>A4</v>
      </c>
      <c r="G66" s="7" t="str">
        <f t="shared" si="32"/>
        <v>A5</v>
      </c>
      <c r="H66" s="7" t="str">
        <f t="shared" si="32"/>
        <v>A6</v>
      </c>
      <c r="I66" s="7" t="str">
        <f t="shared" si="32"/>
        <v>A7</v>
      </c>
      <c r="J66" s="7" t="str">
        <f t="shared" si="32"/>
        <v>A8</v>
      </c>
      <c r="K66" s="7" t="str">
        <f t="shared" si="32"/>
        <v>A9</v>
      </c>
      <c r="L66" s="7" t="str">
        <f t="shared" si="32"/>
        <v>A10</v>
      </c>
      <c r="M66" s="7" t="str">
        <f t="shared" si="32"/>
        <v>A11</v>
      </c>
      <c r="N66" s="7" t="str">
        <f t="shared" si="32"/>
        <v>A12</v>
      </c>
      <c r="O66" s="7" t="str">
        <f t="shared" si="32"/>
        <v>A13</v>
      </c>
      <c r="P66" s="7" t="str">
        <f t="shared" si="32"/>
        <v>A14</v>
      </c>
      <c r="Q66" s="7" t="str">
        <f t="shared" si="32"/>
        <v>A15</v>
      </c>
    </row>
    <row r="67" spans="1:17" x14ac:dyDescent="0.25">
      <c r="A67" s="12" t="s">
        <v>80</v>
      </c>
      <c r="B67" s="13">
        <f>-B47</f>
        <v>-398.40000000000015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x14ac:dyDescent="0.25">
      <c r="A68" s="12" t="s">
        <v>81</v>
      </c>
      <c r="B68" s="13"/>
      <c r="C68" s="12"/>
      <c r="D68" s="13">
        <f>-D47</f>
        <v>42.191003976510778</v>
      </c>
      <c r="E68" s="13">
        <f t="shared" ref="E68:Q68" si="33">-E47</f>
        <v>44.800194930193676</v>
      </c>
      <c r="F68" s="13">
        <f t="shared" si="33"/>
        <v>47.459809476792337</v>
      </c>
      <c r="G68" s="13">
        <f t="shared" si="33"/>
        <v>50.170376827987901</v>
      </c>
      <c r="H68" s="13">
        <f t="shared" si="33"/>
        <v>52.932409212237324</v>
      </c>
      <c r="I68" s="13">
        <f t="shared" si="33"/>
        <v>55.74640020456166</v>
      </c>
      <c r="J68" s="13">
        <f t="shared" si="33"/>
        <v>58.612822961706115</v>
      </c>
      <c r="K68" s="13">
        <f t="shared" si="33"/>
        <v>61.532128358002481</v>
      </c>
      <c r="L68" s="13">
        <f t="shared" si="33"/>
        <v>64.504743017048455</v>
      </c>
      <c r="M68" s="13">
        <f t="shared" si="33"/>
        <v>67.531067234088255</v>
      </c>
      <c r="N68" s="13">
        <f t="shared" si="33"/>
        <v>70.611472783741021</v>
      </c>
      <c r="O68" s="13">
        <f t="shared" si="33"/>
        <v>73.746300607472008</v>
      </c>
      <c r="P68" s="13">
        <f t="shared" si="33"/>
        <v>76.93585837494193</v>
      </c>
      <c r="Q68" s="13">
        <f t="shared" si="33"/>
        <v>80.18041791309534</v>
      </c>
    </row>
    <row r="69" spans="1:17" x14ac:dyDescent="0.25">
      <c r="A69" s="12" t="s">
        <v>82</v>
      </c>
      <c r="B69" s="13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>
        <f>G26</f>
        <v>1367.7607269706173</v>
      </c>
    </row>
    <row r="70" spans="1:17" x14ac:dyDescent="0.25">
      <c r="A70" s="12" t="s">
        <v>19</v>
      </c>
      <c r="B70" s="13">
        <f>SUM(B67:B69)</f>
        <v>-398.40000000000015</v>
      </c>
      <c r="C70" s="12">
        <f t="shared" ref="C70:Q70" si="34">SUM(C67:C69)</f>
        <v>0</v>
      </c>
      <c r="D70" s="13">
        <f t="shared" si="34"/>
        <v>42.191003976510778</v>
      </c>
      <c r="E70" s="13">
        <f t="shared" si="34"/>
        <v>44.800194930193676</v>
      </c>
      <c r="F70" s="13">
        <f t="shared" si="34"/>
        <v>47.459809476792337</v>
      </c>
      <c r="G70" s="13">
        <f t="shared" si="34"/>
        <v>50.170376827987901</v>
      </c>
      <c r="H70" s="13">
        <f t="shared" si="34"/>
        <v>52.932409212237324</v>
      </c>
      <c r="I70" s="13">
        <f t="shared" si="34"/>
        <v>55.74640020456166</v>
      </c>
      <c r="J70" s="13">
        <f t="shared" si="34"/>
        <v>58.612822961706115</v>
      </c>
      <c r="K70" s="13">
        <f t="shared" si="34"/>
        <v>61.532128358002481</v>
      </c>
      <c r="L70" s="13">
        <f t="shared" si="34"/>
        <v>64.504743017048455</v>
      </c>
      <c r="M70" s="13">
        <f t="shared" si="34"/>
        <v>67.531067234088255</v>
      </c>
      <c r="N70" s="13">
        <f t="shared" si="34"/>
        <v>70.611472783741021</v>
      </c>
      <c r="O70" s="13">
        <f t="shared" si="34"/>
        <v>73.746300607472008</v>
      </c>
      <c r="P70" s="13">
        <f t="shared" si="34"/>
        <v>76.93585837494193</v>
      </c>
      <c r="Q70" s="13">
        <f t="shared" si="34"/>
        <v>1447.9411448837127</v>
      </c>
    </row>
    <row r="71" spans="1:17" x14ac:dyDescent="0.25">
      <c r="A71" s="12" t="s">
        <v>22</v>
      </c>
      <c r="B71" s="65">
        <f>IRR(B70:Q70)</f>
        <v>0.16105257508809978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x14ac:dyDescent="0.25">
      <c r="A7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3">
    <mergeCell ref="E4:F4"/>
    <mergeCell ref="E14:F14"/>
    <mergeCell ref="E19:G19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zoomScale="85" zoomScaleNormal="85" workbookViewId="0">
      <selection activeCell="F24" sqref="F24"/>
    </sheetView>
  </sheetViews>
  <sheetFormatPr baseColWidth="10" defaultColWidth="8.7109375" defaultRowHeight="15" x14ac:dyDescent="0.25"/>
  <cols>
    <col min="1" max="1" width="16.5703125" customWidth="1"/>
    <col min="2" max="3" width="7.85546875" customWidth="1"/>
    <col min="4" max="4" width="9.5703125" customWidth="1"/>
    <col min="5" max="5" width="9.7109375" customWidth="1"/>
  </cols>
  <sheetData>
    <row r="1" spans="1:2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0" x14ac:dyDescent="0.25">
      <c r="A2" s="1" t="s">
        <v>83</v>
      </c>
      <c r="R2" t="s">
        <v>1</v>
      </c>
    </row>
    <row r="3" spans="1:2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0" x14ac:dyDescent="0.25">
      <c r="A4" s="12" t="s">
        <v>84</v>
      </c>
      <c r="B4" s="66">
        <f>'tronc commun'!B16</f>
        <v>300</v>
      </c>
      <c r="C4" s="12" t="s">
        <v>4</v>
      </c>
      <c r="E4" s="6" t="s">
        <v>15</v>
      </c>
      <c r="F4" s="5" t="s">
        <v>54</v>
      </c>
      <c r="G4" s="5" t="s">
        <v>55</v>
      </c>
      <c r="H4" s="5" t="s">
        <v>56</v>
      </c>
      <c r="I4" s="5" t="s">
        <v>57</v>
      </c>
      <c r="J4" s="5" t="s">
        <v>58</v>
      </c>
      <c r="K4" s="5" t="s">
        <v>59</v>
      </c>
      <c r="L4" s="5" t="s">
        <v>60</v>
      </c>
      <c r="M4" s="5" t="s">
        <v>61</v>
      </c>
      <c r="N4" s="5" t="s">
        <v>62</v>
      </c>
      <c r="O4" s="5" t="s">
        <v>63</v>
      </c>
      <c r="P4" s="5" t="s">
        <v>64</v>
      </c>
      <c r="Q4" s="5" t="s">
        <v>65</v>
      </c>
      <c r="R4" s="5" t="s">
        <v>66</v>
      </c>
      <c r="S4" s="5" t="s">
        <v>67</v>
      </c>
      <c r="T4" s="5" t="s">
        <v>68</v>
      </c>
    </row>
    <row r="5" spans="1:20" x14ac:dyDescent="0.25">
      <c r="A5" s="12" t="s">
        <v>85</v>
      </c>
      <c r="B5" s="67">
        <f>'tronc commun'!B21</f>
        <v>0.3</v>
      </c>
      <c r="C5" s="68"/>
      <c r="E5" s="12" t="s">
        <v>10</v>
      </c>
      <c r="F5" s="12">
        <f>-B6</f>
        <v>-90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2" t="s">
        <v>86</v>
      </c>
      <c r="B6" s="66">
        <f>B5*B4</f>
        <v>90</v>
      </c>
      <c r="C6" s="12"/>
      <c r="E6" s="12" t="s">
        <v>13</v>
      </c>
      <c r="F6" s="13">
        <f t="shared" ref="F6:T6" si="0">-C30</f>
        <v>0</v>
      </c>
      <c r="G6" s="13">
        <f t="shared" si="0"/>
        <v>-0.19249999999999901</v>
      </c>
      <c r="H6" s="13">
        <f t="shared" si="0"/>
        <v>0.84563687499999851</v>
      </c>
      <c r="I6" s="13">
        <f t="shared" si="0"/>
        <v>1.9435956104687477</v>
      </c>
      <c r="J6" s="13">
        <f t="shared" si="0"/>
        <v>3.0569112821004261</v>
      </c>
      <c r="K6" s="13">
        <f t="shared" si="0"/>
        <v>4.1842098252903313</v>
      </c>
      <c r="L6" s="13">
        <f t="shared" si="0"/>
        <v>5.3257735687860972</v>
      </c>
      <c r="M6" s="13">
        <f t="shared" si="0"/>
        <v>6.4819565705490305</v>
      </c>
      <c r="N6" s="13">
        <f t="shared" si="0"/>
        <v>7.6531242136550333</v>
      </c>
      <c r="O6" s="13">
        <f t="shared" si="0"/>
        <v>8.8396511103746214</v>
      </c>
      <c r="P6" s="13">
        <f t="shared" si="0"/>
        <v>10.041921241904198</v>
      </c>
      <c r="Q6" s="13">
        <f t="shared" si="0"/>
        <v>11.260328189108513</v>
      </c>
      <c r="R6" s="13">
        <f t="shared" si="0"/>
        <v>12.495275372379218</v>
      </c>
      <c r="S6" s="13">
        <f t="shared" si="0"/>
        <v>13.747176297617969</v>
      </c>
      <c r="T6" s="13">
        <f t="shared" si="0"/>
        <v>15.016454808373958</v>
      </c>
    </row>
    <row r="7" spans="1:20" x14ac:dyDescent="0.25">
      <c r="A7" s="12" t="s">
        <v>12</v>
      </c>
      <c r="B7" s="66">
        <f>B4-B6</f>
        <v>210</v>
      </c>
      <c r="C7" s="12"/>
      <c r="E7" s="12" t="s">
        <v>16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>
        <f>R37*(1-$B$16)</f>
        <v>252.03842810491432</v>
      </c>
    </row>
    <row r="8" spans="1:20" x14ac:dyDescent="0.25">
      <c r="A8" s="12" t="s">
        <v>87</v>
      </c>
      <c r="B8" s="69">
        <v>4.4999999999999998E-2</v>
      </c>
      <c r="C8" s="63"/>
      <c r="E8" s="12" t="s">
        <v>19</v>
      </c>
      <c r="F8" s="92">
        <f>F5+F6+F7</f>
        <v>-90</v>
      </c>
      <c r="G8" s="93">
        <f t="shared" ref="G8:T8" si="1">G5+G6+G7</f>
        <v>-0.19249999999999901</v>
      </c>
      <c r="H8" s="92">
        <f t="shared" si="1"/>
        <v>0.84563687499999851</v>
      </c>
      <c r="I8" s="92">
        <f t="shared" si="1"/>
        <v>1.9435956104687477</v>
      </c>
      <c r="J8" s="92">
        <f t="shared" si="1"/>
        <v>3.0569112821004261</v>
      </c>
      <c r="K8" s="92">
        <f t="shared" si="1"/>
        <v>4.1842098252903313</v>
      </c>
      <c r="L8" s="92">
        <f t="shared" si="1"/>
        <v>5.3257735687860972</v>
      </c>
      <c r="M8" s="92">
        <f t="shared" si="1"/>
        <v>6.4819565705490305</v>
      </c>
      <c r="N8" s="92">
        <f t="shared" si="1"/>
        <v>7.6531242136550333</v>
      </c>
      <c r="O8" s="92">
        <f t="shared" si="1"/>
        <v>8.8396511103746214</v>
      </c>
      <c r="P8" s="92">
        <f t="shared" si="1"/>
        <v>10.041921241904198</v>
      </c>
      <c r="Q8" s="92">
        <f t="shared" si="1"/>
        <v>11.260328189108513</v>
      </c>
      <c r="R8" s="92">
        <f t="shared" si="1"/>
        <v>12.495275372379218</v>
      </c>
      <c r="S8" s="92">
        <f t="shared" si="1"/>
        <v>13.747176297617969</v>
      </c>
      <c r="T8" s="92">
        <f t="shared" si="1"/>
        <v>267.05488291328828</v>
      </c>
    </row>
    <row r="9" spans="1:20" x14ac:dyDescent="0.25">
      <c r="A9" s="12" t="s">
        <v>88</v>
      </c>
      <c r="B9" s="70">
        <v>15</v>
      </c>
      <c r="C9" s="13"/>
      <c r="E9" s="39" t="s">
        <v>22</v>
      </c>
      <c r="F9" s="71">
        <f>IRR(F8:T8)</f>
        <v>0.11532507793623314</v>
      </c>
      <c r="G9" s="30"/>
      <c r="H9" s="39" t="s">
        <v>141</v>
      </c>
      <c r="I9" s="119">
        <f>NPV(5%,F8:T8)</f>
        <v>94.659528765459569</v>
      </c>
      <c r="J9" s="30"/>
      <c r="K9" s="127" t="s">
        <v>142</v>
      </c>
      <c r="L9" s="128"/>
      <c r="M9" s="9">
        <f>MIRR(F8:T8,5%,5%)</f>
        <v>0.10722582403590253</v>
      </c>
      <c r="N9" s="30"/>
      <c r="O9" s="30"/>
      <c r="P9" s="30"/>
      <c r="Q9" s="30"/>
      <c r="R9" s="30"/>
      <c r="S9" s="30"/>
      <c r="T9" s="30"/>
    </row>
    <row r="10" spans="1:20" x14ac:dyDescent="0.25">
      <c r="A10" s="12" t="s">
        <v>89</v>
      </c>
      <c r="B10" s="67">
        <v>0.08</v>
      </c>
      <c r="C10" s="68">
        <f>'[1]tronc commun'!C8</f>
        <v>2.5000000000000001E-2</v>
      </c>
      <c r="E10" s="76"/>
    </row>
    <row r="11" spans="1:20" x14ac:dyDescent="0.25">
      <c r="A11" s="12" t="s">
        <v>90</v>
      </c>
      <c r="B11" s="67">
        <v>0.15</v>
      </c>
      <c r="C11" s="12"/>
      <c r="E11" s="6" t="s">
        <v>91</v>
      </c>
      <c r="F11" s="12">
        <f>1</f>
        <v>1</v>
      </c>
      <c r="G11" s="12">
        <f t="shared" ref="G11:T11" si="2">F11+1</f>
        <v>2</v>
      </c>
      <c r="H11" s="12">
        <f t="shared" si="2"/>
        <v>3</v>
      </c>
      <c r="I11" s="12">
        <f t="shared" si="2"/>
        <v>4</v>
      </c>
      <c r="J11" s="12">
        <f t="shared" si="2"/>
        <v>5</v>
      </c>
      <c r="K11" s="12">
        <f t="shared" si="2"/>
        <v>6</v>
      </c>
      <c r="L11" s="12">
        <f t="shared" si="2"/>
        <v>7</v>
      </c>
      <c r="M11" s="12">
        <f t="shared" si="2"/>
        <v>8</v>
      </c>
      <c r="N11" s="12">
        <f t="shared" si="2"/>
        <v>9</v>
      </c>
      <c r="O11" s="12">
        <f t="shared" si="2"/>
        <v>10</v>
      </c>
      <c r="P11" s="12">
        <f t="shared" si="2"/>
        <v>11</v>
      </c>
      <c r="Q11" s="12">
        <f t="shared" si="2"/>
        <v>12</v>
      </c>
      <c r="R11" s="12">
        <f t="shared" si="2"/>
        <v>13</v>
      </c>
      <c r="S11" s="12">
        <f t="shared" si="2"/>
        <v>14</v>
      </c>
      <c r="T11" s="12">
        <f t="shared" si="2"/>
        <v>15</v>
      </c>
    </row>
    <row r="12" spans="1:20" x14ac:dyDescent="0.25">
      <c r="A12" s="12" t="s">
        <v>92</v>
      </c>
      <c r="B12" s="67">
        <v>0</v>
      </c>
      <c r="C12" s="68"/>
      <c r="E12" s="12" t="s">
        <v>10</v>
      </c>
      <c r="F12" s="12">
        <f>-B6</f>
        <v>-90</v>
      </c>
      <c r="G12" s="13">
        <f t="shared" ref="G12:S12" si="3">-D57</f>
        <v>-23.45</v>
      </c>
      <c r="H12" s="13">
        <f t="shared" si="3"/>
        <v>-23.875250000000001</v>
      </c>
      <c r="I12" s="13">
        <f t="shared" si="3"/>
        <v>-23.264386250000001</v>
      </c>
      <c r="J12" s="13">
        <f t="shared" si="3"/>
        <v>-22.60689738125</v>
      </c>
      <c r="K12" s="13">
        <f t="shared" si="3"/>
        <v>-21.94731038215625</v>
      </c>
      <c r="L12" s="13">
        <f t="shared" si="3"/>
        <v>-21.28762896719703</v>
      </c>
      <c r="M12" s="13">
        <f t="shared" si="3"/>
        <v>-20.627943303523868</v>
      </c>
      <c r="N12" s="13">
        <f t="shared" si="3"/>
        <v>-19.968257448658573</v>
      </c>
      <c r="O12" s="13">
        <f t="shared" si="3"/>
        <v>-19.308571585189636</v>
      </c>
      <c r="P12" s="13">
        <f t="shared" si="3"/>
        <v>-18.648885721333535</v>
      </c>
      <c r="Q12" s="13">
        <f t="shared" si="3"/>
        <v>-17.989199857460008</v>
      </c>
      <c r="R12" s="13">
        <f t="shared" si="3"/>
        <v>-17.329513993585699</v>
      </c>
      <c r="S12" s="13">
        <f t="shared" si="3"/>
        <v>-16.669828129711355</v>
      </c>
      <c r="T12" s="12"/>
    </row>
    <row r="13" spans="1:20" x14ac:dyDescent="0.25">
      <c r="A13" s="12" t="s">
        <v>93</v>
      </c>
      <c r="B13" s="72">
        <v>25</v>
      </c>
      <c r="C13" s="68"/>
      <c r="E13" s="12" t="s">
        <v>13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x14ac:dyDescent="0.25">
      <c r="A14" s="32" t="s">
        <v>94</v>
      </c>
      <c r="B14" s="73">
        <v>0.02</v>
      </c>
      <c r="C14" s="74"/>
      <c r="E14" s="12" t="s">
        <v>16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>
        <f>R64*(1-B16)-B11*R51</f>
        <v>1694.6785253849737</v>
      </c>
    </row>
    <row r="15" spans="1:20" x14ac:dyDescent="0.25">
      <c r="A15" s="32" t="s">
        <v>95</v>
      </c>
      <c r="B15" s="90">
        <f>'tronc commun'!I9</f>
        <v>0.16105257508809978</v>
      </c>
      <c r="C15" s="74"/>
      <c r="E15" s="12" t="s">
        <v>19</v>
      </c>
      <c r="F15" s="13">
        <f t="shared" ref="F15:T15" si="4">F12+F13+F14</f>
        <v>-90</v>
      </c>
      <c r="G15" s="13">
        <f t="shared" si="4"/>
        <v>-23.45</v>
      </c>
      <c r="H15" s="13">
        <f t="shared" si="4"/>
        <v>-23.875250000000001</v>
      </c>
      <c r="I15" s="13">
        <f t="shared" si="4"/>
        <v>-23.264386250000001</v>
      </c>
      <c r="J15" s="13">
        <f t="shared" si="4"/>
        <v>-22.60689738125</v>
      </c>
      <c r="K15" s="13">
        <f t="shared" si="4"/>
        <v>-21.94731038215625</v>
      </c>
      <c r="L15" s="13">
        <f t="shared" si="4"/>
        <v>-21.28762896719703</v>
      </c>
      <c r="M15" s="13">
        <f t="shared" si="4"/>
        <v>-20.627943303523868</v>
      </c>
      <c r="N15" s="13">
        <f t="shared" si="4"/>
        <v>-19.968257448658573</v>
      </c>
      <c r="O15" s="13">
        <f t="shared" si="4"/>
        <v>-19.308571585189636</v>
      </c>
      <c r="P15" s="13">
        <f t="shared" si="4"/>
        <v>-18.648885721333535</v>
      </c>
      <c r="Q15" s="13">
        <f t="shared" si="4"/>
        <v>-17.989199857460008</v>
      </c>
      <c r="R15" s="13">
        <f t="shared" si="4"/>
        <v>-17.329513993585699</v>
      </c>
      <c r="S15" s="13">
        <f t="shared" si="4"/>
        <v>-16.669828129711355</v>
      </c>
      <c r="T15" s="13">
        <f t="shared" si="4"/>
        <v>1694.6785253849737</v>
      </c>
    </row>
    <row r="16" spans="1:20" x14ac:dyDescent="0.25">
      <c r="A16" s="32" t="s">
        <v>51</v>
      </c>
      <c r="B16" s="73">
        <v>0.4</v>
      </c>
      <c r="C16" s="74"/>
      <c r="E16" s="39" t="s">
        <v>22</v>
      </c>
      <c r="F16" s="71">
        <f>IRR(F15:T15)</f>
        <v>0.1629740890118283</v>
      </c>
      <c r="G16" s="30"/>
      <c r="H16" s="39" t="s">
        <v>141</v>
      </c>
      <c r="I16" s="119">
        <f>NPV(5%,F15:T15)</f>
        <v>541.98438282615666</v>
      </c>
      <c r="J16" s="30"/>
      <c r="K16" s="127" t="str">
        <f>K9</f>
        <v>TRIM(5%,4%)</v>
      </c>
      <c r="L16" s="128"/>
      <c r="M16" s="9">
        <f>MIRR(F15:T15,5%,5%)</f>
        <v>0.13527989111009986</v>
      </c>
      <c r="N16" s="30"/>
      <c r="O16" s="30"/>
      <c r="P16" s="30"/>
      <c r="Q16" s="30"/>
      <c r="R16" s="30"/>
      <c r="S16" s="30"/>
      <c r="T16" s="30"/>
    </row>
    <row r="17" spans="1:20" x14ac:dyDescent="0.25">
      <c r="A17" s="32" t="s">
        <v>96</v>
      </c>
      <c r="B17" s="75">
        <v>0.05</v>
      </c>
      <c r="C17" s="74"/>
      <c r="D17" s="50"/>
      <c r="E17" s="76"/>
      <c r="F17" s="91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2"/>
    </row>
    <row r="18" spans="1:20" x14ac:dyDescent="0.25">
      <c r="A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9" spans="1:20" x14ac:dyDescent="0.25">
      <c r="A19" s="77" t="s">
        <v>34</v>
      </c>
      <c r="B19" s="78" t="s">
        <v>7</v>
      </c>
      <c r="C19" s="78" t="str">
        <f>F4</f>
        <v>A1</v>
      </c>
      <c r="D19" s="78" t="str">
        <f t="shared" ref="D19:Q19" si="5">G4</f>
        <v>A2</v>
      </c>
      <c r="E19" s="78" t="str">
        <f t="shared" si="5"/>
        <v>A3</v>
      </c>
      <c r="F19" s="78" t="str">
        <f t="shared" si="5"/>
        <v>A4</v>
      </c>
      <c r="G19" s="78" t="str">
        <f t="shared" si="5"/>
        <v>A5</v>
      </c>
      <c r="H19" s="78" t="str">
        <f t="shared" si="5"/>
        <v>A6</v>
      </c>
      <c r="I19" s="78" t="str">
        <f t="shared" si="5"/>
        <v>A7</v>
      </c>
      <c r="J19" s="78" t="str">
        <f t="shared" si="5"/>
        <v>A8</v>
      </c>
      <c r="K19" s="78" t="str">
        <f t="shared" si="5"/>
        <v>A9</v>
      </c>
      <c r="L19" s="78" t="str">
        <f t="shared" si="5"/>
        <v>A10</v>
      </c>
      <c r="M19" s="78" t="str">
        <f t="shared" si="5"/>
        <v>A11</v>
      </c>
      <c r="N19" s="78" t="str">
        <f t="shared" si="5"/>
        <v>A12</v>
      </c>
      <c r="O19" s="78" t="str">
        <f t="shared" si="5"/>
        <v>A13</v>
      </c>
      <c r="P19" s="78" t="str">
        <f t="shared" si="5"/>
        <v>A14</v>
      </c>
      <c r="Q19" s="78" t="str">
        <f t="shared" si="5"/>
        <v>A15</v>
      </c>
      <c r="R19" s="79"/>
    </row>
    <row r="20" spans="1:20" x14ac:dyDescent="0.25">
      <c r="A20" s="80" t="s">
        <v>97</v>
      </c>
      <c r="B20" s="80"/>
      <c r="C20" s="81">
        <f>B10*B4</f>
        <v>24</v>
      </c>
      <c r="D20" s="81">
        <f>C20*(1+$C$10)</f>
        <v>24.599999999999998</v>
      </c>
      <c r="E20" s="81">
        <f t="shared" ref="E20:Q20" si="6">D20*(1+$C$10)</f>
        <v>25.214999999999996</v>
      </c>
      <c r="F20" s="81">
        <f t="shared" si="6"/>
        <v>25.845374999999994</v>
      </c>
      <c r="G20" s="81">
        <f t="shared" si="6"/>
        <v>26.491509374999993</v>
      </c>
      <c r="H20" s="81">
        <f t="shared" si="6"/>
        <v>27.153797109374992</v>
      </c>
      <c r="I20" s="81">
        <f t="shared" si="6"/>
        <v>27.832642037109363</v>
      </c>
      <c r="J20" s="81">
        <f t="shared" si="6"/>
        <v>28.528458088037095</v>
      </c>
      <c r="K20" s="81">
        <f t="shared" si="6"/>
        <v>29.241669540238018</v>
      </c>
      <c r="L20" s="81">
        <f t="shared" si="6"/>
        <v>29.972711278743965</v>
      </c>
      <c r="M20" s="81">
        <f t="shared" si="6"/>
        <v>30.722029060712561</v>
      </c>
      <c r="N20" s="81">
        <f t="shared" si="6"/>
        <v>31.490079787230371</v>
      </c>
      <c r="O20" s="81">
        <f t="shared" si="6"/>
        <v>32.27733178191113</v>
      </c>
      <c r="P20" s="81">
        <f t="shared" si="6"/>
        <v>33.084265076458905</v>
      </c>
      <c r="Q20" s="81">
        <f t="shared" si="6"/>
        <v>33.911371703370378</v>
      </c>
      <c r="R20" s="79"/>
    </row>
    <row r="21" spans="1:20" x14ac:dyDescent="0.25">
      <c r="A21" s="80" t="s">
        <v>92</v>
      </c>
      <c r="B21" s="80"/>
      <c r="C21" s="81">
        <f t="shared" ref="C21:Q21" si="7">$B$12*C20</f>
        <v>0</v>
      </c>
      <c r="D21" s="81">
        <f t="shared" si="7"/>
        <v>0</v>
      </c>
      <c r="E21" s="81">
        <f t="shared" si="7"/>
        <v>0</v>
      </c>
      <c r="F21" s="81">
        <f t="shared" si="7"/>
        <v>0</v>
      </c>
      <c r="G21" s="81">
        <f t="shared" si="7"/>
        <v>0</v>
      </c>
      <c r="H21" s="81">
        <f t="shared" si="7"/>
        <v>0</v>
      </c>
      <c r="I21" s="81">
        <f t="shared" si="7"/>
        <v>0</v>
      </c>
      <c r="J21" s="81">
        <f t="shared" si="7"/>
        <v>0</v>
      </c>
      <c r="K21" s="81">
        <f t="shared" si="7"/>
        <v>0</v>
      </c>
      <c r="L21" s="81">
        <f t="shared" si="7"/>
        <v>0</v>
      </c>
      <c r="M21" s="81">
        <f t="shared" si="7"/>
        <v>0</v>
      </c>
      <c r="N21" s="81">
        <f t="shared" si="7"/>
        <v>0</v>
      </c>
      <c r="O21" s="81">
        <f t="shared" si="7"/>
        <v>0</v>
      </c>
      <c r="P21" s="81">
        <f t="shared" si="7"/>
        <v>0</v>
      </c>
      <c r="Q21" s="81">
        <f t="shared" si="7"/>
        <v>0</v>
      </c>
      <c r="R21" s="79"/>
    </row>
    <row r="22" spans="1:20" x14ac:dyDescent="0.25">
      <c r="A22" s="80" t="s">
        <v>98</v>
      </c>
      <c r="B22" s="80"/>
      <c r="C22" s="81">
        <f>B4*80%/B13</f>
        <v>9.6</v>
      </c>
      <c r="D22" s="81">
        <f>C22</f>
        <v>9.6</v>
      </c>
      <c r="E22" s="81">
        <f t="shared" ref="E22:Q22" si="8">D22</f>
        <v>9.6</v>
      </c>
      <c r="F22" s="81">
        <f t="shared" si="8"/>
        <v>9.6</v>
      </c>
      <c r="G22" s="81">
        <f t="shared" si="8"/>
        <v>9.6</v>
      </c>
      <c r="H22" s="81">
        <f t="shared" si="8"/>
        <v>9.6</v>
      </c>
      <c r="I22" s="81">
        <f t="shared" si="8"/>
        <v>9.6</v>
      </c>
      <c r="J22" s="81">
        <f t="shared" si="8"/>
        <v>9.6</v>
      </c>
      <c r="K22" s="81">
        <f t="shared" si="8"/>
        <v>9.6</v>
      </c>
      <c r="L22" s="81">
        <f t="shared" si="8"/>
        <v>9.6</v>
      </c>
      <c r="M22" s="81">
        <f t="shared" si="8"/>
        <v>9.6</v>
      </c>
      <c r="N22" s="81">
        <f t="shared" si="8"/>
        <v>9.6</v>
      </c>
      <c r="O22" s="81">
        <f t="shared" si="8"/>
        <v>9.6</v>
      </c>
      <c r="P22" s="81">
        <f t="shared" si="8"/>
        <v>9.6</v>
      </c>
      <c r="Q22" s="81">
        <f t="shared" si="8"/>
        <v>9.6</v>
      </c>
      <c r="R22" s="79"/>
    </row>
    <row r="23" spans="1:20" x14ac:dyDescent="0.25">
      <c r="A23" s="80" t="s">
        <v>99</v>
      </c>
      <c r="B23" s="80"/>
      <c r="C23" s="81">
        <f>C20-C21-C22</f>
        <v>14.4</v>
      </c>
      <c r="D23" s="81">
        <f t="shared" ref="D23:Q23" si="9">D20-D21-D22</f>
        <v>14.999999999999998</v>
      </c>
      <c r="E23" s="81">
        <f t="shared" si="9"/>
        <v>15.614999999999997</v>
      </c>
      <c r="F23" s="81">
        <f t="shared" si="9"/>
        <v>16.245374999999996</v>
      </c>
      <c r="G23" s="81">
        <f t="shared" si="9"/>
        <v>16.891509374999991</v>
      </c>
      <c r="H23" s="81">
        <f t="shared" si="9"/>
        <v>17.55379710937499</v>
      </c>
      <c r="I23" s="81">
        <f t="shared" si="9"/>
        <v>18.232642037109365</v>
      </c>
      <c r="J23" s="81">
        <f t="shared" si="9"/>
        <v>18.928458088037097</v>
      </c>
      <c r="K23" s="81">
        <f t="shared" si="9"/>
        <v>19.64166954023802</v>
      </c>
      <c r="L23" s="81">
        <f t="shared" si="9"/>
        <v>20.372711278743964</v>
      </c>
      <c r="M23" s="81">
        <f t="shared" si="9"/>
        <v>21.122029060712563</v>
      </c>
      <c r="N23" s="81">
        <f t="shared" si="9"/>
        <v>21.89007978723037</v>
      </c>
      <c r="O23" s="81">
        <f t="shared" si="9"/>
        <v>22.677331781911128</v>
      </c>
      <c r="P23" s="81">
        <f t="shared" si="9"/>
        <v>23.484265076458904</v>
      </c>
      <c r="Q23" s="81">
        <f t="shared" si="9"/>
        <v>24.311371703370376</v>
      </c>
      <c r="R23" s="79"/>
    </row>
    <row r="24" spans="1:20" x14ac:dyDescent="0.25">
      <c r="A24" s="80" t="s">
        <v>100</v>
      </c>
      <c r="B24" s="80"/>
      <c r="C24" s="81">
        <f>-(B38-B41)*$B$8</f>
        <v>-9.4499999999999993</v>
      </c>
      <c r="D24" s="81">
        <f t="shared" ref="D24:Q24" si="10">-(C38-C41)*$B$8</f>
        <v>-8.8286625000000001</v>
      </c>
      <c r="E24" s="81">
        <f t="shared" si="10"/>
        <v>-8.151946340624999</v>
      </c>
      <c r="F24" s="81">
        <f t="shared" si="10"/>
        <v>-7.4725381975289062</v>
      </c>
      <c r="G24" s="81">
        <f t="shared" si="10"/>
        <v>-6.7924389923054802</v>
      </c>
      <c r="H24" s="81">
        <f t="shared" si="10"/>
        <v>-6.1117105578619348</v>
      </c>
      <c r="I24" s="81">
        <f t="shared" si="10"/>
        <v>-5.4303401894046255</v>
      </c>
      <c r="J24" s="81">
        <f t="shared" si="10"/>
        <v>-4.7483119543252936</v>
      </c>
      <c r="K24" s="81">
        <f t="shared" si="10"/>
        <v>-4.0656094103855231</v>
      </c>
      <c r="L24" s="81">
        <f t="shared" si="10"/>
        <v>-3.3822157000331421</v>
      </c>
      <c r="M24" s="81">
        <f t="shared" si="10"/>
        <v>-2.6981135441143111</v>
      </c>
      <c r="N24" s="81">
        <f t="shared" si="10"/>
        <v>-2.0132852314901166</v>
      </c>
      <c r="O24" s="81">
        <f t="shared" si="10"/>
        <v>-1.3277126082429351</v>
      </c>
      <c r="P24" s="81">
        <f t="shared" si="10"/>
        <v>-0.6413770666071914</v>
      </c>
      <c r="Q24" s="81">
        <f t="shared" si="10"/>
        <v>4.574046637682809E-2</v>
      </c>
      <c r="R24" s="79"/>
    </row>
    <row r="25" spans="1:20" x14ac:dyDescent="0.25">
      <c r="A25" s="80" t="s">
        <v>90</v>
      </c>
      <c r="B25" s="80"/>
      <c r="C25" s="81">
        <f t="shared" ref="C25:Q25" si="11">-(C23+C24)*$B$11</f>
        <v>-0.74250000000000016</v>
      </c>
      <c r="D25" s="81">
        <f t="shared" si="11"/>
        <v>-0.92570062499999972</v>
      </c>
      <c r="E25" s="81">
        <f t="shared" si="11"/>
        <v>-1.1194580489062496</v>
      </c>
      <c r="F25" s="81">
        <f t="shared" si="11"/>
        <v>-1.3159255203706635</v>
      </c>
      <c r="G25" s="81">
        <f t="shared" si="11"/>
        <v>-1.5148605574041765</v>
      </c>
      <c r="H25" s="81">
        <f t="shared" si="11"/>
        <v>-1.7163129827269583</v>
      </c>
      <c r="I25" s="81">
        <f t="shared" si="11"/>
        <v>-1.920345277155711</v>
      </c>
      <c r="J25" s="81">
        <f t="shared" si="11"/>
        <v>-2.1270219200567704</v>
      </c>
      <c r="K25" s="81">
        <f t="shared" si="11"/>
        <v>-2.3364090194778746</v>
      </c>
      <c r="L25" s="81">
        <f t="shared" si="11"/>
        <v>-2.5485743368066229</v>
      </c>
      <c r="M25" s="81">
        <f t="shared" si="11"/>
        <v>-2.7635873274897378</v>
      </c>
      <c r="N25" s="81">
        <f t="shared" si="11"/>
        <v>-2.9815191833610379</v>
      </c>
      <c r="O25" s="81">
        <f t="shared" si="11"/>
        <v>-3.2024428760502293</v>
      </c>
      <c r="P25" s="81">
        <f t="shared" si="11"/>
        <v>-3.426433201477757</v>
      </c>
      <c r="Q25" s="81">
        <f t="shared" si="11"/>
        <v>-3.6535668254620806</v>
      </c>
      <c r="R25" s="79"/>
    </row>
    <row r="26" spans="1:20" x14ac:dyDescent="0.25">
      <c r="A26" s="80" t="s">
        <v>73</v>
      </c>
      <c r="B26" s="80"/>
      <c r="C26" s="81">
        <f>C23+C24+C25</f>
        <v>4.2075000000000014</v>
      </c>
      <c r="D26" s="81">
        <f t="shared" ref="D26:Q26" si="12">D23+D24+D25</f>
        <v>5.2456368749999989</v>
      </c>
      <c r="E26" s="81">
        <f t="shared" si="12"/>
        <v>6.3435956104687481</v>
      </c>
      <c r="F26" s="81">
        <f t="shared" si="12"/>
        <v>7.4569112821004264</v>
      </c>
      <c r="G26" s="81">
        <f t="shared" si="12"/>
        <v>8.5842098252903334</v>
      </c>
      <c r="H26" s="81">
        <f t="shared" si="12"/>
        <v>9.7257735687860976</v>
      </c>
      <c r="I26" s="81">
        <f t="shared" si="12"/>
        <v>10.881956570549029</v>
      </c>
      <c r="J26" s="81">
        <f t="shared" si="12"/>
        <v>12.053124213655032</v>
      </c>
      <c r="K26" s="81">
        <f t="shared" si="12"/>
        <v>13.239651110374622</v>
      </c>
      <c r="L26" s="81">
        <f t="shared" si="12"/>
        <v>14.441921241904197</v>
      </c>
      <c r="M26" s="81">
        <f t="shared" si="12"/>
        <v>15.660328189108515</v>
      </c>
      <c r="N26" s="81">
        <f t="shared" si="12"/>
        <v>16.895275372379217</v>
      </c>
      <c r="O26" s="81">
        <f t="shared" si="12"/>
        <v>18.147176297617968</v>
      </c>
      <c r="P26" s="81">
        <f t="shared" si="12"/>
        <v>19.416454808373956</v>
      </c>
      <c r="Q26" s="81">
        <f t="shared" si="12"/>
        <v>20.703545344285125</v>
      </c>
      <c r="R26" s="79"/>
    </row>
    <row r="27" spans="1:20" x14ac:dyDescent="0.25">
      <c r="A27" s="7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79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79"/>
    </row>
    <row r="28" spans="1:20" x14ac:dyDescent="0.25">
      <c r="A28" s="77"/>
      <c r="B28" s="78" t="str">
        <f>B19</f>
        <v>A0</v>
      </c>
      <c r="C28" s="83" t="str">
        <f t="shared" ref="C28:Q28" si="13">C19</f>
        <v>A1</v>
      </c>
      <c r="D28" s="83" t="str">
        <f t="shared" si="13"/>
        <v>A2</v>
      </c>
      <c r="E28" s="83" t="str">
        <f t="shared" si="13"/>
        <v>A3</v>
      </c>
      <c r="F28" s="83" t="str">
        <f t="shared" si="13"/>
        <v>A4</v>
      </c>
      <c r="G28" s="83" t="str">
        <f t="shared" si="13"/>
        <v>A5</v>
      </c>
      <c r="H28" s="83" t="str">
        <f t="shared" si="13"/>
        <v>A6</v>
      </c>
      <c r="I28" s="83" t="str">
        <f t="shared" si="13"/>
        <v>A7</v>
      </c>
      <c r="J28" s="83" t="str">
        <f t="shared" si="13"/>
        <v>A8</v>
      </c>
      <c r="K28" s="83" t="str">
        <f t="shared" si="13"/>
        <v>A9</v>
      </c>
      <c r="L28" s="83" t="str">
        <f t="shared" si="13"/>
        <v>A10</v>
      </c>
      <c r="M28" s="83" t="str">
        <f t="shared" si="13"/>
        <v>A11</v>
      </c>
      <c r="N28" s="83" t="str">
        <f t="shared" si="13"/>
        <v>A12</v>
      </c>
      <c r="O28" s="83" t="str">
        <f t="shared" si="13"/>
        <v>A13</v>
      </c>
      <c r="P28" s="83" t="str">
        <f t="shared" si="13"/>
        <v>A14</v>
      </c>
      <c r="Q28" s="83" t="str">
        <f t="shared" si="13"/>
        <v>A15</v>
      </c>
      <c r="R28" s="79"/>
    </row>
    <row r="29" spans="1:20" x14ac:dyDescent="0.25">
      <c r="A29" s="80" t="s">
        <v>74</v>
      </c>
      <c r="B29" s="80"/>
      <c r="C29" s="81">
        <f>C26+C22</f>
        <v>13.807500000000001</v>
      </c>
      <c r="D29" s="81">
        <f t="shared" ref="D29:Q29" si="14">D26+D22</f>
        <v>14.845636874999999</v>
      </c>
      <c r="E29" s="81">
        <f t="shared" si="14"/>
        <v>15.943595610468748</v>
      </c>
      <c r="F29" s="81">
        <f t="shared" si="14"/>
        <v>17.056911282100426</v>
      </c>
      <c r="G29" s="81">
        <f t="shared" si="14"/>
        <v>18.184209825290331</v>
      </c>
      <c r="H29" s="81">
        <f t="shared" si="14"/>
        <v>19.325773568786097</v>
      </c>
      <c r="I29" s="81">
        <f t="shared" si="14"/>
        <v>20.481956570549031</v>
      </c>
      <c r="J29" s="81">
        <f t="shared" si="14"/>
        <v>21.653124213655033</v>
      </c>
      <c r="K29" s="81">
        <f t="shared" si="14"/>
        <v>22.839651110374621</v>
      </c>
      <c r="L29" s="81">
        <f t="shared" si="14"/>
        <v>24.041921241904198</v>
      </c>
      <c r="M29" s="81">
        <f t="shared" si="14"/>
        <v>25.260328189108513</v>
      </c>
      <c r="N29" s="81">
        <f t="shared" si="14"/>
        <v>26.495275372379218</v>
      </c>
      <c r="O29" s="81">
        <f t="shared" si="14"/>
        <v>27.747176297617969</v>
      </c>
      <c r="P29" s="81">
        <f t="shared" si="14"/>
        <v>29.016454808373958</v>
      </c>
      <c r="Q29" s="81">
        <f t="shared" si="14"/>
        <v>30.303545344285126</v>
      </c>
      <c r="R29" s="79"/>
    </row>
    <row r="30" spans="1:20" x14ac:dyDescent="0.25">
      <c r="A30" s="80" t="s">
        <v>9</v>
      </c>
      <c r="B30" s="80"/>
      <c r="C30" s="81"/>
      <c r="D30" s="81">
        <f>-C34</f>
        <v>0.19249999999999901</v>
      </c>
      <c r="E30" s="81">
        <f t="shared" ref="E30:Q30" si="15">-D34</f>
        <v>-0.84563687499999851</v>
      </c>
      <c r="F30" s="81">
        <f t="shared" si="15"/>
        <v>-1.9435956104687477</v>
      </c>
      <c r="G30" s="81">
        <f t="shared" si="15"/>
        <v>-3.0569112821004261</v>
      </c>
      <c r="H30" s="81">
        <f t="shared" si="15"/>
        <v>-4.1842098252903313</v>
      </c>
      <c r="I30" s="81">
        <f t="shared" si="15"/>
        <v>-5.3257735687860972</v>
      </c>
      <c r="J30" s="81">
        <f t="shared" si="15"/>
        <v>-6.4819565705490305</v>
      </c>
      <c r="K30" s="81">
        <f t="shared" si="15"/>
        <v>-7.6531242136550333</v>
      </c>
      <c r="L30" s="81">
        <f t="shared" si="15"/>
        <v>-8.8396511103746214</v>
      </c>
      <c r="M30" s="81">
        <f t="shared" si="15"/>
        <v>-10.041921241904198</v>
      </c>
      <c r="N30" s="81">
        <f t="shared" si="15"/>
        <v>-11.260328189108513</v>
      </c>
      <c r="O30" s="81">
        <f t="shared" si="15"/>
        <v>-12.495275372379218</v>
      </c>
      <c r="P30" s="81">
        <f t="shared" si="15"/>
        <v>-13.747176297617969</v>
      </c>
      <c r="Q30" s="81">
        <f t="shared" si="15"/>
        <v>-15.016454808373958</v>
      </c>
      <c r="R30" s="79"/>
    </row>
    <row r="31" spans="1:20" x14ac:dyDescent="0.25">
      <c r="A31" s="80" t="s">
        <v>12</v>
      </c>
      <c r="B31" s="80"/>
      <c r="C31" s="81">
        <f>-B7/$B$9</f>
        <v>-14</v>
      </c>
      <c r="D31" s="81">
        <f>C31</f>
        <v>-14</v>
      </c>
      <c r="E31" s="81">
        <f t="shared" ref="E31:Q31" si="16">D31</f>
        <v>-14</v>
      </c>
      <c r="F31" s="81">
        <f t="shared" si="16"/>
        <v>-14</v>
      </c>
      <c r="G31" s="81">
        <f t="shared" si="16"/>
        <v>-14</v>
      </c>
      <c r="H31" s="81">
        <f t="shared" si="16"/>
        <v>-14</v>
      </c>
      <c r="I31" s="81">
        <f t="shared" si="16"/>
        <v>-14</v>
      </c>
      <c r="J31" s="81">
        <f t="shared" si="16"/>
        <v>-14</v>
      </c>
      <c r="K31" s="81">
        <f t="shared" si="16"/>
        <v>-14</v>
      </c>
      <c r="L31" s="81">
        <f t="shared" si="16"/>
        <v>-14</v>
      </c>
      <c r="M31" s="81">
        <f t="shared" si="16"/>
        <v>-14</v>
      </c>
      <c r="N31" s="81">
        <f t="shared" si="16"/>
        <v>-14</v>
      </c>
      <c r="O31" s="81">
        <f t="shared" si="16"/>
        <v>-14</v>
      </c>
      <c r="P31" s="81">
        <f t="shared" si="16"/>
        <v>-14</v>
      </c>
      <c r="Q31" s="81">
        <f t="shared" si="16"/>
        <v>-14</v>
      </c>
      <c r="R31" s="79"/>
    </row>
    <row r="32" spans="1:20" x14ac:dyDescent="0.25">
      <c r="A32" s="80" t="s">
        <v>10</v>
      </c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79"/>
    </row>
    <row r="33" spans="1:19" x14ac:dyDescent="0.25">
      <c r="A33" s="80" t="s">
        <v>101</v>
      </c>
      <c r="B33" s="80"/>
      <c r="C33" s="81">
        <f>B34</f>
        <v>0</v>
      </c>
      <c r="D33" s="81">
        <f t="shared" ref="D33:Q33" si="17">C34</f>
        <v>-0.19249999999999901</v>
      </c>
      <c r="E33" s="81">
        <f t="shared" si="17"/>
        <v>0.84563687499999851</v>
      </c>
      <c r="F33" s="81">
        <f t="shared" si="17"/>
        <v>1.9435956104687477</v>
      </c>
      <c r="G33" s="81">
        <f t="shared" si="17"/>
        <v>3.0569112821004261</v>
      </c>
      <c r="H33" s="81">
        <f t="shared" si="17"/>
        <v>4.1842098252903313</v>
      </c>
      <c r="I33" s="81">
        <f t="shared" si="17"/>
        <v>5.3257735687860972</v>
      </c>
      <c r="J33" s="81">
        <f t="shared" si="17"/>
        <v>6.4819565705490305</v>
      </c>
      <c r="K33" s="81">
        <f t="shared" si="17"/>
        <v>7.6531242136550333</v>
      </c>
      <c r="L33" s="81">
        <f t="shared" si="17"/>
        <v>8.8396511103746214</v>
      </c>
      <c r="M33" s="81">
        <f t="shared" si="17"/>
        <v>10.041921241904198</v>
      </c>
      <c r="N33" s="81">
        <f t="shared" si="17"/>
        <v>11.260328189108513</v>
      </c>
      <c r="O33" s="81">
        <f t="shared" si="17"/>
        <v>12.495275372379218</v>
      </c>
      <c r="P33" s="81">
        <f t="shared" si="17"/>
        <v>13.747176297617969</v>
      </c>
      <c r="Q33" s="81">
        <f t="shared" si="17"/>
        <v>15.016454808373958</v>
      </c>
      <c r="R33" s="79"/>
    </row>
    <row r="34" spans="1:19" x14ac:dyDescent="0.25">
      <c r="A34" s="80" t="s">
        <v>102</v>
      </c>
      <c r="B34" s="80"/>
      <c r="C34" s="81">
        <f>SUM(C29:C33)</f>
        <v>-0.19249999999999901</v>
      </c>
      <c r="D34" s="81">
        <f t="shared" ref="D34:Q34" si="18">SUM(D29:D33)</f>
        <v>0.84563687499999851</v>
      </c>
      <c r="E34" s="81">
        <f t="shared" si="18"/>
        <v>1.9435956104687477</v>
      </c>
      <c r="F34" s="81">
        <f t="shared" si="18"/>
        <v>3.0569112821004261</v>
      </c>
      <c r="G34" s="81">
        <f t="shared" si="18"/>
        <v>4.1842098252903313</v>
      </c>
      <c r="H34" s="81">
        <f t="shared" si="18"/>
        <v>5.3257735687860972</v>
      </c>
      <c r="I34" s="81">
        <f t="shared" si="18"/>
        <v>6.4819565705490305</v>
      </c>
      <c r="J34" s="81">
        <f t="shared" si="18"/>
        <v>7.6531242136550333</v>
      </c>
      <c r="K34" s="81">
        <f t="shared" si="18"/>
        <v>8.8396511103746214</v>
      </c>
      <c r="L34" s="81">
        <f t="shared" si="18"/>
        <v>10.041921241904198</v>
      </c>
      <c r="M34" s="81">
        <f t="shared" si="18"/>
        <v>11.260328189108513</v>
      </c>
      <c r="N34" s="81">
        <f t="shared" si="18"/>
        <v>12.495275372379218</v>
      </c>
      <c r="O34" s="81">
        <f t="shared" si="18"/>
        <v>13.747176297617969</v>
      </c>
      <c r="P34" s="81">
        <f t="shared" si="18"/>
        <v>15.016454808373958</v>
      </c>
      <c r="Q34" s="81">
        <f t="shared" si="18"/>
        <v>16.303545344285126</v>
      </c>
      <c r="R34" s="79"/>
    </row>
    <row r="35" spans="1:19" x14ac:dyDescent="0.25">
      <c r="A35" s="7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5" s="79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79"/>
    </row>
    <row r="36" spans="1:19" x14ac:dyDescent="0.25">
      <c r="A36" s="77"/>
      <c r="B36" s="78" t="str">
        <f>B28</f>
        <v>A0</v>
      </c>
      <c r="C36" s="83" t="str">
        <f t="shared" ref="C36:Q36" si="19">C28</f>
        <v>A1</v>
      </c>
      <c r="D36" s="83" t="str">
        <f t="shared" si="19"/>
        <v>A2</v>
      </c>
      <c r="E36" s="83" t="str">
        <f t="shared" si="19"/>
        <v>A3</v>
      </c>
      <c r="F36" s="83" t="str">
        <f t="shared" si="19"/>
        <v>A4</v>
      </c>
      <c r="G36" s="83" t="str">
        <f t="shared" si="19"/>
        <v>A5</v>
      </c>
      <c r="H36" s="83" t="str">
        <f t="shared" si="19"/>
        <v>A6</v>
      </c>
      <c r="I36" s="83" t="str">
        <f t="shared" si="19"/>
        <v>A7</v>
      </c>
      <c r="J36" s="83" t="str">
        <f t="shared" si="19"/>
        <v>A8</v>
      </c>
      <c r="K36" s="83" t="str">
        <f t="shared" si="19"/>
        <v>A9</v>
      </c>
      <c r="L36" s="83" t="str">
        <f t="shared" si="19"/>
        <v>A10</v>
      </c>
      <c r="M36" s="83" t="str">
        <f t="shared" si="19"/>
        <v>A11</v>
      </c>
      <c r="N36" s="83" t="str">
        <f t="shared" si="19"/>
        <v>A12</v>
      </c>
      <c r="O36" s="83" t="str">
        <f t="shared" si="19"/>
        <v>A13</v>
      </c>
      <c r="P36" s="83" t="str">
        <f t="shared" si="19"/>
        <v>A14</v>
      </c>
      <c r="Q36" s="83" t="str">
        <f t="shared" si="19"/>
        <v>A15</v>
      </c>
      <c r="R36" s="84" t="s">
        <v>103</v>
      </c>
      <c r="S36" s="85" t="s">
        <v>104</v>
      </c>
    </row>
    <row r="37" spans="1:19" x14ac:dyDescent="0.25">
      <c r="A37" s="80" t="s">
        <v>9</v>
      </c>
      <c r="B37" s="80">
        <f>$B$6</f>
        <v>90</v>
      </c>
      <c r="C37" s="81">
        <f>B37+C26+C30</f>
        <v>94.207499999999996</v>
      </c>
      <c r="D37" s="81">
        <f t="shared" ref="D37:Q37" si="20">C37+D26+D30</f>
        <v>99.645636874999994</v>
      </c>
      <c r="E37" s="81">
        <f t="shared" si="20"/>
        <v>105.14359561046875</v>
      </c>
      <c r="F37" s="81">
        <f t="shared" si="20"/>
        <v>110.65691128210042</v>
      </c>
      <c r="G37" s="81">
        <f t="shared" si="20"/>
        <v>116.18420982529032</v>
      </c>
      <c r="H37" s="81">
        <f t="shared" si="20"/>
        <v>121.72577356878608</v>
      </c>
      <c r="I37" s="81">
        <f t="shared" si="20"/>
        <v>127.281956570549</v>
      </c>
      <c r="J37" s="81">
        <f t="shared" si="20"/>
        <v>132.85312421365501</v>
      </c>
      <c r="K37" s="81">
        <f t="shared" si="20"/>
        <v>138.4396511103746</v>
      </c>
      <c r="L37" s="81">
        <f t="shared" si="20"/>
        <v>144.04192124190416</v>
      </c>
      <c r="M37" s="81">
        <f t="shared" si="20"/>
        <v>149.6603281891085</v>
      </c>
      <c r="N37" s="81">
        <f t="shared" si="20"/>
        <v>155.29527537237919</v>
      </c>
      <c r="O37" s="81">
        <f t="shared" si="20"/>
        <v>160.94717629761794</v>
      </c>
      <c r="P37" s="81">
        <f t="shared" si="20"/>
        <v>166.61645480837393</v>
      </c>
      <c r="Q37" s="81">
        <f t="shared" si="20"/>
        <v>172.30354534428508</v>
      </c>
      <c r="R37" s="81">
        <f>R42-R38</f>
        <v>420.06404684152386</v>
      </c>
      <c r="S37" s="86">
        <f>R37-B37</f>
        <v>330.06404684152386</v>
      </c>
    </row>
    <row r="38" spans="1:19" x14ac:dyDescent="0.25">
      <c r="A38" s="80" t="s">
        <v>12</v>
      </c>
      <c r="B38" s="80">
        <f>$B$7</f>
        <v>210</v>
      </c>
      <c r="C38" s="81">
        <f>B38+C31</f>
        <v>196</v>
      </c>
      <c r="D38" s="81">
        <f t="shared" ref="D38:Q38" si="21">C38+D31</f>
        <v>182</v>
      </c>
      <c r="E38" s="81">
        <f t="shared" si="21"/>
        <v>168</v>
      </c>
      <c r="F38" s="81">
        <f t="shared" si="21"/>
        <v>154</v>
      </c>
      <c r="G38" s="81">
        <f t="shared" si="21"/>
        <v>140</v>
      </c>
      <c r="H38" s="81">
        <f t="shared" si="21"/>
        <v>126</v>
      </c>
      <c r="I38" s="81">
        <f t="shared" si="21"/>
        <v>112</v>
      </c>
      <c r="J38" s="81">
        <f t="shared" si="21"/>
        <v>98</v>
      </c>
      <c r="K38" s="81">
        <f t="shared" si="21"/>
        <v>84</v>
      </c>
      <c r="L38" s="81">
        <f t="shared" si="21"/>
        <v>70</v>
      </c>
      <c r="M38" s="81">
        <f t="shared" si="21"/>
        <v>56</v>
      </c>
      <c r="N38" s="81">
        <f t="shared" si="21"/>
        <v>42</v>
      </c>
      <c r="O38" s="81">
        <f t="shared" si="21"/>
        <v>28</v>
      </c>
      <c r="P38" s="81">
        <f t="shared" si="21"/>
        <v>14</v>
      </c>
      <c r="Q38" s="81">
        <f t="shared" si="21"/>
        <v>0</v>
      </c>
      <c r="R38" s="81">
        <f>Q38</f>
        <v>0</v>
      </c>
    </row>
    <row r="39" spans="1:19" x14ac:dyDescent="0.25">
      <c r="A39" s="80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0"/>
    </row>
    <row r="40" spans="1:19" x14ac:dyDescent="0.25">
      <c r="A40" s="80" t="s">
        <v>105</v>
      </c>
      <c r="B40" s="80">
        <f>$B$4</f>
        <v>300</v>
      </c>
      <c r="C40" s="81">
        <f>B40-C22</f>
        <v>290.39999999999998</v>
      </c>
      <c r="D40" s="81">
        <f t="shared" ref="D40:Q40" si="22">C40-D22</f>
        <v>280.79999999999995</v>
      </c>
      <c r="E40" s="81">
        <f t="shared" si="22"/>
        <v>271.19999999999993</v>
      </c>
      <c r="F40" s="81">
        <f t="shared" si="22"/>
        <v>261.59999999999991</v>
      </c>
      <c r="G40" s="81">
        <f t="shared" si="22"/>
        <v>251.99999999999991</v>
      </c>
      <c r="H40" s="81">
        <f t="shared" si="22"/>
        <v>242.39999999999992</v>
      </c>
      <c r="I40" s="81">
        <f t="shared" si="22"/>
        <v>232.79999999999993</v>
      </c>
      <c r="J40" s="81">
        <f t="shared" si="22"/>
        <v>223.19999999999993</v>
      </c>
      <c r="K40" s="81">
        <f t="shared" si="22"/>
        <v>213.59999999999994</v>
      </c>
      <c r="L40" s="81">
        <f t="shared" si="22"/>
        <v>203.99999999999994</v>
      </c>
      <c r="M40" s="81">
        <f t="shared" si="22"/>
        <v>194.39999999999995</v>
      </c>
      <c r="N40" s="81">
        <f t="shared" si="22"/>
        <v>184.79999999999995</v>
      </c>
      <c r="O40" s="81">
        <f t="shared" si="22"/>
        <v>175.19999999999996</v>
      </c>
      <c r="P40" s="81">
        <f t="shared" si="22"/>
        <v>165.59999999999997</v>
      </c>
      <c r="Q40" s="81">
        <f t="shared" si="22"/>
        <v>155.99999999999997</v>
      </c>
      <c r="R40" s="81">
        <f>B4*POWER((1+B14),15)</f>
        <v>403.76050149723875</v>
      </c>
    </row>
    <row r="41" spans="1:19" x14ac:dyDescent="0.25">
      <c r="A41" s="80" t="s">
        <v>24</v>
      </c>
      <c r="B41" s="80"/>
      <c r="C41" s="81">
        <f>C34</f>
        <v>-0.19249999999999901</v>
      </c>
      <c r="D41" s="81">
        <f t="shared" ref="D41:Q41" si="23">D34</f>
        <v>0.84563687499999851</v>
      </c>
      <c r="E41" s="81">
        <f t="shared" si="23"/>
        <v>1.9435956104687477</v>
      </c>
      <c r="F41" s="81">
        <f t="shared" si="23"/>
        <v>3.0569112821004261</v>
      </c>
      <c r="G41" s="81">
        <f t="shared" si="23"/>
        <v>4.1842098252903313</v>
      </c>
      <c r="H41" s="81">
        <f t="shared" si="23"/>
        <v>5.3257735687860972</v>
      </c>
      <c r="I41" s="81">
        <f t="shared" si="23"/>
        <v>6.4819565705490305</v>
      </c>
      <c r="J41" s="81">
        <f t="shared" si="23"/>
        <v>7.6531242136550333</v>
      </c>
      <c r="K41" s="81">
        <f t="shared" si="23"/>
        <v>8.8396511103746214</v>
      </c>
      <c r="L41" s="81">
        <f t="shared" si="23"/>
        <v>10.041921241904198</v>
      </c>
      <c r="M41" s="81">
        <f t="shared" si="23"/>
        <v>11.260328189108513</v>
      </c>
      <c r="N41" s="81">
        <f t="shared" si="23"/>
        <v>12.495275372379218</v>
      </c>
      <c r="O41" s="81">
        <f t="shared" si="23"/>
        <v>13.747176297617969</v>
      </c>
      <c r="P41" s="81">
        <f t="shared" si="23"/>
        <v>15.016454808373958</v>
      </c>
      <c r="Q41" s="81">
        <f t="shared" si="23"/>
        <v>16.303545344285126</v>
      </c>
      <c r="R41" s="81">
        <f>Q41</f>
        <v>16.303545344285126</v>
      </c>
    </row>
    <row r="42" spans="1:19" x14ac:dyDescent="0.25">
      <c r="A42" s="80" t="s">
        <v>106</v>
      </c>
      <c r="B42" s="80">
        <f>SUM(B40:B41)</f>
        <v>300</v>
      </c>
      <c r="C42" s="81">
        <f>SUM(C40:C41)</f>
        <v>290.20749999999998</v>
      </c>
      <c r="D42" s="81">
        <f t="shared" ref="D42:Q42" si="24">SUM(D40:D41)</f>
        <v>281.64563687499998</v>
      </c>
      <c r="E42" s="81">
        <f t="shared" si="24"/>
        <v>273.14359561046865</v>
      </c>
      <c r="F42" s="81">
        <f t="shared" si="24"/>
        <v>264.65691128210034</v>
      </c>
      <c r="G42" s="81">
        <f t="shared" si="24"/>
        <v>256.18420982529022</v>
      </c>
      <c r="H42" s="81">
        <f t="shared" si="24"/>
        <v>247.72577356878602</v>
      </c>
      <c r="I42" s="81">
        <f t="shared" si="24"/>
        <v>239.28195657054897</v>
      </c>
      <c r="J42" s="81">
        <f t="shared" si="24"/>
        <v>230.85312421365495</v>
      </c>
      <c r="K42" s="81">
        <f t="shared" si="24"/>
        <v>222.43965111037457</v>
      </c>
      <c r="L42" s="81">
        <f t="shared" si="24"/>
        <v>214.04192124190413</v>
      </c>
      <c r="M42" s="81">
        <f t="shared" si="24"/>
        <v>205.66032818910847</v>
      </c>
      <c r="N42" s="81">
        <f t="shared" si="24"/>
        <v>197.29527537237917</v>
      </c>
      <c r="O42" s="81">
        <f t="shared" si="24"/>
        <v>188.94717629761794</v>
      </c>
      <c r="P42" s="81">
        <f t="shared" si="24"/>
        <v>180.61645480837393</v>
      </c>
      <c r="Q42" s="81">
        <f t="shared" si="24"/>
        <v>172.30354534428511</v>
      </c>
      <c r="R42" s="81">
        <f>SUM(R40:R41)</f>
        <v>420.06404684152386</v>
      </c>
    </row>
    <row r="43" spans="1:19" x14ac:dyDescent="0.25">
      <c r="A43" s="80" t="s">
        <v>78</v>
      </c>
      <c r="B43" s="80">
        <f>B37+B38-B42</f>
        <v>0</v>
      </c>
      <c r="C43" s="81">
        <f>C37+C38-C42</f>
        <v>0</v>
      </c>
      <c r="D43" s="81">
        <f t="shared" ref="D43:R43" si="25">D37+D38-D42</f>
        <v>0</v>
      </c>
      <c r="E43" s="81">
        <f t="shared" si="25"/>
        <v>0</v>
      </c>
      <c r="F43" s="81">
        <f t="shared" si="25"/>
        <v>0</v>
      </c>
      <c r="G43" s="81">
        <f t="shared" si="25"/>
        <v>0</v>
      </c>
      <c r="H43" s="81">
        <f t="shared" si="25"/>
        <v>0</v>
      </c>
      <c r="I43" s="81">
        <f t="shared" si="25"/>
        <v>0</v>
      </c>
      <c r="J43" s="81">
        <f t="shared" si="25"/>
        <v>0</v>
      </c>
      <c r="K43" s="81">
        <f t="shared" si="25"/>
        <v>0</v>
      </c>
      <c r="L43" s="81">
        <f t="shared" si="25"/>
        <v>0</v>
      </c>
      <c r="M43" s="81">
        <f t="shared" si="25"/>
        <v>0</v>
      </c>
      <c r="N43" s="81">
        <f t="shared" si="25"/>
        <v>0</v>
      </c>
      <c r="O43" s="81">
        <f t="shared" si="25"/>
        <v>0</v>
      </c>
      <c r="P43" s="81">
        <f t="shared" si="25"/>
        <v>0</v>
      </c>
      <c r="Q43" s="81">
        <f t="shared" si="25"/>
        <v>0</v>
      </c>
      <c r="R43" s="81">
        <f t="shared" si="25"/>
        <v>0</v>
      </c>
    </row>
    <row r="44" spans="1:19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9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9" x14ac:dyDescent="0.25">
      <c r="A46" s="6" t="s">
        <v>107</v>
      </c>
      <c r="B46" s="5" t="str">
        <f>B36</f>
        <v>A0</v>
      </c>
      <c r="C46" s="5" t="str">
        <f t="shared" ref="C46:Q46" si="26">C36</f>
        <v>A1</v>
      </c>
      <c r="D46" s="5" t="str">
        <f t="shared" si="26"/>
        <v>A2</v>
      </c>
      <c r="E46" s="5" t="str">
        <f t="shared" si="26"/>
        <v>A3</v>
      </c>
      <c r="F46" s="5" t="str">
        <f t="shared" si="26"/>
        <v>A4</v>
      </c>
      <c r="G46" s="5" t="str">
        <f t="shared" si="26"/>
        <v>A5</v>
      </c>
      <c r="H46" s="5" t="str">
        <f t="shared" si="26"/>
        <v>A6</v>
      </c>
      <c r="I46" s="5" t="str">
        <f t="shared" si="26"/>
        <v>A7</v>
      </c>
      <c r="J46" s="5" t="str">
        <f t="shared" si="26"/>
        <v>A8</v>
      </c>
      <c r="K46" s="5" t="str">
        <f t="shared" si="26"/>
        <v>A9</v>
      </c>
      <c r="L46" s="5" t="str">
        <f t="shared" si="26"/>
        <v>A10</v>
      </c>
      <c r="M46" s="5" t="str">
        <f t="shared" si="26"/>
        <v>A11</v>
      </c>
      <c r="N46" s="5" t="str">
        <f t="shared" si="26"/>
        <v>A12</v>
      </c>
      <c r="O46" s="5" t="str">
        <f t="shared" si="26"/>
        <v>A13</v>
      </c>
      <c r="P46" s="5" t="str">
        <f t="shared" si="26"/>
        <v>A14</v>
      </c>
      <c r="Q46" s="5" t="str">
        <f t="shared" si="26"/>
        <v>A15</v>
      </c>
    </row>
    <row r="47" spans="1:19" x14ac:dyDescent="0.25">
      <c r="A47" s="12" t="s">
        <v>108</v>
      </c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9" x14ac:dyDescent="0.25">
      <c r="A48" s="12" t="s">
        <v>92</v>
      </c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9" x14ac:dyDescent="0.25">
      <c r="A49" s="12" t="s">
        <v>98</v>
      </c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9" x14ac:dyDescent="0.25">
      <c r="A50" s="12" t="s">
        <v>99</v>
      </c>
      <c r="B50" s="12"/>
      <c r="C50" s="13">
        <f>C47-C48-C49</f>
        <v>0</v>
      </c>
      <c r="D50" s="13">
        <f t="shared" ref="D50:Q50" si="27">D47-D48-D49</f>
        <v>0</v>
      </c>
      <c r="E50" s="13">
        <f t="shared" si="27"/>
        <v>0</v>
      </c>
      <c r="F50" s="13">
        <f t="shared" si="27"/>
        <v>0</v>
      </c>
      <c r="G50" s="13">
        <f t="shared" si="27"/>
        <v>0</v>
      </c>
      <c r="H50" s="13">
        <f t="shared" si="27"/>
        <v>0</v>
      </c>
      <c r="I50" s="13">
        <f t="shared" si="27"/>
        <v>0</v>
      </c>
      <c r="J50" s="13">
        <f t="shared" si="27"/>
        <v>0</v>
      </c>
      <c r="K50" s="13">
        <f t="shared" si="27"/>
        <v>0</v>
      </c>
      <c r="L50" s="13">
        <f t="shared" si="27"/>
        <v>0</v>
      </c>
      <c r="M50" s="13">
        <f t="shared" si="27"/>
        <v>0</v>
      </c>
      <c r="N50" s="13">
        <f t="shared" si="27"/>
        <v>0</v>
      </c>
      <c r="O50" s="13">
        <f t="shared" si="27"/>
        <v>0</v>
      </c>
      <c r="P50" s="13">
        <f t="shared" si="27"/>
        <v>0</v>
      </c>
      <c r="Q50" s="13">
        <f t="shared" si="27"/>
        <v>0</v>
      </c>
      <c r="R50" s="87" t="s">
        <v>109</v>
      </c>
    </row>
    <row r="51" spans="1:19" x14ac:dyDescent="0.25">
      <c r="A51" s="12" t="s">
        <v>100</v>
      </c>
      <c r="B51" s="12"/>
      <c r="C51" s="13">
        <f>-(B65-B68)*$B$8</f>
        <v>-9.4499999999999993</v>
      </c>
      <c r="D51" s="13">
        <f t="shared" ref="D51:Q51" si="28">-(C65-C68)*$B$8</f>
        <v>-9.8752499999999994</v>
      </c>
      <c r="E51" s="13">
        <f t="shared" si="28"/>
        <v>-9.2643862499999994</v>
      </c>
      <c r="F51" s="13">
        <f t="shared" si="28"/>
        <v>-8.6068973812500005</v>
      </c>
      <c r="G51" s="13">
        <f t="shared" si="28"/>
        <v>-7.9473103821562496</v>
      </c>
      <c r="H51" s="13">
        <f t="shared" si="28"/>
        <v>-7.2876289671970307</v>
      </c>
      <c r="I51" s="13">
        <f t="shared" si="28"/>
        <v>-6.6279433035238666</v>
      </c>
      <c r="J51" s="13">
        <f t="shared" si="28"/>
        <v>-5.9682574486585738</v>
      </c>
      <c r="K51" s="13">
        <f t="shared" si="28"/>
        <v>-5.308571585189636</v>
      </c>
      <c r="L51" s="13">
        <f t="shared" si="28"/>
        <v>-4.6488857213335333</v>
      </c>
      <c r="M51" s="13">
        <f t="shared" si="28"/>
        <v>-3.9891998574600085</v>
      </c>
      <c r="N51" s="13">
        <f t="shared" si="28"/>
        <v>-3.3295139935857003</v>
      </c>
      <c r="O51" s="13">
        <f t="shared" si="28"/>
        <v>-2.6698281297113562</v>
      </c>
      <c r="P51" s="13">
        <f t="shared" si="28"/>
        <v>-2.0101422658370107</v>
      </c>
      <c r="Q51" s="13">
        <f t="shared" si="28"/>
        <v>-1.3504564019626655</v>
      </c>
      <c r="R51" s="86">
        <f>SUM(C51:Q51)</f>
        <v>-88.334271687865623</v>
      </c>
    </row>
    <row r="52" spans="1:19" x14ac:dyDescent="0.25">
      <c r="A52" s="12" t="s">
        <v>90</v>
      </c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9" x14ac:dyDescent="0.25">
      <c r="A53" s="12" t="s">
        <v>73</v>
      </c>
      <c r="B53" s="12"/>
      <c r="C53" s="13">
        <f>C50+C51+C52</f>
        <v>-9.4499999999999993</v>
      </c>
      <c r="D53" s="13">
        <f t="shared" ref="D53:Q53" si="29">D50+D51+D52</f>
        <v>-9.8752499999999994</v>
      </c>
      <c r="E53" s="13">
        <f t="shared" si="29"/>
        <v>-9.2643862499999994</v>
      </c>
      <c r="F53" s="13">
        <f t="shared" si="29"/>
        <v>-8.6068973812500005</v>
      </c>
      <c r="G53" s="13">
        <f t="shared" si="29"/>
        <v>-7.9473103821562496</v>
      </c>
      <c r="H53" s="13">
        <f t="shared" si="29"/>
        <v>-7.2876289671970307</v>
      </c>
      <c r="I53" s="13">
        <f t="shared" si="29"/>
        <v>-6.6279433035238666</v>
      </c>
      <c r="J53" s="13">
        <f t="shared" si="29"/>
        <v>-5.9682574486585738</v>
      </c>
      <c r="K53" s="13">
        <f t="shared" si="29"/>
        <v>-5.308571585189636</v>
      </c>
      <c r="L53" s="13">
        <f t="shared" si="29"/>
        <v>-4.6488857213335333</v>
      </c>
      <c r="M53" s="13">
        <f t="shared" si="29"/>
        <v>-3.9891998574600085</v>
      </c>
      <c r="N53" s="13">
        <f t="shared" si="29"/>
        <v>-3.3295139935857003</v>
      </c>
      <c r="O53" s="13">
        <f t="shared" si="29"/>
        <v>-2.6698281297113562</v>
      </c>
      <c r="P53" s="13">
        <f t="shared" si="29"/>
        <v>-2.0101422658370107</v>
      </c>
      <c r="Q53" s="13">
        <f t="shared" si="29"/>
        <v>-1.3504564019626655</v>
      </c>
    </row>
    <row r="54" spans="1:19" x14ac:dyDescent="0.25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9" x14ac:dyDescent="0.25">
      <c r="A55" s="6"/>
      <c r="B55" s="5" t="str">
        <f>B46</f>
        <v>A0</v>
      </c>
      <c r="C55" s="7" t="str">
        <f t="shared" ref="C55:Q55" si="30">C46</f>
        <v>A1</v>
      </c>
      <c r="D55" s="7" t="str">
        <f t="shared" si="30"/>
        <v>A2</v>
      </c>
      <c r="E55" s="7" t="str">
        <f t="shared" si="30"/>
        <v>A3</v>
      </c>
      <c r="F55" s="7" t="str">
        <f t="shared" si="30"/>
        <v>A4</v>
      </c>
      <c r="G55" s="7" t="str">
        <f t="shared" si="30"/>
        <v>A5</v>
      </c>
      <c r="H55" s="7" t="str">
        <f t="shared" si="30"/>
        <v>A6</v>
      </c>
      <c r="I55" s="7" t="str">
        <f t="shared" si="30"/>
        <v>A7</v>
      </c>
      <c r="J55" s="7" t="str">
        <f t="shared" si="30"/>
        <v>A8</v>
      </c>
      <c r="K55" s="7" t="str">
        <f t="shared" si="30"/>
        <v>A9</v>
      </c>
      <c r="L55" s="7" t="str">
        <f t="shared" si="30"/>
        <v>A10</v>
      </c>
      <c r="M55" s="7" t="str">
        <f t="shared" si="30"/>
        <v>A11</v>
      </c>
      <c r="N55" s="7" t="str">
        <f t="shared" si="30"/>
        <v>A12</v>
      </c>
      <c r="O55" s="7" t="str">
        <f t="shared" si="30"/>
        <v>A13</v>
      </c>
      <c r="P55" s="7" t="str">
        <f t="shared" si="30"/>
        <v>A14</v>
      </c>
      <c r="Q55" s="7" t="str">
        <f t="shared" si="30"/>
        <v>A15</v>
      </c>
    </row>
    <row r="56" spans="1:19" x14ac:dyDescent="0.25">
      <c r="A56" s="12" t="s">
        <v>74</v>
      </c>
      <c r="B56" s="12"/>
      <c r="C56" s="13">
        <f>C53+C49</f>
        <v>-9.4499999999999993</v>
      </c>
      <c r="D56" s="13">
        <f t="shared" ref="D56:Q56" si="31">D53+D49</f>
        <v>-9.8752499999999994</v>
      </c>
      <c r="E56" s="13">
        <f t="shared" si="31"/>
        <v>-9.2643862499999994</v>
      </c>
      <c r="F56" s="13">
        <f t="shared" si="31"/>
        <v>-8.6068973812500005</v>
      </c>
      <c r="G56" s="13">
        <f t="shared" si="31"/>
        <v>-7.9473103821562496</v>
      </c>
      <c r="H56" s="13">
        <f t="shared" si="31"/>
        <v>-7.2876289671970307</v>
      </c>
      <c r="I56" s="13">
        <f t="shared" si="31"/>
        <v>-6.6279433035238666</v>
      </c>
      <c r="J56" s="13">
        <f t="shared" si="31"/>
        <v>-5.9682574486585738</v>
      </c>
      <c r="K56" s="13">
        <f t="shared" si="31"/>
        <v>-5.308571585189636</v>
      </c>
      <c r="L56" s="13">
        <f t="shared" si="31"/>
        <v>-4.6488857213335333</v>
      </c>
      <c r="M56" s="13">
        <f t="shared" si="31"/>
        <v>-3.9891998574600085</v>
      </c>
      <c r="N56" s="13">
        <f t="shared" si="31"/>
        <v>-3.3295139935857003</v>
      </c>
      <c r="O56" s="13">
        <f t="shared" si="31"/>
        <v>-2.6698281297113562</v>
      </c>
      <c r="P56" s="13">
        <f t="shared" si="31"/>
        <v>-2.0101422658370107</v>
      </c>
      <c r="Q56" s="13">
        <f t="shared" si="31"/>
        <v>-1.3504564019626655</v>
      </c>
    </row>
    <row r="57" spans="1:19" x14ac:dyDescent="0.25">
      <c r="A57" s="12" t="s">
        <v>9</v>
      </c>
      <c r="B57" s="12"/>
      <c r="C57" s="13"/>
      <c r="D57" s="13">
        <f>-C61</f>
        <v>23.45</v>
      </c>
      <c r="E57" s="13">
        <f t="shared" ref="E57:Q57" si="32">-D61</f>
        <v>23.875250000000001</v>
      </c>
      <c r="F57" s="13">
        <f t="shared" si="32"/>
        <v>23.264386250000001</v>
      </c>
      <c r="G57" s="13">
        <f t="shared" si="32"/>
        <v>22.60689738125</v>
      </c>
      <c r="H57" s="13">
        <f t="shared" si="32"/>
        <v>21.94731038215625</v>
      </c>
      <c r="I57" s="13">
        <f t="shared" si="32"/>
        <v>21.28762896719703</v>
      </c>
      <c r="J57" s="13">
        <f t="shared" si="32"/>
        <v>20.627943303523868</v>
      </c>
      <c r="K57" s="13">
        <f t="shared" si="32"/>
        <v>19.968257448658573</v>
      </c>
      <c r="L57" s="13">
        <f t="shared" si="32"/>
        <v>19.308571585189636</v>
      </c>
      <c r="M57" s="13">
        <f t="shared" si="32"/>
        <v>18.648885721333535</v>
      </c>
      <c r="N57" s="13">
        <f t="shared" si="32"/>
        <v>17.989199857460008</v>
      </c>
      <c r="O57" s="13">
        <f t="shared" si="32"/>
        <v>17.329513993585699</v>
      </c>
      <c r="P57" s="13">
        <f t="shared" si="32"/>
        <v>16.669828129711355</v>
      </c>
      <c r="Q57" s="13">
        <f t="shared" si="32"/>
        <v>16.010142265837011</v>
      </c>
    </row>
    <row r="58" spans="1:19" x14ac:dyDescent="0.25">
      <c r="A58" s="12" t="s">
        <v>12</v>
      </c>
      <c r="B58" s="12"/>
      <c r="C58" s="13">
        <f>-B7/$B$9</f>
        <v>-14</v>
      </c>
      <c r="D58" s="13">
        <f>C58</f>
        <v>-14</v>
      </c>
      <c r="E58" s="13">
        <f t="shared" ref="E58:Q58" si="33">D58</f>
        <v>-14</v>
      </c>
      <c r="F58" s="13">
        <f t="shared" si="33"/>
        <v>-14</v>
      </c>
      <c r="G58" s="13">
        <f t="shared" si="33"/>
        <v>-14</v>
      </c>
      <c r="H58" s="13">
        <f t="shared" si="33"/>
        <v>-14</v>
      </c>
      <c r="I58" s="13">
        <f t="shared" si="33"/>
        <v>-14</v>
      </c>
      <c r="J58" s="13">
        <f t="shared" si="33"/>
        <v>-14</v>
      </c>
      <c r="K58" s="13">
        <f t="shared" si="33"/>
        <v>-14</v>
      </c>
      <c r="L58" s="13">
        <f t="shared" si="33"/>
        <v>-14</v>
      </c>
      <c r="M58" s="13">
        <f t="shared" si="33"/>
        <v>-14</v>
      </c>
      <c r="N58" s="13">
        <f t="shared" si="33"/>
        <v>-14</v>
      </c>
      <c r="O58" s="13">
        <f t="shared" si="33"/>
        <v>-14</v>
      </c>
      <c r="P58" s="13">
        <f t="shared" si="33"/>
        <v>-14</v>
      </c>
      <c r="Q58" s="13">
        <f t="shared" si="33"/>
        <v>-14</v>
      </c>
    </row>
    <row r="59" spans="1:19" x14ac:dyDescent="0.25">
      <c r="A59" s="12" t="s">
        <v>10</v>
      </c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9" x14ac:dyDescent="0.25">
      <c r="A60" s="12" t="s">
        <v>101</v>
      </c>
      <c r="B60" s="12"/>
      <c r="C60" s="13">
        <f>B61</f>
        <v>0</v>
      </c>
      <c r="D60" s="13">
        <f t="shared" ref="D60:Q60" si="34">C61</f>
        <v>-23.45</v>
      </c>
      <c r="E60" s="13">
        <f t="shared" si="34"/>
        <v>-23.875250000000001</v>
      </c>
      <c r="F60" s="13">
        <f t="shared" si="34"/>
        <v>-23.264386250000001</v>
      </c>
      <c r="G60" s="13">
        <f t="shared" si="34"/>
        <v>-22.60689738125</v>
      </c>
      <c r="H60" s="13">
        <f t="shared" si="34"/>
        <v>-21.94731038215625</v>
      </c>
      <c r="I60" s="13">
        <f t="shared" si="34"/>
        <v>-21.28762896719703</v>
      </c>
      <c r="J60" s="13">
        <f t="shared" si="34"/>
        <v>-20.627943303523868</v>
      </c>
      <c r="K60" s="13">
        <f t="shared" si="34"/>
        <v>-19.968257448658573</v>
      </c>
      <c r="L60" s="13">
        <f t="shared" si="34"/>
        <v>-19.308571585189636</v>
      </c>
      <c r="M60" s="13">
        <f t="shared" si="34"/>
        <v>-18.648885721333535</v>
      </c>
      <c r="N60" s="13">
        <f t="shared" si="34"/>
        <v>-17.989199857460008</v>
      </c>
      <c r="O60" s="13">
        <f t="shared" si="34"/>
        <v>-17.329513993585699</v>
      </c>
      <c r="P60" s="13">
        <f t="shared" si="34"/>
        <v>-16.669828129711355</v>
      </c>
      <c r="Q60" s="13">
        <f t="shared" si="34"/>
        <v>-16.010142265837011</v>
      </c>
    </row>
    <row r="61" spans="1:19" x14ac:dyDescent="0.25">
      <c r="A61" s="12" t="s">
        <v>102</v>
      </c>
      <c r="B61" s="12"/>
      <c r="C61" s="13">
        <f>SUM(C56:C60)</f>
        <v>-23.45</v>
      </c>
      <c r="D61" s="13">
        <f t="shared" ref="D61:Q61" si="35">SUM(D56:D60)</f>
        <v>-23.875250000000001</v>
      </c>
      <c r="E61" s="13">
        <f t="shared" si="35"/>
        <v>-23.264386250000001</v>
      </c>
      <c r="F61" s="13">
        <f t="shared" si="35"/>
        <v>-22.60689738125</v>
      </c>
      <c r="G61" s="13">
        <f t="shared" si="35"/>
        <v>-21.94731038215625</v>
      </c>
      <c r="H61" s="13">
        <f t="shared" si="35"/>
        <v>-21.28762896719703</v>
      </c>
      <c r="I61" s="13">
        <f t="shared" si="35"/>
        <v>-20.627943303523868</v>
      </c>
      <c r="J61" s="13">
        <f t="shared" si="35"/>
        <v>-19.968257448658573</v>
      </c>
      <c r="K61" s="13">
        <f t="shared" si="35"/>
        <v>-19.308571585189636</v>
      </c>
      <c r="L61" s="13">
        <f t="shared" si="35"/>
        <v>-18.648885721333535</v>
      </c>
      <c r="M61" s="13">
        <f t="shared" si="35"/>
        <v>-17.989199857460008</v>
      </c>
      <c r="N61" s="13">
        <f t="shared" si="35"/>
        <v>-17.329513993585699</v>
      </c>
      <c r="O61" s="13">
        <f t="shared" si="35"/>
        <v>-16.669828129711355</v>
      </c>
      <c r="P61" s="13">
        <f t="shared" si="35"/>
        <v>-16.010142265837011</v>
      </c>
      <c r="Q61" s="13">
        <f t="shared" si="35"/>
        <v>-15.350456401962665</v>
      </c>
    </row>
    <row r="62" spans="1:19" x14ac:dyDescent="0.25">
      <c r="A6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9" x14ac:dyDescent="0.25">
      <c r="A63" s="6"/>
      <c r="B63" s="5" t="str">
        <f>B55</f>
        <v>A0</v>
      </c>
      <c r="C63" s="7" t="str">
        <f t="shared" ref="C63:Q63" si="36">C55</f>
        <v>A1</v>
      </c>
      <c r="D63" s="7" t="str">
        <f t="shared" si="36"/>
        <v>A2</v>
      </c>
      <c r="E63" s="7" t="str">
        <f t="shared" si="36"/>
        <v>A3</v>
      </c>
      <c r="F63" s="7" t="str">
        <f t="shared" si="36"/>
        <v>A4</v>
      </c>
      <c r="G63" s="7" t="str">
        <f t="shared" si="36"/>
        <v>A5</v>
      </c>
      <c r="H63" s="7" t="str">
        <f t="shared" si="36"/>
        <v>A6</v>
      </c>
      <c r="I63" s="7" t="str">
        <f t="shared" si="36"/>
        <v>A7</v>
      </c>
      <c r="J63" s="7" t="str">
        <f t="shared" si="36"/>
        <v>A8</v>
      </c>
      <c r="K63" s="7" t="str">
        <f t="shared" si="36"/>
        <v>A9</v>
      </c>
      <c r="L63" s="7" t="str">
        <f t="shared" si="36"/>
        <v>A10</v>
      </c>
      <c r="M63" s="7" t="str">
        <f t="shared" si="36"/>
        <v>A11</v>
      </c>
      <c r="N63" s="7" t="str">
        <f t="shared" si="36"/>
        <v>A12</v>
      </c>
      <c r="O63" s="7" t="str">
        <f t="shared" si="36"/>
        <v>A13</v>
      </c>
      <c r="P63" s="7" t="str">
        <f t="shared" si="36"/>
        <v>A14</v>
      </c>
      <c r="Q63" s="7" t="str">
        <f t="shared" si="36"/>
        <v>A15</v>
      </c>
      <c r="R63" s="88" t="s">
        <v>103</v>
      </c>
      <c r="S63" s="89" t="s">
        <v>104</v>
      </c>
    </row>
    <row r="64" spans="1:19" x14ac:dyDescent="0.25">
      <c r="A64" s="12" t="s">
        <v>9</v>
      </c>
      <c r="B64" s="12">
        <f>$B$6</f>
        <v>90</v>
      </c>
      <c r="C64" s="13">
        <f>B64+C53+C57</f>
        <v>80.55</v>
      </c>
      <c r="D64" s="13">
        <f t="shared" ref="D64:Q64" si="37">C64+D53+D57</f>
        <v>94.124750000000006</v>
      </c>
      <c r="E64" s="13">
        <f t="shared" si="37"/>
        <v>108.73561375</v>
      </c>
      <c r="F64" s="13">
        <f t="shared" si="37"/>
        <v>123.39310261874999</v>
      </c>
      <c r="G64" s="13">
        <f t="shared" si="37"/>
        <v>138.05268961784375</v>
      </c>
      <c r="H64" s="13">
        <f t="shared" si="37"/>
        <v>152.71237103280296</v>
      </c>
      <c r="I64" s="13">
        <f t="shared" si="37"/>
        <v>167.37205669647614</v>
      </c>
      <c r="J64" s="13">
        <f t="shared" si="37"/>
        <v>182.03174255134144</v>
      </c>
      <c r="K64" s="13">
        <f t="shared" si="37"/>
        <v>196.69142841481036</v>
      </c>
      <c r="L64" s="13">
        <f t="shared" si="37"/>
        <v>211.35111427866647</v>
      </c>
      <c r="M64" s="13">
        <f t="shared" si="37"/>
        <v>226.01080014253998</v>
      </c>
      <c r="N64" s="13">
        <f t="shared" si="37"/>
        <v>240.67048600641431</v>
      </c>
      <c r="O64" s="13">
        <f t="shared" si="37"/>
        <v>255.33017187028864</v>
      </c>
      <c r="P64" s="13">
        <f t="shared" si="37"/>
        <v>269.98985773416297</v>
      </c>
      <c r="Q64" s="13">
        <f t="shared" si="37"/>
        <v>284.64954359803733</v>
      </c>
      <c r="R64" s="13">
        <f>R69-R65</f>
        <v>2802.3806410529896</v>
      </c>
      <c r="S64" s="14">
        <f>R64-B64</f>
        <v>2712.3806410529896</v>
      </c>
    </row>
    <row r="65" spans="1:18" x14ac:dyDescent="0.25">
      <c r="A65" s="12" t="s">
        <v>12</v>
      </c>
      <c r="B65" s="12">
        <f>$B$7</f>
        <v>210</v>
      </c>
      <c r="C65" s="13">
        <f>B65+C58</f>
        <v>196</v>
      </c>
      <c r="D65" s="13">
        <f t="shared" ref="D65:Q65" si="38">C65+D58</f>
        <v>182</v>
      </c>
      <c r="E65" s="13">
        <f t="shared" si="38"/>
        <v>168</v>
      </c>
      <c r="F65" s="13">
        <f t="shared" si="38"/>
        <v>154</v>
      </c>
      <c r="G65" s="13">
        <f t="shared" si="38"/>
        <v>140</v>
      </c>
      <c r="H65" s="13">
        <f t="shared" si="38"/>
        <v>126</v>
      </c>
      <c r="I65" s="13">
        <f t="shared" si="38"/>
        <v>112</v>
      </c>
      <c r="J65" s="13">
        <f t="shared" si="38"/>
        <v>98</v>
      </c>
      <c r="K65" s="13">
        <f t="shared" si="38"/>
        <v>84</v>
      </c>
      <c r="L65" s="13">
        <f t="shared" si="38"/>
        <v>70</v>
      </c>
      <c r="M65" s="13">
        <f t="shared" si="38"/>
        <v>56</v>
      </c>
      <c r="N65" s="13">
        <f t="shared" si="38"/>
        <v>42</v>
      </c>
      <c r="O65" s="13">
        <f t="shared" si="38"/>
        <v>28</v>
      </c>
      <c r="P65" s="13">
        <f t="shared" si="38"/>
        <v>14</v>
      </c>
      <c r="Q65" s="13">
        <f t="shared" si="38"/>
        <v>0</v>
      </c>
      <c r="R65" s="13">
        <f>Q65</f>
        <v>0</v>
      </c>
    </row>
    <row r="66" spans="1:18" x14ac:dyDescent="0.25">
      <c r="A66" s="12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2"/>
    </row>
    <row r="67" spans="1:18" x14ac:dyDescent="0.25">
      <c r="A67" s="12" t="s">
        <v>105</v>
      </c>
      <c r="B67" s="12">
        <f>$B$4</f>
        <v>300</v>
      </c>
      <c r="C67" s="13">
        <f>B67-C49</f>
        <v>300</v>
      </c>
      <c r="D67" s="13">
        <f t="shared" ref="D67:Q67" si="39">C67-D49</f>
        <v>300</v>
      </c>
      <c r="E67" s="13">
        <f t="shared" si="39"/>
        <v>300</v>
      </c>
      <c r="F67" s="13">
        <f t="shared" si="39"/>
        <v>300</v>
      </c>
      <c r="G67" s="13">
        <f t="shared" si="39"/>
        <v>300</v>
      </c>
      <c r="H67" s="13">
        <f t="shared" si="39"/>
        <v>300</v>
      </c>
      <c r="I67" s="13">
        <f t="shared" si="39"/>
        <v>300</v>
      </c>
      <c r="J67" s="13">
        <f t="shared" si="39"/>
        <v>300</v>
      </c>
      <c r="K67" s="13">
        <f t="shared" si="39"/>
        <v>300</v>
      </c>
      <c r="L67" s="13">
        <f t="shared" si="39"/>
        <v>300</v>
      </c>
      <c r="M67" s="13">
        <f t="shared" si="39"/>
        <v>300</v>
      </c>
      <c r="N67" s="13">
        <f t="shared" si="39"/>
        <v>300</v>
      </c>
      <c r="O67" s="13">
        <f t="shared" si="39"/>
        <v>300</v>
      </c>
      <c r="P67" s="13">
        <f t="shared" si="39"/>
        <v>300</v>
      </c>
      <c r="Q67" s="13">
        <f t="shared" si="39"/>
        <v>300</v>
      </c>
      <c r="R67" s="14">
        <f>B4*POWER((1+B15),15)</f>
        <v>2817.7310974549523</v>
      </c>
    </row>
    <row r="68" spans="1:18" x14ac:dyDescent="0.25">
      <c r="A68" s="12" t="s">
        <v>24</v>
      </c>
      <c r="B68" s="12"/>
      <c r="C68" s="13">
        <f>C61</f>
        <v>-23.45</v>
      </c>
      <c r="D68" s="13">
        <f t="shared" ref="D68:Q68" si="40">D61</f>
        <v>-23.875250000000001</v>
      </c>
      <c r="E68" s="13">
        <f t="shared" si="40"/>
        <v>-23.264386250000001</v>
      </c>
      <c r="F68" s="13">
        <f t="shared" si="40"/>
        <v>-22.60689738125</v>
      </c>
      <c r="G68" s="13">
        <f t="shared" si="40"/>
        <v>-21.94731038215625</v>
      </c>
      <c r="H68" s="13">
        <f t="shared" si="40"/>
        <v>-21.28762896719703</v>
      </c>
      <c r="I68" s="13">
        <f t="shared" si="40"/>
        <v>-20.627943303523868</v>
      </c>
      <c r="J68" s="13">
        <f t="shared" si="40"/>
        <v>-19.968257448658573</v>
      </c>
      <c r="K68" s="13">
        <f t="shared" si="40"/>
        <v>-19.308571585189636</v>
      </c>
      <c r="L68" s="13">
        <f t="shared" si="40"/>
        <v>-18.648885721333535</v>
      </c>
      <c r="M68" s="13">
        <f t="shared" si="40"/>
        <v>-17.989199857460008</v>
      </c>
      <c r="N68" s="13">
        <f t="shared" si="40"/>
        <v>-17.329513993585699</v>
      </c>
      <c r="O68" s="13">
        <f t="shared" si="40"/>
        <v>-16.669828129711355</v>
      </c>
      <c r="P68" s="13">
        <f t="shared" si="40"/>
        <v>-16.010142265837011</v>
      </c>
      <c r="Q68" s="13">
        <f t="shared" si="40"/>
        <v>-15.350456401962665</v>
      </c>
      <c r="R68" s="13">
        <f>Q68</f>
        <v>-15.350456401962665</v>
      </c>
    </row>
    <row r="69" spans="1:18" x14ac:dyDescent="0.25">
      <c r="A69" s="12" t="s">
        <v>106</v>
      </c>
      <c r="B69" s="12">
        <f>SUM(B67:B68)</f>
        <v>300</v>
      </c>
      <c r="C69" s="13">
        <f>SUM(C67:C68)</f>
        <v>276.55</v>
      </c>
      <c r="D69" s="13">
        <f t="shared" ref="D69:Q69" si="41">SUM(D67:D68)</f>
        <v>276.12475000000001</v>
      </c>
      <c r="E69" s="13">
        <f t="shared" si="41"/>
        <v>276.73561374999997</v>
      </c>
      <c r="F69" s="13">
        <f t="shared" si="41"/>
        <v>277.39310261874999</v>
      </c>
      <c r="G69" s="13">
        <f t="shared" si="41"/>
        <v>278.05268961784373</v>
      </c>
      <c r="H69" s="13">
        <f t="shared" si="41"/>
        <v>278.71237103280299</v>
      </c>
      <c r="I69" s="13">
        <f t="shared" si="41"/>
        <v>279.37205669647614</v>
      </c>
      <c r="J69" s="13">
        <f t="shared" si="41"/>
        <v>280.03174255134144</v>
      </c>
      <c r="K69" s="13">
        <f t="shared" si="41"/>
        <v>280.69142841481039</v>
      </c>
      <c r="L69" s="13">
        <f t="shared" si="41"/>
        <v>281.35111427866644</v>
      </c>
      <c r="M69" s="13">
        <f t="shared" si="41"/>
        <v>282.01080014254001</v>
      </c>
      <c r="N69" s="13">
        <f t="shared" si="41"/>
        <v>282.67048600641431</v>
      </c>
      <c r="O69" s="13">
        <f t="shared" si="41"/>
        <v>283.33017187028867</v>
      </c>
      <c r="P69" s="13">
        <f t="shared" si="41"/>
        <v>283.98985773416297</v>
      </c>
      <c r="Q69" s="13">
        <f t="shared" si="41"/>
        <v>284.64954359803733</v>
      </c>
      <c r="R69" s="13">
        <f>SUM(R67:R68)</f>
        <v>2802.3806410529896</v>
      </c>
    </row>
    <row r="70" spans="1:18" x14ac:dyDescent="0.25">
      <c r="A70" s="12" t="s">
        <v>78</v>
      </c>
      <c r="B70" s="12">
        <f>B64+B65-B69</f>
        <v>0</v>
      </c>
      <c r="C70" s="13">
        <f>C64+C65-C69</f>
        <v>0</v>
      </c>
      <c r="D70" s="13">
        <f t="shared" ref="D70:R70" si="42">D64+D65-D69</f>
        <v>0</v>
      </c>
      <c r="E70" s="13">
        <f t="shared" si="42"/>
        <v>0</v>
      </c>
      <c r="F70" s="13">
        <f t="shared" si="42"/>
        <v>0</v>
      </c>
      <c r="G70" s="13">
        <f t="shared" si="42"/>
        <v>0</v>
      </c>
      <c r="H70" s="13">
        <f t="shared" si="42"/>
        <v>0</v>
      </c>
      <c r="I70" s="13">
        <f t="shared" si="42"/>
        <v>0</v>
      </c>
      <c r="J70" s="13">
        <f t="shared" si="42"/>
        <v>0</v>
      </c>
      <c r="K70" s="13">
        <f t="shared" si="42"/>
        <v>0</v>
      </c>
      <c r="L70" s="13">
        <f t="shared" si="42"/>
        <v>0</v>
      </c>
      <c r="M70" s="13">
        <f t="shared" si="42"/>
        <v>0</v>
      </c>
      <c r="N70" s="13">
        <f t="shared" si="42"/>
        <v>0</v>
      </c>
      <c r="O70" s="13">
        <f t="shared" si="42"/>
        <v>0</v>
      </c>
      <c r="P70" s="13">
        <f t="shared" si="42"/>
        <v>0</v>
      </c>
      <c r="Q70" s="13">
        <f t="shared" si="42"/>
        <v>0</v>
      </c>
      <c r="R70" s="13">
        <f t="shared" si="42"/>
        <v>0</v>
      </c>
    </row>
    <row r="71" spans="1:18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K9:L9"/>
    <mergeCell ref="K16:L16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H3" sqref="H3"/>
    </sheetView>
  </sheetViews>
  <sheetFormatPr baseColWidth="10" defaultColWidth="9.5703125" defaultRowHeight="15" x14ac:dyDescent="0.25"/>
  <cols>
    <col min="1" max="1" width="21.42578125" customWidth="1"/>
    <col min="2" max="5" width="8.28515625" customWidth="1"/>
    <col min="6" max="7" width="10.42578125" customWidth="1"/>
  </cols>
  <sheetData>
    <row r="1" spans="1:17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7" x14ac:dyDescent="0.25">
      <c r="A2" t="s">
        <v>143</v>
      </c>
      <c r="H2" t="s">
        <v>144</v>
      </c>
    </row>
    <row r="3" spans="1:1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7" x14ac:dyDescent="0.25">
      <c r="A4" s="132" t="s">
        <v>116</v>
      </c>
      <c r="B4" s="132" t="s">
        <v>110</v>
      </c>
      <c r="C4" s="132"/>
      <c r="D4" s="132"/>
      <c r="E4" s="132"/>
      <c r="F4" s="130" t="s">
        <v>111</v>
      </c>
      <c r="G4" s="130"/>
      <c r="H4" s="130"/>
      <c r="I4" s="130"/>
      <c r="J4" s="130"/>
      <c r="K4" s="132" t="s">
        <v>136</v>
      </c>
      <c r="L4" s="132"/>
      <c r="M4" s="132"/>
      <c r="N4" s="132"/>
      <c r="O4" s="132"/>
      <c r="P4" s="102"/>
      <c r="Q4" s="60"/>
    </row>
    <row r="5" spans="1:17" x14ac:dyDescent="0.25">
      <c r="A5" s="132"/>
      <c r="B5" s="132"/>
      <c r="C5" s="132"/>
      <c r="D5" s="132"/>
      <c r="E5" s="132"/>
      <c r="F5" s="135" t="s">
        <v>115</v>
      </c>
      <c r="G5" s="131" t="s">
        <v>137</v>
      </c>
      <c r="H5" s="131"/>
      <c r="I5" s="131"/>
      <c r="J5" s="131"/>
      <c r="K5" s="132"/>
      <c r="L5" s="132"/>
      <c r="M5" s="132"/>
      <c r="N5" s="132"/>
      <c r="O5" s="132"/>
      <c r="P5" s="60"/>
      <c r="Q5" s="103"/>
    </row>
    <row r="6" spans="1:17" x14ac:dyDescent="0.25">
      <c r="A6" s="132"/>
      <c r="B6" s="5" t="s">
        <v>54</v>
      </c>
      <c r="C6" s="5" t="s">
        <v>55</v>
      </c>
      <c r="D6" s="5" t="s">
        <v>56</v>
      </c>
      <c r="E6" s="53" t="s">
        <v>57</v>
      </c>
      <c r="F6" s="136"/>
      <c r="G6" s="87" t="s">
        <v>128</v>
      </c>
      <c r="H6" s="87" t="s">
        <v>112</v>
      </c>
      <c r="I6" s="6" t="s">
        <v>129</v>
      </c>
      <c r="J6" s="6" t="s">
        <v>130</v>
      </c>
      <c r="K6" s="132"/>
      <c r="L6" s="132"/>
      <c r="M6" s="132"/>
      <c r="N6" s="132"/>
      <c r="O6" s="132"/>
      <c r="P6" s="60"/>
      <c r="Q6" s="49"/>
    </row>
    <row r="7" spans="1:17" x14ac:dyDescent="0.25">
      <c r="A7" s="12" t="s">
        <v>113</v>
      </c>
      <c r="B7" s="12">
        <v>-100</v>
      </c>
      <c r="C7" s="12">
        <v>-10</v>
      </c>
      <c r="D7" s="12">
        <v>15</v>
      </c>
      <c r="E7" s="32">
        <v>165</v>
      </c>
      <c r="F7" s="95">
        <f>SUM(B7:E7)</f>
        <v>70</v>
      </c>
      <c r="G7" s="96">
        <f>B7+C7/(1+$H$7)+D7/(1+$H$7)^2+E7/(1+$H$7)^3</f>
        <v>1.2363443602225743E-12</v>
      </c>
      <c r="H7" s="114">
        <f>IRR(B7:E7)</f>
        <v>0.19039905345852226</v>
      </c>
      <c r="I7" s="13">
        <f>NPV(H7,B7:E7)</f>
        <v>1.0385965585494755E-12</v>
      </c>
      <c r="J7" s="13">
        <f>B7/(1+H7)+C7/(1+H7)^2+D7/(1+H7)^3+E7/(1+H7)^4</f>
        <v>1.0373923942097463E-12</v>
      </c>
      <c r="K7" s="134" t="s">
        <v>133</v>
      </c>
      <c r="L7" s="134"/>
      <c r="M7" s="134"/>
      <c r="N7" s="134"/>
      <c r="O7" s="134"/>
      <c r="P7" s="60"/>
      <c r="Q7" s="49"/>
    </row>
    <row r="8" spans="1:17" ht="15" customHeight="1" x14ac:dyDescent="0.25">
      <c r="A8" s="12" t="s">
        <v>131</v>
      </c>
      <c r="B8" s="12">
        <v>-100</v>
      </c>
      <c r="C8" s="12">
        <v>-10</v>
      </c>
      <c r="D8" s="12">
        <v>15</v>
      </c>
      <c r="E8" s="32">
        <v>165</v>
      </c>
      <c r="F8" s="95">
        <f t="shared" ref="F8:F11" si="0">SUM(B8:E8)</f>
        <v>70</v>
      </c>
      <c r="G8" s="96">
        <f>B8+C8/(1+$H$8)+D8/(1+$H$8)^2+E8/(1+$H$8)^3</f>
        <v>46.614836410754776</v>
      </c>
      <c r="H8" s="115">
        <v>0.05</v>
      </c>
      <c r="I8" s="13">
        <f t="shared" ref="I8:I11" si="1">NPV(H8,B8:E8)</f>
        <v>44.395082295956925</v>
      </c>
      <c r="J8" s="13">
        <f t="shared" ref="J8:J11" si="2">B8/(1+H8)+C8/(1+H8)^2+D8/(1+H8)^3+E8/(1+H8)^4</f>
        <v>44.395082295956925</v>
      </c>
      <c r="K8" s="133" t="s">
        <v>132</v>
      </c>
      <c r="L8" s="133"/>
      <c r="M8" s="133"/>
      <c r="N8" s="133"/>
      <c r="O8" s="133"/>
      <c r="P8" s="60"/>
      <c r="Q8" s="60"/>
    </row>
    <row r="9" spans="1:17" x14ac:dyDescent="0.25">
      <c r="A9" s="12" t="s">
        <v>131</v>
      </c>
      <c r="B9" s="12">
        <v>-100</v>
      </c>
      <c r="C9" s="12">
        <v>-10</v>
      </c>
      <c r="D9" s="12">
        <v>15</v>
      </c>
      <c r="E9" s="32">
        <v>165</v>
      </c>
      <c r="F9" s="95">
        <f t="shared" si="0"/>
        <v>70</v>
      </c>
      <c r="G9" s="96">
        <f>B9+C9/(1+$H$9)+D9/(1+$H$9)^2+E9/(1+$H$9)^3</f>
        <v>27.272727272727238</v>
      </c>
      <c r="H9" s="115">
        <v>0.1</v>
      </c>
      <c r="I9" s="13">
        <f t="shared" si="1"/>
        <v>24.793388429752031</v>
      </c>
      <c r="J9" s="13">
        <f t="shared" si="2"/>
        <v>24.793388429752042</v>
      </c>
      <c r="K9" s="133"/>
      <c r="L9" s="133"/>
      <c r="M9" s="133"/>
      <c r="N9" s="133"/>
      <c r="O9" s="133"/>
      <c r="P9" s="60"/>
      <c r="Q9" s="60"/>
    </row>
    <row r="10" spans="1:17" x14ac:dyDescent="0.25">
      <c r="A10" s="12" t="s">
        <v>114</v>
      </c>
      <c r="B10" s="12">
        <v>-100</v>
      </c>
      <c r="C10" s="12">
        <v>-10</v>
      </c>
      <c r="D10" s="12">
        <v>15</v>
      </c>
      <c r="E10" s="32">
        <v>165</v>
      </c>
      <c r="F10" s="95">
        <f t="shared" si="0"/>
        <v>70</v>
      </c>
      <c r="G10" s="112">
        <f>B10+C10/(1+$H$10)+D10/(1+$H$10)^2+E10/(1+$H$10)^3</f>
        <v>0.10272027743377521</v>
      </c>
      <c r="H10" s="115">
        <v>0.19</v>
      </c>
      <c r="I10" s="13">
        <f t="shared" si="1"/>
        <v>8.631956086871867E-2</v>
      </c>
      <c r="J10" s="13">
        <f t="shared" si="2"/>
        <v>8.6319560868716394E-2</v>
      </c>
      <c r="K10" s="134" t="s">
        <v>134</v>
      </c>
      <c r="L10" s="134"/>
      <c r="M10" s="134"/>
      <c r="N10" s="134"/>
      <c r="O10" s="134"/>
      <c r="P10" s="60"/>
      <c r="Q10" s="60"/>
    </row>
    <row r="11" spans="1:17" x14ac:dyDescent="0.25">
      <c r="A11" s="32" t="s">
        <v>127</v>
      </c>
      <c r="B11" s="12">
        <v>-100</v>
      </c>
      <c r="C11" s="12">
        <v>-10</v>
      </c>
      <c r="D11" s="12">
        <v>15</v>
      </c>
      <c r="E11" s="32">
        <v>165</v>
      </c>
      <c r="F11" s="95">
        <f t="shared" si="0"/>
        <v>70</v>
      </c>
      <c r="G11" s="96">
        <f>B11+C11/(1+$H$11)+D11/(1+$H$11)^2+E11/(1+$H$11)^3</f>
        <v>2.4326020503309849</v>
      </c>
      <c r="H11" s="114">
        <f>+B22</f>
        <v>0.18108942683539575</v>
      </c>
      <c r="I11" s="13">
        <f t="shared" si="1"/>
        <v>2.0596256261889372</v>
      </c>
      <c r="J11" s="13">
        <f t="shared" si="2"/>
        <v>2.0596256261889465</v>
      </c>
      <c r="K11" s="134" t="s">
        <v>135</v>
      </c>
      <c r="L11" s="134"/>
      <c r="M11" s="134"/>
      <c r="N11" s="134"/>
      <c r="O11" s="134"/>
      <c r="P11" s="60"/>
      <c r="Q11" s="60"/>
    </row>
    <row r="12" spans="1:17" x14ac:dyDescent="0.25">
      <c r="A12" s="113"/>
      <c r="B12" s="113"/>
      <c r="C12" s="113"/>
      <c r="D12" s="113"/>
      <c r="E12" s="113"/>
      <c r="J12" s="104"/>
      <c r="K12" s="60"/>
      <c r="L12" s="60"/>
      <c r="M12" s="60"/>
      <c r="N12" s="60"/>
      <c r="O12" s="60"/>
      <c r="P12" s="60"/>
      <c r="Q12" s="60"/>
    </row>
    <row r="13" spans="1:17" x14ac:dyDescent="0.25">
      <c r="A13" s="6" t="s">
        <v>138</v>
      </c>
      <c r="B13" s="5" t="s">
        <v>54</v>
      </c>
      <c r="C13" s="5" t="s">
        <v>55</v>
      </c>
      <c r="D13" s="5" t="s">
        <v>56</v>
      </c>
      <c r="E13" s="5" t="s">
        <v>57</v>
      </c>
      <c r="F13" s="107"/>
      <c r="G13" s="106"/>
      <c r="H13" s="106"/>
      <c r="I13" s="106"/>
      <c r="L13" s="97"/>
    </row>
    <row r="14" spans="1:17" x14ac:dyDescent="0.25">
      <c r="A14" s="12" t="s">
        <v>110</v>
      </c>
      <c r="B14" s="12">
        <f>B7</f>
        <v>-100</v>
      </c>
      <c r="C14" s="12">
        <f t="shared" ref="C14:E14" si="3">C7</f>
        <v>-10</v>
      </c>
      <c r="D14" s="12">
        <f t="shared" si="3"/>
        <v>15</v>
      </c>
      <c r="E14" s="12">
        <f t="shared" si="3"/>
        <v>165</v>
      </c>
      <c r="F14" s="108"/>
      <c r="G14" s="50"/>
      <c r="H14" s="50"/>
      <c r="I14" s="50"/>
      <c r="L14" s="97"/>
      <c r="N14" s="98"/>
    </row>
    <row r="15" spans="1:17" x14ac:dyDescent="0.25">
      <c r="A15" s="12" t="s">
        <v>118</v>
      </c>
      <c r="B15" s="54">
        <v>0.03</v>
      </c>
      <c r="C15" s="68">
        <f>B15</f>
        <v>0.03</v>
      </c>
      <c r="D15" s="67">
        <f>C15</f>
        <v>0.03</v>
      </c>
      <c r="E15" s="68">
        <f>D15</f>
        <v>0.03</v>
      </c>
      <c r="F15" s="108"/>
      <c r="G15" s="50"/>
      <c r="H15" s="50"/>
      <c r="I15" s="50"/>
      <c r="M15" s="100"/>
      <c r="N15" s="100"/>
      <c r="O15" s="100"/>
      <c r="P15" s="100"/>
    </row>
    <row r="16" spans="1:17" x14ac:dyDescent="0.25">
      <c r="A16" s="12" t="s">
        <v>117</v>
      </c>
      <c r="B16" s="54">
        <v>0.05</v>
      </c>
      <c r="C16" s="68">
        <f>B16</f>
        <v>0.05</v>
      </c>
      <c r="D16" s="67">
        <f t="shared" ref="D16:E16" si="4">C16</f>
        <v>0.05</v>
      </c>
      <c r="E16" s="68">
        <f t="shared" si="4"/>
        <v>0.05</v>
      </c>
      <c r="F16" s="108"/>
      <c r="G16" s="50"/>
      <c r="H16" s="50"/>
      <c r="I16" s="50"/>
      <c r="O16" s="97"/>
    </row>
    <row r="17" spans="1:18" x14ac:dyDescent="0.25">
      <c r="A17" s="12" t="s">
        <v>122</v>
      </c>
      <c r="B17" s="93"/>
      <c r="C17" s="93">
        <f>D17*(1+C15)</f>
        <v>1.0609</v>
      </c>
      <c r="D17" s="105">
        <f>+E17*(1+D15)</f>
        <v>1.03</v>
      </c>
      <c r="E17" s="93">
        <v>1</v>
      </c>
      <c r="F17" s="108"/>
      <c r="G17" s="50"/>
      <c r="H17" s="50"/>
      <c r="I17" s="50"/>
      <c r="R17" s="101"/>
    </row>
    <row r="18" spans="1:18" x14ac:dyDescent="0.25">
      <c r="A18" s="12" t="s">
        <v>119</v>
      </c>
      <c r="B18" s="93">
        <v>1</v>
      </c>
      <c r="C18" s="93">
        <f t="shared" ref="C18:E18" si="5">B18/(1+C16)</f>
        <v>0.95238095238095233</v>
      </c>
      <c r="D18" s="105">
        <f t="shared" si="5"/>
        <v>0.90702947845804982</v>
      </c>
      <c r="E18" s="93">
        <f t="shared" si="5"/>
        <v>0.86383759853147601</v>
      </c>
      <c r="F18" s="110" t="s">
        <v>125</v>
      </c>
      <c r="G18" s="94" t="s">
        <v>126</v>
      </c>
      <c r="H18" s="50"/>
      <c r="I18" s="50"/>
      <c r="R18" s="42"/>
    </row>
    <row r="19" spans="1:18" x14ac:dyDescent="0.25">
      <c r="A19" s="12" t="s">
        <v>121</v>
      </c>
      <c r="B19" s="13">
        <f>IF(B14&gt;0,B14*B17,0)</f>
        <v>0</v>
      </c>
      <c r="C19" s="13">
        <f t="shared" ref="C19:E19" si="6">IF(C14&gt;0,C14*C17,0)</f>
        <v>0</v>
      </c>
      <c r="D19" s="70">
        <f t="shared" si="6"/>
        <v>15.450000000000001</v>
      </c>
      <c r="E19" s="13">
        <f t="shared" si="6"/>
        <v>165</v>
      </c>
      <c r="F19" s="110">
        <f>SUM(B19:E19)</f>
        <v>180.45</v>
      </c>
      <c r="G19" s="118"/>
      <c r="H19" s="109"/>
      <c r="I19" s="109"/>
      <c r="R19" s="42"/>
    </row>
    <row r="20" spans="1:18" x14ac:dyDescent="0.25">
      <c r="A20" s="32" t="s">
        <v>123</v>
      </c>
      <c r="B20" s="12">
        <f>+IF(B14&lt;0,B14*B18,0)</f>
        <v>-100</v>
      </c>
      <c r="C20" s="13">
        <f t="shared" ref="C20:E20" si="7">+IF(C14&lt;0,C14*C18,0)</f>
        <v>-9.5238095238095237</v>
      </c>
      <c r="D20" s="12">
        <f t="shared" si="7"/>
        <v>0</v>
      </c>
      <c r="E20" s="12">
        <f t="shared" si="7"/>
        <v>0</v>
      </c>
      <c r="F20" s="118"/>
      <c r="G20" s="86">
        <f>SUM(B20:E20)</f>
        <v>-109.52380952380952</v>
      </c>
    </row>
    <row r="21" spans="1:18" x14ac:dyDescent="0.25">
      <c r="A21" s="27" t="s">
        <v>120</v>
      </c>
      <c r="B21" s="116">
        <f>POWER(-F19/G20,1/3)-1</f>
        <v>0.18108942683539575</v>
      </c>
      <c r="C21" s="129" t="s">
        <v>139</v>
      </c>
      <c r="D21" s="129"/>
      <c r="E21" s="129"/>
      <c r="F21" s="129"/>
      <c r="G21" s="60"/>
      <c r="H21" s="60"/>
      <c r="I21" s="60"/>
      <c r="J21" s="60"/>
      <c r="K21" s="97"/>
    </row>
    <row r="22" spans="1:18" x14ac:dyDescent="0.25">
      <c r="A22" s="27" t="s">
        <v>124</v>
      </c>
      <c r="B22" s="117">
        <f>MIRR(B14:E14,B16,B15)</f>
        <v>0.18108942683539575</v>
      </c>
      <c r="C22" s="129" t="s">
        <v>140</v>
      </c>
      <c r="D22" s="129"/>
      <c r="E22" s="129"/>
      <c r="F22" s="129"/>
      <c r="G22" s="60"/>
      <c r="H22" s="60"/>
      <c r="I22" s="60"/>
      <c r="J22" s="60"/>
    </row>
    <row r="23" spans="1:18" x14ac:dyDescent="0.25">
      <c r="A23" s="50"/>
      <c r="B23" s="61"/>
      <c r="C23" s="60"/>
      <c r="D23" s="60"/>
      <c r="E23" s="60"/>
      <c r="F23" s="61"/>
      <c r="G23" s="60"/>
      <c r="H23" s="60"/>
      <c r="I23" s="60"/>
      <c r="J23" s="60"/>
    </row>
    <row r="24" spans="1:18" x14ac:dyDescent="0.25">
      <c r="A24" s="50"/>
      <c r="B24" s="24"/>
    </row>
    <row r="25" spans="1:18" x14ac:dyDescent="0.25">
      <c r="A25" s="50"/>
      <c r="B25" s="111"/>
    </row>
    <row r="26" spans="1:18" x14ac:dyDescent="0.25">
      <c r="K26" s="99"/>
    </row>
  </sheetData>
  <mergeCells count="12">
    <mergeCell ref="A4:A6"/>
    <mergeCell ref="F5:F6"/>
    <mergeCell ref="K8:O9"/>
    <mergeCell ref="K7:O7"/>
    <mergeCell ref="K10:O10"/>
    <mergeCell ref="K11:O11"/>
    <mergeCell ref="K4:O6"/>
    <mergeCell ref="C21:F21"/>
    <mergeCell ref="C22:F22"/>
    <mergeCell ref="F4:J4"/>
    <mergeCell ref="G5:J5"/>
    <mergeCell ref="B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tronc commun</vt:lpstr>
      <vt:lpstr>Immob vs plcmt</vt:lpstr>
      <vt:lpstr>RENTA ACTIFS</vt:lpstr>
      <vt:lpstr>'Immob vs plcmt'!Zone_d_impression</vt:lpstr>
      <vt:lpstr>'tronc commun'!Zone_d_impression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SAINTCRICQJ</cp:lastModifiedBy>
  <cp:lastPrinted>2012-03-15T11:09:55Z</cp:lastPrinted>
  <dcterms:created xsi:type="dcterms:W3CDTF">2012-03-12T16:53:17Z</dcterms:created>
  <dcterms:modified xsi:type="dcterms:W3CDTF">2012-03-17T18:18:12Z</dcterms:modified>
</cp:coreProperties>
</file>