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18915" windowHeight="7485" activeTab="1"/>
  </bookViews>
  <sheets>
    <sheet name="tronc commun" sheetId="4" r:id="rId1"/>
    <sheet name="Immob vs plcmt" sheetId="5" r:id="rId2"/>
    <sheet name="Feuil6" sheetId="6" r:id="rId3"/>
  </sheets>
  <externalReferences>
    <externalReference r:id="rId4"/>
  </externalReferences>
  <definedNames>
    <definedName name="_xlnm.Print_Area" localSheetId="1">'Immob vs plcmt'!$A$1:$S$76</definedName>
    <definedName name="_xlnm.Print_Area" localSheetId="0">'tronc commun'!$A$1:$X$72</definedName>
  </definedNames>
  <calcPr calcId="125725"/>
</workbook>
</file>

<file path=xl/calcChain.xml><?xml version="1.0" encoding="utf-8"?>
<calcChain xmlns="http://schemas.openxmlformats.org/spreadsheetml/2006/main">
  <c r="B5" i="5"/>
  <c r="B6" s="1"/>
  <c r="F5" s="1"/>
  <c r="F8" s="1"/>
  <c r="B4"/>
  <c r="B72"/>
  <c r="C72" s="1"/>
  <c r="C65"/>
  <c r="Q55"/>
  <c r="P55"/>
  <c r="O55"/>
  <c r="N55"/>
  <c r="M55"/>
  <c r="L55"/>
  <c r="K55"/>
  <c r="J55"/>
  <c r="I55"/>
  <c r="H55"/>
  <c r="G55"/>
  <c r="F55"/>
  <c r="E55"/>
  <c r="D55"/>
  <c r="C55"/>
  <c r="R45"/>
  <c r="B45"/>
  <c r="B47" s="1"/>
  <c r="C38"/>
  <c r="C27"/>
  <c r="C45" s="1"/>
  <c r="C25"/>
  <c r="B24"/>
  <c r="B33" s="1"/>
  <c r="B41" s="1"/>
  <c r="B51" s="1"/>
  <c r="B60" s="1"/>
  <c r="B68" s="1"/>
  <c r="T20"/>
  <c r="D20"/>
  <c r="E20" s="1"/>
  <c r="F20" s="1"/>
  <c r="G20" s="1"/>
  <c r="H20" s="1"/>
  <c r="I20" s="1"/>
  <c r="J20" s="1"/>
  <c r="K20" s="1"/>
  <c r="L20" s="1"/>
  <c r="M20" s="1"/>
  <c r="N20" s="1"/>
  <c r="O20" s="1"/>
  <c r="P20" s="1"/>
  <c r="Q20" s="1"/>
  <c r="C20"/>
  <c r="Q19"/>
  <c r="Q24" s="1"/>
  <c r="Q33" s="1"/>
  <c r="Q41" s="1"/>
  <c r="Q51" s="1"/>
  <c r="Q60" s="1"/>
  <c r="Q68" s="1"/>
  <c r="P19"/>
  <c r="P24" s="1"/>
  <c r="P33" s="1"/>
  <c r="P41" s="1"/>
  <c r="P51" s="1"/>
  <c r="P60" s="1"/>
  <c r="P68" s="1"/>
  <c r="O19"/>
  <c r="O24" s="1"/>
  <c r="O33" s="1"/>
  <c r="O41" s="1"/>
  <c r="O51" s="1"/>
  <c r="O60" s="1"/>
  <c r="O68" s="1"/>
  <c r="N19"/>
  <c r="N24" s="1"/>
  <c r="N33" s="1"/>
  <c r="N41" s="1"/>
  <c r="N51" s="1"/>
  <c r="N60" s="1"/>
  <c r="N68" s="1"/>
  <c r="M19"/>
  <c r="M24" s="1"/>
  <c r="M33" s="1"/>
  <c r="M41" s="1"/>
  <c r="M51" s="1"/>
  <c r="M60" s="1"/>
  <c r="M68" s="1"/>
  <c r="L19"/>
  <c r="L24" s="1"/>
  <c r="L33" s="1"/>
  <c r="L41" s="1"/>
  <c r="L51" s="1"/>
  <c r="L60" s="1"/>
  <c r="L68" s="1"/>
  <c r="K19"/>
  <c r="K24" s="1"/>
  <c r="K33" s="1"/>
  <c r="K41" s="1"/>
  <c r="K51" s="1"/>
  <c r="K60" s="1"/>
  <c r="K68" s="1"/>
  <c r="J19"/>
  <c r="J24" s="1"/>
  <c r="J33" s="1"/>
  <c r="J41" s="1"/>
  <c r="J51" s="1"/>
  <c r="J60" s="1"/>
  <c r="J68" s="1"/>
  <c r="I19"/>
  <c r="I24" s="1"/>
  <c r="I33" s="1"/>
  <c r="I41" s="1"/>
  <c r="I51" s="1"/>
  <c r="I60" s="1"/>
  <c r="I68" s="1"/>
  <c r="H19"/>
  <c r="H24" s="1"/>
  <c r="H33" s="1"/>
  <c r="H41" s="1"/>
  <c r="H51" s="1"/>
  <c r="H60" s="1"/>
  <c r="H68" s="1"/>
  <c r="G19"/>
  <c r="G24" s="1"/>
  <c r="G33" s="1"/>
  <c r="G41" s="1"/>
  <c r="G51" s="1"/>
  <c r="G60" s="1"/>
  <c r="G68" s="1"/>
  <c r="F19"/>
  <c r="F24" s="1"/>
  <c r="F33" s="1"/>
  <c r="F41" s="1"/>
  <c r="F51" s="1"/>
  <c r="F60" s="1"/>
  <c r="F68" s="1"/>
  <c r="E19"/>
  <c r="E24" s="1"/>
  <c r="E33" s="1"/>
  <c r="E41" s="1"/>
  <c r="E51" s="1"/>
  <c r="E60" s="1"/>
  <c r="E68" s="1"/>
  <c r="D19"/>
  <c r="D24" s="1"/>
  <c r="D33" s="1"/>
  <c r="D41" s="1"/>
  <c r="D51" s="1"/>
  <c r="D60" s="1"/>
  <c r="D68" s="1"/>
  <c r="C19"/>
  <c r="C24" s="1"/>
  <c r="C33" s="1"/>
  <c r="C41" s="1"/>
  <c r="C51" s="1"/>
  <c r="C60" s="1"/>
  <c r="C68" s="1"/>
  <c r="F1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C10"/>
  <c r="F6"/>
  <c r="A1"/>
  <c r="C70" i="4"/>
  <c r="B59"/>
  <c r="C59" s="1"/>
  <c r="B49"/>
  <c r="Q45"/>
  <c r="Q55" s="1"/>
  <c r="Q66" s="1"/>
  <c r="P45"/>
  <c r="P55" s="1"/>
  <c r="P66" s="1"/>
  <c r="O45"/>
  <c r="O55" s="1"/>
  <c r="O66" s="1"/>
  <c r="N45"/>
  <c r="N55" s="1"/>
  <c r="N66" s="1"/>
  <c r="M45"/>
  <c r="M55" s="1"/>
  <c r="M66" s="1"/>
  <c r="L45"/>
  <c r="L55" s="1"/>
  <c r="L66" s="1"/>
  <c r="K45"/>
  <c r="K55" s="1"/>
  <c r="K66" s="1"/>
  <c r="J45"/>
  <c r="J55" s="1"/>
  <c r="J66" s="1"/>
  <c r="I45"/>
  <c r="I55" s="1"/>
  <c r="I66" s="1"/>
  <c r="H45"/>
  <c r="H55" s="1"/>
  <c r="H66" s="1"/>
  <c r="G45"/>
  <c r="G55" s="1"/>
  <c r="G66" s="1"/>
  <c r="F45"/>
  <c r="F55" s="1"/>
  <c r="F66" s="1"/>
  <c r="E45"/>
  <c r="E55" s="1"/>
  <c r="E66" s="1"/>
  <c r="D45"/>
  <c r="D55" s="1"/>
  <c r="D66" s="1"/>
  <c r="C45"/>
  <c r="C55" s="1"/>
  <c r="C66" s="1"/>
  <c r="B42"/>
  <c r="B40"/>
  <c r="C32"/>
  <c r="D32" s="1"/>
  <c r="E32" s="1"/>
  <c r="F32" s="1"/>
  <c r="G32" s="1"/>
  <c r="H32" s="1"/>
  <c r="I32" s="1"/>
  <c r="J32" s="1"/>
  <c r="K32" s="1"/>
  <c r="L32" s="1"/>
  <c r="M32" s="1"/>
  <c r="N32" s="1"/>
  <c r="O32" s="1"/>
  <c r="P32" s="1"/>
  <c r="Q32" s="1"/>
  <c r="C30"/>
  <c r="C31" s="1"/>
  <c r="G22"/>
  <c r="F22"/>
  <c r="J15"/>
  <c r="I11"/>
  <c r="F9"/>
  <c r="B51" s="1"/>
  <c r="B61" s="1"/>
  <c r="C61" s="1"/>
  <c r="D61" s="1"/>
  <c r="E61" s="1"/>
  <c r="F61" s="1"/>
  <c r="G61" s="1"/>
  <c r="H61" s="1"/>
  <c r="I61" s="1"/>
  <c r="J61" s="1"/>
  <c r="K61" s="1"/>
  <c r="L61" s="1"/>
  <c r="M61" s="1"/>
  <c r="N61" s="1"/>
  <c r="O61" s="1"/>
  <c r="P61" s="1"/>
  <c r="Q61" s="1"/>
  <c r="J8"/>
  <c r="C8"/>
  <c r="B8"/>
  <c r="C33" s="1"/>
  <c r="B6"/>
  <c r="X4"/>
  <c r="X11" s="1"/>
  <c r="W4"/>
  <c r="W11" s="1"/>
  <c r="V4"/>
  <c r="V11" s="1"/>
  <c r="U4"/>
  <c r="U11" s="1"/>
  <c r="T4"/>
  <c r="T11" s="1"/>
  <c r="S4"/>
  <c r="S11" s="1"/>
  <c r="R4"/>
  <c r="R11" s="1"/>
  <c r="Q4"/>
  <c r="Q11" s="1"/>
  <c r="P4"/>
  <c r="P11" s="1"/>
  <c r="O4"/>
  <c r="O11" s="1"/>
  <c r="N4"/>
  <c r="N11" s="1"/>
  <c r="M4"/>
  <c r="M11" s="1"/>
  <c r="L4"/>
  <c r="L11" s="1"/>
  <c r="K4"/>
  <c r="K11" s="1"/>
  <c r="J4"/>
  <c r="J11" s="1"/>
  <c r="A1"/>
  <c r="D25" i="5" l="1"/>
  <c r="B74"/>
  <c r="C26"/>
  <c r="C28" s="1"/>
  <c r="D27"/>
  <c r="E27" s="1"/>
  <c r="F27" s="1"/>
  <c r="G27" s="1"/>
  <c r="H27" s="1"/>
  <c r="I27" s="1"/>
  <c r="J27" s="1"/>
  <c r="K27" s="1"/>
  <c r="L27" s="1"/>
  <c r="M27" s="1"/>
  <c r="N27" s="1"/>
  <c r="O27" s="1"/>
  <c r="P27" s="1"/>
  <c r="Q27" s="1"/>
  <c r="B11" i="4"/>
  <c r="B14" s="1"/>
  <c r="B9"/>
  <c r="C21" i="5"/>
  <c r="D26"/>
  <c r="D28" s="1"/>
  <c r="E25"/>
  <c r="A76"/>
  <c r="A67"/>
  <c r="A59"/>
  <c r="A49"/>
  <c r="A50"/>
  <c r="A40"/>
  <c r="A32"/>
  <c r="A23"/>
  <c r="A3"/>
  <c r="B69"/>
  <c r="B42"/>
  <c r="B7"/>
  <c r="F12"/>
  <c r="F15" s="1"/>
  <c r="D72"/>
  <c r="B17" i="4"/>
  <c r="F8" s="1"/>
  <c r="B12"/>
  <c r="C36"/>
  <c r="C34"/>
  <c r="D33"/>
  <c r="A72"/>
  <c r="A65"/>
  <c r="A54"/>
  <c r="A44"/>
  <c r="A28"/>
  <c r="D30"/>
  <c r="D59"/>
  <c r="A3"/>
  <c r="D45" i="5" l="1"/>
  <c r="E45" s="1"/>
  <c r="B70"/>
  <c r="C63"/>
  <c r="D63" s="1"/>
  <c r="E63" s="1"/>
  <c r="F63" s="1"/>
  <c r="G63" s="1"/>
  <c r="H63" s="1"/>
  <c r="I63" s="1"/>
  <c r="J63" s="1"/>
  <c r="K63" s="1"/>
  <c r="L63" s="1"/>
  <c r="M63" s="1"/>
  <c r="N63" s="1"/>
  <c r="O63" s="1"/>
  <c r="P63" s="1"/>
  <c r="Q63" s="1"/>
  <c r="C36"/>
  <c r="D36" s="1"/>
  <c r="E36" s="1"/>
  <c r="F36" s="1"/>
  <c r="G36" s="1"/>
  <c r="H36" s="1"/>
  <c r="I36" s="1"/>
  <c r="J36" s="1"/>
  <c r="K36" s="1"/>
  <c r="L36" s="1"/>
  <c r="M36" s="1"/>
  <c r="N36" s="1"/>
  <c r="O36" s="1"/>
  <c r="P36" s="1"/>
  <c r="Q36" s="1"/>
  <c r="B43"/>
  <c r="B48" s="1"/>
  <c r="B75"/>
  <c r="E72"/>
  <c r="C22"/>
  <c r="E26"/>
  <c r="E28" s="1"/>
  <c r="F25"/>
  <c r="E59" i="4"/>
  <c r="D31"/>
  <c r="D36" s="1"/>
  <c r="E30"/>
  <c r="D34"/>
  <c r="E33"/>
  <c r="C37"/>
  <c r="C39"/>
  <c r="F11"/>
  <c r="F5"/>
  <c r="B50"/>
  <c r="B60" s="1"/>
  <c r="F6" l="1"/>
  <c r="B48" s="1"/>
  <c r="B57" s="1"/>
  <c r="F72" i="5"/>
  <c r="C43"/>
  <c r="C29"/>
  <c r="F26"/>
  <c r="G25"/>
  <c r="F28"/>
  <c r="F45"/>
  <c r="C70"/>
  <c r="C56"/>
  <c r="C60" i="4"/>
  <c r="B47"/>
  <c r="I5"/>
  <c r="E34"/>
  <c r="F33"/>
  <c r="E31"/>
  <c r="E36" s="1"/>
  <c r="F30"/>
  <c r="D39"/>
  <c r="D37"/>
  <c r="F59"/>
  <c r="F15" l="1"/>
  <c r="F17"/>
  <c r="F12"/>
  <c r="C58" i="5"/>
  <c r="G45"/>
  <c r="G26"/>
  <c r="G28" s="1"/>
  <c r="H25"/>
  <c r="C30"/>
  <c r="C31" s="1"/>
  <c r="G72"/>
  <c r="D70"/>
  <c r="D43"/>
  <c r="C40" i="4"/>
  <c r="C41" s="1"/>
  <c r="E37"/>
  <c r="E39"/>
  <c r="I8"/>
  <c r="I12"/>
  <c r="I15" s="1"/>
  <c r="G59"/>
  <c r="F31"/>
  <c r="F36" s="1"/>
  <c r="G30"/>
  <c r="F34"/>
  <c r="G33"/>
  <c r="B67"/>
  <c r="B70" s="1"/>
  <c r="B56"/>
  <c r="B53"/>
  <c r="D60"/>
  <c r="C48" l="1"/>
  <c r="C57" s="1"/>
  <c r="D40" s="1"/>
  <c r="F16"/>
  <c r="C34" i="5"/>
  <c r="C39" s="1"/>
  <c r="C42"/>
  <c r="E43"/>
  <c r="H45"/>
  <c r="C61"/>
  <c r="C66" s="1"/>
  <c r="C69"/>
  <c r="E70"/>
  <c r="H72"/>
  <c r="H26"/>
  <c r="H28" s="1"/>
  <c r="I25"/>
  <c r="E60" i="4"/>
  <c r="G34"/>
  <c r="H33"/>
  <c r="B62"/>
  <c r="B63" s="1"/>
  <c r="B64" s="1"/>
  <c r="C52"/>
  <c r="F39"/>
  <c r="F37"/>
  <c r="H59"/>
  <c r="G31"/>
  <c r="G36" s="1"/>
  <c r="H30"/>
  <c r="C42"/>
  <c r="C43" s="1"/>
  <c r="I72" i="5" l="1"/>
  <c r="I45"/>
  <c r="I26"/>
  <c r="I28" s="1"/>
  <c r="J25"/>
  <c r="F70"/>
  <c r="C73"/>
  <c r="D65"/>
  <c r="D62"/>
  <c r="G12" s="1"/>
  <c r="G15" s="1"/>
  <c r="F43"/>
  <c r="C46"/>
  <c r="D38"/>
  <c r="D35"/>
  <c r="G6" s="1"/>
  <c r="G8" s="1"/>
  <c r="C46" i="4"/>
  <c r="C53" s="1"/>
  <c r="C56"/>
  <c r="I59"/>
  <c r="G37"/>
  <c r="G39"/>
  <c r="H34"/>
  <c r="I33"/>
  <c r="D41"/>
  <c r="D48"/>
  <c r="D57" s="1"/>
  <c r="H31"/>
  <c r="H36" s="1"/>
  <c r="I30"/>
  <c r="F60"/>
  <c r="G43" i="5" l="1"/>
  <c r="D22"/>
  <c r="C74"/>
  <c r="C75" s="1"/>
  <c r="D56"/>
  <c r="G70"/>
  <c r="J72"/>
  <c r="D21"/>
  <c r="C47"/>
  <c r="C48" s="1"/>
  <c r="D29"/>
  <c r="J26"/>
  <c r="K25"/>
  <c r="J28"/>
  <c r="J45"/>
  <c r="G60" i="4"/>
  <c r="H39"/>
  <c r="H37"/>
  <c r="D42"/>
  <c r="D43" s="1"/>
  <c r="D46" s="1"/>
  <c r="I31"/>
  <c r="I36" s="1"/>
  <c r="J30"/>
  <c r="E40"/>
  <c r="I34"/>
  <c r="J33"/>
  <c r="J59"/>
  <c r="C62"/>
  <c r="C63" s="1"/>
  <c r="C64" s="1"/>
  <c r="D52"/>
  <c r="D47"/>
  <c r="K26" i="5" l="1"/>
  <c r="K28" s="1"/>
  <c r="L25"/>
  <c r="D30"/>
  <c r="D31" s="1"/>
  <c r="K72"/>
  <c r="D58"/>
  <c r="K45"/>
  <c r="H70"/>
  <c r="H43"/>
  <c r="D68" i="4"/>
  <c r="D70" s="1"/>
  <c r="K6"/>
  <c r="K59"/>
  <c r="J34"/>
  <c r="K33"/>
  <c r="E48"/>
  <c r="E57" s="1"/>
  <c r="E41"/>
  <c r="J31"/>
  <c r="J36" s="1"/>
  <c r="K30"/>
  <c r="D56"/>
  <c r="I37"/>
  <c r="I39"/>
  <c r="D53"/>
  <c r="H60"/>
  <c r="D34" i="5" l="1"/>
  <c r="D39" s="1"/>
  <c r="D42"/>
  <c r="I43"/>
  <c r="I70"/>
  <c r="D61"/>
  <c r="D66" s="1"/>
  <c r="D69"/>
  <c r="L45"/>
  <c r="L72"/>
  <c r="L26"/>
  <c r="L28" s="1"/>
  <c r="M25"/>
  <c r="I60" i="4"/>
  <c r="D62"/>
  <c r="D63" s="1"/>
  <c r="D64" s="1"/>
  <c r="E52"/>
  <c r="E47"/>
  <c r="K31"/>
  <c r="K36" s="1"/>
  <c r="L30"/>
  <c r="E42"/>
  <c r="E43" s="1"/>
  <c r="K34"/>
  <c r="L33"/>
  <c r="K13"/>
  <c r="K15" s="1"/>
  <c r="K8"/>
  <c r="J39"/>
  <c r="J37"/>
  <c r="F40"/>
  <c r="L59"/>
  <c r="E46" l="1"/>
  <c r="E53" s="1"/>
  <c r="F52" s="1"/>
  <c r="E56"/>
  <c r="M72" i="5"/>
  <c r="M45"/>
  <c r="M26"/>
  <c r="M28" s="1"/>
  <c r="N25"/>
  <c r="D73"/>
  <c r="E65"/>
  <c r="E62"/>
  <c r="H12" s="1"/>
  <c r="H15" s="1"/>
  <c r="J70"/>
  <c r="J43"/>
  <c r="D46"/>
  <c r="E38"/>
  <c r="E35"/>
  <c r="H6" s="1"/>
  <c r="H8" s="1"/>
  <c r="K37" i="4"/>
  <c r="K39"/>
  <c r="M59"/>
  <c r="F48"/>
  <c r="F57" s="1"/>
  <c r="F41"/>
  <c r="L34"/>
  <c r="M33"/>
  <c r="L31"/>
  <c r="L36" s="1"/>
  <c r="M30"/>
  <c r="E68"/>
  <c r="E70" s="1"/>
  <c r="L6"/>
  <c r="J60"/>
  <c r="E62" l="1"/>
  <c r="E63" s="1"/>
  <c r="E64" s="1"/>
  <c r="F47"/>
  <c r="K43" i="5"/>
  <c r="E22"/>
  <c r="D74"/>
  <c r="D75" s="1"/>
  <c r="E56"/>
  <c r="N72"/>
  <c r="E21"/>
  <c r="D47"/>
  <c r="D48" s="1"/>
  <c r="E29"/>
  <c r="K70"/>
  <c r="N26"/>
  <c r="O25"/>
  <c r="N28"/>
  <c r="N45"/>
  <c r="K60" i="4"/>
  <c r="L39"/>
  <c r="L37"/>
  <c r="F21"/>
  <c r="M34"/>
  <c r="N33"/>
  <c r="F42"/>
  <c r="F43" s="1"/>
  <c r="L13"/>
  <c r="L15" s="1"/>
  <c r="L8"/>
  <c r="M31"/>
  <c r="M36" s="1"/>
  <c r="N30"/>
  <c r="F68"/>
  <c r="F70" s="1"/>
  <c r="M6"/>
  <c r="G40"/>
  <c r="N59"/>
  <c r="O26" i="5" l="1"/>
  <c r="O28" s="1"/>
  <c r="P25"/>
  <c r="E30"/>
  <c r="E31" s="1"/>
  <c r="O72"/>
  <c r="E58"/>
  <c r="O45"/>
  <c r="L70"/>
  <c r="L43"/>
  <c r="M37" i="4"/>
  <c r="M39"/>
  <c r="N34"/>
  <c r="O33"/>
  <c r="O59"/>
  <c r="G48"/>
  <c r="G57" s="1"/>
  <c r="G41"/>
  <c r="M13"/>
  <c r="M15" s="1"/>
  <c r="M8"/>
  <c r="N31"/>
  <c r="N36" s="1"/>
  <c r="O30"/>
  <c r="F46"/>
  <c r="F53" s="1"/>
  <c r="F56"/>
  <c r="L60"/>
  <c r="E34" i="5" l="1"/>
  <c r="E39" s="1"/>
  <c r="E42"/>
  <c r="M43"/>
  <c r="E61"/>
  <c r="E66" s="1"/>
  <c r="E69"/>
  <c r="M70"/>
  <c r="P45"/>
  <c r="P72"/>
  <c r="P26"/>
  <c r="P28" s="1"/>
  <c r="Q25"/>
  <c r="N39" i="4"/>
  <c r="N37"/>
  <c r="H40"/>
  <c r="P59"/>
  <c r="M60"/>
  <c r="F62"/>
  <c r="F63" s="1"/>
  <c r="F64" s="1"/>
  <c r="G52"/>
  <c r="G47"/>
  <c r="O31"/>
  <c r="O36" s="1"/>
  <c r="P30"/>
  <c r="G42"/>
  <c r="G43" s="1"/>
  <c r="O34"/>
  <c r="P33"/>
  <c r="Q72" i="5" l="1"/>
  <c r="Q45"/>
  <c r="Q26"/>
  <c r="Q28" s="1"/>
  <c r="N70"/>
  <c r="E73"/>
  <c r="F62"/>
  <c r="I12" s="1"/>
  <c r="I15" s="1"/>
  <c r="F65"/>
  <c r="N43"/>
  <c r="F38"/>
  <c r="F35"/>
  <c r="I6" s="1"/>
  <c r="I8" s="1"/>
  <c r="E46"/>
  <c r="G46" i="4"/>
  <c r="G53" s="1"/>
  <c r="G56"/>
  <c r="O37"/>
  <c r="O39"/>
  <c r="P34"/>
  <c r="Q33"/>
  <c r="P31"/>
  <c r="P36" s="1"/>
  <c r="Q30"/>
  <c r="Q31" s="1"/>
  <c r="Q36" s="1"/>
  <c r="G68"/>
  <c r="G70" s="1"/>
  <c r="N6"/>
  <c r="N60"/>
  <c r="Q59"/>
  <c r="H48"/>
  <c r="H57" s="1"/>
  <c r="H41"/>
  <c r="E47" i="5" l="1"/>
  <c r="E48" s="1"/>
  <c r="F29"/>
  <c r="F22"/>
  <c r="F21"/>
  <c r="O43"/>
  <c r="E74"/>
  <c r="E75" s="1"/>
  <c r="F56"/>
  <c r="O70"/>
  <c r="I40" i="4"/>
  <c r="O60"/>
  <c r="P39"/>
  <c r="P37"/>
  <c r="H42"/>
  <c r="H43" s="1"/>
  <c r="N13"/>
  <c r="N15" s="1"/>
  <c r="N8"/>
  <c r="Q37"/>
  <c r="G21"/>
  <c r="Q39"/>
  <c r="Q34"/>
  <c r="G62"/>
  <c r="G63" s="1"/>
  <c r="G64" s="1"/>
  <c r="H52"/>
  <c r="H47"/>
  <c r="P70" i="5" l="1"/>
  <c r="P43"/>
  <c r="F30"/>
  <c r="F31" s="1"/>
  <c r="F58"/>
  <c r="H46" i="4"/>
  <c r="H53" s="1"/>
  <c r="H56"/>
  <c r="H68"/>
  <c r="H70" s="1"/>
  <c r="O6"/>
  <c r="P60"/>
  <c r="I48"/>
  <c r="I57" s="1"/>
  <c r="I41"/>
  <c r="F34" i="5" l="1"/>
  <c r="F39" s="1"/>
  <c r="F42"/>
  <c r="Q70"/>
  <c r="R70" s="1"/>
  <c r="F61"/>
  <c r="F66" s="1"/>
  <c r="F69"/>
  <c r="Q43"/>
  <c r="R43" s="1"/>
  <c r="I42" i="4"/>
  <c r="I43" s="1"/>
  <c r="O13"/>
  <c r="O15" s="1"/>
  <c r="O8"/>
  <c r="J40"/>
  <c r="Q60"/>
  <c r="H62"/>
  <c r="H63" s="1"/>
  <c r="H64" s="1"/>
  <c r="I52"/>
  <c r="I47"/>
  <c r="F73" i="5" l="1"/>
  <c r="G65"/>
  <c r="G62"/>
  <c r="J12" s="1"/>
  <c r="J15" s="1"/>
  <c r="F46"/>
  <c r="G38"/>
  <c r="G35"/>
  <c r="J6" s="1"/>
  <c r="J8" s="1"/>
  <c r="I46" i="4"/>
  <c r="I53" s="1"/>
  <c r="I56"/>
  <c r="I68"/>
  <c r="I70" s="1"/>
  <c r="P6"/>
  <c r="J48"/>
  <c r="J57" s="1"/>
  <c r="J41"/>
  <c r="G21" i="5" l="1"/>
  <c r="F47"/>
  <c r="F48" s="1"/>
  <c r="G29"/>
  <c r="G22"/>
  <c r="F74"/>
  <c r="F75" s="1"/>
  <c r="G56"/>
  <c r="J42" i="4"/>
  <c r="J43" s="1"/>
  <c r="K40"/>
  <c r="P13"/>
  <c r="P15" s="1"/>
  <c r="P8"/>
  <c r="I62"/>
  <c r="I63" s="1"/>
  <c r="I64" s="1"/>
  <c r="J52"/>
  <c r="J47"/>
  <c r="J46" l="1"/>
  <c r="J53" s="1"/>
  <c r="J56"/>
  <c r="G58" i="5"/>
  <c r="G30"/>
  <c r="G31" s="1"/>
  <c r="J68" i="4"/>
  <c r="J70" s="1"/>
  <c r="Q6"/>
  <c r="K48"/>
  <c r="K57" s="1"/>
  <c r="K41"/>
  <c r="G34" i="5" l="1"/>
  <c r="G39" s="1"/>
  <c r="G42"/>
  <c r="G61"/>
  <c r="G66" s="1"/>
  <c r="G69"/>
  <c r="J62" i="4"/>
  <c r="J63" s="1"/>
  <c r="J64" s="1"/>
  <c r="K52"/>
  <c r="K47"/>
  <c r="K42"/>
  <c r="K43" s="1"/>
  <c r="Q13"/>
  <c r="Q15" s="1"/>
  <c r="Q8"/>
  <c r="L40"/>
  <c r="G73" i="5" l="1"/>
  <c r="H65"/>
  <c r="H62"/>
  <c r="K12" s="1"/>
  <c r="K15" s="1"/>
  <c r="H22" s="1"/>
  <c r="G46"/>
  <c r="H38"/>
  <c r="H35"/>
  <c r="K6" s="1"/>
  <c r="K8" s="1"/>
  <c r="H21" s="1"/>
  <c r="K46" i="4"/>
  <c r="K53" s="1"/>
  <c r="K56"/>
  <c r="L48"/>
  <c r="L57" s="1"/>
  <c r="L41"/>
  <c r="K68"/>
  <c r="K70" s="1"/>
  <c r="R6"/>
  <c r="G47" i="5" l="1"/>
  <c r="G48" s="1"/>
  <c r="H29"/>
  <c r="G74"/>
  <c r="G75" s="1"/>
  <c r="H56"/>
  <c r="H58" s="1"/>
  <c r="R13" i="4"/>
  <c r="R15" s="1"/>
  <c r="R8"/>
  <c r="L42"/>
  <c r="L43" s="1"/>
  <c r="L46" s="1"/>
  <c r="M40"/>
  <c r="K62"/>
  <c r="K63" s="1"/>
  <c r="K64" s="1"/>
  <c r="L52"/>
  <c r="L47"/>
  <c r="L56" l="1"/>
  <c r="H61" i="5"/>
  <c r="H66" s="1"/>
  <c r="H69"/>
  <c r="H30"/>
  <c r="H31" s="1"/>
  <c r="L68" i="4"/>
  <c r="L70" s="1"/>
  <c r="S6"/>
  <c r="M48"/>
  <c r="M57" s="1"/>
  <c r="M41"/>
  <c r="L53"/>
  <c r="H34" i="5" l="1"/>
  <c r="H39" s="1"/>
  <c r="H42"/>
  <c r="H73"/>
  <c r="I65"/>
  <c r="I62"/>
  <c r="L12" s="1"/>
  <c r="L15" s="1"/>
  <c r="I22" s="1"/>
  <c r="L62" i="4"/>
  <c r="M52"/>
  <c r="M47"/>
  <c r="M42"/>
  <c r="M43" s="1"/>
  <c r="S13"/>
  <c r="S8"/>
  <c r="N40"/>
  <c r="H74" i="5" l="1"/>
  <c r="H75" s="1"/>
  <c r="I56"/>
  <c r="I58" s="1"/>
  <c r="H46"/>
  <c r="I38"/>
  <c r="I35"/>
  <c r="L6" s="1"/>
  <c r="L8" s="1"/>
  <c r="I21" s="1"/>
  <c r="N48" i="4"/>
  <c r="N57" s="1"/>
  <c r="N41"/>
  <c r="M46"/>
  <c r="M53" s="1"/>
  <c r="M56"/>
  <c r="M68"/>
  <c r="M70" s="1"/>
  <c r="T6"/>
  <c r="T8" s="1"/>
  <c r="F23"/>
  <c r="L63"/>
  <c r="L64" s="1"/>
  <c r="I61" i="5" l="1"/>
  <c r="I66" s="1"/>
  <c r="I69"/>
  <c r="H47"/>
  <c r="H48" s="1"/>
  <c r="I29"/>
  <c r="F24" i="4"/>
  <c r="F25" s="1"/>
  <c r="F26" s="1"/>
  <c r="S14" s="1"/>
  <c r="S15" s="1"/>
  <c r="I16" s="1"/>
  <c r="M62"/>
  <c r="M63" s="1"/>
  <c r="M64" s="1"/>
  <c r="N52"/>
  <c r="N47"/>
  <c r="O40"/>
  <c r="N42"/>
  <c r="N43" s="1"/>
  <c r="N46" s="1"/>
  <c r="N53" l="1"/>
  <c r="O52" s="1"/>
  <c r="I30" i="5"/>
  <c r="I31" s="1"/>
  <c r="I73"/>
  <c r="J65"/>
  <c r="J62"/>
  <c r="M12" s="1"/>
  <c r="M15" s="1"/>
  <c r="J22" s="1"/>
  <c r="N56" i="4"/>
  <c r="O48"/>
  <c r="O57" s="1"/>
  <c r="O41"/>
  <c r="N68"/>
  <c r="N70" s="1"/>
  <c r="U6"/>
  <c r="U8" s="1"/>
  <c r="O47" l="1"/>
  <c r="O68" s="1"/>
  <c r="O70" s="1"/>
  <c r="N62"/>
  <c r="N63" s="1"/>
  <c r="I34" i="5"/>
  <c r="I39" s="1"/>
  <c r="I42"/>
  <c r="I74"/>
  <c r="I75" s="1"/>
  <c r="J56"/>
  <c r="J58" s="1"/>
  <c r="O42" i="4"/>
  <c r="O43" s="1"/>
  <c r="N64"/>
  <c r="P40"/>
  <c r="V6" l="1"/>
  <c r="V8" s="1"/>
  <c r="O46"/>
  <c r="O53" s="1"/>
  <c r="O62" s="1"/>
  <c r="O63" s="1"/>
  <c r="O56"/>
  <c r="J61" i="5"/>
  <c r="J66" s="1"/>
  <c r="J69"/>
  <c r="J38"/>
  <c r="J35"/>
  <c r="M6" s="1"/>
  <c r="M8" s="1"/>
  <c r="J21" s="1"/>
  <c r="I46"/>
  <c r="P48" i="4"/>
  <c r="P57" s="1"/>
  <c r="P41"/>
  <c r="O64" l="1"/>
  <c r="P52"/>
  <c r="P47"/>
  <c r="W6" s="1"/>
  <c r="W8" s="1"/>
  <c r="I47" i="5"/>
  <c r="I48" s="1"/>
  <c r="J29"/>
  <c r="J73"/>
  <c r="K65"/>
  <c r="K62"/>
  <c r="N12" s="1"/>
  <c r="N15" s="1"/>
  <c r="K22" s="1"/>
  <c r="P68" i="4"/>
  <c r="P70" s="1"/>
  <c r="Q40"/>
  <c r="P42"/>
  <c r="P43" s="1"/>
  <c r="J30" i="5" l="1"/>
  <c r="J31" s="1"/>
  <c r="J74"/>
  <c r="J75" s="1"/>
  <c r="K56"/>
  <c r="K58" s="1"/>
  <c r="Q48" i="4"/>
  <c r="Q57" s="1"/>
  <c r="Q41"/>
  <c r="P46"/>
  <c r="P53" s="1"/>
  <c r="P56"/>
  <c r="J34" i="5" l="1"/>
  <c r="J39" s="1"/>
  <c r="J42"/>
  <c r="K61"/>
  <c r="K66" s="1"/>
  <c r="K69"/>
  <c r="Q42" i="4"/>
  <c r="Q43" s="1"/>
  <c r="P62"/>
  <c r="P63" s="1"/>
  <c r="P64" s="1"/>
  <c r="Q52"/>
  <c r="Q47"/>
  <c r="K73" i="5" l="1"/>
  <c r="L65"/>
  <c r="L62"/>
  <c r="O12" s="1"/>
  <c r="O15" s="1"/>
  <c r="L22" s="1"/>
  <c r="J46"/>
  <c r="K38"/>
  <c r="K35"/>
  <c r="N6" s="1"/>
  <c r="N8" s="1"/>
  <c r="K21" s="1"/>
  <c r="Q46" i="4"/>
  <c r="Q53" s="1"/>
  <c r="Q62" s="1"/>
  <c r="Q56"/>
  <c r="Q68"/>
  <c r="X6"/>
  <c r="J47" i="5" l="1"/>
  <c r="J48" s="1"/>
  <c r="K29"/>
  <c r="K74"/>
  <c r="K75" s="1"/>
  <c r="L56"/>
  <c r="L58" s="1"/>
  <c r="G23" i="4"/>
  <c r="Q63"/>
  <c r="Q64" s="1"/>
  <c r="L61" i="5" l="1"/>
  <c r="L66" s="1"/>
  <c r="L69"/>
  <c r="K30"/>
  <c r="K31" s="1"/>
  <c r="G24" i="4"/>
  <c r="G25" s="1"/>
  <c r="G26" s="1"/>
  <c r="K34" i="5" l="1"/>
  <c r="K39" s="1"/>
  <c r="K42"/>
  <c r="L73"/>
  <c r="M65"/>
  <c r="M62"/>
  <c r="P12" s="1"/>
  <c r="P15" s="1"/>
  <c r="M22" s="1"/>
  <c r="Q69" i="4"/>
  <c r="Q70" s="1"/>
  <c r="B71" s="1"/>
  <c r="X7"/>
  <c r="X8" s="1"/>
  <c r="I9" s="1"/>
  <c r="B15" i="5" s="1"/>
  <c r="R72" s="1"/>
  <c r="L74" l="1"/>
  <c r="L75" s="1"/>
  <c r="M56"/>
  <c r="M58" s="1"/>
  <c r="K46"/>
  <c r="L38"/>
  <c r="L35"/>
  <c r="O6" s="1"/>
  <c r="O8" s="1"/>
  <c r="L21" s="1"/>
  <c r="M61" l="1"/>
  <c r="M66" s="1"/>
  <c r="M69"/>
  <c r="K47"/>
  <c r="K48" s="1"/>
  <c r="L29"/>
  <c r="L30" l="1"/>
  <c r="L31" s="1"/>
  <c r="M73"/>
  <c r="N65"/>
  <c r="N62"/>
  <c r="Q12" s="1"/>
  <c r="Q15" s="1"/>
  <c r="N22" s="1"/>
  <c r="L34" l="1"/>
  <c r="L39" s="1"/>
  <c r="L42"/>
  <c r="M74"/>
  <c r="M75" s="1"/>
  <c r="N56"/>
  <c r="N58" s="1"/>
  <c r="L46" l="1"/>
  <c r="M38"/>
  <c r="M35"/>
  <c r="P6" s="1"/>
  <c r="P8" s="1"/>
  <c r="M21" s="1"/>
  <c r="N61"/>
  <c r="N66" s="1"/>
  <c r="N69"/>
  <c r="N73" l="1"/>
  <c r="O65"/>
  <c r="O62"/>
  <c r="R12" s="1"/>
  <c r="R15" s="1"/>
  <c r="O22" s="1"/>
  <c r="L47"/>
  <c r="L48" s="1"/>
  <c r="M29"/>
  <c r="M30" l="1"/>
  <c r="M31" s="1"/>
  <c r="N74"/>
  <c r="N75" s="1"/>
  <c r="O56"/>
  <c r="O58" s="1"/>
  <c r="M34" l="1"/>
  <c r="M39" s="1"/>
  <c r="M42"/>
  <c r="O61"/>
  <c r="O66" s="1"/>
  <c r="O69"/>
  <c r="O73" l="1"/>
  <c r="P65"/>
  <c r="P62"/>
  <c r="S12" s="1"/>
  <c r="S15" s="1"/>
  <c r="P22" s="1"/>
  <c r="N38"/>
  <c r="N35"/>
  <c r="Q6" s="1"/>
  <c r="Q8" s="1"/>
  <c r="N21" s="1"/>
  <c r="M46"/>
  <c r="M47" l="1"/>
  <c r="M48" s="1"/>
  <c r="N29"/>
  <c r="O74"/>
  <c r="O75" s="1"/>
  <c r="P56"/>
  <c r="P58" s="1"/>
  <c r="P61" l="1"/>
  <c r="P66" s="1"/>
  <c r="P69"/>
  <c r="N30"/>
  <c r="N31" s="1"/>
  <c r="N34" l="1"/>
  <c r="N39" s="1"/>
  <c r="N42"/>
  <c r="P73"/>
  <c r="Q65"/>
  <c r="Q62"/>
  <c r="P74" l="1"/>
  <c r="P75" s="1"/>
  <c r="Q56"/>
  <c r="N46"/>
  <c r="O38"/>
  <c r="O35"/>
  <c r="R6" s="1"/>
  <c r="R8" s="1"/>
  <c r="O21" s="1"/>
  <c r="Q58" l="1"/>
  <c r="R56"/>
  <c r="N47"/>
  <c r="N48" s="1"/>
  <c r="O29"/>
  <c r="O30" l="1"/>
  <c r="O31" s="1"/>
  <c r="Q61"/>
  <c r="Q66" s="1"/>
  <c r="Q73" s="1"/>
  <c r="Q69"/>
  <c r="O34" l="1"/>
  <c r="O39" s="1"/>
  <c r="O42"/>
  <c r="R73"/>
  <c r="R74" s="1"/>
  <c r="R69" s="1"/>
  <c r="Q74"/>
  <c r="Q75" s="1"/>
  <c r="R75" l="1"/>
  <c r="S69"/>
  <c r="T14"/>
  <c r="T15" s="1"/>
  <c r="O46"/>
  <c r="P38"/>
  <c r="P35"/>
  <c r="S6" s="1"/>
  <c r="S8" s="1"/>
  <c r="P21" s="1"/>
  <c r="O47" l="1"/>
  <c r="O48" s="1"/>
  <c r="P29"/>
  <c r="Q22"/>
  <c r="R22" s="1"/>
  <c r="F16"/>
  <c r="P30" l="1"/>
  <c r="P31" s="1"/>
  <c r="P34" l="1"/>
  <c r="P39" s="1"/>
  <c r="P42"/>
  <c r="P46" l="1"/>
  <c r="Q38"/>
  <c r="Q35"/>
  <c r="T6" s="1"/>
  <c r="P47" l="1"/>
  <c r="P48" s="1"/>
  <c r="Q29"/>
  <c r="Q30" l="1"/>
  <c r="Q31" s="1"/>
  <c r="Q34" l="1"/>
  <c r="Q39" s="1"/>
  <c r="Q46" s="1"/>
  <c r="Q42"/>
  <c r="R46" l="1"/>
  <c r="R47" s="1"/>
  <c r="R42" s="1"/>
  <c r="Q47"/>
  <c r="Q48" s="1"/>
  <c r="R48" l="1"/>
  <c r="S42"/>
  <c r="T7"/>
  <c r="T8" s="1"/>
  <c r="Q21" l="1"/>
  <c r="R21" s="1"/>
  <c r="F9"/>
</calcChain>
</file>

<file path=xl/comments1.xml><?xml version="1.0" encoding="utf-8"?>
<comments xmlns="http://schemas.openxmlformats.org/spreadsheetml/2006/main">
  <authors>
    <author>SAINTCRICQJ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Acquisition</t>
        </r>
      </text>
    </comment>
  </commentList>
</comments>
</file>

<file path=xl/sharedStrings.xml><?xml version="1.0" encoding="utf-8"?>
<sst xmlns="http://schemas.openxmlformats.org/spreadsheetml/2006/main" count="210" uniqueCount="115">
  <si>
    <t>Tronc commun :</t>
  </si>
  <si>
    <t>JSC 12 mars 2012</t>
  </si>
  <si>
    <t>Exploitation</t>
  </si>
  <si>
    <t>Loc</t>
  </si>
  <si>
    <t>Delta</t>
  </si>
  <si>
    <t>Bilan de départ</t>
  </si>
  <si>
    <t>15ans</t>
  </si>
  <si>
    <t>A0</t>
  </si>
  <si>
    <t>chiffre d'affaires</t>
  </si>
  <si>
    <t>Capital</t>
  </si>
  <si>
    <t>Invstmt</t>
  </si>
  <si>
    <t>marge brute</t>
  </si>
  <si>
    <t>Dette</t>
  </si>
  <si>
    <t>dividendes</t>
  </si>
  <si>
    <t xml:space="preserve">charges d'exploitation </t>
  </si>
  <si>
    <t>Immob</t>
  </si>
  <si>
    <t>VT</t>
  </si>
  <si>
    <t>loyer</t>
  </si>
  <si>
    <t>Fonds</t>
  </si>
  <si>
    <t>Flux</t>
  </si>
  <si>
    <t>loyer%CA</t>
  </si>
  <si>
    <t>BFR</t>
  </si>
  <si>
    <t>TRI</t>
  </si>
  <si>
    <t>taxe foncière</t>
  </si>
  <si>
    <t>Cash</t>
  </si>
  <si>
    <t>EBE</t>
  </si>
  <si>
    <t>total</t>
  </si>
  <si>
    <t>10ans</t>
  </si>
  <si>
    <t>EBE%CA</t>
  </si>
  <si>
    <t>Levier</t>
  </si>
  <si>
    <t>Amortissements</t>
  </si>
  <si>
    <t>Résultat exploitation</t>
  </si>
  <si>
    <t>An Fi</t>
  </si>
  <si>
    <t>Total</t>
  </si>
  <si>
    <t>Immobilier</t>
  </si>
  <si>
    <t>Ppal</t>
  </si>
  <si>
    <t>Int</t>
  </si>
  <si>
    <t>Taux de cap</t>
  </si>
  <si>
    <t>Valo multiple EBE</t>
  </si>
  <si>
    <t>Amrtsmt (durée)</t>
  </si>
  <si>
    <t xml:space="preserve"> </t>
  </si>
  <si>
    <t>VEA10</t>
  </si>
  <si>
    <t>VEA15</t>
  </si>
  <si>
    <t>Apport</t>
  </si>
  <si>
    <t>Prêt (durée)</t>
  </si>
  <si>
    <t>mult</t>
  </si>
  <si>
    <t>Taux d'intérêt</t>
  </si>
  <si>
    <t>V titres</t>
  </si>
  <si>
    <t>Multiple valor/EBE</t>
  </si>
  <si>
    <t>+V/T</t>
  </si>
  <si>
    <t>Taux IS</t>
  </si>
  <si>
    <t>I/+V</t>
  </si>
  <si>
    <t>Vnette</t>
  </si>
  <si>
    <t>Location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</si>
  <si>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</si>
  <si>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</si>
  <si>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</si>
  <si>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</si>
  <si>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</si>
  <si>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</si>
  <si>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</si>
  <si>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</si>
  <si>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</si>
  <si>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</si>
  <si>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</si>
  <si>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</si>
  <si>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</si>
  <si>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</si>
  <si>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</si>
  <si>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marge brute 30%</t>
  </si>
  <si>
    <t>Frais financiers</t>
  </si>
  <si>
    <t>RCAI</t>
  </si>
  <si>
    <t>IS 30%</t>
  </si>
  <si>
    <t>RN</t>
  </si>
  <si>
    <t>MBA</t>
  </si>
  <si>
    <t>Delta BFR</t>
  </si>
  <si>
    <t>Dispo DP</t>
  </si>
  <si>
    <t>Dispo FP</t>
  </si>
  <si>
    <t>check</t>
  </si>
  <si>
    <t>TRI 15 ans</t>
  </si>
  <si>
    <t>Cash out</t>
  </si>
  <si>
    <t>Cash in</t>
  </si>
  <si>
    <t>Valeur sortie</t>
  </si>
  <si>
    <t>FONDS PHARMACIE LOUE LES MURS - SOIT A LA SCI DU PHARMACIEN - SOIT A MUR PHARMA - SI A MURS PHARMA, LE PHARMACIEN "PLACE" SES FONDS DANS LA/UNE PHARMACIE :</t>
  </si>
  <si>
    <t>Investissement</t>
  </si>
  <si>
    <t>Apport % invstmt</t>
  </si>
  <si>
    <t>Apport Keuros</t>
  </si>
  <si>
    <t>Taux intérêt</t>
  </si>
  <si>
    <t>Durée</t>
  </si>
  <si>
    <t>Tx cap</t>
  </si>
  <si>
    <t>IS</t>
  </si>
  <si>
    <t>Plcmt</t>
  </si>
  <si>
    <t>charges</t>
  </si>
  <si>
    <t>amrtsmt</t>
  </si>
  <si>
    <t>rééval bien</t>
  </si>
  <si>
    <t>tx plcmt</t>
  </si>
  <si>
    <t>Actualisation</t>
  </si>
  <si>
    <t>VAN</t>
  </si>
  <si>
    <t>Coeff</t>
  </si>
  <si>
    <t>Tot</t>
  </si>
  <si>
    <t>VAN Im</t>
  </si>
  <si>
    <t>VAN Plcmt</t>
  </si>
  <si>
    <t>Loyer</t>
  </si>
  <si>
    <t>Amortissement</t>
  </si>
  <si>
    <t>EBIT</t>
  </si>
  <si>
    <t>Frais fi</t>
  </si>
  <si>
    <t>TDP</t>
  </si>
  <si>
    <t>TFP</t>
  </si>
  <si>
    <t>Réév</t>
  </si>
  <si>
    <t>+V</t>
  </si>
  <si>
    <t>Bien</t>
  </si>
  <si>
    <t>total bilan</t>
  </si>
  <si>
    <t>Placement</t>
  </si>
  <si>
    <t>Revenu</t>
  </si>
  <si>
    <t>DR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</si>
</sst>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0" xfId="0" applyFill="1"/>
    <xf numFmtId="9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64" fontId="0" fillId="2" borderId="1" xfId="0" applyNumberFormat="1" applyFill="1" applyBorder="1"/>
    <xf numFmtId="0" fontId="0" fillId="0" borderId="4" xfId="0" applyBorder="1"/>
    <xf numFmtId="1" fontId="0" fillId="0" borderId="5" xfId="0" applyNumberFormat="1" applyFill="1" applyBorder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Fill="1" applyBorder="1"/>
    <xf numFmtId="164" fontId="0" fillId="3" borderId="1" xfId="0" applyNumberFormat="1" applyFill="1" applyBorder="1"/>
    <xf numFmtId="0" fontId="0" fillId="0" borderId="6" xfId="0" applyBorder="1"/>
    <xf numFmtId="1" fontId="0" fillId="0" borderId="7" xfId="0" applyNumberFormat="1" applyBorder="1"/>
    <xf numFmtId="1" fontId="0" fillId="0" borderId="8" xfId="0" applyNumberFormat="1" applyBorder="1"/>
    <xf numFmtId="0" fontId="0" fillId="2" borderId="5" xfId="0" applyFill="1" applyBorder="1"/>
    <xf numFmtId="0" fontId="0" fillId="0" borderId="8" xfId="0" applyBorder="1"/>
    <xf numFmtId="10" fontId="0" fillId="2" borderId="1" xfId="0" applyNumberFormat="1" applyFill="1" applyBorder="1"/>
    <xf numFmtId="0" fontId="0" fillId="0" borderId="9" xfId="0" applyBorder="1"/>
    <xf numFmtId="1" fontId="0" fillId="0" borderId="10" xfId="0" applyNumberFormat="1" applyBorder="1"/>
    <xf numFmtId="1" fontId="0" fillId="0" borderId="0" xfId="0" applyNumberFormat="1"/>
    <xf numFmtId="164" fontId="0" fillId="0" borderId="1" xfId="1" applyNumberFormat="1" applyFont="1" applyBorder="1"/>
    <xf numFmtId="0" fontId="0" fillId="0" borderId="10" xfId="0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4" borderId="1" xfId="1" applyNumberFormat="1" applyFont="1" applyFill="1" applyBorder="1"/>
    <xf numFmtId="0" fontId="0" fillId="4" borderId="1" xfId="0" applyFill="1" applyBorder="1"/>
    <xf numFmtId="0" fontId="0" fillId="0" borderId="11" xfId="0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10" xfId="0" applyFill="1" applyBorder="1"/>
    <xf numFmtId="1" fontId="2" fillId="0" borderId="1" xfId="1" applyNumberFormat="1" applyFont="1" applyBorder="1"/>
    <xf numFmtId="0" fontId="2" fillId="0" borderId="9" xfId="0" applyFont="1" applyBorder="1"/>
    <xf numFmtId="1" fontId="0" fillId="0" borderId="10" xfId="0" applyNumberFormat="1" applyFill="1" applyBorder="1"/>
    <xf numFmtId="9" fontId="0" fillId="0" borderId="7" xfId="1" applyFont="1" applyBorder="1"/>
    <xf numFmtId="0" fontId="0" fillId="2" borderId="1" xfId="0" applyFill="1" applyBorder="1"/>
    <xf numFmtId="1" fontId="0" fillId="4" borderId="1" xfId="0" applyNumberFormat="1" applyFill="1" applyBorder="1"/>
    <xf numFmtId="1" fontId="2" fillId="0" borderId="1" xfId="0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0" borderId="14" xfId="0" applyBorder="1"/>
    <xf numFmtId="1" fontId="0" fillId="0" borderId="14" xfId="0" applyNumberFormat="1" applyBorder="1"/>
    <xf numFmtId="0" fontId="0" fillId="4" borderId="8" xfId="0" applyFill="1" applyBorder="1"/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2" fillId="0" borderId="1" xfId="0" applyFont="1" applyFill="1" applyBorder="1" applyAlignment="1">
      <alignment horizontal="right"/>
    </xf>
    <xf numFmtId="9" fontId="0" fillId="2" borderId="1" xfId="0" applyNumberFormat="1" applyFill="1" applyBorder="1"/>
    <xf numFmtId="164" fontId="2" fillId="0" borderId="0" xfId="0" applyNumberFormat="1" applyFont="1" applyFill="1" applyBorder="1"/>
    <xf numFmtId="1" fontId="2" fillId="0" borderId="1" xfId="0" quotePrefix="1" applyNumberFormat="1" applyFont="1" applyFill="1" applyBorder="1"/>
    <xf numFmtId="1" fontId="0" fillId="2" borderId="1" xfId="1" applyNumberFormat="1" applyFont="1" applyFill="1" applyBorder="1"/>
    <xf numFmtId="1" fontId="2" fillId="0" borderId="1" xfId="0" applyNumberFormat="1" applyFont="1" applyFill="1" applyBorder="1"/>
    <xf numFmtId="9" fontId="3" fillId="2" borderId="1" xfId="1" applyFont="1" applyFill="1" applyBorder="1"/>
    <xf numFmtId="0" fontId="0" fillId="0" borderId="0" xfId="0" applyBorder="1"/>
    <xf numFmtId="1" fontId="0" fillId="0" borderId="0" xfId="0" applyNumberFormat="1" applyBorder="1"/>
    <xf numFmtId="0" fontId="2" fillId="0" borderId="0" xfId="0" applyFont="1" applyFill="1" applyBorder="1"/>
    <xf numFmtId="10" fontId="0" fillId="0" borderId="1" xfId="0" applyNumberFormat="1" applyBorder="1"/>
    <xf numFmtId="9" fontId="0" fillId="0" borderId="1" xfId="0" applyNumberFormat="1" applyFill="1" applyBorder="1"/>
    <xf numFmtId="164" fontId="0" fillId="0" borderId="1" xfId="0" applyNumberFormat="1" applyBorder="1"/>
    <xf numFmtId="0" fontId="0" fillId="0" borderId="15" xfId="0" applyBorder="1"/>
    <xf numFmtId="9" fontId="0" fillId="0" borderId="15" xfId="0" applyNumberFormat="1" applyBorder="1"/>
    <xf numFmtId="9" fontId="0" fillId="0" borderId="1" xfId="0" applyNumberFormat="1" applyBorder="1"/>
    <xf numFmtId="10" fontId="0" fillId="0" borderId="15" xfId="0" applyNumberFormat="1" applyBorder="1"/>
    <xf numFmtId="1" fontId="0" fillId="0" borderId="15" xfId="0" applyNumberFormat="1" applyBorder="1"/>
    <xf numFmtId="164" fontId="0" fillId="2" borderId="1" xfId="1" applyNumberFormat="1" applyFont="1" applyFill="1" applyBorder="1"/>
    <xf numFmtId="1" fontId="0" fillId="0" borderId="15" xfId="1" applyNumberFormat="1" applyFont="1" applyBorder="1"/>
    <xf numFmtId="9" fontId="0" fillId="0" borderId="15" xfId="1" applyFont="1" applyBorder="1"/>
    <xf numFmtId="1" fontId="0" fillId="0" borderId="1" xfId="1" applyNumberFormat="1" applyFont="1" applyBorder="1"/>
    <xf numFmtId="9" fontId="0" fillId="0" borderId="16" xfId="1" applyFont="1" applyBorder="1"/>
    <xf numFmtId="164" fontId="0" fillId="0" borderId="0" xfId="1" applyNumberFormat="1" applyFont="1" applyFill="1" applyBorder="1"/>
    <xf numFmtId="1" fontId="0" fillId="0" borderId="0" xfId="1" applyNumberFormat="1" applyFont="1"/>
    <xf numFmtId="1" fontId="2" fillId="0" borderId="1" xfId="1" applyNumberFormat="1" applyFont="1" applyFill="1" applyBorder="1" applyAlignment="1">
      <alignment horizontal="right"/>
    </xf>
    <xf numFmtId="2" fontId="0" fillId="0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9" fontId="0" fillId="0" borderId="0" xfId="1" applyFont="1"/>
    <xf numFmtId="1" fontId="0" fillId="0" borderId="1" xfId="1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1" fontId="0" fillId="3" borderId="1" xfId="0" applyNumberFormat="1" applyFill="1" applyBorder="1"/>
    <xf numFmtId="1" fontId="0" fillId="3" borderId="0" xfId="0" applyNumberFormat="1" applyFill="1"/>
    <xf numFmtId="1" fontId="2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right"/>
    </xf>
    <xf numFmtId="164" fontId="0" fillId="0" borderId="15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yne/AppData/Local/Microsoft/Windows/Temporary%20Internet%20Files/Content.Outlook/WJCZUO67/JSC%20Cslts%202012/Murs%20Pharma/murs%20pharma%20externalisation%20JS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s 1 fi only"/>
      <sheetName val="cas 2 fi+eco"/>
      <sheetName val="cas 2 fi+eco (2)"/>
      <sheetName val="cas 2 fi+eco (3)"/>
      <sheetName val="Feuil1"/>
      <sheetName val="comparaison loc prop cb"/>
      <sheetName val="comparaison loc prop cb (2)"/>
      <sheetName val="Feuil3"/>
      <sheetName val="tronc commun"/>
      <sheetName val="Immob vs plcmt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>
            <v>2.5000000000000001E-2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2"/>
  <sheetViews>
    <sheetView zoomScale="76" zoomScaleNormal="76" workbookViewId="0">
      <selection activeCell="I9" sqref="I9"/>
    </sheetView>
  </sheetViews>
  <sheetFormatPr baseColWidth="10" defaultColWidth="8.42578125" defaultRowHeight="15"/>
  <cols>
    <col min="1" max="1" width="20.5703125" customWidth="1"/>
    <col min="2" max="2" width="9.42578125" bestFit="1" customWidth="1"/>
    <col min="4" max="4" width="7.28515625" customWidth="1"/>
    <col min="6" max="6" width="10.28515625" customWidth="1"/>
    <col min="8" max="8" width="7.85546875" customWidth="1"/>
    <col min="9" max="9" width="10.42578125" customWidth="1"/>
    <col min="10" max="10" width="7.85546875" customWidth="1"/>
  </cols>
  <sheetData>
    <row r="1" spans="1:24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4">
      <c r="A2" s="1" t="s">
        <v>0</v>
      </c>
      <c r="C2" s="2"/>
      <c r="D2" s="2"/>
      <c r="E2" t="s">
        <v>1</v>
      </c>
      <c r="I2" s="1"/>
    </row>
    <row r="3" spans="1:24" ht="15.75" thickBot="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4" ht="15.75" thickBot="1">
      <c r="A4" s="3" t="s">
        <v>2</v>
      </c>
      <c r="B4" s="4" t="s">
        <v>3</v>
      </c>
      <c r="C4" s="5" t="s">
        <v>4</v>
      </c>
      <c r="E4" s="98" t="s">
        <v>5</v>
      </c>
      <c r="F4" s="99"/>
      <c r="H4" s="6" t="s">
        <v>6</v>
      </c>
      <c r="I4" s="5" t="s">
        <v>7</v>
      </c>
      <c r="J4" s="7" t="str">
        <f t="shared" ref="J4:X4" si="0">+C29</f>
        <v>A1</v>
      </c>
      <c r="K4" s="7" t="str">
        <f t="shared" si="0"/>
        <v>A2</v>
      </c>
      <c r="L4" s="7" t="str">
        <f t="shared" si="0"/>
        <v>A3</v>
      </c>
      <c r="M4" s="7" t="str">
        <f t="shared" si="0"/>
        <v>A4</v>
      </c>
      <c r="N4" s="7" t="str">
        <f t="shared" si="0"/>
        <v>A5</v>
      </c>
      <c r="O4" s="7" t="str">
        <f t="shared" si="0"/>
        <v>A6</v>
      </c>
      <c r="P4" s="7" t="str">
        <f t="shared" si="0"/>
        <v>A7</v>
      </c>
      <c r="Q4" s="7" t="str">
        <f t="shared" si="0"/>
        <v>A8</v>
      </c>
      <c r="R4" s="7" t="str">
        <f t="shared" si="0"/>
        <v>A9</v>
      </c>
      <c r="S4" s="7" t="str">
        <f t="shared" si="0"/>
        <v>A10</v>
      </c>
      <c r="T4" s="7" t="str">
        <f t="shared" si="0"/>
        <v>A11</v>
      </c>
      <c r="U4" s="7" t="str">
        <f t="shared" si="0"/>
        <v>A12</v>
      </c>
      <c r="V4" s="7" t="str">
        <f t="shared" si="0"/>
        <v>A13</v>
      </c>
      <c r="W4" s="7" t="str">
        <f t="shared" si="0"/>
        <v>A14</v>
      </c>
      <c r="X4" s="7" t="str">
        <f t="shared" si="0"/>
        <v>A15</v>
      </c>
    </row>
    <row r="5" spans="1:24">
      <c r="A5" s="6" t="s">
        <v>8</v>
      </c>
      <c r="B5" s="8">
        <v>1500</v>
      </c>
      <c r="C5" s="9">
        <v>0.02</v>
      </c>
      <c r="E5" s="10" t="s">
        <v>9</v>
      </c>
      <c r="F5" s="11">
        <f>B21*(F7+F8+F9+F10)</f>
        <v>408.00000000000011</v>
      </c>
      <c r="H5" s="12" t="s">
        <v>10</v>
      </c>
      <c r="I5" s="13">
        <f>-F5</f>
        <v>-408.00000000000011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thickBot="1">
      <c r="A6" s="12" t="s">
        <v>11</v>
      </c>
      <c r="B6" s="14">
        <f>B5*B27</f>
        <v>420.00000000000006</v>
      </c>
      <c r="C6" s="15"/>
      <c r="E6" s="16" t="s">
        <v>12</v>
      </c>
      <c r="F6" s="17">
        <f>F11-F5</f>
        <v>952.00000000000034</v>
      </c>
      <c r="H6" s="12" t="s">
        <v>13</v>
      </c>
      <c r="I6" s="12"/>
      <c r="J6" s="18"/>
      <c r="K6" s="13">
        <f t="shared" ref="K6:X6" si="1">-D47</f>
        <v>43.207654674739963</v>
      </c>
      <c r="L6" s="13">
        <f t="shared" si="1"/>
        <v>45.844296012848936</v>
      </c>
      <c r="M6" s="13">
        <f t="shared" si="1"/>
        <v>48.531336211172892</v>
      </c>
      <c r="N6" s="13">
        <f t="shared" si="1"/>
        <v>51.26928446842134</v>
      </c>
      <c r="O6" s="13">
        <f t="shared" si="1"/>
        <v>54.058631815996073</v>
      </c>
      <c r="P6" s="13">
        <f t="shared" si="1"/>
        <v>56.899849390242835</v>
      </c>
      <c r="Q6" s="13">
        <f t="shared" si="1"/>
        <v>59.793386607422427</v>
      </c>
      <c r="R6" s="13">
        <f t="shared" si="1"/>
        <v>62.739669236610588</v>
      </c>
      <c r="S6" s="13">
        <f t="shared" si="1"/>
        <v>65.739097365515988</v>
      </c>
      <c r="T6" s="13">
        <f t="shared" si="1"/>
        <v>68.792043253968586</v>
      </c>
      <c r="U6" s="13">
        <f t="shared" si="1"/>
        <v>71.898849069588664</v>
      </c>
      <c r="V6" s="13">
        <f t="shared" si="1"/>
        <v>75.059824499886432</v>
      </c>
      <c r="W6" s="13">
        <f t="shared" si="1"/>
        <v>78.275244234779123</v>
      </c>
      <c r="X6" s="13">
        <f t="shared" si="1"/>
        <v>81.545345313228268</v>
      </c>
    </row>
    <row r="7" spans="1:24">
      <c r="A7" s="12" t="s">
        <v>14</v>
      </c>
      <c r="B7" s="12">
        <v>230</v>
      </c>
      <c r="C7" s="9">
        <v>1.4999999999999999E-2</v>
      </c>
      <c r="E7" s="10" t="s">
        <v>15</v>
      </c>
      <c r="F7" s="19">
        <v>0</v>
      </c>
      <c r="H7" s="12" t="s">
        <v>16</v>
      </c>
      <c r="I7" s="12"/>
      <c r="J7" s="20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>
        <f>G26</f>
        <v>1396.0845040984486</v>
      </c>
    </row>
    <row r="8" spans="1:24">
      <c r="A8" s="12" t="s">
        <v>17</v>
      </c>
      <c r="B8" s="12">
        <f>B19*B16</f>
        <v>20</v>
      </c>
      <c r="C8" s="21">
        <f>C7</f>
        <v>1.4999999999999999E-2</v>
      </c>
      <c r="E8" s="22" t="s">
        <v>18</v>
      </c>
      <c r="F8" s="23">
        <f>B17</f>
        <v>1360.0000000000005</v>
      </c>
      <c r="H8" s="12" t="s">
        <v>19</v>
      </c>
      <c r="I8" s="13">
        <f>I5+I6+I7</f>
        <v>-408.00000000000011</v>
      </c>
      <c r="J8" s="24">
        <f t="shared" ref="J8:X8" si="2">J5+J6+J7</f>
        <v>0</v>
      </c>
      <c r="K8" s="24">
        <f t="shared" si="2"/>
        <v>43.207654674739963</v>
      </c>
      <c r="L8" s="24">
        <f t="shared" si="2"/>
        <v>45.844296012848936</v>
      </c>
      <c r="M8" s="24">
        <f t="shared" si="2"/>
        <v>48.531336211172892</v>
      </c>
      <c r="N8" s="24">
        <f t="shared" si="2"/>
        <v>51.26928446842134</v>
      </c>
      <c r="O8" s="24">
        <f t="shared" si="2"/>
        <v>54.058631815996073</v>
      </c>
      <c r="P8" s="24">
        <f t="shared" si="2"/>
        <v>56.899849390242835</v>
      </c>
      <c r="Q8" s="24">
        <f t="shared" si="2"/>
        <v>59.793386607422427</v>
      </c>
      <c r="R8" s="24">
        <f t="shared" si="2"/>
        <v>62.739669236610588</v>
      </c>
      <c r="S8" s="24">
        <f t="shared" si="2"/>
        <v>65.739097365515988</v>
      </c>
      <c r="T8" s="24">
        <f t="shared" si="2"/>
        <v>68.792043253968586</v>
      </c>
      <c r="U8" s="24">
        <f t="shared" si="2"/>
        <v>71.898849069588664</v>
      </c>
      <c r="V8" s="24">
        <f t="shared" si="2"/>
        <v>75.059824499886432</v>
      </c>
      <c r="W8" s="24">
        <f t="shared" si="2"/>
        <v>78.275244234779123</v>
      </c>
      <c r="X8" s="24">
        <f t="shared" si="2"/>
        <v>1477.6298494116768</v>
      </c>
    </row>
    <row r="9" spans="1:24">
      <c r="A9" s="12" t="s">
        <v>20</v>
      </c>
      <c r="B9" s="25">
        <f>B8/B5</f>
        <v>1.3333333333333334E-2</v>
      </c>
      <c r="C9" s="12"/>
      <c r="E9" s="22" t="s">
        <v>21</v>
      </c>
      <c r="F9" s="26">
        <f>B18</f>
        <v>0</v>
      </c>
      <c r="H9" s="27" t="s">
        <v>22</v>
      </c>
      <c r="I9" s="28">
        <f>IRR(I8:X8)</f>
        <v>0.16068356736717782</v>
      </c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1" t="s">
        <v>23</v>
      </c>
      <c r="B10" s="32"/>
      <c r="C10" s="33"/>
      <c r="E10" s="22" t="s">
        <v>24</v>
      </c>
      <c r="F10" s="34">
        <v>0</v>
      </c>
    </row>
    <row r="11" spans="1:24">
      <c r="A11" s="6" t="s">
        <v>25</v>
      </c>
      <c r="B11" s="35">
        <f>B6-B7-B8-B10</f>
        <v>170.00000000000006</v>
      </c>
      <c r="C11" s="15"/>
      <c r="E11" s="36" t="s">
        <v>26</v>
      </c>
      <c r="F11" s="37">
        <f>SUM(F7:F10)</f>
        <v>1360.0000000000005</v>
      </c>
      <c r="H11" s="6" t="s">
        <v>27</v>
      </c>
      <c r="I11" s="5" t="str">
        <f>I4</f>
        <v>A0</v>
      </c>
      <c r="J11" s="7" t="str">
        <f>+J4</f>
        <v>A1</v>
      </c>
      <c r="K11" s="7" t="str">
        <f t="shared" ref="K11:X11" si="3">+K4</f>
        <v>A2</v>
      </c>
      <c r="L11" s="7" t="str">
        <f t="shared" si="3"/>
        <v>A3</v>
      </c>
      <c r="M11" s="7" t="str">
        <f t="shared" si="3"/>
        <v>A4</v>
      </c>
      <c r="N11" s="7" t="str">
        <f t="shared" si="3"/>
        <v>A5</v>
      </c>
      <c r="O11" s="7" t="str">
        <f t="shared" si="3"/>
        <v>A6</v>
      </c>
      <c r="P11" s="7" t="str">
        <f t="shared" si="3"/>
        <v>A7</v>
      </c>
      <c r="Q11" s="7" t="str">
        <f t="shared" si="3"/>
        <v>A8</v>
      </c>
      <c r="R11" s="7" t="str">
        <f t="shared" si="3"/>
        <v>A9</v>
      </c>
      <c r="S11" s="7" t="str">
        <f t="shared" si="3"/>
        <v>A10</v>
      </c>
      <c r="T11" s="7" t="str">
        <f t="shared" si="3"/>
        <v>A11</v>
      </c>
      <c r="U11" s="7" t="str">
        <f t="shared" si="3"/>
        <v>A12</v>
      </c>
      <c r="V11" s="7" t="str">
        <f t="shared" si="3"/>
        <v>A13</v>
      </c>
      <c r="W11" s="7" t="str">
        <f t="shared" si="3"/>
        <v>A14</v>
      </c>
      <c r="X11" s="7" t="str">
        <f t="shared" si="3"/>
        <v>A15</v>
      </c>
    </row>
    <row r="12" spans="1:24" ht="15.75" thickBot="1">
      <c r="A12" s="12" t="s">
        <v>28</v>
      </c>
      <c r="B12" s="33">
        <f>B11/B5</f>
        <v>0.11333333333333337</v>
      </c>
      <c r="C12" s="15"/>
      <c r="E12" s="16" t="s">
        <v>29</v>
      </c>
      <c r="F12" s="38">
        <f>F6/F11</f>
        <v>0.70000000000000007</v>
      </c>
      <c r="H12" s="12" t="s">
        <v>10</v>
      </c>
      <c r="I12" s="13">
        <f>I5</f>
        <v>-408.00000000000011</v>
      </c>
      <c r="J12" s="13"/>
      <c r="K12" s="12"/>
      <c r="L12" s="12"/>
      <c r="M12" s="12"/>
      <c r="N12" s="12"/>
      <c r="O12" s="12"/>
      <c r="P12" s="12"/>
      <c r="Q12" s="12"/>
      <c r="R12" s="12"/>
      <c r="S12" s="12"/>
      <c r="T12" s="30"/>
      <c r="U12" s="30"/>
      <c r="V12" s="30"/>
      <c r="W12" s="30"/>
      <c r="X12" s="30"/>
    </row>
    <row r="13" spans="1:24" ht="15.75" thickBot="1">
      <c r="A13" s="32" t="s">
        <v>30</v>
      </c>
      <c r="B13" s="39"/>
      <c r="C13" s="15"/>
      <c r="H13" s="12" t="s">
        <v>13</v>
      </c>
      <c r="I13" s="12"/>
      <c r="J13" s="13"/>
      <c r="K13" s="13">
        <f>K6</f>
        <v>43.207654674739963</v>
      </c>
      <c r="L13" s="13">
        <f t="shared" ref="L13:S13" si="4">L6</f>
        <v>45.844296012848936</v>
      </c>
      <c r="M13" s="13">
        <f t="shared" si="4"/>
        <v>48.531336211172892</v>
      </c>
      <c r="N13" s="13">
        <f t="shared" si="4"/>
        <v>51.26928446842134</v>
      </c>
      <c r="O13" s="13">
        <f t="shared" si="4"/>
        <v>54.058631815996073</v>
      </c>
      <c r="P13" s="13">
        <f t="shared" si="4"/>
        <v>56.899849390242835</v>
      </c>
      <c r="Q13" s="13">
        <f t="shared" si="4"/>
        <v>59.793386607422427</v>
      </c>
      <c r="R13" s="13">
        <f t="shared" si="4"/>
        <v>62.739669236610588</v>
      </c>
      <c r="S13" s="13">
        <f t="shared" si="4"/>
        <v>65.739097365515988</v>
      </c>
      <c r="T13" s="40"/>
      <c r="U13" s="40"/>
      <c r="V13" s="40"/>
      <c r="W13" s="40"/>
      <c r="X13" s="40"/>
    </row>
    <row r="14" spans="1:24">
      <c r="A14" s="27" t="s">
        <v>31</v>
      </c>
      <c r="B14" s="41">
        <f>B11-B13</f>
        <v>170.00000000000006</v>
      </c>
      <c r="C14" s="15"/>
      <c r="E14" s="100" t="s">
        <v>32</v>
      </c>
      <c r="F14" s="101"/>
      <c r="H14" s="12" t="s">
        <v>16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>
        <f>F26</f>
        <v>1008.2259051200508</v>
      </c>
      <c r="T14" s="30"/>
      <c r="U14" s="30"/>
      <c r="V14" s="30"/>
      <c r="W14" s="30"/>
      <c r="X14" s="40"/>
    </row>
    <row r="15" spans="1:24">
      <c r="B15" s="42"/>
      <c r="C15" s="43"/>
      <c r="E15" s="36" t="s">
        <v>33</v>
      </c>
      <c r="F15" s="23">
        <f>F6*B23/(1-(1+B23)^-B22)</f>
        <v>88.644345325260076</v>
      </c>
      <c r="H15" s="44" t="s">
        <v>19</v>
      </c>
      <c r="I15" s="45">
        <f>I12+I13+I14</f>
        <v>-408.00000000000011</v>
      </c>
      <c r="J15" s="45">
        <f t="shared" ref="J15:S15" si="5">J12+J13+J14</f>
        <v>0</v>
      </c>
      <c r="K15" s="45">
        <f t="shared" si="5"/>
        <v>43.207654674739963</v>
      </c>
      <c r="L15" s="45">
        <f t="shared" si="5"/>
        <v>45.844296012848936</v>
      </c>
      <c r="M15" s="45">
        <f t="shared" si="5"/>
        <v>48.531336211172892</v>
      </c>
      <c r="N15" s="45">
        <f t="shared" si="5"/>
        <v>51.26928446842134</v>
      </c>
      <c r="O15" s="45">
        <f t="shared" si="5"/>
        <v>54.058631815996073</v>
      </c>
      <c r="P15" s="45">
        <f t="shared" si="5"/>
        <v>56.899849390242835</v>
      </c>
      <c r="Q15" s="45">
        <f t="shared" si="5"/>
        <v>59.793386607422427</v>
      </c>
      <c r="R15" s="45">
        <f t="shared" si="5"/>
        <v>62.739669236610588</v>
      </c>
      <c r="S15" s="45">
        <f t="shared" si="5"/>
        <v>1073.9650024855669</v>
      </c>
      <c r="T15" s="40"/>
      <c r="U15" s="40"/>
      <c r="V15" s="40"/>
      <c r="W15" s="40"/>
      <c r="X15" s="40"/>
    </row>
    <row r="16" spans="1:24">
      <c r="A16" s="32" t="s">
        <v>34</v>
      </c>
      <c r="B16" s="39">
        <v>250</v>
      </c>
      <c r="C16" s="33"/>
      <c r="E16" s="36" t="s">
        <v>35</v>
      </c>
      <c r="F16" s="23">
        <f>F15-F17</f>
        <v>45.804345325260066</v>
      </c>
      <c r="H16" s="27" t="s">
        <v>22</v>
      </c>
      <c r="I16" s="28">
        <f>IRR(I15:S15)</f>
        <v>0.16897039557656912</v>
      </c>
      <c r="J16" s="46"/>
      <c r="K16" s="46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17" ht="15.75" thickBot="1">
      <c r="A17" s="32" t="s">
        <v>18</v>
      </c>
      <c r="B17" s="14">
        <f>B24*B11</f>
        <v>1360.0000000000005</v>
      </c>
      <c r="C17" s="15"/>
      <c r="E17" s="47" t="s">
        <v>36</v>
      </c>
      <c r="F17" s="17">
        <f>B23*F6</f>
        <v>42.840000000000011</v>
      </c>
      <c r="H17" s="48"/>
      <c r="I17" s="48"/>
      <c r="J17" s="49"/>
    </row>
    <row r="18" spans="1:17">
      <c r="A18" s="32" t="s">
        <v>21</v>
      </c>
      <c r="B18" s="39">
        <v>0</v>
      </c>
      <c r="C18" s="15"/>
      <c r="F18" s="50"/>
      <c r="G18" s="51"/>
      <c r="H18" s="51"/>
    </row>
    <row r="19" spans="1:17">
      <c r="A19" s="32" t="s">
        <v>37</v>
      </c>
      <c r="B19" s="9">
        <v>0.08</v>
      </c>
      <c r="C19" s="15"/>
      <c r="E19" s="102" t="s">
        <v>38</v>
      </c>
      <c r="F19" s="103"/>
      <c r="G19" s="104"/>
      <c r="H19" s="52"/>
    </row>
    <row r="20" spans="1:17">
      <c r="A20" s="32" t="s">
        <v>39</v>
      </c>
      <c r="B20" s="39"/>
      <c r="C20" s="15" t="s">
        <v>40</v>
      </c>
      <c r="E20" s="12"/>
      <c r="F20" s="53" t="s">
        <v>41</v>
      </c>
      <c r="G20" s="53" t="s">
        <v>42</v>
      </c>
      <c r="H20" s="52"/>
    </row>
    <row r="21" spans="1:17">
      <c r="A21" s="32" t="s">
        <v>43</v>
      </c>
      <c r="B21" s="54">
        <v>0.3</v>
      </c>
      <c r="C21" s="15"/>
      <c r="E21" s="6" t="s">
        <v>25</v>
      </c>
      <c r="F21" s="13">
        <f>L36</f>
        <v>216.09138497281182</v>
      </c>
      <c r="G21" s="13">
        <f>Q36</f>
        <v>246.24214781291693</v>
      </c>
      <c r="H21" s="55"/>
    </row>
    <row r="22" spans="1:17">
      <c r="A22" s="32" t="s">
        <v>44</v>
      </c>
      <c r="B22" s="39">
        <v>15</v>
      </c>
      <c r="C22" s="15"/>
      <c r="E22" s="6" t="s">
        <v>45</v>
      </c>
      <c r="F22" s="13">
        <f>B24</f>
        <v>8</v>
      </c>
      <c r="G22" s="13">
        <f>F22</f>
        <v>8</v>
      </c>
      <c r="H22" s="52"/>
    </row>
    <row r="23" spans="1:17">
      <c r="A23" s="32" t="s">
        <v>46</v>
      </c>
      <c r="B23" s="21">
        <v>4.4999999999999998E-2</v>
      </c>
      <c r="C23" s="15"/>
      <c r="E23" s="56" t="s">
        <v>47</v>
      </c>
      <c r="F23" s="13">
        <f>F22*F21+L62-L57</f>
        <v>1408.376508533418</v>
      </c>
      <c r="G23" s="13">
        <f>G22*G21+Q62-Q57</f>
        <v>2054.8075068307476</v>
      </c>
      <c r="H23" s="52"/>
    </row>
    <row r="24" spans="1:17">
      <c r="A24" s="32" t="s">
        <v>48</v>
      </c>
      <c r="B24" s="57">
        <v>8</v>
      </c>
      <c r="C24" s="15"/>
      <c r="E24" s="56" t="s">
        <v>49</v>
      </c>
      <c r="F24" s="13">
        <f>F23-F5</f>
        <v>1000.3765085334179</v>
      </c>
      <c r="G24" s="13">
        <f>G23-F5</f>
        <v>1646.8075068307476</v>
      </c>
      <c r="H24" s="52"/>
    </row>
    <row r="25" spans="1:17">
      <c r="A25" s="32" t="s">
        <v>50</v>
      </c>
      <c r="B25" s="54">
        <v>0.3</v>
      </c>
      <c r="C25" s="15"/>
      <c r="E25" s="58" t="s">
        <v>51</v>
      </c>
      <c r="F25" s="41">
        <f>-F24*B26</f>
        <v>-400.15060341336721</v>
      </c>
      <c r="G25" s="41">
        <f>-B26*G24</f>
        <v>-658.72300273229905</v>
      </c>
      <c r="H25" s="55"/>
    </row>
    <row r="26" spans="1:17">
      <c r="A26" s="32" t="s">
        <v>51</v>
      </c>
      <c r="B26" s="54">
        <v>0.4</v>
      </c>
      <c r="C26" s="15"/>
      <c r="E26" s="12" t="s">
        <v>52</v>
      </c>
      <c r="F26" s="13">
        <f>F23+F25</f>
        <v>1008.2259051200508</v>
      </c>
      <c r="G26" s="13">
        <f>G23+G25</f>
        <v>1396.0845040984486</v>
      </c>
      <c r="H26" s="55"/>
    </row>
    <row r="27" spans="1:17">
      <c r="A27" s="12" t="s">
        <v>11</v>
      </c>
      <c r="B27" s="59">
        <v>0.28000000000000003</v>
      </c>
      <c r="C27" s="9">
        <v>0</v>
      </c>
      <c r="H27" s="52"/>
    </row>
    <row r="28" spans="1:17">
      <c r="A2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8" s="2"/>
      <c r="C28" s="2"/>
      <c r="J28" s="60"/>
      <c r="K28" s="61"/>
      <c r="L28" s="61"/>
      <c r="M28" s="61"/>
    </row>
    <row r="29" spans="1:17">
      <c r="A29" s="62" t="s">
        <v>53</v>
      </c>
      <c r="C29" s="7" t="s">
        <v>54</v>
      </c>
      <c r="D29" s="5" t="s">
        <v>55</v>
      </c>
      <c r="E29" s="5" t="s">
        <v>56</v>
      </c>
      <c r="F29" s="53" t="s">
        <v>57</v>
      </c>
      <c r="G29" s="53" t="s">
        <v>58</v>
      </c>
      <c r="H29" s="53" t="s">
        <v>59</v>
      </c>
      <c r="I29" s="53" t="s">
        <v>60</v>
      </c>
      <c r="J29" s="53" t="s">
        <v>61</v>
      </c>
      <c r="K29" s="53" t="s">
        <v>62</v>
      </c>
      <c r="L29" s="53" t="s">
        <v>63</v>
      </c>
      <c r="M29" s="53" t="s">
        <v>64</v>
      </c>
      <c r="N29" s="53" t="s">
        <v>65</v>
      </c>
      <c r="O29" s="53" t="s">
        <v>66</v>
      </c>
      <c r="P29" s="53" t="s">
        <v>67</v>
      </c>
      <c r="Q29" s="53" t="s">
        <v>68</v>
      </c>
    </row>
    <row r="30" spans="1:17">
      <c r="A30" s="6" t="s">
        <v>8</v>
      </c>
      <c r="B30" s="12"/>
      <c r="C30" s="13">
        <f>B5</f>
        <v>1500</v>
      </c>
      <c r="D30" s="13">
        <f t="shared" ref="D30:Q30" si="6">C30*(1+$C$5)</f>
        <v>1530</v>
      </c>
      <c r="E30" s="13">
        <f t="shared" si="6"/>
        <v>1560.6000000000001</v>
      </c>
      <c r="F30" s="13">
        <f t="shared" si="6"/>
        <v>1591.8120000000001</v>
      </c>
      <c r="G30" s="13">
        <f t="shared" si="6"/>
        <v>1623.6482400000002</v>
      </c>
      <c r="H30" s="13">
        <f t="shared" si="6"/>
        <v>1656.1212048000002</v>
      </c>
      <c r="I30" s="13">
        <f t="shared" si="6"/>
        <v>1689.2436288960002</v>
      </c>
      <c r="J30" s="13">
        <f t="shared" si="6"/>
        <v>1723.0285014739202</v>
      </c>
      <c r="K30" s="13">
        <f t="shared" si="6"/>
        <v>1757.4890715033987</v>
      </c>
      <c r="L30" s="13">
        <f t="shared" si="6"/>
        <v>1792.6388529334668</v>
      </c>
      <c r="M30" s="13">
        <f t="shared" si="6"/>
        <v>1828.491629992136</v>
      </c>
      <c r="N30" s="13">
        <f t="shared" si="6"/>
        <v>1865.0614625919789</v>
      </c>
      <c r="O30" s="13">
        <f t="shared" si="6"/>
        <v>1902.3626918438185</v>
      </c>
      <c r="P30" s="13">
        <f t="shared" si="6"/>
        <v>1940.409945680695</v>
      </c>
      <c r="Q30" s="13">
        <f t="shared" si="6"/>
        <v>1979.218144594309</v>
      </c>
    </row>
    <row r="31" spans="1:17">
      <c r="A31" s="12" t="s">
        <v>69</v>
      </c>
      <c r="B31" s="13"/>
      <c r="C31" s="13">
        <f>C30*$B$27</f>
        <v>420.00000000000006</v>
      </c>
      <c r="D31" s="13">
        <f>D30*($B$27+$C$27/14)</f>
        <v>428.40000000000003</v>
      </c>
      <c r="E31" s="13">
        <f>E30*($B$27+2*$C$27/14)</f>
        <v>436.96800000000007</v>
      </c>
      <c r="F31" s="13">
        <f>F30*($B$27+3*$C$27/14)</f>
        <v>445.70736000000005</v>
      </c>
      <c r="G31" s="13">
        <f>G30*($B$27+4*$C$27/14)</f>
        <v>454.62150720000011</v>
      </c>
      <c r="H31" s="13">
        <f>H30*($B$27+5*$C$27/14)</f>
        <v>463.7139373440001</v>
      </c>
      <c r="I31" s="13">
        <f>I30*($B$27+6*$C$27/14)</f>
        <v>472.98821609088009</v>
      </c>
      <c r="J31" s="13">
        <f>J30*($B$27+7*$C$27/14)</f>
        <v>482.44798041269769</v>
      </c>
      <c r="K31" s="13">
        <f>K30*($B$27+8*$C$27/14)</f>
        <v>492.09694002095171</v>
      </c>
      <c r="L31" s="13">
        <f>L30*($B$27+9*$C$27/14)</f>
        <v>501.93887882137074</v>
      </c>
      <c r="M31" s="13">
        <f>M30*($B$27+10*$C$27/14)</f>
        <v>511.97765639779811</v>
      </c>
      <c r="N31" s="13">
        <f>N30*($B$27+11*$C$27/14)</f>
        <v>522.21720952575413</v>
      </c>
      <c r="O31" s="13">
        <f>O30*($B$27+12*$C$27/14)</f>
        <v>532.66155371626928</v>
      </c>
      <c r="P31" s="13">
        <f>P30*($B$27+13*$C$27/14)</f>
        <v>543.31478479059467</v>
      </c>
      <c r="Q31" s="13">
        <f>Q30*($B$27+$C$27)</f>
        <v>554.18108048640659</v>
      </c>
    </row>
    <row r="32" spans="1:17">
      <c r="A32" s="12" t="s">
        <v>14</v>
      </c>
      <c r="B32" s="13"/>
      <c r="C32" s="13">
        <f>B7</f>
        <v>230</v>
      </c>
      <c r="D32" s="13">
        <f t="shared" ref="D32:Q32" si="7">C32*(1+$C$7)</f>
        <v>233.45</v>
      </c>
      <c r="E32" s="13">
        <f t="shared" si="7"/>
        <v>236.95174999999998</v>
      </c>
      <c r="F32" s="13">
        <f t="shared" si="7"/>
        <v>240.50602624999996</v>
      </c>
      <c r="G32" s="13">
        <f t="shared" si="7"/>
        <v>244.11361664374994</v>
      </c>
      <c r="H32" s="13">
        <f t="shared" si="7"/>
        <v>247.77532089340616</v>
      </c>
      <c r="I32" s="13">
        <f t="shared" si="7"/>
        <v>251.49195070680722</v>
      </c>
      <c r="J32" s="13">
        <f t="shared" si="7"/>
        <v>255.26432996740931</v>
      </c>
      <c r="K32" s="13">
        <f t="shared" si="7"/>
        <v>259.0932949169204</v>
      </c>
      <c r="L32" s="13">
        <f t="shared" si="7"/>
        <v>262.9796943406742</v>
      </c>
      <c r="M32" s="13">
        <f t="shared" si="7"/>
        <v>266.92438975578426</v>
      </c>
      <c r="N32" s="13">
        <f t="shared" si="7"/>
        <v>270.928255602121</v>
      </c>
      <c r="O32" s="13">
        <f t="shared" si="7"/>
        <v>274.99217943615281</v>
      </c>
      <c r="P32" s="13">
        <f t="shared" si="7"/>
        <v>279.11706212769508</v>
      </c>
      <c r="Q32" s="13">
        <f t="shared" si="7"/>
        <v>283.30381805961048</v>
      </c>
    </row>
    <row r="33" spans="1:17">
      <c r="A33" s="12" t="s">
        <v>17</v>
      </c>
      <c r="B33" s="12"/>
      <c r="C33" s="13">
        <f>B8</f>
        <v>20</v>
      </c>
      <c r="D33" s="13">
        <f>C33*(1+$C$8)</f>
        <v>20.299999999999997</v>
      </c>
      <c r="E33" s="13">
        <f t="shared" ref="E33:Q33" si="8">D33*(1+$C$8)</f>
        <v>20.604499999999994</v>
      </c>
      <c r="F33" s="13">
        <f t="shared" si="8"/>
        <v>20.913567499999992</v>
      </c>
      <c r="G33" s="13">
        <f t="shared" si="8"/>
        <v>21.22727101249999</v>
      </c>
      <c r="H33" s="13">
        <f t="shared" si="8"/>
        <v>21.545680077687489</v>
      </c>
      <c r="I33" s="13">
        <f t="shared" si="8"/>
        <v>21.868865278852798</v>
      </c>
      <c r="J33" s="13">
        <f t="shared" si="8"/>
        <v>22.196898258035588</v>
      </c>
      <c r="K33" s="13">
        <f t="shared" si="8"/>
        <v>22.52985173190612</v>
      </c>
      <c r="L33" s="13">
        <f t="shared" si="8"/>
        <v>22.867799507884712</v>
      </c>
      <c r="M33" s="13">
        <f t="shared" si="8"/>
        <v>23.210816500502979</v>
      </c>
      <c r="N33" s="13">
        <f t="shared" si="8"/>
        <v>23.558978748010521</v>
      </c>
      <c r="O33" s="13">
        <f t="shared" si="8"/>
        <v>23.912363429230677</v>
      </c>
      <c r="P33" s="13">
        <f t="shared" si="8"/>
        <v>24.271048880669134</v>
      </c>
      <c r="Q33" s="13">
        <f t="shared" si="8"/>
        <v>24.635114613879168</v>
      </c>
    </row>
    <row r="34" spans="1:17">
      <c r="A34" s="12" t="s">
        <v>20</v>
      </c>
      <c r="B34" s="12"/>
      <c r="C34" s="25">
        <f>C33/C30</f>
        <v>1.3333333333333334E-2</v>
      </c>
      <c r="D34" s="25">
        <f t="shared" ref="D34:Q34" si="9">D33/D30</f>
        <v>1.3267973856209149E-2</v>
      </c>
      <c r="E34" s="25">
        <f t="shared" si="9"/>
        <v>1.3202934768678709E-2</v>
      </c>
      <c r="F34" s="25">
        <f t="shared" si="9"/>
        <v>1.3138214500204791E-2</v>
      </c>
      <c r="G34" s="25">
        <f t="shared" si="9"/>
        <v>1.3073811487948884E-2</v>
      </c>
      <c r="H34" s="25">
        <f t="shared" si="9"/>
        <v>1.3009724176733448E-2</v>
      </c>
      <c r="I34" s="25">
        <f t="shared" si="9"/>
        <v>1.2945951019004361E-2</v>
      </c>
      <c r="J34" s="25">
        <f t="shared" si="9"/>
        <v>1.2882490474793555E-2</v>
      </c>
      <c r="K34" s="25">
        <f t="shared" si="9"/>
        <v>1.281934101168182E-2</v>
      </c>
      <c r="L34" s="25">
        <f t="shared" si="9"/>
        <v>1.275650110476181E-2</v>
      </c>
      <c r="M34" s="25">
        <f t="shared" si="9"/>
        <v>1.269396923660121E-2</v>
      </c>
      <c r="N34" s="25">
        <f t="shared" si="9"/>
        <v>1.2631743897206105E-2</v>
      </c>
      <c r="O34" s="25">
        <f t="shared" si="9"/>
        <v>1.2569823583984504E-2</v>
      </c>
      <c r="P34" s="25">
        <f t="shared" si="9"/>
        <v>1.2508206801710069E-2</v>
      </c>
      <c r="Q34" s="25">
        <f t="shared" si="9"/>
        <v>1.2446892062485997E-2</v>
      </c>
    </row>
    <row r="35" spans="1:17">
      <c r="A35" s="31" t="s">
        <v>23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>
      <c r="A36" s="6" t="s">
        <v>25</v>
      </c>
      <c r="B36" s="12"/>
      <c r="C36" s="13">
        <f>C31-C32-C33-C35</f>
        <v>170.00000000000006</v>
      </c>
      <c r="D36" s="13">
        <f t="shared" ref="D36:Q36" si="10">D31-D32-D33-D35</f>
        <v>174.65000000000003</v>
      </c>
      <c r="E36" s="13">
        <f t="shared" si="10"/>
        <v>179.4117500000001</v>
      </c>
      <c r="F36" s="13">
        <f t="shared" si="10"/>
        <v>184.28776625000009</v>
      </c>
      <c r="G36" s="13">
        <f t="shared" si="10"/>
        <v>189.28061954375019</v>
      </c>
      <c r="H36" s="13">
        <f t="shared" si="10"/>
        <v>194.39293637290646</v>
      </c>
      <c r="I36" s="13">
        <f t="shared" si="10"/>
        <v>199.62740010522006</v>
      </c>
      <c r="J36" s="13">
        <f t="shared" si="10"/>
        <v>204.98675218725279</v>
      </c>
      <c r="K36" s="13">
        <f t="shared" si="10"/>
        <v>210.47379337212519</v>
      </c>
      <c r="L36" s="13">
        <f t="shared" si="10"/>
        <v>216.09138497281182</v>
      </c>
      <c r="M36" s="13">
        <f t="shared" si="10"/>
        <v>221.84245014151088</v>
      </c>
      <c r="N36" s="13">
        <f t="shared" si="10"/>
        <v>227.7299751756226</v>
      </c>
      <c r="O36" s="13">
        <f t="shared" si="10"/>
        <v>233.75701085088579</v>
      </c>
      <c r="P36" s="13">
        <f t="shared" si="10"/>
        <v>239.92667378223047</v>
      </c>
      <c r="Q36" s="13">
        <f t="shared" si="10"/>
        <v>246.24214781291693</v>
      </c>
    </row>
    <row r="37" spans="1:17">
      <c r="A37" s="12" t="s">
        <v>28</v>
      </c>
      <c r="B37" s="12"/>
      <c r="C37" s="25">
        <f>C36/C30</f>
        <v>0.11333333333333337</v>
      </c>
      <c r="D37" s="25">
        <f t="shared" ref="D37:Q37" si="11">D36/D30</f>
        <v>0.11415032679738564</v>
      </c>
      <c r="E37" s="25">
        <f t="shared" si="11"/>
        <v>0.11496331539151614</v>
      </c>
      <c r="F37" s="25">
        <f t="shared" si="11"/>
        <v>0.11577231874744007</v>
      </c>
      <c r="G37" s="25">
        <f t="shared" si="11"/>
        <v>0.11657735640063895</v>
      </c>
      <c r="H37" s="25">
        <f t="shared" si="11"/>
        <v>0.11737844779083191</v>
      </c>
      <c r="I37" s="25">
        <f t="shared" si="11"/>
        <v>0.11817561226244548</v>
      </c>
      <c r="J37" s="25">
        <f t="shared" si="11"/>
        <v>0.11896886906508057</v>
      </c>
      <c r="K37" s="25">
        <f t="shared" si="11"/>
        <v>0.1197582373539773</v>
      </c>
      <c r="L37" s="25">
        <f t="shared" si="11"/>
        <v>0.1205437361904774</v>
      </c>
      <c r="M37" s="25">
        <f t="shared" si="11"/>
        <v>0.12132538454248488</v>
      </c>
      <c r="N37" s="25">
        <f t="shared" si="11"/>
        <v>0.1221032012849237</v>
      </c>
      <c r="O37" s="25">
        <f t="shared" si="11"/>
        <v>0.12287720520019373</v>
      </c>
      <c r="P37" s="25">
        <f t="shared" si="11"/>
        <v>0.12364741497862416</v>
      </c>
      <c r="Q37" s="25">
        <f t="shared" si="11"/>
        <v>0.12441384921892504</v>
      </c>
    </row>
    <row r="38" spans="1:17">
      <c r="A38" s="32" t="s">
        <v>30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>
      <c r="A39" s="27" t="s">
        <v>31</v>
      </c>
      <c r="B39" s="12"/>
      <c r="C39" s="13">
        <f>C36-C38</f>
        <v>170.00000000000006</v>
      </c>
      <c r="D39" s="13">
        <f t="shared" ref="D39:Q39" si="12">D36-D38</f>
        <v>174.65000000000003</v>
      </c>
      <c r="E39" s="13">
        <f t="shared" si="12"/>
        <v>179.4117500000001</v>
      </c>
      <c r="F39" s="13">
        <f t="shared" si="12"/>
        <v>184.28776625000009</v>
      </c>
      <c r="G39" s="13">
        <f t="shared" si="12"/>
        <v>189.28061954375019</v>
      </c>
      <c r="H39" s="13">
        <f t="shared" si="12"/>
        <v>194.39293637290646</v>
      </c>
      <c r="I39" s="13">
        <f t="shared" si="12"/>
        <v>199.62740010522006</v>
      </c>
      <c r="J39" s="13">
        <f t="shared" si="12"/>
        <v>204.98675218725279</v>
      </c>
      <c r="K39" s="13">
        <f t="shared" si="12"/>
        <v>210.47379337212519</v>
      </c>
      <c r="L39" s="13">
        <f t="shared" si="12"/>
        <v>216.09138497281182</v>
      </c>
      <c r="M39" s="13">
        <f t="shared" si="12"/>
        <v>221.84245014151088</v>
      </c>
      <c r="N39" s="13">
        <f t="shared" si="12"/>
        <v>227.7299751756226</v>
      </c>
      <c r="O39" s="13">
        <f t="shared" si="12"/>
        <v>233.75701085088579</v>
      </c>
      <c r="P39" s="13">
        <f t="shared" si="12"/>
        <v>239.92667378223047</v>
      </c>
      <c r="Q39" s="13">
        <f t="shared" si="12"/>
        <v>246.24214781291693</v>
      </c>
    </row>
    <row r="40" spans="1:17">
      <c r="A40" s="32" t="s">
        <v>70</v>
      </c>
      <c r="B40" s="63">
        <f>B23</f>
        <v>4.4999999999999998E-2</v>
      </c>
      <c r="C40" s="13">
        <f t="shared" ref="C40:Q40" si="13">-$B$40*(B57)</f>
        <v>-42.840000000000011</v>
      </c>
      <c r="D40" s="13">
        <f t="shared" si="13"/>
        <v>-40.778804460363311</v>
      </c>
      <c r="E40" s="13">
        <f t="shared" si="13"/>
        <v>-38.624855121442955</v>
      </c>
      <c r="F40" s="13">
        <f t="shared" si="13"/>
        <v>-36.373978062271185</v>
      </c>
      <c r="G40" s="13">
        <f t="shared" si="13"/>
        <v>-34.02181153543669</v>
      </c>
      <c r="H40" s="13">
        <f t="shared" si="13"/>
        <v>-31.563797514894635</v>
      </c>
      <c r="I40" s="13">
        <f t="shared" si="13"/>
        <v>-28.995172863428188</v>
      </c>
      <c r="J40" s="13">
        <f t="shared" si="13"/>
        <v>-26.310960102645755</v>
      </c>
      <c r="K40" s="13">
        <f t="shared" si="13"/>
        <v>-23.505957767628111</v>
      </c>
      <c r="L40" s="13">
        <f t="shared" si="13"/>
        <v>-20.574730327534674</v>
      </c>
      <c r="M40" s="13">
        <f t="shared" si="13"/>
        <v>-17.511597652637029</v>
      </c>
      <c r="N40" s="13">
        <f t="shared" si="13"/>
        <v>-14.310624007368991</v>
      </c>
      <c r="O40" s="13">
        <f t="shared" si="13"/>
        <v>-10.965606548063892</v>
      </c>
      <c r="P40" s="13">
        <f t="shared" si="13"/>
        <v>-7.4700633030900629</v>
      </c>
      <c r="Q40" s="13">
        <f t="shared" si="13"/>
        <v>-3.8172206120924121</v>
      </c>
    </row>
    <row r="41" spans="1:17">
      <c r="A41" s="27" t="s">
        <v>71</v>
      </c>
      <c r="B41" s="12"/>
      <c r="C41" s="13">
        <f>C39+C40</f>
        <v>127.16000000000005</v>
      </c>
      <c r="D41" s="13">
        <f t="shared" ref="D41:Q41" si="14">D39+D40</f>
        <v>133.87119553963672</v>
      </c>
      <c r="E41" s="13">
        <f t="shared" si="14"/>
        <v>140.78689487855715</v>
      </c>
      <c r="F41" s="13">
        <f t="shared" si="14"/>
        <v>147.9137881877289</v>
      </c>
      <c r="G41" s="13">
        <f t="shared" si="14"/>
        <v>155.25880800831351</v>
      </c>
      <c r="H41" s="13">
        <f t="shared" si="14"/>
        <v>162.82913885801182</v>
      </c>
      <c r="I41" s="13">
        <f t="shared" si="14"/>
        <v>170.63222724179187</v>
      </c>
      <c r="J41" s="13">
        <f t="shared" si="14"/>
        <v>178.67579208460702</v>
      </c>
      <c r="K41" s="13">
        <f t="shared" si="14"/>
        <v>186.96783560449708</v>
      </c>
      <c r="L41" s="13">
        <f t="shared" si="14"/>
        <v>195.51665464527716</v>
      </c>
      <c r="M41" s="13">
        <f t="shared" si="14"/>
        <v>204.33085248887386</v>
      </c>
      <c r="N41" s="13">
        <f t="shared" si="14"/>
        <v>213.4193511682536</v>
      </c>
      <c r="O41" s="13">
        <f t="shared" si="14"/>
        <v>222.79140430282189</v>
      </c>
      <c r="P41" s="13">
        <f t="shared" si="14"/>
        <v>232.45661047914041</v>
      </c>
      <c r="Q41" s="13">
        <f t="shared" si="14"/>
        <v>242.42492720082453</v>
      </c>
    </row>
    <row r="42" spans="1:17">
      <c r="A42" s="32" t="s">
        <v>72</v>
      </c>
      <c r="B42" s="64">
        <f>B25</f>
        <v>0.3</v>
      </c>
      <c r="C42" s="13">
        <f t="shared" ref="C42:Q42" si="15">-$B$42*C41</f>
        <v>-38.148000000000017</v>
      </c>
      <c r="D42" s="13">
        <f t="shared" si="15"/>
        <v>-40.161358661891015</v>
      </c>
      <c r="E42" s="13">
        <f t="shared" si="15"/>
        <v>-42.236068463567143</v>
      </c>
      <c r="F42" s="13">
        <f t="shared" si="15"/>
        <v>-44.374136456318666</v>
      </c>
      <c r="G42" s="13">
        <f t="shared" si="15"/>
        <v>-46.57764240249405</v>
      </c>
      <c r="H42" s="13">
        <f t="shared" si="15"/>
        <v>-48.848741657403544</v>
      </c>
      <c r="I42" s="13">
        <f t="shared" si="15"/>
        <v>-51.189668172537559</v>
      </c>
      <c r="J42" s="13">
        <f t="shared" si="15"/>
        <v>-53.602737625382105</v>
      </c>
      <c r="K42" s="13">
        <f t="shared" si="15"/>
        <v>-56.090350681349122</v>
      </c>
      <c r="L42" s="13">
        <f t="shared" si="15"/>
        <v>-58.654996393583147</v>
      </c>
      <c r="M42" s="13">
        <f t="shared" si="15"/>
        <v>-61.299255746662155</v>
      </c>
      <c r="N42" s="13">
        <f t="shared" si="15"/>
        <v>-64.025805350476077</v>
      </c>
      <c r="O42" s="13">
        <f t="shared" si="15"/>
        <v>-66.837421290846564</v>
      </c>
      <c r="P42" s="13">
        <f t="shared" si="15"/>
        <v>-69.736983143742123</v>
      </c>
      <c r="Q42" s="13">
        <f t="shared" si="15"/>
        <v>-72.727478160247358</v>
      </c>
    </row>
    <row r="43" spans="1:17">
      <c r="A43" s="27" t="s">
        <v>73</v>
      </c>
      <c r="B43" s="6"/>
      <c r="C43" s="41">
        <f>C41+C42</f>
        <v>89.012000000000029</v>
      </c>
      <c r="D43" s="41">
        <f t="shared" ref="D43:Q43" si="16">D41+D42</f>
        <v>93.709836877745701</v>
      </c>
      <c r="E43" s="41">
        <f t="shared" si="16"/>
        <v>98.550826414990013</v>
      </c>
      <c r="F43" s="41">
        <f t="shared" si="16"/>
        <v>103.53965173141023</v>
      </c>
      <c r="G43" s="41">
        <f t="shared" si="16"/>
        <v>108.68116560581946</v>
      </c>
      <c r="H43" s="41">
        <f t="shared" si="16"/>
        <v>113.98039720060828</v>
      </c>
      <c r="I43" s="41">
        <f t="shared" si="16"/>
        <v>119.44255906925432</v>
      </c>
      <c r="J43" s="41">
        <f t="shared" si="16"/>
        <v>125.07305445922492</v>
      </c>
      <c r="K43" s="41">
        <f t="shared" si="16"/>
        <v>130.87748492314796</v>
      </c>
      <c r="L43" s="41">
        <f t="shared" si="16"/>
        <v>136.861658251694</v>
      </c>
      <c r="M43" s="41">
        <f t="shared" si="16"/>
        <v>143.03159674221172</v>
      </c>
      <c r="N43" s="41">
        <f t="shared" si="16"/>
        <v>149.39354581777752</v>
      </c>
      <c r="O43" s="41">
        <f t="shared" si="16"/>
        <v>155.95398301197531</v>
      </c>
      <c r="P43" s="41">
        <f t="shared" si="16"/>
        <v>162.71962733539829</v>
      </c>
      <c r="Q43" s="41">
        <f t="shared" si="16"/>
        <v>169.69744904057717</v>
      </c>
    </row>
    <row r="44" spans="1:17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5" spans="1:17">
      <c r="B45" s="12"/>
      <c r="C45" s="7" t="str">
        <f>C29</f>
        <v>A1</v>
      </c>
      <c r="D45" s="7" t="str">
        <f t="shared" ref="D45:Q45" si="17">D29</f>
        <v>A2</v>
      </c>
      <c r="E45" s="7" t="str">
        <f t="shared" si="17"/>
        <v>A3</v>
      </c>
      <c r="F45" s="7" t="str">
        <f t="shared" si="17"/>
        <v>A4</v>
      </c>
      <c r="G45" s="7" t="str">
        <f t="shared" si="17"/>
        <v>A5</v>
      </c>
      <c r="H45" s="7" t="str">
        <f t="shared" si="17"/>
        <v>A6</v>
      </c>
      <c r="I45" s="7" t="str">
        <f t="shared" si="17"/>
        <v>A7</v>
      </c>
      <c r="J45" s="7" t="str">
        <f t="shared" si="17"/>
        <v>A8</v>
      </c>
      <c r="K45" s="7" t="str">
        <f t="shared" si="17"/>
        <v>A9</v>
      </c>
      <c r="L45" s="7" t="str">
        <f t="shared" si="17"/>
        <v>A10</v>
      </c>
      <c r="M45" s="7" t="str">
        <f t="shared" si="17"/>
        <v>A11</v>
      </c>
      <c r="N45" s="7" t="str">
        <f t="shared" si="17"/>
        <v>A12</v>
      </c>
      <c r="O45" s="7" t="str">
        <f t="shared" si="17"/>
        <v>A13</v>
      </c>
      <c r="P45" s="7" t="str">
        <f t="shared" si="17"/>
        <v>A14</v>
      </c>
      <c r="Q45" s="7" t="str">
        <f t="shared" si="17"/>
        <v>A15</v>
      </c>
    </row>
    <row r="46" spans="1:17">
      <c r="A46" s="12" t="s">
        <v>74</v>
      </c>
      <c r="B46" s="12"/>
      <c r="C46" s="13">
        <f>C43+C38</f>
        <v>89.012000000000029</v>
      </c>
      <c r="D46" s="13">
        <f>D43+D38</f>
        <v>93.709836877745701</v>
      </c>
      <c r="E46" s="13">
        <f t="shared" ref="E46:Q46" si="18">E43+E38</f>
        <v>98.550826414990013</v>
      </c>
      <c r="F46" s="13">
        <f t="shared" si="18"/>
        <v>103.53965173141023</v>
      </c>
      <c r="G46" s="13">
        <f t="shared" si="18"/>
        <v>108.68116560581946</v>
      </c>
      <c r="H46" s="13">
        <f t="shared" si="18"/>
        <v>113.98039720060828</v>
      </c>
      <c r="I46" s="13">
        <f t="shared" si="18"/>
        <v>119.44255906925432</v>
      </c>
      <c r="J46" s="13">
        <f t="shared" si="18"/>
        <v>125.07305445922492</v>
      </c>
      <c r="K46" s="13">
        <f t="shared" si="18"/>
        <v>130.87748492314796</v>
      </c>
      <c r="L46" s="13">
        <f t="shared" si="18"/>
        <v>136.861658251694</v>
      </c>
      <c r="M46" s="13">
        <f t="shared" si="18"/>
        <v>143.03159674221172</v>
      </c>
      <c r="N46" s="13">
        <f t="shared" si="18"/>
        <v>149.39354581777752</v>
      </c>
      <c r="O46" s="13">
        <f t="shared" si="18"/>
        <v>155.95398301197531</v>
      </c>
      <c r="P46" s="13">
        <f t="shared" si="18"/>
        <v>162.71962733539829</v>
      </c>
      <c r="Q46" s="13">
        <f t="shared" si="18"/>
        <v>169.69744904057717</v>
      </c>
    </row>
    <row r="47" spans="1:17">
      <c r="A47" s="12" t="s">
        <v>9</v>
      </c>
      <c r="B47" s="13">
        <f>F5</f>
        <v>408.00000000000011</v>
      </c>
      <c r="C47" s="13"/>
      <c r="D47" s="13">
        <f>-C53</f>
        <v>-43.207654674739963</v>
      </c>
      <c r="E47" s="13">
        <f t="shared" ref="E47:Q47" si="19">-D53</f>
        <v>-45.844296012848936</v>
      </c>
      <c r="F47" s="13">
        <f t="shared" si="19"/>
        <v>-48.531336211172892</v>
      </c>
      <c r="G47" s="13">
        <f t="shared" si="19"/>
        <v>-51.26928446842134</v>
      </c>
      <c r="H47" s="13">
        <f t="shared" si="19"/>
        <v>-54.058631815996073</v>
      </c>
      <c r="I47" s="13">
        <f t="shared" si="19"/>
        <v>-56.899849390242835</v>
      </c>
      <c r="J47" s="13">
        <f t="shared" si="19"/>
        <v>-59.793386607422427</v>
      </c>
      <c r="K47" s="13">
        <f t="shared" si="19"/>
        <v>-62.739669236610588</v>
      </c>
      <c r="L47" s="13">
        <f t="shared" si="19"/>
        <v>-65.739097365515988</v>
      </c>
      <c r="M47" s="13">
        <f t="shared" si="19"/>
        <v>-68.792043253968586</v>
      </c>
      <c r="N47" s="13">
        <f t="shared" si="19"/>
        <v>-71.898849069588664</v>
      </c>
      <c r="O47" s="13">
        <f t="shared" si="19"/>
        <v>-75.059824499886432</v>
      </c>
      <c r="P47" s="13">
        <f t="shared" si="19"/>
        <v>-78.275244234779123</v>
      </c>
      <c r="Q47" s="13">
        <f t="shared" si="19"/>
        <v>-81.545345313228268</v>
      </c>
    </row>
    <row r="48" spans="1:17">
      <c r="A48" s="12" t="s">
        <v>12</v>
      </c>
      <c r="B48" s="13">
        <f>F6</f>
        <v>952.00000000000034</v>
      </c>
      <c r="C48" s="13">
        <f t="shared" ref="C48:Q48" si="20">-$F$15-C40</f>
        <v>-45.804345325260066</v>
      </c>
      <c r="D48" s="13">
        <f t="shared" si="20"/>
        <v>-47.865540864896765</v>
      </c>
      <c r="E48" s="13">
        <f t="shared" si="20"/>
        <v>-50.019490203817121</v>
      </c>
      <c r="F48" s="13">
        <f t="shared" si="20"/>
        <v>-52.270367262988891</v>
      </c>
      <c r="G48" s="13">
        <f t="shared" si="20"/>
        <v>-54.622533789823386</v>
      </c>
      <c r="H48" s="13">
        <f t="shared" si="20"/>
        <v>-57.080547810365445</v>
      </c>
      <c r="I48" s="13">
        <f t="shared" si="20"/>
        <v>-59.649172461831888</v>
      </c>
      <c r="J48" s="13">
        <f t="shared" si="20"/>
        <v>-62.333385222614325</v>
      </c>
      <c r="K48" s="13">
        <f t="shared" si="20"/>
        <v>-65.138387557631972</v>
      </c>
      <c r="L48" s="13">
        <f t="shared" si="20"/>
        <v>-68.069614997725409</v>
      </c>
      <c r="M48" s="13">
        <f t="shared" si="20"/>
        <v>-71.132747672623054</v>
      </c>
      <c r="N48" s="13">
        <f t="shared" si="20"/>
        <v>-74.33372131789109</v>
      </c>
      <c r="O48" s="13">
        <f t="shared" si="20"/>
        <v>-77.678738777196187</v>
      </c>
      <c r="P48" s="13">
        <f t="shared" si="20"/>
        <v>-81.174282022170019</v>
      </c>
      <c r="Q48" s="13">
        <f t="shared" si="20"/>
        <v>-84.827124713167663</v>
      </c>
    </row>
    <row r="49" spans="1:23">
      <c r="A49" s="12" t="s">
        <v>15</v>
      </c>
      <c r="B49" s="14">
        <f>-F7</f>
        <v>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23">
      <c r="A50" s="12" t="s">
        <v>18</v>
      </c>
      <c r="B50" s="14">
        <f>-F8</f>
        <v>-1360.0000000000005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23">
      <c r="A51" s="12" t="s">
        <v>75</v>
      </c>
      <c r="B51" s="14">
        <f>-F9</f>
        <v>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3">
      <c r="A52" s="12" t="s">
        <v>76</v>
      </c>
      <c r="B52" s="13">
        <v>0</v>
      </c>
      <c r="C52" s="13">
        <f>B53</f>
        <v>0</v>
      </c>
      <c r="D52" s="13">
        <f t="shared" ref="D52:Q52" si="21">C53</f>
        <v>43.207654674739963</v>
      </c>
      <c r="E52" s="13">
        <f t="shared" si="21"/>
        <v>45.844296012848936</v>
      </c>
      <c r="F52" s="13">
        <f t="shared" si="21"/>
        <v>48.531336211172892</v>
      </c>
      <c r="G52" s="13">
        <f t="shared" si="21"/>
        <v>51.26928446842134</v>
      </c>
      <c r="H52" s="13">
        <f t="shared" si="21"/>
        <v>54.058631815996073</v>
      </c>
      <c r="I52" s="13">
        <f t="shared" si="21"/>
        <v>56.899849390242835</v>
      </c>
      <c r="J52" s="13">
        <f t="shared" si="21"/>
        <v>59.793386607422427</v>
      </c>
      <c r="K52" s="13">
        <f t="shared" si="21"/>
        <v>62.739669236610588</v>
      </c>
      <c r="L52" s="13">
        <f t="shared" si="21"/>
        <v>65.739097365515988</v>
      </c>
      <c r="M52" s="13">
        <f t="shared" si="21"/>
        <v>68.792043253968586</v>
      </c>
      <c r="N52" s="13">
        <f t="shared" si="21"/>
        <v>71.898849069588664</v>
      </c>
      <c r="O52" s="13">
        <f t="shared" si="21"/>
        <v>75.059824499886432</v>
      </c>
      <c r="P52" s="13">
        <f t="shared" si="21"/>
        <v>78.275244234779123</v>
      </c>
      <c r="Q52" s="13">
        <f t="shared" si="21"/>
        <v>81.545345313228268</v>
      </c>
    </row>
    <row r="53" spans="1:23">
      <c r="A53" s="12" t="s">
        <v>77</v>
      </c>
      <c r="B53" s="13">
        <f>SUM(B46:B52)</f>
        <v>0</v>
      </c>
      <c r="C53" s="13">
        <f>SUM(C46:C52)</f>
        <v>43.207654674739963</v>
      </c>
      <c r="D53" s="13">
        <f t="shared" ref="D53:Q53" si="22">SUM(D46:D52)</f>
        <v>45.844296012848936</v>
      </c>
      <c r="E53" s="13">
        <f t="shared" si="22"/>
        <v>48.531336211172892</v>
      </c>
      <c r="F53" s="13">
        <f t="shared" si="22"/>
        <v>51.26928446842134</v>
      </c>
      <c r="G53" s="13">
        <f t="shared" si="22"/>
        <v>54.058631815996073</v>
      </c>
      <c r="H53" s="13">
        <f t="shared" si="22"/>
        <v>56.899849390242835</v>
      </c>
      <c r="I53" s="13">
        <f t="shared" si="22"/>
        <v>59.793386607422427</v>
      </c>
      <c r="J53" s="13">
        <f t="shared" si="22"/>
        <v>62.739669236610588</v>
      </c>
      <c r="K53" s="13">
        <f t="shared" si="22"/>
        <v>65.739097365515988</v>
      </c>
      <c r="L53" s="13">
        <f t="shared" si="22"/>
        <v>68.792043253968586</v>
      </c>
      <c r="M53" s="13">
        <f t="shared" si="22"/>
        <v>71.898849069588664</v>
      </c>
      <c r="N53" s="13">
        <f t="shared" si="22"/>
        <v>75.059824499886432</v>
      </c>
      <c r="O53" s="13">
        <f t="shared" si="22"/>
        <v>78.275244234779123</v>
      </c>
      <c r="P53" s="13">
        <f t="shared" si="22"/>
        <v>81.545345313228268</v>
      </c>
      <c r="Q53" s="13">
        <f t="shared" si="22"/>
        <v>84.870324327409506</v>
      </c>
    </row>
    <row r="54" spans="1:23">
      <c r="A5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23">
      <c r="B55" s="13"/>
      <c r="C55" s="7" t="str">
        <f>C45</f>
        <v>A1</v>
      </c>
      <c r="D55" s="7" t="str">
        <f t="shared" ref="D55:Q55" si="23">D45</f>
        <v>A2</v>
      </c>
      <c r="E55" s="7" t="str">
        <f t="shared" si="23"/>
        <v>A3</v>
      </c>
      <c r="F55" s="7" t="str">
        <f t="shared" si="23"/>
        <v>A4</v>
      </c>
      <c r="G55" s="7" t="str">
        <f t="shared" si="23"/>
        <v>A5</v>
      </c>
      <c r="H55" s="7" t="str">
        <f t="shared" si="23"/>
        <v>A6</v>
      </c>
      <c r="I55" s="7" t="str">
        <f t="shared" si="23"/>
        <v>A7</v>
      </c>
      <c r="J55" s="7" t="str">
        <f t="shared" si="23"/>
        <v>A8</v>
      </c>
      <c r="K55" s="7" t="str">
        <f t="shared" si="23"/>
        <v>A9</v>
      </c>
      <c r="L55" s="7" t="str">
        <f t="shared" si="23"/>
        <v>A10</v>
      </c>
      <c r="M55" s="7" t="str">
        <f t="shared" si="23"/>
        <v>A11</v>
      </c>
      <c r="N55" s="7" t="str">
        <f t="shared" si="23"/>
        <v>A12</v>
      </c>
      <c r="O55" s="7" t="str">
        <f t="shared" si="23"/>
        <v>A13</v>
      </c>
      <c r="P55" s="7" t="str">
        <f t="shared" si="23"/>
        <v>A14</v>
      </c>
      <c r="Q55" s="7" t="str">
        <f t="shared" si="23"/>
        <v>A15</v>
      </c>
    </row>
    <row r="56" spans="1:23">
      <c r="A56" s="12" t="s">
        <v>9</v>
      </c>
      <c r="B56" s="13">
        <f>B47</f>
        <v>408.00000000000011</v>
      </c>
      <c r="C56" s="13">
        <f>B56+C43+C47</f>
        <v>497.01200000000017</v>
      </c>
      <c r="D56" s="13">
        <f t="shared" ref="D56:Q56" si="24">C56+D43+D47</f>
        <v>547.51418220300593</v>
      </c>
      <c r="E56" s="13">
        <f t="shared" si="24"/>
        <v>600.22071260514701</v>
      </c>
      <c r="F56" s="13">
        <f t="shared" si="24"/>
        <v>655.22902812538439</v>
      </c>
      <c r="G56" s="13">
        <f t="shared" si="24"/>
        <v>712.64090926278254</v>
      </c>
      <c r="H56" s="13">
        <f t="shared" si="24"/>
        <v>772.56267464739483</v>
      </c>
      <c r="I56" s="13">
        <f t="shared" si="24"/>
        <v>835.10538432640635</v>
      </c>
      <c r="J56" s="13">
        <f t="shared" si="24"/>
        <v>900.38505217820875</v>
      </c>
      <c r="K56" s="13">
        <f t="shared" si="24"/>
        <v>968.5228678647461</v>
      </c>
      <c r="L56" s="13">
        <f t="shared" si="24"/>
        <v>1039.6454287509241</v>
      </c>
      <c r="M56" s="13">
        <f t="shared" si="24"/>
        <v>1113.8849822391671</v>
      </c>
      <c r="N56" s="13">
        <f t="shared" si="24"/>
        <v>1191.3796789873559</v>
      </c>
      <c r="O56" s="13">
        <f t="shared" si="24"/>
        <v>1272.2738374994447</v>
      </c>
      <c r="P56" s="13">
        <f t="shared" si="24"/>
        <v>1356.7182206000639</v>
      </c>
      <c r="Q56" s="13">
        <f t="shared" si="24"/>
        <v>1444.8703243274126</v>
      </c>
    </row>
    <row r="57" spans="1:23">
      <c r="A57" s="12" t="s">
        <v>12</v>
      </c>
      <c r="B57" s="13">
        <f>B48</f>
        <v>952.00000000000034</v>
      </c>
      <c r="C57" s="13">
        <f>B57+C48</f>
        <v>906.19565467474024</v>
      </c>
      <c r="D57" s="13">
        <f t="shared" ref="D57:Q57" si="25">C57+D48</f>
        <v>858.33011380984351</v>
      </c>
      <c r="E57" s="13">
        <f t="shared" si="25"/>
        <v>808.31062360602641</v>
      </c>
      <c r="F57" s="13">
        <f t="shared" si="25"/>
        <v>756.04025634303753</v>
      </c>
      <c r="G57" s="13">
        <f t="shared" si="25"/>
        <v>701.41772255321416</v>
      </c>
      <c r="H57" s="13">
        <f t="shared" si="25"/>
        <v>644.33717474284867</v>
      </c>
      <c r="I57" s="13">
        <f t="shared" si="25"/>
        <v>584.68800228101679</v>
      </c>
      <c r="J57" s="13">
        <f t="shared" si="25"/>
        <v>522.35461705840248</v>
      </c>
      <c r="K57" s="13">
        <f t="shared" si="25"/>
        <v>457.21622950077051</v>
      </c>
      <c r="L57" s="13">
        <f t="shared" si="25"/>
        <v>389.1466145030451</v>
      </c>
      <c r="M57" s="13">
        <f t="shared" si="25"/>
        <v>318.01386683042205</v>
      </c>
      <c r="N57" s="13">
        <f t="shared" si="25"/>
        <v>243.68014551253094</v>
      </c>
      <c r="O57" s="13">
        <f t="shared" si="25"/>
        <v>166.00140673533474</v>
      </c>
      <c r="P57" s="13">
        <f t="shared" si="25"/>
        <v>84.827124713164721</v>
      </c>
      <c r="Q57" s="13">
        <f t="shared" si="25"/>
        <v>-2.9416469260468148E-12</v>
      </c>
      <c r="S57" s="24"/>
      <c r="T57" s="24"/>
      <c r="U57" s="24"/>
      <c r="V57" s="24"/>
      <c r="W57" s="24"/>
    </row>
    <row r="58" spans="1:23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23">
      <c r="A59" s="12" t="s">
        <v>15</v>
      </c>
      <c r="B59" s="13">
        <f>-B49</f>
        <v>0</v>
      </c>
      <c r="C59" s="12">
        <f>B59-C38</f>
        <v>0</v>
      </c>
      <c r="D59" s="12">
        <f t="shared" ref="D59:Q59" si="26">C59-D38</f>
        <v>0</v>
      </c>
      <c r="E59" s="12">
        <f t="shared" si="26"/>
        <v>0</v>
      </c>
      <c r="F59" s="12">
        <f t="shared" si="26"/>
        <v>0</v>
      </c>
      <c r="G59" s="12">
        <f t="shared" si="26"/>
        <v>0</v>
      </c>
      <c r="H59" s="12">
        <f t="shared" si="26"/>
        <v>0</v>
      </c>
      <c r="I59" s="12">
        <f t="shared" si="26"/>
        <v>0</v>
      </c>
      <c r="J59" s="12">
        <f t="shared" si="26"/>
        <v>0</v>
      </c>
      <c r="K59" s="12">
        <f t="shared" si="26"/>
        <v>0</v>
      </c>
      <c r="L59" s="12">
        <f t="shared" si="26"/>
        <v>0</v>
      </c>
      <c r="M59" s="12">
        <f t="shared" si="26"/>
        <v>0</v>
      </c>
      <c r="N59" s="12">
        <f t="shared" si="26"/>
        <v>0</v>
      </c>
      <c r="O59" s="12">
        <f t="shared" si="26"/>
        <v>0</v>
      </c>
      <c r="P59" s="12">
        <f t="shared" si="26"/>
        <v>0</v>
      </c>
      <c r="Q59" s="12">
        <f t="shared" si="26"/>
        <v>0</v>
      </c>
    </row>
    <row r="60" spans="1:23">
      <c r="A60" s="12" t="s">
        <v>18</v>
      </c>
      <c r="B60" s="13">
        <f>-B50</f>
        <v>1360.0000000000005</v>
      </c>
      <c r="C60" s="13">
        <f>B60</f>
        <v>1360.0000000000005</v>
      </c>
      <c r="D60" s="13">
        <f t="shared" ref="D60:Q60" si="27">C60</f>
        <v>1360.0000000000005</v>
      </c>
      <c r="E60" s="13">
        <f t="shared" si="27"/>
        <v>1360.0000000000005</v>
      </c>
      <c r="F60" s="13">
        <f t="shared" si="27"/>
        <v>1360.0000000000005</v>
      </c>
      <c r="G60" s="13">
        <f t="shared" si="27"/>
        <v>1360.0000000000005</v>
      </c>
      <c r="H60" s="13">
        <f t="shared" si="27"/>
        <v>1360.0000000000005</v>
      </c>
      <c r="I60" s="13">
        <f t="shared" si="27"/>
        <v>1360.0000000000005</v>
      </c>
      <c r="J60" s="13">
        <f t="shared" si="27"/>
        <v>1360.0000000000005</v>
      </c>
      <c r="K60" s="13">
        <f t="shared" si="27"/>
        <v>1360.0000000000005</v>
      </c>
      <c r="L60" s="13">
        <f t="shared" si="27"/>
        <v>1360.0000000000005</v>
      </c>
      <c r="M60" s="13">
        <f t="shared" si="27"/>
        <v>1360.0000000000005</v>
      </c>
      <c r="N60" s="13">
        <f t="shared" si="27"/>
        <v>1360.0000000000005</v>
      </c>
      <c r="O60" s="13">
        <f t="shared" si="27"/>
        <v>1360.0000000000005</v>
      </c>
      <c r="P60" s="13">
        <f t="shared" si="27"/>
        <v>1360.0000000000005</v>
      </c>
      <c r="Q60" s="13">
        <f t="shared" si="27"/>
        <v>1360.0000000000005</v>
      </c>
    </row>
    <row r="61" spans="1:23">
      <c r="A61" s="12" t="s">
        <v>21</v>
      </c>
      <c r="B61" s="13">
        <f>-B51</f>
        <v>0</v>
      </c>
      <c r="C61" s="13">
        <f>B61-C51</f>
        <v>0</v>
      </c>
      <c r="D61" s="13">
        <f t="shared" ref="D61:Q61" si="28">C61-D51</f>
        <v>0</v>
      </c>
      <c r="E61" s="13">
        <f t="shared" si="28"/>
        <v>0</v>
      </c>
      <c r="F61" s="13">
        <f t="shared" si="28"/>
        <v>0</v>
      </c>
      <c r="G61" s="13">
        <f t="shared" si="28"/>
        <v>0</v>
      </c>
      <c r="H61" s="13">
        <f t="shared" si="28"/>
        <v>0</v>
      </c>
      <c r="I61" s="13">
        <f t="shared" si="28"/>
        <v>0</v>
      </c>
      <c r="J61" s="13">
        <f t="shared" si="28"/>
        <v>0</v>
      </c>
      <c r="K61" s="13">
        <f t="shared" si="28"/>
        <v>0</v>
      </c>
      <c r="L61" s="13">
        <f t="shared" si="28"/>
        <v>0</v>
      </c>
      <c r="M61" s="13">
        <f t="shared" si="28"/>
        <v>0</v>
      </c>
      <c r="N61" s="13">
        <f t="shared" si="28"/>
        <v>0</v>
      </c>
      <c r="O61" s="13">
        <f t="shared" si="28"/>
        <v>0</v>
      </c>
      <c r="P61" s="13">
        <f t="shared" si="28"/>
        <v>0</v>
      </c>
      <c r="Q61" s="13">
        <f t="shared" si="28"/>
        <v>0</v>
      </c>
    </row>
    <row r="62" spans="1:23">
      <c r="A62" s="12" t="s">
        <v>24</v>
      </c>
      <c r="B62" s="13">
        <f>B53</f>
        <v>0</v>
      </c>
      <c r="C62" s="13">
        <f>C53</f>
        <v>43.207654674739963</v>
      </c>
      <c r="D62" s="13">
        <f t="shared" ref="D62:Q62" si="29">D53</f>
        <v>45.844296012848936</v>
      </c>
      <c r="E62" s="13">
        <f t="shared" si="29"/>
        <v>48.531336211172892</v>
      </c>
      <c r="F62" s="13">
        <f t="shared" si="29"/>
        <v>51.26928446842134</v>
      </c>
      <c r="G62" s="13">
        <f t="shared" si="29"/>
        <v>54.058631815996073</v>
      </c>
      <c r="H62" s="13">
        <f t="shared" si="29"/>
        <v>56.899849390242835</v>
      </c>
      <c r="I62" s="13">
        <f t="shared" si="29"/>
        <v>59.793386607422427</v>
      </c>
      <c r="J62" s="13">
        <f t="shared" si="29"/>
        <v>62.739669236610588</v>
      </c>
      <c r="K62" s="13">
        <f t="shared" si="29"/>
        <v>65.739097365515988</v>
      </c>
      <c r="L62" s="13">
        <f t="shared" si="29"/>
        <v>68.792043253968586</v>
      </c>
      <c r="M62" s="13">
        <f t="shared" si="29"/>
        <v>71.898849069588664</v>
      </c>
      <c r="N62" s="13">
        <f t="shared" si="29"/>
        <v>75.059824499886432</v>
      </c>
      <c r="O62" s="13">
        <f t="shared" si="29"/>
        <v>78.275244234779123</v>
      </c>
      <c r="P62" s="13">
        <f t="shared" si="29"/>
        <v>81.545345313228268</v>
      </c>
      <c r="Q62" s="13">
        <f t="shared" si="29"/>
        <v>84.870324327409506</v>
      </c>
    </row>
    <row r="63" spans="1:23">
      <c r="A63" s="6" t="s">
        <v>26</v>
      </c>
      <c r="B63" s="41">
        <f>SUM(B59:B62)</f>
        <v>1360.0000000000005</v>
      </c>
      <c r="C63" s="41">
        <f>SUM(C59:C62)</f>
        <v>1403.2076546747405</v>
      </c>
      <c r="D63" s="41">
        <f t="shared" ref="D63:Q63" si="30">SUM(D59:D62)</f>
        <v>1405.8442960128493</v>
      </c>
      <c r="E63" s="41">
        <f t="shared" si="30"/>
        <v>1408.5313362111733</v>
      </c>
      <c r="F63" s="41">
        <f t="shared" si="30"/>
        <v>1411.2692844684218</v>
      </c>
      <c r="G63" s="41">
        <f t="shared" si="30"/>
        <v>1414.0586318159965</v>
      </c>
      <c r="H63" s="41">
        <f t="shared" si="30"/>
        <v>1416.8998493902434</v>
      </c>
      <c r="I63" s="41">
        <f t="shared" si="30"/>
        <v>1419.7933866074229</v>
      </c>
      <c r="J63" s="41">
        <f t="shared" si="30"/>
        <v>1422.739669236611</v>
      </c>
      <c r="K63" s="41">
        <f t="shared" si="30"/>
        <v>1425.7390973655165</v>
      </c>
      <c r="L63" s="41">
        <f t="shared" si="30"/>
        <v>1428.792043253969</v>
      </c>
      <c r="M63" s="41">
        <f t="shared" si="30"/>
        <v>1431.8988490695892</v>
      </c>
      <c r="N63" s="41">
        <f t="shared" si="30"/>
        <v>1435.0598244998869</v>
      </c>
      <c r="O63" s="41">
        <f t="shared" si="30"/>
        <v>1438.2752442347796</v>
      </c>
      <c r="P63" s="41">
        <f t="shared" si="30"/>
        <v>1441.5453453132286</v>
      </c>
      <c r="Q63" s="41">
        <f t="shared" si="30"/>
        <v>1444.8703243274099</v>
      </c>
    </row>
    <row r="64" spans="1:23">
      <c r="A64" s="12" t="s">
        <v>78</v>
      </c>
      <c r="B64" s="13">
        <f>B63-B56-B57</f>
        <v>0</v>
      </c>
      <c r="C64" s="13">
        <f>C63-C56-C57</f>
        <v>0</v>
      </c>
      <c r="D64" s="13">
        <f t="shared" ref="D64:Q64" si="31">D63-D56-D57</f>
        <v>0</v>
      </c>
      <c r="E64" s="13">
        <f t="shared" si="31"/>
        <v>0</v>
      </c>
      <c r="F64" s="13">
        <f t="shared" si="31"/>
        <v>0</v>
      </c>
      <c r="G64" s="13">
        <f t="shared" si="31"/>
        <v>0</v>
      </c>
      <c r="H64" s="13">
        <f t="shared" si="31"/>
        <v>0</v>
      </c>
      <c r="I64" s="13">
        <f t="shared" si="31"/>
        <v>0</v>
      </c>
      <c r="J64" s="13">
        <f t="shared" si="31"/>
        <v>0</v>
      </c>
      <c r="K64" s="13">
        <f t="shared" si="31"/>
        <v>0</v>
      </c>
      <c r="L64" s="13">
        <f t="shared" si="31"/>
        <v>0</v>
      </c>
      <c r="M64" s="13">
        <f t="shared" si="31"/>
        <v>0</v>
      </c>
      <c r="N64" s="13">
        <f t="shared" si="31"/>
        <v>0</v>
      </c>
      <c r="O64" s="13">
        <f t="shared" si="31"/>
        <v>2.2737367544323206E-13</v>
      </c>
      <c r="P64" s="13">
        <f t="shared" si="31"/>
        <v>0</v>
      </c>
      <c r="Q64" s="13">
        <f t="shared" si="31"/>
        <v>2.1316282072803006E-13</v>
      </c>
    </row>
    <row r="65" spans="1:17">
      <c r="A65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>
      <c r="A66" s="6" t="s">
        <v>79</v>
      </c>
      <c r="B66" s="13"/>
      <c r="C66" s="7" t="str">
        <f>C55</f>
        <v>A1</v>
      </c>
      <c r="D66" s="7" t="str">
        <f t="shared" ref="D66:Q66" si="32">D55</f>
        <v>A2</v>
      </c>
      <c r="E66" s="7" t="str">
        <f t="shared" si="32"/>
        <v>A3</v>
      </c>
      <c r="F66" s="7" t="str">
        <f t="shared" si="32"/>
        <v>A4</v>
      </c>
      <c r="G66" s="7" t="str">
        <f t="shared" si="32"/>
        <v>A5</v>
      </c>
      <c r="H66" s="7" t="str">
        <f t="shared" si="32"/>
        <v>A6</v>
      </c>
      <c r="I66" s="7" t="str">
        <f t="shared" si="32"/>
        <v>A7</v>
      </c>
      <c r="J66" s="7" t="str">
        <f t="shared" si="32"/>
        <v>A8</v>
      </c>
      <c r="K66" s="7" t="str">
        <f t="shared" si="32"/>
        <v>A9</v>
      </c>
      <c r="L66" s="7" t="str">
        <f t="shared" si="32"/>
        <v>A10</v>
      </c>
      <c r="M66" s="7" t="str">
        <f t="shared" si="32"/>
        <v>A11</v>
      </c>
      <c r="N66" s="7" t="str">
        <f t="shared" si="32"/>
        <v>A12</v>
      </c>
      <c r="O66" s="7" t="str">
        <f t="shared" si="32"/>
        <v>A13</v>
      </c>
      <c r="P66" s="7" t="str">
        <f t="shared" si="32"/>
        <v>A14</v>
      </c>
      <c r="Q66" s="7" t="str">
        <f t="shared" si="32"/>
        <v>A15</v>
      </c>
    </row>
    <row r="67" spans="1:17">
      <c r="A67" s="12" t="s">
        <v>80</v>
      </c>
      <c r="B67" s="13">
        <f>-B47</f>
        <v>-408.00000000000011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>
      <c r="A68" s="12" t="s">
        <v>81</v>
      </c>
      <c r="B68" s="13"/>
      <c r="C68" s="12"/>
      <c r="D68" s="13">
        <f>-D47</f>
        <v>43.207654674739963</v>
      </c>
      <c r="E68" s="13">
        <f t="shared" ref="E68:Q68" si="33">-E47</f>
        <v>45.844296012848936</v>
      </c>
      <c r="F68" s="13">
        <f t="shared" si="33"/>
        <v>48.531336211172892</v>
      </c>
      <c r="G68" s="13">
        <f t="shared" si="33"/>
        <v>51.26928446842134</v>
      </c>
      <c r="H68" s="13">
        <f t="shared" si="33"/>
        <v>54.058631815996073</v>
      </c>
      <c r="I68" s="13">
        <f t="shared" si="33"/>
        <v>56.899849390242835</v>
      </c>
      <c r="J68" s="13">
        <f t="shared" si="33"/>
        <v>59.793386607422427</v>
      </c>
      <c r="K68" s="13">
        <f t="shared" si="33"/>
        <v>62.739669236610588</v>
      </c>
      <c r="L68" s="13">
        <f t="shared" si="33"/>
        <v>65.739097365515988</v>
      </c>
      <c r="M68" s="13">
        <f t="shared" si="33"/>
        <v>68.792043253968586</v>
      </c>
      <c r="N68" s="13">
        <f t="shared" si="33"/>
        <v>71.898849069588664</v>
      </c>
      <c r="O68" s="13">
        <f t="shared" si="33"/>
        <v>75.059824499886432</v>
      </c>
      <c r="P68" s="13">
        <f t="shared" si="33"/>
        <v>78.275244234779123</v>
      </c>
      <c r="Q68" s="13">
        <f t="shared" si="33"/>
        <v>81.545345313228268</v>
      </c>
    </row>
    <row r="69" spans="1:17">
      <c r="A69" s="12" t="s">
        <v>82</v>
      </c>
      <c r="B69" s="13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>
        <f>G26</f>
        <v>1396.0845040984486</v>
      </c>
    </row>
    <row r="70" spans="1:17">
      <c r="A70" s="12" t="s">
        <v>19</v>
      </c>
      <c r="B70" s="13">
        <f>SUM(B67:B69)</f>
        <v>-408.00000000000011</v>
      </c>
      <c r="C70" s="12">
        <f t="shared" ref="C70:Q70" si="34">SUM(C67:C69)</f>
        <v>0</v>
      </c>
      <c r="D70" s="13">
        <f t="shared" si="34"/>
        <v>43.207654674739963</v>
      </c>
      <c r="E70" s="13">
        <f t="shared" si="34"/>
        <v>45.844296012848936</v>
      </c>
      <c r="F70" s="13">
        <f t="shared" si="34"/>
        <v>48.531336211172892</v>
      </c>
      <c r="G70" s="13">
        <f t="shared" si="34"/>
        <v>51.26928446842134</v>
      </c>
      <c r="H70" s="13">
        <f t="shared" si="34"/>
        <v>54.058631815996073</v>
      </c>
      <c r="I70" s="13">
        <f t="shared" si="34"/>
        <v>56.899849390242835</v>
      </c>
      <c r="J70" s="13">
        <f t="shared" si="34"/>
        <v>59.793386607422427</v>
      </c>
      <c r="K70" s="13">
        <f t="shared" si="34"/>
        <v>62.739669236610588</v>
      </c>
      <c r="L70" s="13">
        <f t="shared" si="34"/>
        <v>65.739097365515988</v>
      </c>
      <c r="M70" s="13">
        <f t="shared" si="34"/>
        <v>68.792043253968586</v>
      </c>
      <c r="N70" s="13">
        <f t="shared" si="34"/>
        <v>71.898849069588664</v>
      </c>
      <c r="O70" s="13">
        <f t="shared" si="34"/>
        <v>75.059824499886432</v>
      </c>
      <c r="P70" s="13">
        <f t="shared" si="34"/>
        <v>78.275244234779123</v>
      </c>
      <c r="Q70" s="13">
        <f t="shared" si="34"/>
        <v>1477.6298494116768</v>
      </c>
    </row>
    <row r="71" spans="1:17">
      <c r="A71" s="12" t="s">
        <v>22</v>
      </c>
      <c r="B71" s="65">
        <f>IRR(B70:Q70)</f>
        <v>0.16068356736717782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>
      <c r="A7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mergeCells count="3">
    <mergeCell ref="E4:F4"/>
    <mergeCell ref="E14:F14"/>
    <mergeCell ref="E19:G19"/>
  </mergeCells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6"/>
  <sheetViews>
    <sheetView tabSelected="1" zoomScale="85" zoomScaleNormal="85" workbookViewId="0">
      <selection activeCell="B76" sqref="B76"/>
    </sheetView>
  </sheetViews>
  <sheetFormatPr baseColWidth="10" defaultColWidth="8.7109375" defaultRowHeight="15"/>
  <cols>
    <col min="1" max="1" width="16.5703125" customWidth="1"/>
    <col min="2" max="3" width="7.85546875" customWidth="1"/>
    <col min="4" max="4" width="9.5703125" customWidth="1"/>
    <col min="5" max="5" width="9.7109375" customWidth="1"/>
  </cols>
  <sheetData>
    <row r="1" spans="1:20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0">
      <c r="A2" s="1" t="s">
        <v>83</v>
      </c>
      <c r="R2" t="s">
        <v>1</v>
      </c>
    </row>
    <row r="3" spans="1:20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0">
      <c r="A4" s="12" t="s">
        <v>84</v>
      </c>
      <c r="B4" s="66">
        <f>'tronc commun'!B16</f>
        <v>250</v>
      </c>
      <c r="C4" s="12" t="s">
        <v>4</v>
      </c>
      <c r="E4" s="6" t="s">
        <v>15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  <c r="L4" s="5" t="s">
        <v>60</v>
      </c>
      <c r="M4" s="5" t="s">
        <v>61</v>
      </c>
      <c r="N4" s="5" t="s">
        <v>62</v>
      </c>
      <c r="O4" s="5" t="s">
        <v>63</v>
      </c>
      <c r="P4" s="5" t="s">
        <v>64</v>
      </c>
      <c r="Q4" s="5" t="s">
        <v>65</v>
      </c>
      <c r="R4" s="5" t="s">
        <v>66</v>
      </c>
      <c r="S4" s="5" t="s">
        <v>67</v>
      </c>
      <c r="T4" s="5" t="s">
        <v>68</v>
      </c>
    </row>
    <row r="5" spans="1:20">
      <c r="A5" s="12" t="s">
        <v>85</v>
      </c>
      <c r="B5" s="67">
        <f>'tronc commun'!B21</f>
        <v>0.3</v>
      </c>
      <c r="C5" s="68"/>
      <c r="E5" s="12" t="s">
        <v>10</v>
      </c>
      <c r="F5" s="12">
        <f>-B6</f>
        <v>-75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2" t="s">
        <v>86</v>
      </c>
      <c r="B6" s="66">
        <f>B5*B4</f>
        <v>75</v>
      </c>
      <c r="C6" s="12"/>
      <c r="E6" s="12" t="s">
        <v>13</v>
      </c>
      <c r="F6" s="13">
        <f t="shared" ref="F6:T6" si="0">-C35</f>
        <v>0</v>
      </c>
      <c r="G6" s="13">
        <f t="shared" si="0"/>
        <v>-0.16041666666666643</v>
      </c>
      <c r="H6" s="13">
        <f t="shared" si="0"/>
        <v>0.70469739583333357</v>
      </c>
      <c r="I6" s="13">
        <f t="shared" si="0"/>
        <v>1.6196630087239576</v>
      </c>
      <c r="J6" s="13">
        <f t="shared" si="0"/>
        <v>2.5474260684170229</v>
      </c>
      <c r="K6" s="13">
        <f t="shared" si="0"/>
        <v>3.486841521075279</v>
      </c>
      <c r="L6" s="13">
        <f t="shared" si="0"/>
        <v>4.4381446406550804</v>
      </c>
      <c r="M6" s="13">
        <f t="shared" si="0"/>
        <v>5.4016304754575213</v>
      </c>
      <c r="N6" s="13">
        <f t="shared" si="0"/>
        <v>6.3776035113791938</v>
      </c>
      <c r="O6" s="13">
        <f t="shared" si="0"/>
        <v>7.3663759253121892</v>
      </c>
      <c r="P6" s="13">
        <f t="shared" si="0"/>
        <v>8.3682677015868361</v>
      </c>
      <c r="Q6" s="13">
        <f t="shared" si="0"/>
        <v>9.3836068242570985</v>
      </c>
      <c r="R6" s="13">
        <f t="shared" si="0"/>
        <v>10.412729476982681</v>
      </c>
      <c r="S6" s="13">
        <f t="shared" si="0"/>
        <v>11.455980248014972</v>
      </c>
      <c r="T6" s="13">
        <f t="shared" si="0"/>
        <v>12.513712340311629</v>
      </c>
    </row>
    <row r="7" spans="1:20">
      <c r="A7" s="12" t="s">
        <v>12</v>
      </c>
      <c r="B7" s="66">
        <f>B4-B6</f>
        <v>175</v>
      </c>
      <c r="C7" s="12"/>
      <c r="E7" s="12" t="s">
        <v>16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>
        <f>R42*(1-$B$16)</f>
        <v>210.03202342076193</v>
      </c>
    </row>
    <row r="8" spans="1:20">
      <c r="A8" s="12" t="s">
        <v>87</v>
      </c>
      <c r="B8" s="69">
        <v>4.4999999999999998E-2</v>
      </c>
      <c r="C8" s="63"/>
      <c r="E8" s="12" t="s">
        <v>19</v>
      </c>
      <c r="F8" s="13">
        <f>F5+F6+F7</f>
        <v>-75</v>
      </c>
      <c r="G8" s="13">
        <f t="shared" ref="G8:T8" si="1">G5+G6+G7</f>
        <v>-0.16041666666666643</v>
      </c>
      <c r="H8" s="13">
        <f t="shared" si="1"/>
        <v>0.70469739583333357</v>
      </c>
      <c r="I8" s="13">
        <f t="shared" si="1"/>
        <v>1.6196630087239576</v>
      </c>
      <c r="J8" s="13">
        <f t="shared" si="1"/>
        <v>2.5474260684170229</v>
      </c>
      <c r="K8" s="13">
        <f t="shared" si="1"/>
        <v>3.486841521075279</v>
      </c>
      <c r="L8" s="13">
        <f t="shared" si="1"/>
        <v>4.4381446406550804</v>
      </c>
      <c r="M8" s="13">
        <f t="shared" si="1"/>
        <v>5.4016304754575213</v>
      </c>
      <c r="N8" s="13">
        <f t="shared" si="1"/>
        <v>6.3776035113791938</v>
      </c>
      <c r="O8" s="13">
        <f t="shared" si="1"/>
        <v>7.3663759253121892</v>
      </c>
      <c r="P8" s="13">
        <f t="shared" si="1"/>
        <v>8.3682677015868361</v>
      </c>
      <c r="Q8" s="13">
        <f t="shared" si="1"/>
        <v>9.3836068242570985</v>
      </c>
      <c r="R8" s="13">
        <f t="shared" si="1"/>
        <v>10.412729476982681</v>
      </c>
      <c r="S8" s="13">
        <f t="shared" si="1"/>
        <v>11.455980248014972</v>
      </c>
      <c r="T8" s="13">
        <f t="shared" si="1"/>
        <v>222.54573576107356</v>
      </c>
    </row>
    <row r="9" spans="1:20">
      <c r="A9" s="12" t="s">
        <v>88</v>
      </c>
      <c r="B9" s="70">
        <v>15</v>
      </c>
      <c r="C9" s="13"/>
      <c r="E9" s="39" t="s">
        <v>22</v>
      </c>
      <c r="F9" s="71">
        <f>IRR(F8:T8)</f>
        <v>0.11532507793623133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>
      <c r="A10" s="12" t="s">
        <v>89</v>
      </c>
      <c r="B10" s="67">
        <v>0.08</v>
      </c>
      <c r="C10" s="68">
        <f>'[1]tronc commun'!C8</f>
        <v>2.5000000000000001E-2</v>
      </c>
    </row>
    <row r="11" spans="1:20">
      <c r="A11" s="12" t="s">
        <v>90</v>
      </c>
      <c r="B11" s="67">
        <v>0.15</v>
      </c>
      <c r="C11" s="12"/>
      <c r="E11" s="6" t="s">
        <v>91</v>
      </c>
      <c r="F11" s="12">
        <f>1</f>
        <v>1</v>
      </c>
      <c r="G11" s="12">
        <f t="shared" ref="G11:T11" si="2">F11+1</f>
        <v>2</v>
      </c>
      <c r="H11" s="12">
        <f t="shared" si="2"/>
        <v>3</v>
      </c>
      <c r="I11" s="12">
        <f t="shared" si="2"/>
        <v>4</v>
      </c>
      <c r="J11" s="12">
        <f t="shared" si="2"/>
        <v>5</v>
      </c>
      <c r="K11" s="12">
        <f t="shared" si="2"/>
        <v>6</v>
      </c>
      <c r="L11" s="12">
        <f t="shared" si="2"/>
        <v>7</v>
      </c>
      <c r="M11" s="12">
        <f t="shared" si="2"/>
        <v>8</v>
      </c>
      <c r="N11" s="12">
        <f t="shared" si="2"/>
        <v>9</v>
      </c>
      <c r="O11" s="12">
        <f t="shared" si="2"/>
        <v>10</v>
      </c>
      <c r="P11" s="12">
        <f t="shared" si="2"/>
        <v>11</v>
      </c>
      <c r="Q11" s="12">
        <f t="shared" si="2"/>
        <v>12</v>
      </c>
      <c r="R11" s="12">
        <f t="shared" si="2"/>
        <v>13</v>
      </c>
      <c r="S11" s="12">
        <f t="shared" si="2"/>
        <v>14</v>
      </c>
      <c r="T11" s="12">
        <f t="shared" si="2"/>
        <v>15</v>
      </c>
    </row>
    <row r="12" spans="1:20">
      <c r="A12" s="12" t="s">
        <v>92</v>
      </c>
      <c r="B12" s="67">
        <v>0</v>
      </c>
      <c r="C12" s="68"/>
      <c r="E12" s="12" t="s">
        <v>10</v>
      </c>
      <c r="F12" s="12">
        <f>-B6</f>
        <v>-75</v>
      </c>
      <c r="G12" s="13">
        <f t="shared" ref="G12:S12" si="3">-D62</f>
        <v>-19.541666666666664</v>
      </c>
      <c r="H12" s="13">
        <f t="shared" si="3"/>
        <v>-19.896041666666665</v>
      </c>
      <c r="I12" s="13">
        <f t="shared" si="3"/>
        <v>-19.386988541666668</v>
      </c>
      <c r="J12" s="13">
        <f t="shared" si="3"/>
        <v>-18.839081151041668</v>
      </c>
      <c r="K12" s="13">
        <f t="shared" si="3"/>
        <v>-18.289425318463543</v>
      </c>
      <c r="L12" s="13">
        <f t="shared" si="3"/>
        <v>-17.739690805997526</v>
      </c>
      <c r="M12" s="13">
        <f t="shared" si="3"/>
        <v>-17.189952752936556</v>
      </c>
      <c r="N12" s="13">
        <f t="shared" si="3"/>
        <v>-16.640214540548811</v>
      </c>
      <c r="O12" s="13">
        <f t="shared" si="3"/>
        <v>-16.090476320991364</v>
      </c>
      <c r="P12" s="13">
        <f t="shared" si="3"/>
        <v>-15.540738101111279</v>
      </c>
      <c r="Q12" s="13">
        <f t="shared" si="3"/>
        <v>-14.990999881216673</v>
      </c>
      <c r="R12" s="13">
        <f t="shared" si="3"/>
        <v>-14.441261661321418</v>
      </c>
      <c r="S12" s="13">
        <f t="shared" si="3"/>
        <v>-13.891523441426131</v>
      </c>
      <c r="T12" s="12"/>
    </row>
    <row r="13" spans="1:20">
      <c r="A13" s="12" t="s">
        <v>93</v>
      </c>
      <c r="B13" s="72">
        <v>25</v>
      </c>
      <c r="C13" s="68"/>
      <c r="E13" s="12" t="s">
        <v>13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32" t="s">
        <v>94</v>
      </c>
      <c r="B14" s="73">
        <v>0.02</v>
      </c>
      <c r="C14" s="74"/>
      <c r="E14" s="12" t="s">
        <v>16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>
        <f>R69*(1-B16)-B11*R56</f>
        <v>1405.5305055422464</v>
      </c>
    </row>
    <row r="15" spans="1:20">
      <c r="A15" s="32" t="s">
        <v>95</v>
      </c>
      <c r="B15" s="97">
        <f>'tronc commun'!I9</f>
        <v>0.16068356736717782</v>
      </c>
      <c r="C15" s="74"/>
      <c r="E15" s="12" t="s">
        <v>19</v>
      </c>
      <c r="F15" s="13">
        <f>F12+F13+F14</f>
        <v>-75</v>
      </c>
      <c r="G15" s="13">
        <f t="shared" ref="G15:T15" si="4">G12+G13+G14</f>
        <v>-19.541666666666664</v>
      </c>
      <c r="H15" s="13">
        <f t="shared" si="4"/>
        <v>-19.896041666666665</v>
      </c>
      <c r="I15" s="13">
        <f t="shared" si="4"/>
        <v>-19.386988541666668</v>
      </c>
      <c r="J15" s="13">
        <f t="shared" si="4"/>
        <v>-18.839081151041668</v>
      </c>
      <c r="K15" s="13">
        <f t="shared" si="4"/>
        <v>-18.289425318463543</v>
      </c>
      <c r="L15" s="13">
        <f t="shared" si="4"/>
        <v>-17.739690805997526</v>
      </c>
      <c r="M15" s="13">
        <f t="shared" si="4"/>
        <v>-17.189952752936556</v>
      </c>
      <c r="N15" s="13">
        <f t="shared" si="4"/>
        <v>-16.640214540548811</v>
      </c>
      <c r="O15" s="13">
        <f t="shared" si="4"/>
        <v>-16.090476320991364</v>
      </c>
      <c r="P15" s="13">
        <f t="shared" si="4"/>
        <v>-15.540738101111279</v>
      </c>
      <c r="Q15" s="13">
        <f t="shared" si="4"/>
        <v>-14.990999881216673</v>
      </c>
      <c r="R15" s="13">
        <f t="shared" si="4"/>
        <v>-14.441261661321418</v>
      </c>
      <c r="S15" s="13">
        <f t="shared" si="4"/>
        <v>-13.891523441426131</v>
      </c>
      <c r="T15" s="13">
        <f t="shared" si="4"/>
        <v>1405.5305055422464</v>
      </c>
    </row>
    <row r="16" spans="1:20">
      <c r="A16" s="32" t="s">
        <v>51</v>
      </c>
      <c r="B16" s="73">
        <v>0.4</v>
      </c>
      <c r="C16" s="74"/>
      <c r="E16" s="39" t="s">
        <v>22</v>
      </c>
      <c r="F16" s="71">
        <f>IRR(F15:T15)</f>
        <v>0.16248756885544849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>
      <c r="A17" s="32" t="s">
        <v>96</v>
      </c>
      <c r="B17" s="75">
        <v>0.02</v>
      </c>
      <c r="C17" s="74"/>
      <c r="D17" s="50"/>
      <c r="E17" s="76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2"/>
    </row>
    <row r="18" spans="1:20">
      <c r="C18" s="77"/>
    </row>
    <row r="19" spans="1:20">
      <c r="A19" s="27" t="s">
        <v>97</v>
      </c>
      <c r="B19" s="5" t="s">
        <v>7</v>
      </c>
      <c r="C19" s="78" t="str">
        <f t="shared" ref="C19:Q19" si="5">F4</f>
        <v>A1</v>
      </c>
      <c r="D19" s="78" t="str">
        <f t="shared" si="5"/>
        <v>A2</v>
      </c>
      <c r="E19" s="78" t="str">
        <f t="shared" si="5"/>
        <v>A3</v>
      </c>
      <c r="F19" s="78" t="str">
        <f t="shared" si="5"/>
        <v>A4</v>
      </c>
      <c r="G19" s="78" t="str">
        <f t="shared" si="5"/>
        <v>A5</v>
      </c>
      <c r="H19" s="78" t="str">
        <f t="shared" si="5"/>
        <v>A6</v>
      </c>
      <c r="I19" s="78" t="str">
        <f t="shared" si="5"/>
        <v>A7</v>
      </c>
      <c r="J19" s="78" t="str">
        <f t="shared" si="5"/>
        <v>A8</v>
      </c>
      <c r="K19" s="78" t="str">
        <f t="shared" si="5"/>
        <v>A9</v>
      </c>
      <c r="L19" s="78" t="str">
        <f t="shared" si="5"/>
        <v>A10</v>
      </c>
      <c r="M19" s="78" t="str">
        <f t="shared" si="5"/>
        <v>A11</v>
      </c>
      <c r="N19" s="78" t="str">
        <f t="shared" si="5"/>
        <v>A12</v>
      </c>
      <c r="O19" s="78" t="str">
        <f t="shared" si="5"/>
        <v>A13</v>
      </c>
      <c r="P19" s="78" t="str">
        <f t="shared" si="5"/>
        <v>A14</v>
      </c>
      <c r="Q19" s="78" t="str">
        <f t="shared" si="5"/>
        <v>A15</v>
      </c>
      <c r="R19" s="2"/>
    </row>
    <row r="20" spans="1:20">
      <c r="A20" s="32" t="s">
        <v>98</v>
      </c>
      <c r="B20" s="12"/>
      <c r="C20" s="79">
        <f>1</f>
        <v>1</v>
      </c>
      <c r="D20" s="79">
        <f t="shared" ref="D20:Q20" si="6">C20/(1+$B$17)</f>
        <v>0.98039215686274506</v>
      </c>
      <c r="E20" s="79">
        <f t="shared" si="6"/>
        <v>0.96116878123798533</v>
      </c>
      <c r="F20" s="79">
        <f t="shared" si="6"/>
        <v>0.94232233454704439</v>
      </c>
      <c r="G20" s="79">
        <f t="shared" si="6"/>
        <v>0.92384542602651409</v>
      </c>
      <c r="H20" s="79">
        <f t="shared" si="6"/>
        <v>0.90573080982991572</v>
      </c>
      <c r="I20" s="79">
        <f t="shared" si="6"/>
        <v>0.88797138218619187</v>
      </c>
      <c r="J20" s="79">
        <f t="shared" si="6"/>
        <v>0.87056017861391355</v>
      </c>
      <c r="K20" s="79">
        <f t="shared" si="6"/>
        <v>0.85349037119011129</v>
      </c>
      <c r="L20" s="79">
        <f t="shared" si="6"/>
        <v>0.83675526587265814</v>
      </c>
      <c r="M20" s="79">
        <f t="shared" si="6"/>
        <v>0.82034829987515501</v>
      </c>
      <c r="N20" s="79">
        <f t="shared" si="6"/>
        <v>0.80426303909328922</v>
      </c>
      <c r="O20" s="79">
        <f t="shared" si="6"/>
        <v>0.7884931755816561</v>
      </c>
      <c r="P20" s="79">
        <f t="shared" si="6"/>
        <v>0.77303252508005504</v>
      </c>
      <c r="Q20" s="79">
        <f t="shared" si="6"/>
        <v>0.75787502458828926</v>
      </c>
      <c r="R20" s="80" t="s">
        <v>99</v>
      </c>
      <c r="T20" s="81">
        <f>POWER(2.24,1/15)-1</f>
        <v>5.5236653328826879E-2</v>
      </c>
    </row>
    <row r="21" spans="1:20">
      <c r="A21" s="39" t="s">
        <v>100</v>
      </c>
      <c r="B21" s="12"/>
      <c r="C21" s="82">
        <f t="shared" ref="C21:Q21" si="7">F8*C20</f>
        <v>-75</v>
      </c>
      <c r="D21" s="82">
        <f t="shared" si="7"/>
        <v>-0.15727124183006513</v>
      </c>
      <c r="E21" s="82">
        <f t="shared" si="7"/>
        <v>0.67733313709470733</v>
      </c>
      <c r="F21" s="82">
        <f t="shared" si="7"/>
        <v>1.5262446275602497</v>
      </c>
      <c r="G21" s="82">
        <f t="shared" si="7"/>
        <v>2.3534279214477722</v>
      </c>
      <c r="H21" s="82">
        <f t="shared" si="7"/>
        <v>3.1581397946320875</v>
      </c>
      <c r="I21" s="82">
        <f t="shared" si="7"/>
        <v>3.9409454309047316</v>
      </c>
      <c r="J21" s="82">
        <f t="shared" si="7"/>
        <v>4.7024443915206584</v>
      </c>
      <c r="K21" s="82">
        <f t="shared" si="7"/>
        <v>5.4432231882303856</v>
      </c>
      <c r="L21" s="82">
        <f t="shared" si="7"/>
        <v>6.1638538459025494</v>
      </c>
      <c r="M21" s="82">
        <f t="shared" si="7"/>
        <v>6.8648941818969318</v>
      </c>
      <c r="N21" s="82">
        <f t="shared" si="7"/>
        <v>7.5468881421335423</v>
      </c>
      <c r="O21" s="82">
        <f t="shared" si="7"/>
        <v>8.210366131778791</v>
      </c>
      <c r="P21" s="82">
        <f t="shared" si="7"/>
        <v>8.8558453383902496</v>
      </c>
      <c r="Q21" s="82">
        <f t="shared" si="7"/>
        <v>168.66185496194254</v>
      </c>
      <c r="R21" s="83">
        <f>SUM(C21:Q21)</f>
        <v>152.94818985160512</v>
      </c>
    </row>
    <row r="22" spans="1:20">
      <c r="A22" s="39" t="s">
        <v>101</v>
      </c>
      <c r="B22" s="12"/>
      <c r="C22" s="82">
        <f t="shared" ref="C22:Q22" si="8">F15*C20</f>
        <v>-75</v>
      </c>
      <c r="D22" s="82">
        <f t="shared" si="8"/>
        <v>-19.158496732026141</v>
      </c>
      <c r="E22" s="82">
        <f t="shared" si="8"/>
        <v>-19.123454120210173</v>
      </c>
      <c r="F22" s="82">
        <f t="shared" si="8"/>
        <v>-18.268792302420135</v>
      </c>
      <c r="G22" s="82">
        <f t="shared" si="8"/>
        <v>-17.404398951932162</v>
      </c>
      <c r="H22" s="82">
        <f t="shared" si="8"/>
        <v>-16.56529600501575</v>
      </c>
      <c r="I22" s="82">
        <f t="shared" si="8"/>
        <v>-15.752337764557304</v>
      </c>
      <c r="J22" s="82">
        <f t="shared" si="8"/>
        <v>-14.964888338961183</v>
      </c>
      <c r="K22" s="82">
        <f t="shared" si="8"/>
        <v>-14.202262884896092</v>
      </c>
      <c r="L22" s="82">
        <f t="shared" si="8"/>
        <v>-13.463790791988838</v>
      </c>
      <c r="M22" s="82">
        <f t="shared" si="8"/>
        <v>-12.748818080051683</v>
      </c>
      <c r="N22" s="82">
        <f t="shared" si="8"/>
        <v>-12.05670712351446</v>
      </c>
      <c r="O22" s="82">
        <f t="shared" si="8"/>
        <v>-11.386836266740948</v>
      </c>
      <c r="P22" s="82">
        <f t="shared" si="8"/>
        <v>-10.738599443134419</v>
      </c>
      <c r="Q22" s="82">
        <f t="shared" si="8"/>
        <v>1065.2164664474205</v>
      </c>
      <c r="R22" s="83">
        <f>SUM(C22:Q22)</f>
        <v>794.3817876419713</v>
      </c>
      <c r="S22" s="50"/>
      <c r="T22" s="2"/>
    </row>
    <row r="23" spans="1:20">
      <c r="A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4" spans="1:20">
      <c r="A24" s="84" t="s">
        <v>34</v>
      </c>
      <c r="B24" s="85" t="str">
        <f>B19</f>
        <v>A0</v>
      </c>
      <c r="C24" s="85" t="str">
        <f t="shared" ref="C24:Q24" si="9">C19</f>
        <v>A1</v>
      </c>
      <c r="D24" s="85" t="str">
        <f t="shared" si="9"/>
        <v>A2</v>
      </c>
      <c r="E24" s="85" t="str">
        <f t="shared" si="9"/>
        <v>A3</v>
      </c>
      <c r="F24" s="85" t="str">
        <f t="shared" si="9"/>
        <v>A4</v>
      </c>
      <c r="G24" s="85" t="str">
        <f t="shared" si="9"/>
        <v>A5</v>
      </c>
      <c r="H24" s="85" t="str">
        <f t="shared" si="9"/>
        <v>A6</v>
      </c>
      <c r="I24" s="85" t="str">
        <f t="shared" si="9"/>
        <v>A7</v>
      </c>
      <c r="J24" s="85" t="str">
        <f t="shared" si="9"/>
        <v>A8</v>
      </c>
      <c r="K24" s="85" t="str">
        <f t="shared" si="9"/>
        <v>A9</v>
      </c>
      <c r="L24" s="85" t="str">
        <f t="shared" si="9"/>
        <v>A10</v>
      </c>
      <c r="M24" s="85" t="str">
        <f t="shared" si="9"/>
        <v>A11</v>
      </c>
      <c r="N24" s="85" t="str">
        <f t="shared" si="9"/>
        <v>A12</v>
      </c>
      <c r="O24" s="85" t="str">
        <f t="shared" si="9"/>
        <v>A13</v>
      </c>
      <c r="P24" s="85" t="str">
        <f t="shared" si="9"/>
        <v>A14</v>
      </c>
      <c r="Q24" s="85" t="str">
        <f t="shared" si="9"/>
        <v>A15</v>
      </c>
      <c r="R24" s="86"/>
    </row>
    <row r="25" spans="1:20">
      <c r="A25" s="87" t="s">
        <v>102</v>
      </c>
      <c r="B25" s="87"/>
      <c r="C25" s="88">
        <f>B10*B4</f>
        <v>20</v>
      </c>
      <c r="D25" s="88">
        <f>C25*(1+$C$10)</f>
        <v>20.5</v>
      </c>
      <c r="E25" s="88">
        <f t="shared" ref="E25:Q25" si="10">D25*(1+$C$10)</f>
        <v>21.012499999999999</v>
      </c>
      <c r="F25" s="88">
        <f t="shared" si="10"/>
        <v>21.537812499999998</v>
      </c>
      <c r="G25" s="88">
        <f t="shared" si="10"/>
        <v>22.076257812499996</v>
      </c>
      <c r="H25" s="88">
        <f t="shared" si="10"/>
        <v>22.628164257812493</v>
      </c>
      <c r="I25" s="88">
        <f t="shared" si="10"/>
        <v>23.193868364257803</v>
      </c>
      <c r="J25" s="88">
        <f t="shared" si="10"/>
        <v>23.773715073364247</v>
      </c>
      <c r="K25" s="88">
        <f t="shared" si="10"/>
        <v>24.368057950198352</v>
      </c>
      <c r="L25" s="88">
        <f t="shared" si="10"/>
        <v>24.977259398953308</v>
      </c>
      <c r="M25" s="88">
        <f t="shared" si="10"/>
        <v>25.601690883927137</v>
      </c>
      <c r="N25" s="88">
        <f t="shared" si="10"/>
        <v>26.241733156025312</v>
      </c>
      <c r="O25" s="88">
        <f t="shared" si="10"/>
        <v>26.897776484925942</v>
      </c>
      <c r="P25" s="88">
        <f t="shared" si="10"/>
        <v>27.570220897049087</v>
      </c>
      <c r="Q25" s="88">
        <f t="shared" si="10"/>
        <v>28.259476419475313</v>
      </c>
      <c r="R25" s="86"/>
    </row>
    <row r="26" spans="1:20">
      <c r="A26" s="87" t="s">
        <v>92</v>
      </c>
      <c r="B26" s="87"/>
      <c r="C26" s="88">
        <f t="shared" ref="C26:Q26" si="11">$B$12*C25</f>
        <v>0</v>
      </c>
      <c r="D26" s="88">
        <f t="shared" si="11"/>
        <v>0</v>
      </c>
      <c r="E26" s="88">
        <f t="shared" si="11"/>
        <v>0</v>
      </c>
      <c r="F26" s="88">
        <f t="shared" si="11"/>
        <v>0</v>
      </c>
      <c r="G26" s="88">
        <f t="shared" si="11"/>
        <v>0</v>
      </c>
      <c r="H26" s="88">
        <f t="shared" si="11"/>
        <v>0</v>
      </c>
      <c r="I26" s="88">
        <f t="shared" si="11"/>
        <v>0</v>
      </c>
      <c r="J26" s="88">
        <f t="shared" si="11"/>
        <v>0</v>
      </c>
      <c r="K26" s="88">
        <f t="shared" si="11"/>
        <v>0</v>
      </c>
      <c r="L26" s="88">
        <f t="shared" si="11"/>
        <v>0</v>
      </c>
      <c r="M26" s="88">
        <f t="shared" si="11"/>
        <v>0</v>
      </c>
      <c r="N26" s="88">
        <f t="shared" si="11"/>
        <v>0</v>
      </c>
      <c r="O26" s="88">
        <f t="shared" si="11"/>
        <v>0</v>
      </c>
      <c r="P26" s="88">
        <f t="shared" si="11"/>
        <v>0</v>
      </c>
      <c r="Q26" s="88">
        <f t="shared" si="11"/>
        <v>0</v>
      </c>
      <c r="R26" s="86"/>
    </row>
    <row r="27" spans="1:20">
      <c r="A27" s="87" t="s">
        <v>103</v>
      </c>
      <c r="B27" s="87"/>
      <c r="C27" s="88">
        <f>B4*80%/B13</f>
        <v>8</v>
      </c>
      <c r="D27" s="88">
        <f>C27</f>
        <v>8</v>
      </c>
      <c r="E27" s="88">
        <f t="shared" ref="E27:Q27" si="12">D27</f>
        <v>8</v>
      </c>
      <c r="F27" s="88">
        <f t="shared" si="12"/>
        <v>8</v>
      </c>
      <c r="G27" s="88">
        <f t="shared" si="12"/>
        <v>8</v>
      </c>
      <c r="H27" s="88">
        <f t="shared" si="12"/>
        <v>8</v>
      </c>
      <c r="I27" s="88">
        <f t="shared" si="12"/>
        <v>8</v>
      </c>
      <c r="J27" s="88">
        <f t="shared" si="12"/>
        <v>8</v>
      </c>
      <c r="K27" s="88">
        <f t="shared" si="12"/>
        <v>8</v>
      </c>
      <c r="L27" s="88">
        <f t="shared" si="12"/>
        <v>8</v>
      </c>
      <c r="M27" s="88">
        <f t="shared" si="12"/>
        <v>8</v>
      </c>
      <c r="N27" s="88">
        <f t="shared" si="12"/>
        <v>8</v>
      </c>
      <c r="O27" s="88">
        <f t="shared" si="12"/>
        <v>8</v>
      </c>
      <c r="P27" s="88">
        <f t="shared" si="12"/>
        <v>8</v>
      </c>
      <c r="Q27" s="88">
        <f t="shared" si="12"/>
        <v>8</v>
      </c>
      <c r="R27" s="86"/>
    </row>
    <row r="28" spans="1:20">
      <c r="A28" s="87" t="s">
        <v>104</v>
      </c>
      <c r="B28" s="87"/>
      <c r="C28" s="88">
        <f>C25-C26-C27</f>
        <v>12</v>
      </c>
      <c r="D28" s="88">
        <f t="shared" ref="D28:Q28" si="13">D25-D26-D27</f>
        <v>12.5</v>
      </c>
      <c r="E28" s="88">
        <f t="shared" si="13"/>
        <v>13.012499999999999</v>
      </c>
      <c r="F28" s="88">
        <f t="shared" si="13"/>
        <v>13.537812499999998</v>
      </c>
      <c r="G28" s="88">
        <f t="shared" si="13"/>
        <v>14.076257812499996</v>
      </c>
      <c r="H28" s="88">
        <f t="shared" si="13"/>
        <v>14.628164257812493</v>
      </c>
      <c r="I28" s="88">
        <f t="shared" si="13"/>
        <v>15.193868364257803</v>
      </c>
      <c r="J28" s="88">
        <f t="shared" si="13"/>
        <v>15.773715073364247</v>
      </c>
      <c r="K28" s="88">
        <f t="shared" si="13"/>
        <v>16.368057950198352</v>
      </c>
      <c r="L28" s="88">
        <f t="shared" si="13"/>
        <v>16.977259398953308</v>
      </c>
      <c r="M28" s="88">
        <f t="shared" si="13"/>
        <v>17.601690883927137</v>
      </c>
      <c r="N28" s="88">
        <f t="shared" si="13"/>
        <v>18.241733156025312</v>
      </c>
      <c r="O28" s="88">
        <f t="shared" si="13"/>
        <v>18.897776484925942</v>
      </c>
      <c r="P28" s="88">
        <f t="shared" si="13"/>
        <v>19.570220897049087</v>
      </c>
      <c r="Q28" s="88">
        <f t="shared" si="13"/>
        <v>20.259476419475313</v>
      </c>
      <c r="R28" s="86"/>
    </row>
    <row r="29" spans="1:20">
      <c r="A29" s="87" t="s">
        <v>105</v>
      </c>
      <c r="B29" s="87"/>
      <c r="C29" s="88">
        <f>-(B43-B46)*$B$8</f>
        <v>-7.875</v>
      </c>
      <c r="D29" s="88">
        <f t="shared" ref="D29:Q29" si="14">-(C43-C46)*$B$8</f>
        <v>-7.3572187500000004</v>
      </c>
      <c r="E29" s="88">
        <f t="shared" si="14"/>
        <v>-6.7932886171875007</v>
      </c>
      <c r="F29" s="88">
        <f t="shared" si="14"/>
        <v>-6.2271151646074232</v>
      </c>
      <c r="G29" s="88">
        <f t="shared" si="14"/>
        <v>-5.6603658269212351</v>
      </c>
      <c r="H29" s="88">
        <f t="shared" si="14"/>
        <v>-5.0930921315516136</v>
      </c>
      <c r="I29" s="88">
        <f t="shared" si="14"/>
        <v>-4.525283491170522</v>
      </c>
      <c r="J29" s="88">
        <f t="shared" si="14"/>
        <v>-3.9569266286044122</v>
      </c>
      <c r="K29" s="88">
        <f t="shared" si="14"/>
        <v>-3.3880078419879371</v>
      </c>
      <c r="L29" s="88">
        <f t="shared" si="14"/>
        <v>-2.8185130833609517</v>
      </c>
      <c r="M29" s="88">
        <f t="shared" si="14"/>
        <v>-2.2484279534285929</v>
      </c>
      <c r="N29" s="88">
        <f t="shared" si="14"/>
        <v>-1.6777376929084313</v>
      </c>
      <c r="O29" s="88">
        <f t="shared" si="14"/>
        <v>-1.1064271735357802</v>
      </c>
      <c r="P29" s="88">
        <f t="shared" si="14"/>
        <v>-0.53448088883932732</v>
      </c>
      <c r="Q29" s="88">
        <f t="shared" si="14"/>
        <v>3.8117055314022236E-2</v>
      </c>
      <c r="R29" s="86"/>
    </row>
    <row r="30" spans="1:20">
      <c r="A30" s="87" t="s">
        <v>90</v>
      </c>
      <c r="B30" s="87"/>
      <c r="C30" s="88">
        <f t="shared" ref="C30:Q30" si="15">-(C28+C29)*$B$11</f>
        <v>-0.61875000000000002</v>
      </c>
      <c r="D30" s="88">
        <f t="shared" si="15"/>
        <v>-0.77141718749999988</v>
      </c>
      <c r="E30" s="88">
        <f t="shared" si="15"/>
        <v>-0.93288170742187471</v>
      </c>
      <c r="F30" s="88">
        <f t="shared" si="15"/>
        <v>-1.0966046003088861</v>
      </c>
      <c r="G30" s="88">
        <f t="shared" si="15"/>
        <v>-1.262383797836814</v>
      </c>
      <c r="H30" s="88">
        <f t="shared" si="15"/>
        <v>-1.4302608189391317</v>
      </c>
      <c r="I30" s="88">
        <f t="shared" si="15"/>
        <v>-1.6002877309630918</v>
      </c>
      <c r="J30" s="88">
        <f t="shared" si="15"/>
        <v>-1.7725182667139752</v>
      </c>
      <c r="K30" s="88">
        <f t="shared" si="15"/>
        <v>-1.9470075162315621</v>
      </c>
      <c r="L30" s="88">
        <f t="shared" si="15"/>
        <v>-2.1238119473388535</v>
      </c>
      <c r="M30" s="88">
        <f t="shared" si="15"/>
        <v>-2.3029894395747816</v>
      </c>
      <c r="N30" s="88">
        <f t="shared" si="15"/>
        <v>-2.4845993194675322</v>
      </c>
      <c r="O30" s="88">
        <f t="shared" si="15"/>
        <v>-2.6687023967085239</v>
      </c>
      <c r="P30" s="88">
        <f t="shared" si="15"/>
        <v>-2.8553610012314641</v>
      </c>
      <c r="Q30" s="88">
        <f t="shared" si="15"/>
        <v>-3.0446390212184</v>
      </c>
      <c r="R30" s="86"/>
    </row>
    <row r="31" spans="1:20">
      <c r="A31" s="87" t="s">
        <v>73</v>
      </c>
      <c r="B31" s="87"/>
      <c r="C31" s="88">
        <f>C28+C29+C30</f>
        <v>3.5062500000000001</v>
      </c>
      <c r="D31" s="88">
        <f t="shared" ref="D31:Q31" si="16">D28+D29+D30</f>
        <v>4.3713640624999996</v>
      </c>
      <c r="E31" s="88">
        <f t="shared" si="16"/>
        <v>5.2863296753906237</v>
      </c>
      <c r="F31" s="88">
        <f t="shared" si="16"/>
        <v>6.2140927350836881</v>
      </c>
      <c r="G31" s="88">
        <f t="shared" si="16"/>
        <v>7.153508187741946</v>
      </c>
      <c r="H31" s="88">
        <f t="shared" si="16"/>
        <v>8.1048113073217465</v>
      </c>
      <c r="I31" s="88">
        <f t="shared" si="16"/>
        <v>9.0682971421241874</v>
      </c>
      <c r="J31" s="88">
        <f t="shared" si="16"/>
        <v>10.04427017804586</v>
      </c>
      <c r="K31" s="88">
        <f t="shared" si="16"/>
        <v>11.033042591978854</v>
      </c>
      <c r="L31" s="88">
        <f t="shared" si="16"/>
        <v>12.034934368253502</v>
      </c>
      <c r="M31" s="88">
        <f t="shared" si="16"/>
        <v>13.050273490923763</v>
      </c>
      <c r="N31" s="88">
        <f t="shared" si="16"/>
        <v>14.079396143649349</v>
      </c>
      <c r="O31" s="88">
        <f t="shared" si="16"/>
        <v>15.122646914681637</v>
      </c>
      <c r="P31" s="88">
        <f t="shared" si="16"/>
        <v>16.180379006978296</v>
      </c>
      <c r="Q31" s="88">
        <f t="shared" si="16"/>
        <v>17.252954453570933</v>
      </c>
      <c r="R31" s="86"/>
    </row>
    <row r="32" spans="1:20">
      <c r="A32" s="8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2" s="86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6"/>
    </row>
    <row r="33" spans="1:19">
      <c r="A33" s="84"/>
      <c r="B33" s="85" t="str">
        <f>B24</f>
        <v>A0</v>
      </c>
      <c r="C33" s="90" t="str">
        <f t="shared" ref="C33:Q33" si="17">C24</f>
        <v>A1</v>
      </c>
      <c r="D33" s="90" t="str">
        <f t="shared" si="17"/>
        <v>A2</v>
      </c>
      <c r="E33" s="90" t="str">
        <f t="shared" si="17"/>
        <v>A3</v>
      </c>
      <c r="F33" s="90" t="str">
        <f t="shared" si="17"/>
        <v>A4</v>
      </c>
      <c r="G33" s="90" t="str">
        <f t="shared" si="17"/>
        <v>A5</v>
      </c>
      <c r="H33" s="90" t="str">
        <f t="shared" si="17"/>
        <v>A6</v>
      </c>
      <c r="I33" s="90" t="str">
        <f t="shared" si="17"/>
        <v>A7</v>
      </c>
      <c r="J33" s="90" t="str">
        <f t="shared" si="17"/>
        <v>A8</v>
      </c>
      <c r="K33" s="90" t="str">
        <f t="shared" si="17"/>
        <v>A9</v>
      </c>
      <c r="L33" s="90" t="str">
        <f t="shared" si="17"/>
        <v>A10</v>
      </c>
      <c r="M33" s="90" t="str">
        <f t="shared" si="17"/>
        <v>A11</v>
      </c>
      <c r="N33" s="90" t="str">
        <f t="shared" si="17"/>
        <v>A12</v>
      </c>
      <c r="O33" s="90" t="str">
        <f t="shared" si="17"/>
        <v>A13</v>
      </c>
      <c r="P33" s="90" t="str">
        <f t="shared" si="17"/>
        <v>A14</v>
      </c>
      <c r="Q33" s="90" t="str">
        <f t="shared" si="17"/>
        <v>A15</v>
      </c>
      <c r="R33" s="86"/>
    </row>
    <row r="34" spans="1:19">
      <c r="A34" s="87" t="s">
        <v>74</v>
      </c>
      <c r="B34" s="87"/>
      <c r="C34" s="88">
        <f>C31+C27</f>
        <v>11.50625</v>
      </c>
      <c r="D34" s="88">
        <f t="shared" ref="D34:Q34" si="18">D31+D27</f>
        <v>12.3713640625</v>
      </c>
      <c r="E34" s="88">
        <f t="shared" si="18"/>
        <v>13.286329675390624</v>
      </c>
      <c r="F34" s="88">
        <f t="shared" si="18"/>
        <v>14.214092735083689</v>
      </c>
      <c r="G34" s="88">
        <f t="shared" si="18"/>
        <v>15.153508187741945</v>
      </c>
      <c r="H34" s="88">
        <f t="shared" si="18"/>
        <v>16.104811307321746</v>
      </c>
      <c r="I34" s="88">
        <f t="shared" si="18"/>
        <v>17.068297142124187</v>
      </c>
      <c r="J34" s="88">
        <f t="shared" si="18"/>
        <v>18.04427017804586</v>
      </c>
      <c r="K34" s="88">
        <f t="shared" si="18"/>
        <v>19.033042591978855</v>
      </c>
      <c r="L34" s="88">
        <f t="shared" si="18"/>
        <v>20.034934368253502</v>
      </c>
      <c r="M34" s="88">
        <f t="shared" si="18"/>
        <v>21.050273490923765</v>
      </c>
      <c r="N34" s="88">
        <f t="shared" si="18"/>
        <v>22.079396143649348</v>
      </c>
      <c r="O34" s="88">
        <f t="shared" si="18"/>
        <v>23.122646914681638</v>
      </c>
      <c r="P34" s="88">
        <f t="shared" si="18"/>
        <v>24.180379006978296</v>
      </c>
      <c r="Q34" s="88">
        <f t="shared" si="18"/>
        <v>25.252954453570933</v>
      </c>
      <c r="R34" s="86"/>
    </row>
    <row r="35" spans="1:19">
      <c r="A35" s="87" t="s">
        <v>9</v>
      </c>
      <c r="B35" s="87"/>
      <c r="C35" s="88"/>
      <c r="D35" s="88">
        <f>-C39</f>
        <v>0.16041666666666643</v>
      </c>
      <c r="E35" s="88">
        <f t="shared" ref="E35:Q35" si="19">-D39</f>
        <v>-0.70469739583333357</v>
      </c>
      <c r="F35" s="88">
        <f t="shared" si="19"/>
        <v>-1.6196630087239576</v>
      </c>
      <c r="G35" s="88">
        <f t="shared" si="19"/>
        <v>-2.5474260684170229</v>
      </c>
      <c r="H35" s="88">
        <f t="shared" si="19"/>
        <v>-3.486841521075279</v>
      </c>
      <c r="I35" s="88">
        <f t="shared" si="19"/>
        <v>-4.4381446406550804</v>
      </c>
      <c r="J35" s="88">
        <f t="shared" si="19"/>
        <v>-5.4016304754575213</v>
      </c>
      <c r="K35" s="88">
        <f t="shared" si="19"/>
        <v>-6.3776035113791938</v>
      </c>
      <c r="L35" s="88">
        <f t="shared" si="19"/>
        <v>-7.3663759253121892</v>
      </c>
      <c r="M35" s="88">
        <f t="shared" si="19"/>
        <v>-8.3682677015868361</v>
      </c>
      <c r="N35" s="88">
        <f t="shared" si="19"/>
        <v>-9.3836068242570985</v>
      </c>
      <c r="O35" s="88">
        <f t="shared" si="19"/>
        <v>-10.412729476982681</v>
      </c>
      <c r="P35" s="88">
        <f t="shared" si="19"/>
        <v>-11.455980248014972</v>
      </c>
      <c r="Q35" s="88">
        <f t="shared" si="19"/>
        <v>-12.513712340311629</v>
      </c>
      <c r="R35" s="86"/>
    </row>
    <row r="36" spans="1:19">
      <c r="A36" s="87" t="s">
        <v>12</v>
      </c>
      <c r="B36" s="87"/>
      <c r="C36" s="88">
        <f>-B7/$B$9</f>
        <v>-11.666666666666666</v>
      </c>
      <c r="D36" s="88">
        <f>C36</f>
        <v>-11.666666666666666</v>
      </c>
      <c r="E36" s="88">
        <f t="shared" ref="E36:Q36" si="20">D36</f>
        <v>-11.666666666666666</v>
      </c>
      <c r="F36" s="88">
        <f t="shared" si="20"/>
        <v>-11.666666666666666</v>
      </c>
      <c r="G36" s="88">
        <f t="shared" si="20"/>
        <v>-11.666666666666666</v>
      </c>
      <c r="H36" s="88">
        <f t="shared" si="20"/>
        <v>-11.666666666666666</v>
      </c>
      <c r="I36" s="88">
        <f t="shared" si="20"/>
        <v>-11.666666666666666</v>
      </c>
      <c r="J36" s="88">
        <f t="shared" si="20"/>
        <v>-11.666666666666666</v>
      </c>
      <c r="K36" s="88">
        <f t="shared" si="20"/>
        <v>-11.666666666666666</v>
      </c>
      <c r="L36" s="88">
        <f t="shared" si="20"/>
        <v>-11.666666666666666</v>
      </c>
      <c r="M36" s="88">
        <f t="shared" si="20"/>
        <v>-11.666666666666666</v>
      </c>
      <c r="N36" s="88">
        <f t="shared" si="20"/>
        <v>-11.666666666666666</v>
      </c>
      <c r="O36" s="88">
        <f t="shared" si="20"/>
        <v>-11.666666666666666</v>
      </c>
      <c r="P36" s="88">
        <f t="shared" si="20"/>
        <v>-11.666666666666666</v>
      </c>
      <c r="Q36" s="88">
        <f t="shared" si="20"/>
        <v>-11.666666666666666</v>
      </c>
      <c r="R36" s="86"/>
    </row>
    <row r="37" spans="1:19">
      <c r="A37" s="87" t="s">
        <v>10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6"/>
    </row>
    <row r="38" spans="1:19">
      <c r="A38" s="87" t="s">
        <v>106</v>
      </c>
      <c r="B38" s="87"/>
      <c r="C38" s="88">
        <f>B39</f>
        <v>0</v>
      </c>
      <c r="D38" s="88">
        <f t="shared" ref="D38:Q38" si="21">C39</f>
        <v>-0.16041666666666643</v>
      </c>
      <c r="E38" s="88">
        <f t="shared" si="21"/>
        <v>0.70469739583333357</v>
      </c>
      <c r="F38" s="88">
        <f t="shared" si="21"/>
        <v>1.6196630087239576</v>
      </c>
      <c r="G38" s="88">
        <f t="shared" si="21"/>
        <v>2.5474260684170229</v>
      </c>
      <c r="H38" s="88">
        <f t="shared" si="21"/>
        <v>3.486841521075279</v>
      </c>
      <c r="I38" s="88">
        <f t="shared" si="21"/>
        <v>4.4381446406550804</v>
      </c>
      <c r="J38" s="88">
        <f t="shared" si="21"/>
        <v>5.4016304754575213</v>
      </c>
      <c r="K38" s="88">
        <f t="shared" si="21"/>
        <v>6.3776035113791938</v>
      </c>
      <c r="L38" s="88">
        <f t="shared" si="21"/>
        <v>7.3663759253121892</v>
      </c>
      <c r="M38" s="88">
        <f t="shared" si="21"/>
        <v>8.3682677015868361</v>
      </c>
      <c r="N38" s="88">
        <f t="shared" si="21"/>
        <v>9.3836068242570985</v>
      </c>
      <c r="O38" s="88">
        <f t="shared" si="21"/>
        <v>10.412729476982681</v>
      </c>
      <c r="P38" s="88">
        <f t="shared" si="21"/>
        <v>11.455980248014972</v>
      </c>
      <c r="Q38" s="88">
        <f t="shared" si="21"/>
        <v>12.513712340311629</v>
      </c>
      <c r="R38" s="86"/>
    </row>
    <row r="39" spans="1:19">
      <c r="A39" s="87" t="s">
        <v>107</v>
      </c>
      <c r="B39" s="87"/>
      <c r="C39" s="88">
        <f>SUM(C34:C38)</f>
        <v>-0.16041666666666643</v>
      </c>
      <c r="D39" s="88">
        <f t="shared" ref="D39:Q39" si="22">SUM(D34:D38)</f>
        <v>0.70469739583333357</v>
      </c>
      <c r="E39" s="88">
        <f t="shared" si="22"/>
        <v>1.6196630087239576</v>
      </c>
      <c r="F39" s="88">
        <f t="shared" si="22"/>
        <v>2.5474260684170229</v>
      </c>
      <c r="G39" s="88">
        <f t="shared" si="22"/>
        <v>3.486841521075279</v>
      </c>
      <c r="H39" s="88">
        <f t="shared" si="22"/>
        <v>4.4381446406550804</v>
      </c>
      <c r="I39" s="88">
        <f t="shared" si="22"/>
        <v>5.4016304754575213</v>
      </c>
      <c r="J39" s="88">
        <f t="shared" si="22"/>
        <v>6.3776035113791938</v>
      </c>
      <c r="K39" s="88">
        <f t="shared" si="22"/>
        <v>7.3663759253121892</v>
      </c>
      <c r="L39" s="88">
        <f t="shared" si="22"/>
        <v>8.3682677015868361</v>
      </c>
      <c r="M39" s="88">
        <f t="shared" si="22"/>
        <v>9.3836068242570985</v>
      </c>
      <c r="N39" s="88">
        <f t="shared" si="22"/>
        <v>10.412729476982681</v>
      </c>
      <c r="O39" s="88">
        <f t="shared" si="22"/>
        <v>11.455980248014972</v>
      </c>
      <c r="P39" s="88">
        <f t="shared" si="22"/>
        <v>12.513712340311629</v>
      </c>
      <c r="Q39" s="88">
        <f t="shared" si="22"/>
        <v>13.586287786904267</v>
      </c>
      <c r="R39" s="86"/>
    </row>
    <row r="40" spans="1:19">
      <c r="A40" s="8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0" s="8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6"/>
    </row>
    <row r="41" spans="1:19">
      <c r="A41" s="84"/>
      <c r="B41" s="85" t="str">
        <f>B33</f>
        <v>A0</v>
      </c>
      <c r="C41" s="90" t="str">
        <f t="shared" ref="C41:Q41" si="23">C33</f>
        <v>A1</v>
      </c>
      <c r="D41" s="90" t="str">
        <f t="shared" si="23"/>
        <v>A2</v>
      </c>
      <c r="E41" s="90" t="str">
        <f t="shared" si="23"/>
        <v>A3</v>
      </c>
      <c r="F41" s="90" t="str">
        <f t="shared" si="23"/>
        <v>A4</v>
      </c>
      <c r="G41" s="90" t="str">
        <f t="shared" si="23"/>
        <v>A5</v>
      </c>
      <c r="H41" s="90" t="str">
        <f t="shared" si="23"/>
        <v>A6</v>
      </c>
      <c r="I41" s="90" t="str">
        <f t="shared" si="23"/>
        <v>A7</v>
      </c>
      <c r="J41" s="90" t="str">
        <f t="shared" si="23"/>
        <v>A8</v>
      </c>
      <c r="K41" s="90" t="str">
        <f t="shared" si="23"/>
        <v>A9</v>
      </c>
      <c r="L41" s="90" t="str">
        <f t="shared" si="23"/>
        <v>A10</v>
      </c>
      <c r="M41" s="90" t="str">
        <f t="shared" si="23"/>
        <v>A11</v>
      </c>
      <c r="N41" s="90" t="str">
        <f t="shared" si="23"/>
        <v>A12</v>
      </c>
      <c r="O41" s="90" t="str">
        <f t="shared" si="23"/>
        <v>A13</v>
      </c>
      <c r="P41" s="90" t="str">
        <f t="shared" si="23"/>
        <v>A14</v>
      </c>
      <c r="Q41" s="90" t="str">
        <f t="shared" si="23"/>
        <v>A15</v>
      </c>
      <c r="R41" s="91" t="s">
        <v>108</v>
      </c>
      <c r="S41" s="92" t="s">
        <v>109</v>
      </c>
    </row>
    <row r="42" spans="1:19">
      <c r="A42" s="87" t="s">
        <v>9</v>
      </c>
      <c r="B42" s="87">
        <f>$B$6</f>
        <v>75</v>
      </c>
      <c r="C42" s="88">
        <f>B42+C31+C35</f>
        <v>78.506249999999994</v>
      </c>
      <c r="D42" s="88">
        <f t="shared" ref="D42:Q42" si="24">C42+D31+D35</f>
        <v>83.03803072916665</v>
      </c>
      <c r="E42" s="88">
        <f t="shared" si="24"/>
        <v>87.619663008723933</v>
      </c>
      <c r="F42" s="88">
        <f t="shared" si="24"/>
        <v>92.214092735083653</v>
      </c>
      <c r="G42" s="88">
        <f t="shared" si="24"/>
        <v>96.820174854408577</v>
      </c>
      <c r="H42" s="88">
        <f t="shared" si="24"/>
        <v>101.43814464065504</v>
      </c>
      <c r="I42" s="88">
        <f t="shared" si="24"/>
        <v>106.06829714212415</v>
      </c>
      <c r="J42" s="88">
        <f t="shared" si="24"/>
        <v>110.71093684471249</v>
      </c>
      <c r="K42" s="88">
        <f t="shared" si="24"/>
        <v>115.36637592531216</v>
      </c>
      <c r="L42" s="88">
        <f t="shared" si="24"/>
        <v>120.03493436825347</v>
      </c>
      <c r="M42" s="88">
        <f t="shared" si="24"/>
        <v>124.71694015759041</v>
      </c>
      <c r="N42" s="88">
        <f t="shared" si="24"/>
        <v>129.41272947698266</v>
      </c>
      <c r="O42" s="88">
        <f t="shared" si="24"/>
        <v>134.12264691468161</v>
      </c>
      <c r="P42" s="88">
        <f t="shared" si="24"/>
        <v>138.84704567364491</v>
      </c>
      <c r="Q42" s="88">
        <f t="shared" si="24"/>
        <v>143.58628778690422</v>
      </c>
      <c r="R42" s="88">
        <f>R47-R43</f>
        <v>350.05337236793656</v>
      </c>
      <c r="S42" s="93">
        <f>R42-B42</f>
        <v>275.05337236793656</v>
      </c>
    </row>
    <row r="43" spans="1:19">
      <c r="A43" s="87" t="s">
        <v>12</v>
      </c>
      <c r="B43" s="87">
        <f>$B$7</f>
        <v>175</v>
      </c>
      <c r="C43" s="88">
        <f>B43+C36</f>
        <v>163.33333333333334</v>
      </c>
      <c r="D43" s="88">
        <f t="shared" ref="D43:Q43" si="25">C43+D36</f>
        <v>151.66666666666669</v>
      </c>
      <c r="E43" s="88">
        <f t="shared" si="25"/>
        <v>140.00000000000003</v>
      </c>
      <c r="F43" s="88">
        <f t="shared" si="25"/>
        <v>128.33333333333337</v>
      </c>
      <c r="G43" s="88">
        <f t="shared" si="25"/>
        <v>116.6666666666667</v>
      </c>
      <c r="H43" s="88">
        <f t="shared" si="25"/>
        <v>105.00000000000003</v>
      </c>
      <c r="I43" s="88">
        <f t="shared" si="25"/>
        <v>93.333333333333357</v>
      </c>
      <c r="J43" s="88">
        <f t="shared" si="25"/>
        <v>81.666666666666686</v>
      </c>
      <c r="K43" s="88">
        <f t="shared" si="25"/>
        <v>70.000000000000014</v>
      </c>
      <c r="L43" s="88">
        <f t="shared" si="25"/>
        <v>58.33333333333335</v>
      </c>
      <c r="M43" s="88">
        <f t="shared" si="25"/>
        <v>46.666666666666686</v>
      </c>
      <c r="N43" s="88">
        <f t="shared" si="25"/>
        <v>35.000000000000021</v>
      </c>
      <c r="O43" s="88">
        <f t="shared" si="25"/>
        <v>23.333333333333357</v>
      </c>
      <c r="P43" s="88">
        <f t="shared" si="25"/>
        <v>11.666666666666691</v>
      </c>
      <c r="Q43" s="88">
        <f t="shared" si="25"/>
        <v>2.4868995751603507E-14</v>
      </c>
      <c r="R43" s="88">
        <f>Q43</f>
        <v>2.4868995751603507E-14</v>
      </c>
    </row>
    <row r="44" spans="1:19">
      <c r="A44" s="87"/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7"/>
    </row>
    <row r="45" spans="1:19">
      <c r="A45" s="87" t="s">
        <v>110</v>
      </c>
      <c r="B45" s="87">
        <f>$B$4</f>
        <v>250</v>
      </c>
      <c r="C45" s="88">
        <f>B45-C27</f>
        <v>242</v>
      </c>
      <c r="D45" s="88">
        <f t="shared" ref="D45:Q45" si="26">C45-D27</f>
        <v>234</v>
      </c>
      <c r="E45" s="88">
        <f t="shared" si="26"/>
        <v>226</v>
      </c>
      <c r="F45" s="88">
        <f t="shared" si="26"/>
        <v>218</v>
      </c>
      <c r="G45" s="88">
        <f t="shared" si="26"/>
        <v>210</v>
      </c>
      <c r="H45" s="88">
        <f t="shared" si="26"/>
        <v>202</v>
      </c>
      <c r="I45" s="88">
        <f t="shared" si="26"/>
        <v>194</v>
      </c>
      <c r="J45" s="88">
        <f t="shared" si="26"/>
        <v>186</v>
      </c>
      <c r="K45" s="88">
        <f t="shared" si="26"/>
        <v>178</v>
      </c>
      <c r="L45" s="88">
        <f t="shared" si="26"/>
        <v>170</v>
      </c>
      <c r="M45" s="88">
        <f t="shared" si="26"/>
        <v>162</v>
      </c>
      <c r="N45" s="88">
        <f t="shared" si="26"/>
        <v>154</v>
      </c>
      <c r="O45" s="88">
        <f t="shared" si="26"/>
        <v>146</v>
      </c>
      <c r="P45" s="88">
        <f t="shared" si="26"/>
        <v>138</v>
      </c>
      <c r="Q45" s="88">
        <f t="shared" si="26"/>
        <v>130</v>
      </c>
      <c r="R45" s="88">
        <f>B4*POWER((1+B14),15)</f>
        <v>336.46708458103228</v>
      </c>
    </row>
    <row r="46" spans="1:19">
      <c r="A46" s="87" t="s">
        <v>24</v>
      </c>
      <c r="B46" s="87"/>
      <c r="C46" s="88">
        <f>C39</f>
        <v>-0.16041666666666643</v>
      </c>
      <c r="D46" s="88">
        <f t="shared" ref="D46:Q46" si="27">D39</f>
        <v>0.70469739583333357</v>
      </c>
      <c r="E46" s="88">
        <f t="shared" si="27"/>
        <v>1.6196630087239576</v>
      </c>
      <c r="F46" s="88">
        <f t="shared" si="27"/>
        <v>2.5474260684170229</v>
      </c>
      <c r="G46" s="88">
        <f t="shared" si="27"/>
        <v>3.486841521075279</v>
      </c>
      <c r="H46" s="88">
        <f t="shared" si="27"/>
        <v>4.4381446406550804</v>
      </c>
      <c r="I46" s="88">
        <f t="shared" si="27"/>
        <v>5.4016304754575213</v>
      </c>
      <c r="J46" s="88">
        <f t="shared" si="27"/>
        <v>6.3776035113791938</v>
      </c>
      <c r="K46" s="88">
        <f t="shared" si="27"/>
        <v>7.3663759253121892</v>
      </c>
      <c r="L46" s="88">
        <f t="shared" si="27"/>
        <v>8.3682677015868361</v>
      </c>
      <c r="M46" s="88">
        <f t="shared" si="27"/>
        <v>9.3836068242570985</v>
      </c>
      <c r="N46" s="88">
        <f t="shared" si="27"/>
        <v>10.412729476982681</v>
      </c>
      <c r="O46" s="88">
        <f t="shared" si="27"/>
        <v>11.455980248014972</v>
      </c>
      <c r="P46" s="88">
        <f t="shared" si="27"/>
        <v>12.513712340311629</v>
      </c>
      <c r="Q46" s="88">
        <f t="shared" si="27"/>
        <v>13.586287786904267</v>
      </c>
      <c r="R46" s="88">
        <f>Q46</f>
        <v>13.586287786904267</v>
      </c>
    </row>
    <row r="47" spans="1:19">
      <c r="A47" s="87" t="s">
        <v>111</v>
      </c>
      <c r="B47" s="87">
        <f>SUM(B45:B46)</f>
        <v>250</v>
      </c>
      <c r="C47" s="88">
        <f>SUM(C45:C46)</f>
        <v>241.83958333333334</v>
      </c>
      <c r="D47" s="88">
        <f t="shared" ref="D47:Q47" si="28">SUM(D45:D46)</f>
        <v>234.70469739583334</v>
      </c>
      <c r="E47" s="88">
        <f t="shared" si="28"/>
        <v>227.61966300872396</v>
      </c>
      <c r="F47" s="88">
        <f t="shared" si="28"/>
        <v>220.54742606841702</v>
      </c>
      <c r="G47" s="88">
        <f t="shared" si="28"/>
        <v>213.48684152107529</v>
      </c>
      <c r="H47" s="88">
        <f t="shared" si="28"/>
        <v>206.43814464065508</v>
      </c>
      <c r="I47" s="88">
        <f t="shared" si="28"/>
        <v>199.40163047545752</v>
      </c>
      <c r="J47" s="88">
        <f t="shared" si="28"/>
        <v>192.37760351137919</v>
      </c>
      <c r="K47" s="88">
        <f t="shared" si="28"/>
        <v>185.36637592531218</v>
      </c>
      <c r="L47" s="88">
        <f t="shared" si="28"/>
        <v>178.36826770158683</v>
      </c>
      <c r="M47" s="88">
        <f t="shared" si="28"/>
        <v>171.3836068242571</v>
      </c>
      <c r="N47" s="88">
        <f t="shared" si="28"/>
        <v>164.41272947698269</v>
      </c>
      <c r="O47" s="88">
        <f t="shared" si="28"/>
        <v>157.45598024801498</v>
      </c>
      <c r="P47" s="88">
        <f t="shared" si="28"/>
        <v>150.51371234031163</v>
      </c>
      <c r="Q47" s="88">
        <f t="shared" si="28"/>
        <v>143.58628778690428</v>
      </c>
      <c r="R47" s="88">
        <f>SUM(R45:R46)</f>
        <v>350.05337236793656</v>
      </c>
    </row>
    <row r="48" spans="1:19">
      <c r="A48" s="87" t="s">
        <v>78</v>
      </c>
      <c r="B48" s="87">
        <f>B42+B43-B47</f>
        <v>0</v>
      </c>
      <c r="C48" s="88">
        <f>C42+C43-C47</f>
        <v>0</v>
      </c>
      <c r="D48" s="88">
        <f t="shared" ref="D48:R48" si="29">D42+D43-D47</f>
        <v>0</v>
      </c>
      <c r="E48" s="88">
        <f t="shared" si="29"/>
        <v>0</v>
      </c>
      <c r="F48" s="88">
        <f t="shared" si="29"/>
        <v>0</v>
      </c>
      <c r="G48" s="88">
        <f t="shared" si="29"/>
        <v>0</v>
      </c>
      <c r="H48" s="88">
        <f t="shared" si="29"/>
        <v>0</v>
      </c>
      <c r="I48" s="88">
        <f t="shared" si="29"/>
        <v>0</v>
      </c>
      <c r="J48" s="88">
        <f t="shared" si="29"/>
        <v>0</v>
      </c>
      <c r="K48" s="88">
        <f t="shared" si="29"/>
        <v>0</v>
      </c>
      <c r="L48" s="88">
        <f t="shared" si="29"/>
        <v>0</v>
      </c>
      <c r="M48" s="88">
        <f t="shared" si="29"/>
        <v>0</v>
      </c>
      <c r="N48" s="88">
        <f t="shared" si="29"/>
        <v>0</v>
      </c>
      <c r="O48" s="88">
        <f t="shared" si="29"/>
        <v>0</v>
      </c>
      <c r="P48" s="88">
        <f t="shared" si="29"/>
        <v>0</v>
      </c>
      <c r="Q48" s="88">
        <f t="shared" si="29"/>
        <v>0</v>
      </c>
      <c r="R48" s="88">
        <f t="shared" si="29"/>
        <v>0</v>
      </c>
    </row>
    <row r="49" spans="1:18">
      <c r="A4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0" spans="1:18">
      <c r="A5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51" spans="1:18">
      <c r="A51" s="6" t="s">
        <v>112</v>
      </c>
      <c r="B51" s="5" t="str">
        <f>B41</f>
        <v>A0</v>
      </c>
      <c r="C51" s="5" t="str">
        <f t="shared" ref="C51:Q51" si="30">C41</f>
        <v>A1</v>
      </c>
      <c r="D51" s="5" t="str">
        <f t="shared" si="30"/>
        <v>A2</v>
      </c>
      <c r="E51" s="5" t="str">
        <f t="shared" si="30"/>
        <v>A3</v>
      </c>
      <c r="F51" s="5" t="str">
        <f t="shared" si="30"/>
        <v>A4</v>
      </c>
      <c r="G51" s="5" t="str">
        <f t="shared" si="30"/>
        <v>A5</v>
      </c>
      <c r="H51" s="5" t="str">
        <f t="shared" si="30"/>
        <v>A6</v>
      </c>
      <c r="I51" s="5" t="str">
        <f t="shared" si="30"/>
        <v>A7</v>
      </c>
      <c r="J51" s="5" t="str">
        <f t="shared" si="30"/>
        <v>A8</v>
      </c>
      <c r="K51" s="5" t="str">
        <f t="shared" si="30"/>
        <v>A9</v>
      </c>
      <c r="L51" s="5" t="str">
        <f t="shared" si="30"/>
        <v>A10</v>
      </c>
      <c r="M51" s="5" t="str">
        <f t="shared" si="30"/>
        <v>A11</v>
      </c>
      <c r="N51" s="5" t="str">
        <f t="shared" si="30"/>
        <v>A12</v>
      </c>
      <c r="O51" s="5" t="str">
        <f t="shared" si="30"/>
        <v>A13</v>
      </c>
      <c r="P51" s="5" t="str">
        <f t="shared" si="30"/>
        <v>A14</v>
      </c>
      <c r="Q51" s="5" t="str">
        <f t="shared" si="30"/>
        <v>A15</v>
      </c>
    </row>
    <row r="52" spans="1:18">
      <c r="A52" s="12" t="s">
        <v>113</v>
      </c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8">
      <c r="A53" s="12" t="s">
        <v>92</v>
      </c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8">
      <c r="A54" s="12" t="s">
        <v>103</v>
      </c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8">
      <c r="A55" s="12" t="s">
        <v>104</v>
      </c>
      <c r="B55" s="12"/>
      <c r="C55" s="13">
        <f>C52-C53-C54</f>
        <v>0</v>
      </c>
      <c r="D55" s="13">
        <f t="shared" ref="D55:Q55" si="31">D52-D53-D54</f>
        <v>0</v>
      </c>
      <c r="E55" s="13">
        <f t="shared" si="31"/>
        <v>0</v>
      </c>
      <c r="F55" s="13">
        <f t="shared" si="31"/>
        <v>0</v>
      </c>
      <c r="G55" s="13">
        <f t="shared" si="31"/>
        <v>0</v>
      </c>
      <c r="H55" s="13">
        <f t="shared" si="31"/>
        <v>0</v>
      </c>
      <c r="I55" s="13">
        <f t="shared" si="31"/>
        <v>0</v>
      </c>
      <c r="J55" s="13">
        <f t="shared" si="31"/>
        <v>0</v>
      </c>
      <c r="K55" s="13">
        <f t="shared" si="31"/>
        <v>0</v>
      </c>
      <c r="L55" s="13">
        <f t="shared" si="31"/>
        <v>0</v>
      </c>
      <c r="M55" s="13">
        <f t="shared" si="31"/>
        <v>0</v>
      </c>
      <c r="N55" s="13">
        <f t="shared" si="31"/>
        <v>0</v>
      </c>
      <c r="O55" s="13">
        <f t="shared" si="31"/>
        <v>0</v>
      </c>
      <c r="P55" s="13">
        <f t="shared" si="31"/>
        <v>0</v>
      </c>
      <c r="Q55" s="13">
        <f t="shared" si="31"/>
        <v>0</v>
      </c>
      <c r="R55" s="94" t="s">
        <v>114</v>
      </c>
    </row>
    <row r="56" spans="1:18">
      <c r="A56" s="12" t="s">
        <v>105</v>
      </c>
      <c r="B56" s="12"/>
      <c r="C56" s="13">
        <f>-(B70-B73)*$B$8</f>
        <v>-7.875</v>
      </c>
      <c r="D56" s="13">
        <f t="shared" ref="D56:Q56" si="32">-(C70-C73)*$B$8</f>
        <v>-8.2293749999999992</v>
      </c>
      <c r="E56" s="13">
        <f t="shared" si="32"/>
        <v>-7.7203218750000007</v>
      </c>
      <c r="F56" s="13">
        <f t="shared" si="32"/>
        <v>-7.1724144843750013</v>
      </c>
      <c r="G56" s="13">
        <f t="shared" si="32"/>
        <v>-6.6227586517968771</v>
      </c>
      <c r="H56" s="13">
        <f t="shared" si="32"/>
        <v>-6.0730241393308599</v>
      </c>
      <c r="I56" s="13">
        <f t="shared" si="32"/>
        <v>-5.5232860862698896</v>
      </c>
      <c r="J56" s="13">
        <f t="shared" si="32"/>
        <v>-4.9735478738821453</v>
      </c>
      <c r="K56" s="13">
        <f t="shared" si="32"/>
        <v>-4.423809654324697</v>
      </c>
      <c r="L56" s="13">
        <f t="shared" si="32"/>
        <v>-3.8740714344446117</v>
      </c>
      <c r="M56" s="13">
        <f t="shared" si="32"/>
        <v>-3.3243332145500082</v>
      </c>
      <c r="N56" s="13">
        <f t="shared" si="32"/>
        <v>-2.774594994654751</v>
      </c>
      <c r="O56" s="13">
        <f t="shared" si="32"/>
        <v>-2.224856774759465</v>
      </c>
      <c r="P56" s="13">
        <f t="shared" si="32"/>
        <v>-1.6751185548641769</v>
      </c>
      <c r="Q56" s="13">
        <f t="shared" si="32"/>
        <v>-1.1253803349688889</v>
      </c>
      <c r="R56" s="93">
        <f>SUM(C56:Q56)</f>
        <v>-73.611893073221367</v>
      </c>
    </row>
    <row r="57" spans="1:18">
      <c r="A57" s="12" t="s">
        <v>90</v>
      </c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8">
      <c r="A58" s="12" t="s">
        <v>73</v>
      </c>
      <c r="B58" s="12"/>
      <c r="C58" s="13">
        <f>C55+C56+C57</f>
        <v>-7.875</v>
      </c>
      <c r="D58" s="13">
        <f t="shared" ref="D58:Q58" si="33">D55+D56+D57</f>
        <v>-8.2293749999999992</v>
      </c>
      <c r="E58" s="13">
        <f t="shared" si="33"/>
        <v>-7.7203218750000007</v>
      </c>
      <c r="F58" s="13">
        <f t="shared" si="33"/>
        <v>-7.1724144843750013</v>
      </c>
      <c r="G58" s="13">
        <f t="shared" si="33"/>
        <v>-6.6227586517968771</v>
      </c>
      <c r="H58" s="13">
        <f t="shared" si="33"/>
        <v>-6.0730241393308599</v>
      </c>
      <c r="I58" s="13">
        <f t="shared" si="33"/>
        <v>-5.5232860862698896</v>
      </c>
      <c r="J58" s="13">
        <f t="shared" si="33"/>
        <v>-4.9735478738821453</v>
      </c>
      <c r="K58" s="13">
        <f t="shared" si="33"/>
        <v>-4.423809654324697</v>
      </c>
      <c r="L58" s="13">
        <f t="shared" si="33"/>
        <v>-3.8740714344446117</v>
      </c>
      <c r="M58" s="13">
        <f t="shared" si="33"/>
        <v>-3.3243332145500082</v>
      </c>
      <c r="N58" s="13">
        <f t="shared" si="33"/>
        <v>-2.774594994654751</v>
      </c>
      <c r="O58" s="13">
        <f t="shared" si="33"/>
        <v>-2.224856774759465</v>
      </c>
      <c r="P58" s="13">
        <f t="shared" si="33"/>
        <v>-1.6751185548641769</v>
      </c>
      <c r="Q58" s="13">
        <f t="shared" si="33"/>
        <v>-1.1253803349688889</v>
      </c>
    </row>
    <row r="59" spans="1:18">
      <c r="A59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8">
      <c r="A60" s="6"/>
      <c r="B60" s="5" t="str">
        <f>B51</f>
        <v>A0</v>
      </c>
      <c r="C60" s="7" t="str">
        <f t="shared" ref="C60:Q60" si="34">C51</f>
        <v>A1</v>
      </c>
      <c r="D60" s="7" t="str">
        <f t="shared" si="34"/>
        <v>A2</v>
      </c>
      <c r="E60" s="7" t="str">
        <f t="shared" si="34"/>
        <v>A3</v>
      </c>
      <c r="F60" s="7" t="str">
        <f t="shared" si="34"/>
        <v>A4</v>
      </c>
      <c r="G60" s="7" t="str">
        <f t="shared" si="34"/>
        <v>A5</v>
      </c>
      <c r="H60" s="7" t="str">
        <f t="shared" si="34"/>
        <v>A6</v>
      </c>
      <c r="I60" s="7" t="str">
        <f t="shared" si="34"/>
        <v>A7</v>
      </c>
      <c r="J60" s="7" t="str">
        <f t="shared" si="34"/>
        <v>A8</v>
      </c>
      <c r="K60" s="7" t="str">
        <f t="shared" si="34"/>
        <v>A9</v>
      </c>
      <c r="L60" s="7" t="str">
        <f t="shared" si="34"/>
        <v>A10</v>
      </c>
      <c r="M60" s="7" t="str">
        <f t="shared" si="34"/>
        <v>A11</v>
      </c>
      <c r="N60" s="7" t="str">
        <f t="shared" si="34"/>
        <v>A12</v>
      </c>
      <c r="O60" s="7" t="str">
        <f t="shared" si="34"/>
        <v>A13</v>
      </c>
      <c r="P60" s="7" t="str">
        <f t="shared" si="34"/>
        <v>A14</v>
      </c>
      <c r="Q60" s="7" t="str">
        <f t="shared" si="34"/>
        <v>A15</v>
      </c>
    </row>
    <row r="61" spans="1:18">
      <c r="A61" s="12" t="s">
        <v>74</v>
      </c>
      <c r="B61" s="12"/>
      <c r="C61" s="13">
        <f>C58+C54</f>
        <v>-7.875</v>
      </c>
      <c r="D61" s="13">
        <f t="shared" ref="D61:Q61" si="35">D58+D54</f>
        <v>-8.2293749999999992</v>
      </c>
      <c r="E61" s="13">
        <f t="shared" si="35"/>
        <v>-7.7203218750000007</v>
      </c>
      <c r="F61" s="13">
        <f t="shared" si="35"/>
        <v>-7.1724144843750013</v>
      </c>
      <c r="G61" s="13">
        <f t="shared" si="35"/>
        <v>-6.6227586517968771</v>
      </c>
      <c r="H61" s="13">
        <f t="shared" si="35"/>
        <v>-6.0730241393308599</v>
      </c>
      <c r="I61" s="13">
        <f t="shared" si="35"/>
        <v>-5.5232860862698896</v>
      </c>
      <c r="J61" s="13">
        <f t="shared" si="35"/>
        <v>-4.9735478738821453</v>
      </c>
      <c r="K61" s="13">
        <f t="shared" si="35"/>
        <v>-4.423809654324697</v>
      </c>
      <c r="L61" s="13">
        <f t="shared" si="35"/>
        <v>-3.8740714344446117</v>
      </c>
      <c r="M61" s="13">
        <f t="shared" si="35"/>
        <v>-3.3243332145500082</v>
      </c>
      <c r="N61" s="13">
        <f t="shared" si="35"/>
        <v>-2.774594994654751</v>
      </c>
      <c r="O61" s="13">
        <f t="shared" si="35"/>
        <v>-2.224856774759465</v>
      </c>
      <c r="P61" s="13">
        <f t="shared" si="35"/>
        <v>-1.6751185548641769</v>
      </c>
      <c r="Q61" s="13">
        <f t="shared" si="35"/>
        <v>-1.1253803349688889</v>
      </c>
    </row>
    <row r="62" spans="1:18">
      <c r="A62" s="12" t="s">
        <v>9</v>
      </c>
      <c r="B62" s="12"/>
      <c r="C62" s="13"/>
      <c r="D62" s="13">
        <f>-C66</f>
        <v>19.541666666666664</v>
      </c>
      <c r="E62" s="13">
        <f t="shared" ref="E62:Q62" si="36">-D66</f>
        <v>19.896041666666665</v>
      </c>
      <c r="F62" s="13">
        <f t="shared" si="36"/>
        <v>19.386988541666668</v>
      </c>
      <c r="G62" s="13">
        <f t="shared" si="36"/>
        <v>18.839081151041668</v>
      </c>
      <c r="H62" s="13">
        <f t="shared" si="36"/>
        <v>18.289425318463543</v>
      </c>
      <c r="I62" s="13">
        <f t="shared" si="36"/>
        <v>17.739690805997526</v>
      </c>
      <c r="J62" s="13">
        <f t="shared" si="36"/>
        <v>17.189952752936556</v>
      </c>
      <c r="K62" s="13">
        <f t="shared" si="36"/>
        <v>16.640214540548811</v>
      </c>
      <c r="L62" s="13">
        <f t="shared" si="36"/>
        <v>16.090476320991364</v>
      </c>
      <c r="M62" s="13">
        <f t="shared" si="36"/>
        <v>15.540738101111279</v>
      </c>
      <c r="N62" s="13">
        <f t="shared" si="36"/>
        <v>14.990999881216673</v>
      </c>
      <c r="O62" s="13">
        <f t="shared" si="36"/>
        <v>14.441261661321418</v>
      </c>
      <c r="P62" s="13">
        <f t="shared" si="36"/>
        <v>13.891523441426131</v>
      </c>
      <c r="Q62" s="13">
        <f t="shared" si="36"/>
        <v>13.341785221530843</v>
      </c>
    </row>
    <row r="63" spans="1:18">
      <c r="A63" s="12" t="s">
        <v>12</v>
      </c>
      <c r="B63" s="12"/>
      <c r="C63" s="13">
        <f>-B7/$B$9</f>
        <v>-11.666666666666666</v>
      </c>
      <c r="D63" s="13">
        <f>C63</f>
        <v>-11.666666666666666</v>
      </c>
      <c r="E63" s="13">
        <f t="shared" ref="E63:Q63" si="37">D63</f>
        <v>-11.666666666666666</v>
      </c>
      <c r="F63" s="13">
        <f t="shared" si="37"/>
        <v>-11.666666666666666</v>
      </c>
      <c r="G63" s="13">
        <f t="shared" si="37"/>
        <v>-11.666666666666666</v>
      </c>
      <c r="H63" s="13">
        <f t="shared" si="37"/>
        <v>-11.666666666666666</v>
      </c>
      <c r="I63" s="13">
        <f t="shared" si="37"/>
        <v>-11.666666666666666</v>
      </c>
      <c r="J63" s="13">
        <f t="shared" si="37"/>
        <v>-11.666666666666666</v>
      </c>
      <c r="K63" s="13">
        <f t="shared" si="37"/>
        <v>-11.666666666666666</v>
      </c>
      <c r="L63" s="13">
        <f t="shared" si="37"/>
        <v>-11.666666666666666</v>
      </c>
      <c r="M63" s="13">
        <f t="shared" si="37"/>
        <v>-11.666666666666666</v>
      </c>
      <c r="N63" s="13">
        <f t="shared" si="37"/>
        <v>-11.666666666666666</v>
      </c>
      <c r="O63" s="13">
        <f t="shared" si="37"/>
        <v>-11.666666666666666</v>
      </c>
      <c r="P63" s="13">
        <f t="shared" si="37"/>
        <v>-11.666666666666666</v>
      </c>
      <c r="Q63" s="13">
        <f t="shared" si="37"/>
        <v>-11.666666666666666</v>
      </c>
    </row>
    <row r="64" spans="1:18">
      <c r="A64" s="12" t="s">
        <v>10</v>
      </c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9">
      <c r="A65" s="12" t="s">
        <v>106</v>
      </c>
      <c r="B65" s="12"/>
      <c r="C65" s="13">
        <f>B66</f>
        <v>0</v>
      </c>
      <c r="D65" s="13">
        <f t="shared" ref="D65:Q65" si="38">C66</f>
        <v>-19.541666666666664</v>
      </c>
      <c r="E65" s="13">
        <f t="shared" si="38"/>
        <v>-19.896041666666665</v>
      </c>
      <c r="F65" s="13">
        <f t="shared" si="38"/>
        <v>-19.386988541666668</v>
      </c>
      <c r="G65" s="13">
        <f t="shared" si="38"/>
        <v>-18.839081151041668</v>
      </c>
      <c r="H65" s="13">
        <f t="shared" si="38"/>
        <v>-18.289425318463543</v>
      </c>
      <c r="I65" s="13">
        <f t="shared" si="38"/>
        <v>-17.739690805997526</v>
      </c>
      <c r="J65" s="13">
        <f t="shared" si="38"/>
        <v>-17.189952752936556</v>
      </c>
      <c r="K65" s="13">
        <f t="shared" si="38"/>
        <v>-16.640214540548811</v>
      </c>
      <c r="L65" s="13">
        <f t="shared" si="38"/>
        <v>-16.090476320991364</v>
      </c>
      <c r="M65" s="13">
        <f t="shared" si="38"/>
        <v>-15.540738101111279</v>
      </c>
      <c r="N65" s="13">
        <f t="shared" si="38"/>
        <v>-14.990999881216673</v>
      </c>
      <c r="O65" s="13">
        <f t="shared" si="38"/>
        <v>-14.441261661321418</v>
      </c>
      <c r="P65" s="13">
        <f t="shared" si="38"/>
        <v>-13.891523441426131</v>
      </c>
      <c r="Q65" s="13">
        <f t="shared" si="38"/>
        <v>-13.341785221530843</v>
      </c>
    </row>
    <row r="66" spans="1:19">
      <c r="A66" s="12" t="s">
        <v>107</v>
      </c>
      <c r="B66" s="12"/>
      <c r="C66" s="13">
        <f>SUM(C61:C65)</f>
        <v>-19.541666666666664</v>
      </c>
      <c r="D66" s="13">
        <f t="shared" ref="D66:Q66" si="39">SUM(D61:D65)</f>
        <v>-19.896041666666665</v>
      </c>
      <c r="E66" s="13">
        <f t="shared" si="39"/>
        <v>-19.386988541666668</v>
      </c>
      <c r="F66" s="13">
        <f t="shared" si="39"/>
        <v>-18.839081151041668</v>
      </c>
      <c r="G66" s="13">
        <f t="shared" si="39"/>
        <v>-18.289425318463543</v>
      </c>
      <c r="H66" s="13">
        <f t="shared" si="39"/>
        <v>-17.739690805997526</v>
      </c>
      <c r="I66" s="13">
        <f t="shared" si="39"/>
        <v>-17.189952752936556</v>
      </c>
      <c r="J66" s="13">
        <f t="shared" si="39"/>
        <v>-16.640214540548811</v>
      </c>
      <c r="K66" s="13">
        <f t="shared" si="39"/>
        <v>-16.090476320991364</v>
      </c>
      <c r="L66" s="13">
        <f t="shared" si="39"/>
        <v>-15.540738101111279</v>
      </c>
      <c r="M66" s="13">
        <f t="shared" si="39"/>
        <v>-14.990999881216673</v>
      </c>
      <c r="N66" s="13">
        <f t="shared" si="39"/>
        <v>-14.441261661321418</v>
      </c>
      <c r="O66" s="13">
        <f t="shared" si="39"/>
        <v>-13.891523441426131</v>
      </c>
      <c r="P66" s="13">
        <f t="shared" si="39"/>
        <v>-13.341785221530843</v>
      </c>
      <c r="Q66" s="13">
        <f t="shared" si="39"/>
        <v>-12.792047001635556</v>
      </c>
    </row>
    <row r="67" spans="1:19">
      <c r="A6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9">
      <c r="A68" s="6"/>
      <c r="B68" s="5" t="str">
        <f>B60</f>
        <v>A0</v>
      </c>
      <c r="C68" s="7" t="str">
        <f t="shared" ref="C68:Q68" si="40">C60</f>
        <v>A1</v>
      </c>
      <c r="D68" s="7" t="str">
        <f t="shared" si="40"/>
        <v>A2</v>
      </c>
      <c r="E68" s="7" t="str">
        <f t="shared" si="40"/>
        <v>A3</v>
      </c>
      <c r="F68" s="7" t="str">
        <f t="shared" si="40"/>
        <v>A4</v>
      </c>
      <c r="G68" s="7" t="str">
        <f t="shared" si="40"/>
        <v>A5</v>
      </c>
      <c r="H68" s="7" t="str">
        <f t="shared" si="40"/>
        <v>A6</v>
      </c>
      <c r="I68" s="7" t="str">
        <f t="shared" si="40"/>
        <v>A7</v>
      </c>
      <c r="J68" s="7" t="str">
        <f t="shared" si="40"/>
        <v>A8</v>
      </c>
      <c r="K68" s="7" t="str">
        <f t="shared" si="40"/>
        <v>A9</v>
      </c>
      <c r="L68" s="7" t="str">
        <f t="shared" si="40"/>
        <v>A10</v>
      </c>
      <c r="M68" s="7" t="str">
        <f t="shared" si="40"/>
        <v>A11</v>
      </c>
      <c r="N68" s="7" t="str">
        <f t="shared" si="40"/>
        <v>A12</v>
      </c>
      <c r="O68" s="7" t="str">
        <f t="shared" si="40"/>
        <v>A13</v>
      </c>
      <c r="P68" s="7" t="str">
        <f t="shared" si="40"/>
        <v>A14</v>
      </c>
      <c r="Q68" s="7" t="str">
        <f t="shared" si="40"/>
        <v>A15</v>
      </c>
      <c r="R68" s="95" t="s">
        <v>108</v>
      </c>
      <c r="S68" s="96" t="s">
        <v>109</v>
      </c>
    </row>
    <row r="69" spans="1:19">
      <c r="A69" s="12" t="s">
        <v>9</v>
      </c>
      <c r="B69" s="12">
        <f>$B$6</f>
        <v>75</v>
      </c>
      <c r="C69" s="13">
        <f>B69+C58+C62</f>
        <v>67.125</v>
      </c>
      <c r="D69" s="13">
        <f t="shared" ref="D69:Q69" si="41">C69+D58+D62</f>
        <v>78.437291666666667</v>
      </c>
      <c r="E69" s="13">
        <f t="shared" si="41"/>
        <v>90.613011458333332</v>
      </c>
      <c r="F69" s="13">
        <f t="shared" si="41"/>
        <v>102.827585515625</v>
      </c>
      <c r="G69" s="13">
        <f t="shared" si="41"/>
        <v>115.0439080148698</v>
      </c>
      <c r="H69" s="13">
        <f t="shared" si="41"/>
        <v>127.26030919400249</v>
      </c>
      <c r="I69" s="13">
        <f t="shared" si="41"/>
        <v>139.47671391373012</v>
      </c>
      <c r="J69" s="13">
        <f t="shared" si="41"/>
        <v>151.69311879278453</v>
      </c>
      <c r="K69" s="13">
        <f t="shared" si="41"/>
        <v>163.90952367900866</v>
      </c>
      <c r="L69" s="13">
        <f t="shared" si="41"/>
        <v>176.12592856555543</v>
      </c>
      <c r="M69" s="13">
        <f t="shared" si="41"/>
        <v>188.34233345211672</v>
      </c>
      <c r="N69" s="13">
        <f t="shared" si="41"/>
        <v>200.55873833867864</v>
      </c>
      <c r="O69" s="13">
        <f t="shared" si="41"/>
        <v>212.77514322524058</v>
      </c>
      <c r="P69" s="13">
        <f t="shared" si="41"/>
        <v>224.99154811180253</v>
      </c>
      <c r="Q69" s="13">
        <f t="shared" si="41"/>
        <v>237.20795299836448</v>
      </c>
      <c r="R69" s="13">
        <f>R74-R70</f>
        <v>2324.1478693021054</v>
      </c>
      <c r="S69" s="14">
        <f>R69-B69</f>
        <v>2249.1478693021054</v>
      </c>
    </row>
    <row r="70" spans="1:19">
      <c r="A70" s="12" t="s">
        <v>12</v>
      </c>
      <c r="B70" s="12">
        <f>$B$7</f>
        <v>175</v>
      </c>
      <c r="C70" s="13">
        <f>B70+C63</f>
        <v>163.33333333333334</v>
      </c>
      <c r="D70" s="13">
        <f t="shared" ref="D70:Q70" si="42">C70+D63</f>
        <v>151.66666666666669</v>
      </c>
      <c r="E70" s="13">
        <f t="shared" si="42"/>
        <v>140.00000000000003</v>
      </c>
      <c r="F70" s="13">
        <f t="shared" si="42"/>
        <v>128.33333333333337</v>
      </c>
      <c r="G70" s="13">
        <f t="shared" si="42"/>
        <v>116.6666666666667</v>
      </c>
      <c r="H70" s="13">
        <f t="shared" si="42"/>
        <v>105.00000000000003</v>
      </c>
      <c r="I70" s="13">
        <f t="shared" si="42"/>
        <v>93.333333333333357</v>
      </c>
      <c r="J70" s="13">
        <f t="shared" si="42"/>
        <v>81.666666666666686</v>
      </c>
      <c r="K70" s="13">
        <f t="shared" si="42"/>
        <v>70.000000000000014</v>
      </c>
      <c r="L70" s="13">
        <f t="shared" si="42"/>
        <v>58.33333333333335</v>
      </c>
      <c r="M70" s="13">
        <f t="shared" si="42"/>
        <v>46.666666666666686</v>
      </c>
      <c r="N70" s="13">
        <f t="shared" si="42"/>
        <v>35.000000000000021</v>
      </c>
      <c r="O70" s="13">
        <f t="shared" si="42"/>
        <v>23.333333333333357</v>
      </c>
      <c r="P70" s="13">
        <f t="shared" si="42"/>
        <v>11.666666666666691</v>
      </c>
      <c r="Q70" s="13">
        <f t="shared" si="42"/>
        <v>2.4868995751603507E-14</v>
      </c>
      <c r="R70" s="13">
        <f>Q70</f>
        <v>2.4868995751603507E-14</v>
      </c>
    </row>
    <row r="71" spans="1:19">
      <c r="A71" s="12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2"/>
    </row>
    <row r="72" spans="1:19">
      <c r="A72" s="12" t="s">
        <v>110</v>
      </c>
      <c r="B72" s="12">
        <f>$B$4</f>
        <v>250</v>
      </c>
      <c r="C72" s="13">
        <f>B72-C54</f>
        <v>250</v>
      </c>
      <c r="D72" s="13">
        <f t="shared" ref="D72:Q72" si="43">C72-D54</f>
        <v>250</v>
      </c>
      <c r="E72" s="13">
        <f t="shared" si="43"/>
        <v>250</v>
      </c>
      <c r="F72" s="13">
        <f t="shared" si="43"/>
        <v>250</v>
      </c>
      <c r="G72" s="13">
        <f t="shared" si="43"/>
        <v>250</v>
      </c>
      <c r="H72" s="13">
        <f t="shared" si="43"/>
        <v>250</v>
      </c>
      <c r="I72" s="13">
        <f t="shared" si="43"/>
        <v>250</v>
      </c>
      <c r="J72" s="13">
        <f t="shared" si="43"/>
        <v>250</v>
      </c>
      <c r="K72" s="13">
        <f t="shared" si="43"/>
        <v>250</v>
      </c>
      <c r="L72" s="13">
        <f t="shared" si="43"/>
        <v>250</v>
      </c>
      <c r="M72" s="13">
        <f t="shared" si="43"/>
        <v>250</v>
      </c>
      <c r="N72" s="13">
        <f t="shared" si="43"/>
        <v>250</v>
      </c>
      <c r="O72" s="13">
        <f t="shared" si="43"/>
        <v>250</v>
      </c>
      <c r="P72" s="13">
        <f t="shared" si="43"/>
        <v>250</v>
      </c>
      <c r="Q72" s="13">
        <f t="shared" si="43"/>
        <v>250</v>
      </c>
      <c r="R72" s="14">
        <f>B4*POWER((1+B15),15)</f>
        <v>2336.939916303741</v>
      </c>
    </row>
    <row r="73" spans="1:19">
      <c r="A73" s="12" t="s">
        <v>24</v>
      </c>
      <c r="B73" s="12"/>
      <c r="C73" s="13">
        <f>C66</f>
        <v>-19.541666666666664</v>
      </c>
      <c r="D73" s="13">
        <f t="shared" ref="D73:Q73" si="44">D66</f>
        <v>-19.896041666666665</v>
      </c>
      <c r="E73" s="13">
        <f t="shared" si="44"/>
        <v>-19.386988541666668</v>
      </c>
      <c r="F73" s="13">
        <f t="shared" si="44"/>
        <v>-18.839081151041668</v>
      </c>
      <c r="G73" s="13">
        <f t="shared" si="44"/>
        <v>-18.289425318463543</v>
      </c>
      <c r="H73" s="13">
        <f t="shared" si="44"/>
        <v>-17.739690805997526</v>
      </c>
      <c r="I73" s="13">
        <f t="shared" si="44"/>
        <v>-17.189952752936556</v>
      </c>
      <c r="J73" s="13">
        <f t="shared" si="44"/>
        <v>-16.640214540548811</v>
      </c>
      <c r="K73" s="13">
        <f t="shared" si="44"/>
        <v>-16.090476320991364</v>
      </c>
      <c r="L73" s="13">
        <f t="shared" si="44"/>
        <v>-15.540738101111279</v>
      </c>
      <c r="M73" s="13">
        <f t="shared" si="44"/>
        <v>-14.990999881216673</v>
      </c>
      <c r="N73" s="13">
        <f t="shared" si="44"/>
        <v>-14.441261661321418</v>
      </c>
      <c r="O73" s="13">
        <f t="shared" si="44"/>
        <v>-13.891523441426131</v>
      </c>
      <c r="P73" s="13">
        <f t="shared" si="44"/>
        <v>-13.341785221530843</v>
      </c>
      <c r="Q73" s="13">
        <f t="shared" si="44"/>
        <v>-12.792047001635556</v>
      </c>
      <c r="R73" s="13">
        <f>Q73</f>
        <v>-12.792047001635556</v>
      </c>
    </row>
    <row r="74" spans="1:19">
      <c r="A74" s="12" t="s">
        <v>111</v>
      </c>
      <c r="B74" s="12">
        <f>SUM(B72:B73)</f>
        <v>250</v>
      </c>
      <c r="C74" s="13">
        <f>SUM(C72:C73)</f>
        <v>230.45833333333334</v>
      </c>
      <c r="D74" s="13">
        <f t="shared" ref="D74:Q74" si="45">SUM(D72:D73)</f>
        <v>230.10395833333334</v>
      </c>
      <c r="E74" s="13">
        <f t="shared" si="45"/>
        <v>230.61301145833335</v>
      </c>
      <c r="F74" s="13">
        <f t="shared" si="45"/>
        <v>231.16091884895832</v>
      </c>
      <c r="G74" s="13">
        <f t="shared" si="45"/>
        <v>231.71057468153646</v>
      </c>
      <c r="H74" s="13">
        <f t="shared" si="45"/>
        <v>232.26030919400247</v>
      </c>
      <c r="I74" s="13">
        <f t="shared" si="45"/>
        <v>232.81004724706344</v>
      </c>
      <c r="J74" s="13">
        <f t="shared" si="45"/>
        <v>233.35978545945119</v>
      </c>
      <c r="K74" s="13">
        <f t="shared" si="45"/>
        <v>233.90952367900863</v>
      </c>
      <c r="L74" s="13">
        <f t="shared" si="45"/>
        <v>234.45926189888871</v>
      </c>
      <c r="M74" s="13">
        <f t="shared" si="45"/>
        <v>235.00900011878332</v>
      </c>
      <c r="N74" s="13">
        <f t="shared" si="45"/>
        <v>235.55873833867858</v>
      </c>
      <c r="O74" s="13">
        <f t="shared" si="45"/>
        <v>236.10847655857387</v>
      </c>
      <c r="P74" s="13">
        <f t="shared" si="45"/>
        <v>236.65821477846916</v>
      </c>
      <c r="Q74" s="13">
        <f t="shared" si="45"/>
        <v>237.20795299836445</v>
      </c>
      <c r="R74" s="13">
        <f>SUM(R72:R73)</f>
        <v>2324.1478693021054</v>
      </c>
    </row>
    <row r="75" spans="1:19">
      <c r="A75" s="12" t="s">
        <v>78</v>
      </c>
      <c r="B75" s="12">
        <f>B69+B70-B74</f>
        <v>0</v>
      </c>
      <c r="C75" s="13">
        <f>C69+C70-C74</f>
        <v>0</v>
      </c>
      <c r="D75" s="13">
        <f t="shared" ref="D75:R75" si="46">D69+D70-D74</f>
        <v>0</v>
      </c>
      <c r="E75" s="13">
        <f t="shared" si="46"/>
        <v>0</v>
      </c>
      <c r="F75" s="13">
        <f t="shared" si="46"/>
        <v>0</v>
      </c>
      <c r="G75" s="13">
        <f t="shared" si="46"/>
        <v>0</v>
      </c>
      <c r="H75" s="13">
        <f t="shared" si="46"/>
        <v>0</v>
      </c>
      <c r="I75" s="13">
        <f t="shared" si="46"/>
        <v>0</v>
      </c>
      <c r="J75" s="13">
        <f t="shared" si="46"/>
        <v>0</v>
      </c>
      <c r="K75" s="13">
        <f t="shared" si="46"/>
        <v>0</v>
      </c>
      <c r="L75" s="13">
        <f t="shared" si="46"/>
        <v>0</v>
      </c>
      <c r="M75" s="13">
        <f t="shared" si="46"/>
        <v>0</v>
      </c>
      <c r="N75" s="13">
        <f t="shared" si="46"/>
        <v>0</v>
      </c>
      <c r="O75" s="13">
        <f t="shared" si="46"/>
        <v>0</v>
      </c>
      <c r="P75" s="13">
        <f t="shared" si="46"/>
        <v>0</v>
      </c>
      <c r="Q75" s="13">
        <f t="shared" si="46"/>
        <v>0</v>
      </c>
      <c r="R75" s="13">
        <f t="shared" si="46"/>
        <v>0</v>
      </c>
    </row>
    <row r="76" spans="1:19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tronc commun</vt:lpstr>
      <vt:lpstr>Immob vs plcmt</vt:lpstr>
      <vt:lpstr>Feuil6</vt:lpstr>
      <vt:lpstr>'Immob vs plcmt'!Zone_d_impression</vt:lpstr>
      <vt:lpstr>'tronc commun'!Zone_d_impression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SAINTCRICQJ</dc:creator>
  <cp:lastModifiedBy>evelyne</cp:lastModifiedBy>
  <dcterms:created xsi:type="dcterms:W3CDTF">2012-03-12T16:53:17Z</dcterms:created>
  <dcterms:modified xsi:type="dcterms:W3CDTF">2012-03-13T12:25:57Z</dcterms:modified>
</cp:coreProperties>
</file>