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2120" windowHeight="7680" activeTab="6"/>
  </bookViews>
  <sheets>
    <sheet name="Conso bilans" sheetId="2" r:id="rId1"/>
    <sheet name="data 1" sheetId="3" r:id="rId2"/>
    <sheet name="data 2+ana" sheetId="4" r:id="rId3"/>
    <sheet name="cptes ana" sheetId="6" r:id="rId4"/>
    <sheet name="Plan dvlpmt" sheetId="7" r:id="rId5"/>
    <sheet name="Kinegel BP1" sheetId="9" r:id="rId6"/>
    <sheet name="BP 1" sheetId="8" r:id="rId7"/>
  </sheets>
  <externalReferences>
    <externalReference r:id="rId8"/>
    <externalReference r:id="rId9"/>
  </externalReferences>
  <definedNames>
    <definedName name="_xlnm.Print_Area" localSheetId="6">'BP 1'!$A$1:$M$69</definedName>
    <definedName name="_xlnm.Print_Area" localSheetId="0">'Conso bilans'!$A$1:$I$87</definedName>
    <definedName name="_xlnm.Print_Area" localSheetId="3">'cptes ana'!$A$1:$O$24</definedName>
    <definedName name="_xlnm.Print_Area" localSheetId="1">'data 1'!$A$1:$K$81</definedName>
    <definedName name="_xlnm.Print_Area" localSheetId="2">'data 2+ana'!$A$1:$E$68</definedName>
    <definedName name="_xlnm.Print_Area" localSheetId="5">'Kinegel BP1'!$A$1:$H$72</definedName>
    <definedName name="_xlnm.Print_Area" localSheetId="4">'Plan dvlpmt'!$A$4:$M$67</definedName>
  </definedNames>
  <calcPr calcId="125725"/>
</workbook>
</file>

<file path=xl/calcChain.xml><?xml version="1.0" encoding="utf-8"?>
<calcChain xmlns="http://schemas.openxmlformats.org/spreadsheetml/2006/main">
  <c r="M8" i="8"/>
  <c r="G17"/>
  <c r="H17"/>
  <c r="I17"/>
  <c r="F17"/>
  <c r="G5"/>
  <c r="H5"/>
  <c r="I5"/>
  <c r="F5"/>
  <c r="E12" i="4"/>
  <c r="A1" i="9"/>
  <c r="A3" s="1"/>
  <c r="D4"/>
  <c r="E4" s="1"/>
  <c r="C5"/>
  <c r="D5"/>
  <c r="E5"/>
  <c r="F5"/>
  <c r="G5"/>
  <c r="H5"/>
  <c r="H62" s="1"/>
  <c r="H45" s="1"/>
  <c r="C6"/>
  <c r="D6"/>
  <c r="D61" s="1"/>
  <c r="E6"/>
  <c r="F6"/>
  <c r="F61" s="1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E12"/>
  <c r="F12"/>
  <c r="G12"/>
  <c r="H12"/>
  <c r="C18"/>
  <c r="D18"/>
  <c r="E18"/>
  <c r="F18"/>
  <c r="G18"/>
  <c r="H18"/>
  <c r="C20"/>
  <c r="D20"/>
  <c r="E20"/>
  <c r="F20"/>
  <c r="G20"/>
  <c r="H20"/>
  <c r="E21"/>
  <c r="F21"/>
  <c r="G21"/>
  <c r="H21"/>
  <c r="C22"/>
  <c r="C25"/>
  <c r="C28" s="1"/>
  <c r="C61"/>
  <c r="C64" s="1"/>
  <c r="C62"/>
  <c r="C63"/>
  <c r="D62"/>
  <c r="E61"/>
  <c r="E64" s="1"/>
  <c r="E62"/>
  <c r="E63"/>
  <c r="F62"/>
  <c r="G61"/>
  <c r="G64" s="1"/>
  <c r="G62"/>
  <c r="G63"/>
  <c r="A26"/>
  <c r="C27"/>
  <c r="D27"/>
  <c r="D42" s="1"/>
  <c r="D60" s="1"/>
  <c r="D68" s="1"/>
  <c r="H61"/>
  <c r="H64" s="1"/>
  <c r="H65" s="1"/>
  <c r="H63"/>
  <c r="H54" s="1"/>
  <c r="C39"/>
  <c r="C42"/>
  <c r="C60" s="1"/>
  <c r="C68" s="1"/>
  <c r="I42"/>
  <c r="C43"/>
  <c r="D43"/>
  <c r="E43" s="1"/>
  <c r="F43" s="1"/>
  <c r="G43" s="1"/>
  <c r="H43" s="1"/>
  <c r="H44"/>
  <c r="C45"/>
  <c r="D45"/>
  <c r="E45"/>
  <c r="F45"/>
  <c r="G45"/>
  <c r="C46"/>
  <c r="D46"/>
  <c r="E46" s="1"/>
  <c r="F46" s="1"/>
  <c r="G46" s="1"/>
  <c r="H46" s="1"/>
  <c r="C47"/>
  <c r="D47"/>
  <c r="E47" s="1"/>
  <c r="F47" s="1"/>
  <c r="G47" s="1"/>
  <c r="H47" s="1"/>
  <c r="C50"/>
  <c r="C51"/>
  <c r="C52"/>
  <c r="D52" s="1"/>
  <c r="E52" s="1"/>
  <c r="F52" s="1"/>
  <c r="G52" s="1"/>
  <c r="H52" s="1"/>
  <c r="C53"/>
  <c r="D53" s="1"/>
  <c r="E53" s="1"/>
  <c r="F53" s="1"/>
  <c r="G53" s="1"/>
  <c r="H53" s="1"/>
  <c r="C54"/>
  <c r="E54"/>
  <c r="G54"/>
  <c r="C55"/>
  <c r="D55" s="1"/>
  <c r="E55" s="1"/>
  <c r="F55" s="1"/>
  <c r="G55" s="1"/>
  <c r="H55" s="1"/>
  <c r="C56"/>
  <c r="D56" s="1"/>
  <c r="E56" s="1"/>
  <c r="F56" s="1"/>
  <c r="G56" s="1"/>
  <c r="H56" s="1"/>
  <c r="B57"/>
  <c r="B58" s="1"/>
  <c r="A59"/>
  <c r="A72"/>
  <c r="I79" i="7"/>
  <c r="D81"/>
  <c r="E81" s="1"/>
  <c r="I82"/>
  <c r="H79"/>
  <c r="H82"/>
  <c r="G79"/>
  <c r="G82"/>
  <c r="F79"/>
  <c r="F82"/>
  <c r="E79"/>
  <c r="E82"/>
  <c r="D79"/>
  <c r="D80"/>
  <c r="D82"/>
  <c r="D90"/>
  <c r="H10" i="6"/>
  <c r="H20" s="1"/>
  <c r="H24" s="1"/>
  <c r="I10"/>
  <c r="I20" s="1"/>
  <c r="I24" s="1"/>
  <c r="J10"/>
  <c r="J20" s="1"/>
  <c r="J24" s="1"/>
  <c r="G10"/>
  <c r="G20" s="1"/>
  <c r="G24" s="1"/>
  <c r="G8"/>
  <c r="C25" i="8"/>
  <c r="F4"/>
  <c r="G4" s="1"/>
  <c r="H4" s="1"/>
  <c r="I4" s="1"/>
  <c r="E8" i="4"/>
  <c r="D20" i="2"/>
  <c r="F20" s="1"/>
  <c r="I18" s="1"/>
  <c r="C52" i="8" s="1"/>
  <c r="C61" s="1"/>
  <c r="C65" i="4"/>
  <c r="E6" i="6"/>
  <c r="O6" s="1"/>
  <c r="E5" i="8" s="1"/>
  <c r="E60" s="1"/>
  <c r="X3" i="4"/>
  <c r="M22" i="6"/>
  <c r="C21" i="8" s="1"/>
  <c r="L23" i="6"/>
  <c r="B22" i="8" s="1"/>
  <c r="B83" s="1"/>
  <c r="M23" i="6"/>
  <c r="C22" i="8" s="1"/>
  <c r="C83" s="1"/>
  <c r="M21" i="6"/>
  <c r="C20" i="8" s="1"/>
  <c r="L21" i="6"/>
  <c r="B20" i="8" s="1"/>
  <c r="B71" s="1"/>
  <c r="T3" i="4"/>
  <c r="V3"/>
  <c r="D14" i="2"/>
  <c r="F14" s="1"/>
  <c r="I13" s="1"/>
  <c r="C47" i="8" s="1"/>
  <c r="E23" i="2"/>
  <c r="E24"/>
  <c r="F6" s="1"/>
  <c r="I7" s="1"/>
  <c r="C41" i="8" s="1"/>
  <c r="E41" s="1"/>
  <c r="F41" s="1"/>
  <c r="G41" s="1"/>
  <c r="H41" s="1"/>
  <c r="I41" s="1"/>
  <c r="D17" i="2"/>
  <c r="F17" s="1"/>
  <c r="D22"/>
  <c r="F22" s="1"/>
  <c r="I20" s="1"/>
  <c r="C54" i="8" s="1"/>
  <c r="E54" s="1"/>
  <c r="F54" s="1"/>
  <c r="G54" s="1"/>
  <c r="H54" s="1"/>
  <c r="I54" s="1"/>
  <c r="AO3" i="4"/>
  <c r="AP3"/>
  <c r="AQ3"/>
  <c r="AR3"/>
  <c r="AT3"/>
  <c r="AV3"/>
  <c r="AV69" s="1"/>
  <c r="E17" i="6" s="1"/>
  <c r="O17" s="1"/>
  <c r="E15" i="8" s="1"/>
  <c r="E80" s="1"/>
  <c r="AS3" i="4"/>
  <c r="G27" i="8"/>
  <c r="H27"/>
  <c r="B41"/>
  <c r="A1"/>
  <c r="A3" s="1"/>
  <c r="A24"/>
  <c r="B25"/>
  <c r="E25"/>
  <c r="E39" s="1"/>
  <c r="E58" s="1"/>
  <c r="E75" s="1"/>
  <c r="F25"/>
  <c r="G25"/>
  <c r="G39" s="1"/>
  <c r="G58" s="1"/>
  <c r="G75" s="1"/>
  <c r="H25"/>
  <c r="I25"/>
  <c r="I39" s="1"/>
  <c r="I58" s="1"/>
  <c r="I75" s="1"/>
  <c r="J25"/>
  <c r="I27"/>
  <c r="A38"/>
  <c r="B39"/>
  <c r="C39"/>
  <c r="C58" s="1"/>
  <c r="C75" s="1"/>
  <c r="F39"/>
  <c r="F58" s="1"/>
  <c r="F75" s="1"/>
  <c r="H39"/>
  <c r="H58" s="1"/>
  <c r="H75" s="1"/>
  <c r="J39"/>
  <c r="J58" s="1"/>
  <c r="E43"/>
  <c r="B58"/>
  <c r="B70" s="1"/>
  <c r="A69"/>
  <c r="B75"/>
  <c r="F80"/>
  <c r="G80"/>
  <c r="H80"/>
  <c r="I80"/>
  <c r="B86"/>
  <c r="E86"/>
  <c r="F86"/>
  <c r="G86"/>
  <c r="H86"/>
  <c r="I86"/>
  <c r="B87"/>
  <c r="B40" i="2"/>
  <c r="B21"/>
  <c r="D21" s="1"/>
  <c r="F21" s="1"/>
  <c r="I19" s="1"/>
  <c r="C53" i="8" s="1"/>
  <c r="B18" i="2"/>
  <c r="D18" s="1"/>
  <c r="F18" s="1"/>
  <c r="I16" s="1"/>
  <c r="C50" i="8" s="1"/>
  <c r="B12" i="2"/>
  <c r="D12" s="1"/>
  <c r="F12" s="1"/>
  <c r="I11" s="1"/>
  <c r="C45" i="8" s="1"/>
  <c r="B11" i="2"/>
  <c r="D11" s="1"/>
  <c r="F11" s="1"/>
  <c r="I10" s="1"/>
  <c r="C44" i="8" s="1"/>
  <c r="B9" i="2"/>
  <c r="D15"/>
  <c r="F15" s="1"/>
  <c r="D16"/>
  <c r="F16" s="1"/>
  <c r="I15" s="1"/>
  <c r="C49" i="8" s="1"/>
  <c r="D19" i="2"/>
  <c r="F19" s="1"/>
  <c r="I17" s="1"/>
  <c r="C51" i="8" s="1"/>
  <c r="D5" i="2"/>
  <c r="F5"/>
  <c r="I6" s="1"/>
  <c r="C40" i="8" s="1"/>
  <c r="D7" i="2"/>
  <c r="F7"/>
  <c r="D8"/>
  <c r="F8"/>
  <c r="D9"/>
  <c r="F9"/>
  <c r="D10"/>
  <c r="F10"/>
  <c r="I9" s="1"/>
  <c r="C43" i="8" s="1"/>
  <c r="C60" s="1"/>
  <c r="D23" i="2"/>
  <c r="D24" s="1"/>
  <c r="C23"/>
  <c r="C24" s="1"/>
  <c r="B23"/>
  <c r="B24" s="1"/>
  <c r="I8"/>
  <c r="C42" i="8" s="1"/>
  <c r="C59" s="1"/>
  <c r="L7" i="6"/>
  <c r="B6" i="8" s="1"/>
  <c r="M7" i="6"/>
  <c r="C6" i="8" s="1"/>
  <c r="N7" i="6"/>
  <c r="O7"/>
  <c r="E6" i="8" s="1"/>
  <c r="L19" i="6"/>
  <c r="B17" i="8" s="1"/>
  <c r="M19" i="6"/>
  <c r="C17" i="8" s="1"/>
  <c r="N19" i="6"/>
  <c r="O19"/>
  <c r="E17" i="8" s="1"/>
  <c r="N21" i="6"/>
  <c r="O21"/>
  <c r="L22"/>
  <c r="B21" i="8" s="1"/>
  <c r="N22" i="6"/>
  <c r="O22"/>
  <c r="N23"/>
  <c r="O23"/>
  <c r="C6"/>
  <c r="M6" s="1"/>
  <c r="B6"/>
  <c r="L6" s="1"/>
  <c r="B5" i="8" s="1"/>
  <c r="A1" i="7"/>
  <c r="A3" s="1"/>
  <c r="J20"/>
  <c r="J36" s="1"/>
  <c r="J53" s="1"/>
  <c r="D23"/>
  <c r="E23"/>
  <c r="F23"/>
  <c r="G23"/>
  <c r="H23"/>
  <c r="I23"/>
  <c r="D25"/>
  <c r="D24"/>
  <c r="E25"/>
  <c r="E24"/>
  <c r="F25"/>
  <c r="F24"/>
  <c r="G25"/>
  <c r="G24"/>
  <c r="H25"/>
  <c r="H24"/>
  <c r="I25"/>
  <c r="I24"/>
  <c r="D42"/>
  <c r="D41" s="1"/>
  <c r="D51" s="1"/>
  <c r="E42"/>
  <c r="F42"/>
  <c r="F41" s="1"/>
  <c r="G42"/>
  <c r="H42"/>
  <c r="H41" s="1"/>
  <c r="I42"/>
  <c r="K43"/>
  <c r="D44"/>
  <c r="E44"/>
  <c r="F44"/>
  <c r="G44"/>
  <c r="H44" s="1"/>
  <c r="I44" s="1"/>
  <c r="D56"/>
  <c r="D57" s="1"/>
  <c r="D67" s="1"/>
  <c r="E56"/>
  <c r="F56"/>
  <c r="F57" s="1"/>
  <c r="F67" s="1"/>
  <c r="G56"/>
  <c r="H56"/>
  <c r="H57" s="1"/>
  <c r="H67" s="1"/>
  <c r="I56"/>
  <c r="D58"/>
  <c r="E58"/>
  <c r="E57" s="1"/>
  <c r="E67" s="1"/>
  <c r="F58"/>
  <c r="G58"/>
  <c r="G57" s="1"/>
  <c r="G67" s="1"/>
  <c r="H58"/>
  <c r="I58"/>
  <c r="I57" s="1"/>
  <c r="I67" s="1"/>
  <c r="D59"/>
  <c r="E59"/>
  <c r="F59"/>
  <c r="G59"/>
  <c r="H59"/>
  <c r="I59"/>
  <c r="D73"/>
  <c r="E73"/>
  <c r="F73"/>
  <c r="G73"/>
  <c r="H73"/>
  <c r="I73"/>
  <c r="D74"/>
  <c r="D39" s="1"/>
  <c r="D40" s="1"/>
  <c r="D43" s="1"/>
  <c r="E74"/>
  <c r="E39" s="1"/>
  <c r="E40" s="1"/>
  <c r="F74"/>
  <c r="F39" s="1"/>
  <c r="F40" s="1"/>
  <c r="G74"/>
  <c r="G39" s="1"/>
  <c r="G40" s="1"/>
  <c r="H74"/>
  <c r="H39" s="1"/>
  <c r="H40" s="1"/>
  <c r="I74"/>
  <c r="I39" s="1"/>
  <c r="I40" s="1"/>
  <c r="I43" s="1"/>
  <c r="AG3" i="4"/>
  <c r="AI3"/>
  <c r="I3"/>
  <c r="J3"/>
  <c r="K3"/>
  <c r="L3"/>
  <c r="M3"/>
  <c r="O3"/>
  <c r="O69"/>
  <c r="B17" i="6" s="1"/>
  <c r="L17" s="1"/>
  <c r="C11" i="4"/>
  <c r="C33"/>
  <c r="C49"/>
  <c r="R49" s="1"/>
  <c r="G49"/>
  <c r="G46"/>
  <c r="H49" s="1"/>
  <c r="C50"/>
  <c r="R50" s="1"/>
  <c r="G50"/>
  <c r="H50" s="1"/>
  <c r="G9"/>
  <c r="R9"/>
  <c r="S9"/>
  <c r="G14"/>
  <c r="C14"/>
  <c r="R14" s="1"/>
  <c r="S14" s="1"/>
  <c r="G16"/>
  <c r="R16"/>
  <c r="S16" s="1"/>
  <c r="R46"/>
  <c r="S46" s="1"/>
  <c r="G47"/>
  <c r="H47" s="1"/>
  <c r="S47" s="1"/>
  <c r="R47"/>
  <c r="G48"/>
  <c r="H48" s="1"/>
  <c r="S48" s="1"/>
  <c r="R48"/>
  <c r="G51"/>
  <c r="H51" s="1"/>
  <c r="C51"/>
  <c r="R51" s="1"/>
  <c r="T9"/>
  <c r="T14"/>
  <c r="T16"/>
  <c r="T46"/>
  <c r="I47"/>
  <c r="T47"/>
  <c r="I48"/>
  <c r="T48"/>
  <c r="I49"/>
  <c r="I50"/>
  <c r="I51"/>
  <c r="T51"/>
  <c r="C28"/>
  <c r="C29"/>
  <c r="C39"/>
  <c r="U9"/>
  <c r="U14"/>
  <c r="U16"/>
  <c r="U46"/>
  <c r="J47"/>
  <c r="U47"/>
  <c r="J48"/>
  <c r="U48"/>
  <c r="J49"/>
  <c r="J50"/>
  <c r="J51"/>
  <c r="U51"/>
  <c r="V9"/>
  <c r="V14"/>
  <c r="V16"/>
  <c r="V46"/>
  <c r="K47"/>
  <c r="V47"/>
  <c r="K48"/>
  <c r="V48"/>
  <c r="K49"/>
  <c r="K50"/>
  <c r="K51"/>
  <c r="V51"/>
  <c r="X9"/>
  <c r="X14"/>
  <c r="X16"/>
  <c r="X46"/>
  <c r="M47"/>
  <c r="X47"/>
  <c r="M48"/>
  <c r="X48"/>
  <c r="M49"/>
  <c r="M50"/>
  <c r="M51"/>
  <c r="X51"/>
  <c r="C12"/>
  <c r="C15"/>
  <c r="C17"/>
  <c r="C19"/>
  <c r="C25"/>
  <c r="C35"/>
  <c r="C40"/>
  <c r="Y9"/>
  <c r="Y14"/>
  <c r="Y16"/>
  <c r="Y46"/>
  <c r="Y47"/>
  <c r="Y48"/>
  <c r="Y51"/>
  <c r="C58"/>
  <c r="W3" s="1"/>
  <c r="C59"/>
  <c r="W9"/>
  <c r="W14"/>
  <c r="W16"/>
  <c r="W46"/>
  <c r="W47"/>
  <c r="W48"/>
  <c r="W51"/>
  <c r="D3"/>
  <c r="D4"/>
  <c r="D6"/>
  <c r="D7"/>
  <c r="D11"/>
  <c r="D33"/>
  <c r="D49"/>
  <c r="AC49"/>
  <c r="D50"/>
  <c r="AC50" s="1"/>
  <c r="D65"/>
  <c r="D9"/>
  <c r="AC9" s="1"/>
  <c r="D14"/>
  <c r="AC14"/>
  <c r="AD14" s="1"/>
  <c r="D16"/>
  <c r="AC16" s="1"/>
  <c r="AC46"/>
  <c r="AD46"/>
  <c r="AC47"/>
  <c r="AD47"/>
  <c r="AC48"/>
  <c r="AD48"/>
  <c r="AC51"/>
  <c r="D18"/>
  <c r="AE3" s="1"/>
  <c r="D34"/>
  <c r="AE46"/>
  <c r="AE47"/>
  <c r="AE48"/>
  <c r="AE51"/>
  <c r="D21"/>
  <c r="D24"/>
  <c r="D38"/>
  <c r="D39"/>
  <c r="AF46"/>
  <c r="AF47"/>
  <c r="AF48"/>
  <c r="AF51"/>
  <c r="AG46"/>
  <c r="AG47"/>
  <c r="AG48"/>
  <c r="AG51"/>
  <c r="AI14"/>
  <c r="AI46"/>
  <c r="AI47"/>
  <c r="AI48"/>
  <c r="AI51"/>
  <c r="D10"/>
  <c r="D12"/>
  <c r="D13"/>
  <c r="D15"/>
  <c r="E15" s="1"/>
  <c r="AU3" s="1"/>
  <c r="D17"/>
  <c r="D19"/>
  <c r="D25"/>
  <c r="D27"/>
  <c r="D35"/>
  <c r="D37"/>
  <c r="D40"/>
  <c r="D41"/>
  <c r="AJ14"/>
  <c r="AJ46"/>
  <c r="AJ47"/>
  <c r="AJ48"/>
  <c r="AJ51"/>
  <c r="D53"/>
  <c r="D54"/>
  <c r="D55"/>
  <c r="D57"/>
  <c r="D58"/>
  <c r="D59"/>
  <c r="D60"/>
  <c r="D62"/>
  <c r="AH14"/>
  <c r="AH46"/>
  <c r="AH47"/>
  <c r="AH48"/>
  <c r="AH51"/>
  <c r="AN49"/>
  <c r="AN50"/>
  <c r="AN9"/>
  <c r="AN14"/>
  <c r="AO14" s="1"/>
  <c r="AN16"/>
  <c r="AN46"/>
  <c r="AO46" s="1"/>
  <c r="AN47"/>
  <c r="AO47" s="1"/>
  <c r="AN48"/>
  <c r="AO48" s="1"/>
  <c r="AN51"/>
  <c r="AP47"/>
  <c r="AQ46"/>
  <c r="AQ51"/>
  <c r="AR47"/>
  <c r="AT14"/>
  <c r="AT46"/>
  <c r="AT51"/>
  <c r="AU14"/>
  <c r="AU46"/>
  <c r="AU51"/>
  <c r="AS47"/>
  <c r="H3"/>
  <c r="H69" s="1"/>
  <c r="B9" i="6" s="1"/>
  <c r="L9" s="1"/>
  <c r="I69" i="4"/>
  <c r="B12" i="6" s="1"/>
  <c r="L12" s="1"/>
  <c r="J69" i="4"/>
  <c r="B13" i="6" s="1"/>
  <c r="L13" s="1"/>
  <c r="K69" i="4"/>
  <c r="B14" i="6" s="1"/>
  <c r="L14" s="1"/>
  <c r="M69" i="4"/>
  <c r="B15" i="6" s="1"/>
  <c r="L15" s="1"/>
  <c r="B25" i="4"/>
  <c r="N3" s="1"/>
  <c r="N69" s="1"/>
  <c r="B16" i="6" s="1"/>
  <c r="L16" s="1"/>
  <c r="L69" i="4"/>
  <c r="B18" i="6" s="1"/>
  <c r="L18" s="1"/>
  <c r="E52" i="4"/>
  <c r="E43"/>
  <c r="E44" s="1"/>
  <c r="E64" s="1"/>
  <c r="E68" s="1"/>
  <c r="E73" s="1"/>
  <c r="E63"/>
  <c r="C8"/>
  <c r="C43"/>
  <c r="C44"/>
  <c r="C63"/>
  <c r="C67"/>
  <c r="Z3" s="1"/>
  <c r="Z69" s="1"/>
  <c r="C17" i="6" s="1"/>
  <c r="M17" s="1"/>
  <c r="D43" i="4"/>
  <c r="D52"/>
  <c r="D63"/>
  <c r="D66"/>
  <c r="B8"/>
  <c r="B52"/>
  <c r="B63"/>
  <c r="AW64"/>
  <c r="AL46"/>
  <c r="AM46" s="1"/>
  <c r="AL47"/>
  <c r="AL48"/>
  <c r="AM48" s="1"/>
  <c r="AL64"/>
  <c r="AN68"/>
  <c r="AN67"/>
  <c r="AN66"/>
  <c r="AN64"/>
  <c r="AN63"/>
  <c r="AN62"/>
  <c r="AN61"/>
  <c r="AN60"/>
  <c r="AN59"/>
  <c r="AN58"/>
  <c r="AN57"/>
  <c r="AN56"/>
  <c r="AN55"/>
  <c r="AN54"/>
  <c r="AN53"/>
  <c r="AN52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5"/>
  <c r="AN13"/>
  <c r="AN12"/>
  <c r="AN11"/>
  <c r="AN10"/>
  <c r="AN8"/>
  <c r="AN7"/>
  <c r="AN6"/>
  <c r="AN5"/>
  <c r="AN4"/>
  <c r="AN3"/>
  <c r="AA47"/>
  <c r="AB47" s="1"/>
  <c r="AA46"/>
  <c r="AA48"/>
  <c r="AA9"/>
  <c r="AB9" s="1"/>
  <c r="AA14"/>
  <c r="AA16"/>
  <c r="AA64"/>
  <c r="P47"/>
  <c r="P46"/>
  <c r="P48"/>
  <c r="P49"/>
  <c r="Q49" s="1"/>
  <c r="P50"/>
  <c r="P51"/>
  <c r="Q51" s="1"/>
  <c r="P9"/>
  <c r="P10"/>
  <c r="P11"/>
  <c r="P12"/>
  <c r="P13"/>
  <c r="P14"/>
  <c r="P15"/>
  <c r="P16"/>
  <c r="Q16" s="1"/>
  <c r="P64"/>
  <c r="AC68"/>
  <c r="AC67"/>
  <c r="AC66"/>
  <c r="R64"/>
  <c r="AC64"/>
  <c r="AC63"/>
  <c r="AC62"/>
  <c r="AC61"/>
  <c r="AC60"/>
  <c r="AC59"/>
  <c r="AC58"/>
  <c r="AC57"/>
  <c r="AC56"/>
  <c r="AC55"/>
  <c r="AC54"/>
  <c r="AC53"/>
  <c r="AC52"/>
  <c r="AM47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5"/>
  <c r="AC13"/>
  <c r="AC12"/>
  <c r="AC11"/>
  <c r="AC10"/>
  <c r="AC8"/>
  <c r="AC7"/>
  <c r="AC6"/>
  <c r="AC5"/>
  <c r="AC4"/>
  <c r="AC3"/>
  <c r="A1" i="6"/>
  <c r="A25" s="1"/>
  <c r="R68" i="4"/>
  <c r="R67"/>
  <c r="R66"/>
  <c r="R63"/>
  <c r="R62"/>
  <c r="R61"/>
  <c r="R60"/>
  <c r="R59"/>
  <c r="R58"/>
  <c r="R57"/>
  <c r="R56"/>
  <c r="R55"/>
  <c r="R54"/>
  <c r="R53"/>
  <c r="R52"/>
  <c r="AB48"/>
  <c r="AB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AB16"/>
  <c r="R15"/>
  <c r="AB14"/>
  <c r="R13"/>
  <c r="R12"/>
  <c r="R11"/>
  <c r="R10"/>
  <c r="R8"/>
  <c r="R7"/>
  <c r="R6"/>
  <c r="R5"/>
  <c r="R4"/>
  <c r="R3"/>
  <c r="Q14"/>
  <c r="Q46"/>
  <c r="Q47"/>
  <c r="Q48"/>
  <c r="Q50"/>
  <c r="Q65"/>
  <c r="Q9"/>
  <c r="G53"/>
  <c r="G54"/>
  <c r="G55"/>
  <c r="G56"/>
  <c r="G57"/>
  <c r="G4"/>
  <c r="G5"/>
  <c r="G6"/>
  <c r="G7"/>
  <c r="G8"/>
  <c r="G10"/>
  <c r="G11"/>
  <c r="G12"/>
  <c r="G13"/>
  <c r="G1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52"/>
  <c r="G58"/>
  <c r="G59"/>
  <c r="G60"/>
  <c r="G61"/>
  <c r="G62"/>
  <c r="G63"/>
  <c r="G64"/>
  <c r="G66"/>
  <c r="G67"/>
  <c r="G68"/>
  <c r="G3"/>
  <c r="C2"/>
  <c r="F3" i="3"/>
  <c r="I3"/>
  <c r="F4"/>
  <c r="I4"/>
  <c r="I7" s="1"/>
  <c r="D5"/>
  <c r="F6"/>
  <c r="F62" s="1"/>
  <c r="F7"/>
  <c r="C8"/>
  <c r="D8"/>
  <c r="E8"/>
  <c r="G8"/>
  <c r="J8"/>
  <c r="F9"/>
  <c r="I9"/>
  <c r="F10"/>
  <c r="I10"/>
  <c r="D11"/>
  <c r="F11"/>
  <c r="I11"/>
  <c r="D12"/>
  <c r="I12" s="1"/>
  <c r="F13"/>
  <c r="I13"/>
  <c r="D14"/>
  <c r="F14"/>
  <c r="I14" s="1"/>
  <c r="D15"/>
  <c r="F15" s="1"/>
  <c r="F16"/>
  <c r="I16"/>
  <c r="D17"/>
  <c r="F17"/>
  <c r="I17"/>
  <c r="F18"/>
  <c r="I18"/>
  <c r="D19"/>
  <c r="F19" s="1"/>
  <c r="F21"/>
  <c r="I21"/>
  <c r="F24"/>
  <c r="I24"/>
  <c r="B25"/>
  <c r="D25"/>
  <c r="F25" s="1"/>
  <c r="I25"/>
  <c r="F27"/>
  <c r="I27"/>
  <c r="D28"/>
  <c r="I28"/>
  <c r="D29"/>
  <c r="I30"/>
  <c r="I31"/>
  <c r="I32"/>
  <c r="D33"/>
  <c r="F33"/>
  <c r="F34"/>
  <c r="D35"/>
  <c r="I35" s="1"/>
  <c r="I36"/>
  <c r="F37"/>
  <c r="F38"/>
  <c r="D39"/>
  <c r="F39" s="1"/>
  <c r="I39"/>
  <c r="D40"/>
  <c r="F40"/>
  <c r="I40"/>
  <c r="F41"/>
  <c r="I41"/>
  <c r="C43"/>
  <c r="C44"/>
  <c r="C46"/>
  <c r="I46"/>
  <c r="I47"/>
  <c r="I54" s="1"/>
  <c r="C49"/>
  <c r="D49"/>
  <c r="F49"/>
  <c r="I49"/>
  <c r="C50"/>
  <c r="D50"/>
  <c r="F50"/>
  <c r="I50"/>
  <c r="D51"/>
  <c r="B52"/>
  <c r="C52" s="1"/>
  <c r="D52"/>
  <c r="E52" s="1"/>
  <c r="F52"/>
  <c r="G52" s="1"/>
  <c r="I52"/>
  <c r="J52" s="1"/>
  <c r="C53"/>
  <c r="F53"/>
  <c r="I53"/>
  <c r="C54"/>
  <c r="F54"/>
  <c r="F55"/>
  <c r="I55"/>
  <c r="C56"/>
  <c r="I56"/>
  <c r="C57"/>
  <c r="F57"/>
  <c r="I57"/>
  <c r="C58"/>
  <c r="D58"/>
  <c r="F58" s="1"/>
  <c r="C59"/>
  <c r="D59"/>
  <c r="F59" s="1"/>
  <c r="C60"/>
  <c r="F60"/>
  <c r="I60"/>
  <c r="C61"/>
  <c r="I61"/>
  <c r="C62"/>
  <c r="C64"/>
  <c r="D65"/>
  <c r="F65"/>
  <c r="I65"/>
  <c r="F66"/>
  <c r="D67"/>
  <c r="C68"/>
  <c r="F69"/>
  <c r="I69"/>
  <c r="F70"/>
  <c r="I70"/>
  <c r="C71"/>
  <c r="D72"/>
  <c r="C74"/>
  <c r="C75"/>
  <c r="C76"/>
  <c r="C77"/>
  <c r="C78"/>
  <c r="F78"/>
  <c r="I78"/>
  <c r="C79"/>
  <c r="I79"/>
  <c r="C80"/>
  <c r="F80"/>
  <c r="I80"/>
  <c r="C81"/>
  <c r="A1" i="2"/>
  <c r="A25" s="1"/>
  <c r="B27"/>
  <c r="D27" s="1"/>
  <c r="D29"/>
  <c r="F29" s="1"/>
  <c r="D31"/>
  <c r="F31" s="1"/>
  <c r="I30" s="1"/>
  <c r="B42" i="8" s="1"/>
  <c r="B59" s="1"/>
  <c r="C30" i="2"/>
  <c r="D30"/>
  <c r="F30" s="1"/>
  <c r="D32"/>
  <c r="F32" s="1"/>
  <c r="I31" s="1"/>
  <c r="B43" i="8" s="1"/>
  <c r="B60" s="1"/>
  <c r="B66" s="1"/>
  <c r="B33" i="2"/>
  <c r="D33"/>
  <c r="F33" s="1"/>
  <c r="I32" s="1"/>
  <c r="B44" i="8" s="1"/>
  <c r="C29" s="1"/>
  <c r="D34" i="2"/>
  <c r="F34"/>
  <c r="I33" s="1"/>
  <c r="B45" i="8" s="1"/>
  <c r="C36" s="1"/>
  <c r="D36" i="2"/>
  <c r="E45"/>
  <c r="E46"/>
  <c r="D37"/>
  <c r="F37"/>
  <c r="I36" s="1"/>
  <c r="B48" i="8" s="1"/>
  <c r="E48" s="1"/>
  <c r="F48" s="1"/>
  <c r="G48" s="1"/>
  <c r="H48" s="1"/>
  <c r="I48" s="1"/>
  <c r="D38" i="2"/>
  <c r="F38" s="1"/>
  <c r="I37" s="1"/>
  <c r="B49" i="8" s="1"/>
  <c r="B72" s="1"/>
  <c r="D39" i="2"/>
  <c r="F39" s="1"/>
  <c r="D40"/>
  <c r="F40"/>
  <c r="I38" s="1"/>
  <c r="B50" i="8" s="1"/>
  <c r="D41" i="2"/>
  <c r="F41" s="1"/>
  <c r="I39" s="1"/>
  <c r="B51" i="8" s="1"/>
  <c r="D42" i="2"/>
  <c r="F42"/>
  <c r="I40" s="1"/>
  <c r="B52" i="8" s="1"/>
  <c r="B61" s="1"/>
  <c r="D43" i="2"/>
  <c r="F43" s="1"/>
  <c r="I41" s="1"/>
  <c r="B53" i="8" s="1"/>
  <c r="D44" i="2"/>
  <c r="F44"/>
  <c r="I42" s="1"/>
  <c r="B54" i="8" s="1"/>
  <c r="B45" i="2"/>
  <c r="B46" s="1"/>
  <c r="C45"/>
  <c r="D45"/>
  <c r="C46"/>
  <c r="A47"/>
  <c r="D49"/>
  <c r="F49"/>
  <c r="E67"/>
  <c r="E68"/>
  <c r="F50" s="1"/>
  <c r="I50" s="1"/>
  <c r="D51"/>
  <c r="F51"/>
  <c r="D53"/>
  <c r="F53"/>
  <c r="I52" s="1"/>
  <c r="C52"/>
  <c r="D52" s="1"/>
  <c r="F52" s="1"/>
  <c r="D54"/>
  <c r="F54"/>
  <c r="I53" s="1"/>
  <c r="C55"/>
  <c r="D55" s="1"/>
  <c r="F55" s="1"/>
  <c r="I54" s="1"/>
  <c r="C56"/>
  <c r="D56" s="1"/>
  <c r="F56" s="1"/>
  <c r="I55" s="1"/>
  <c r="F58"/>
  <c r="I57" s="1"/>
  <c r="D59"/>
  <c r="F59" s="1"/>
  <c r="I58" s="1"/>
  <c r="D58"/>
  <c r="D60"/>
  <c r="F60" s="1"/>
  <c r="C61"/>
  <c r="D61" s="1"/>
  <c r="D62"/>
  <c r="F62" s="1"/>
  <c r="I60" s="1"/>
  <c r="D63"/>
  <c r="F63"/>
  <c r="I61" s="1"/>
  <c r="D64"/>
  <c r="F64" s="1"/>
  <c r="I62" s="1"/>
  <c r="D65"/>
  <c r="F65"/>
  <c r="I63" s="1"/>
  <c r="D66"/>
  <c r="F66" s="1"/>
  <c r="I64" s="1"/>
  <c r="E8" i="6" l="1"/>
  <c r="O8" s="1"/>
  <c r="E7" i="8" s="1"/>
  <c r="E76" s="1"/>
  <c r="E40"/>
  <c r="F40" s="1"/>
  <c r="G40" s="1"/>
  <c r="H40" s="1"/>
  <c r="I40" s="1"/>
  <c r="U50" i="4"/>
  <c r="AF50" s="1"/>
  <c r="AQ50" s="1"/>
  <c r="V50"/>
  <c r="X50"/>
  <c r="AI50" s="1"/>
  <c r="AT50" s="1"/>
  <c r="W50"/>
  <c r="T50"/>
  <c r="Y50"/>
  <c r="U49"/>
  <c r="AF49" s="1"/>
  <c r="AQ49" s="1"/>
  <c r="V49"/>
  <c r="X49"/>
  <c r="AI49" s="1"/>
  <c r="AT49" s="1"/>
  <c r="Y49"/>
  <c r="T49"/>
  <c r="AE49" s="1"/>
  <c r="AP49" s="1"/>
  <c r="W49"/>
  <c r="B73" i="8"/>
  <c r="S50" i="4"/>
  <c r="C52"/>
  <c r="AH49"/>
  <c r="AJ49"/>
  <c r="AU49" s="1"/>
  <c r="AG49"/>
  <c r="S49"/>
  <c r="AA49" s="1"/>
  <c r="AB49" s="1"/>
  <c r="D67" i="2"/>
  <c r="D68" s="1"/>
  <c r="F61"/>
  <c r="B62" i="8"/>
  <c r="F27" i="2"/>
  <c r="I28" s="1"/>
  <c r="B40" i="8" s="1"/>
  <c r="D46" i="2"/>
  <c r="B14" i="8"/>
  <c r="B14" i="7"/>
  <c r="AD9" i="4"/>
  <c r="AE9"/>
  <c r="AF9"/>
  <c r="AG9"/>
  <c r="AR9" s="1"/>
  <c r="AI9"/>
  <c r="AJ9"/>
  <c r="AH9"/>
  <c r="AP9"/>
  <c r="AS9"/>
  <c r="AD50"/>
  <c r="AE50"/>
  <c r="AP50" s="1"/>
  <c r="AG50"/>
  <c r="AR50" s="1"/>
  <c r="AJ50"/>
  <c r="AU50" s="1"/>
  <c r="AH50"/>
  <c r="AS50" s="1"/>
  <c r="I59" i="2"/>
  <c r="I65" s="1"/>
  <c r="I66" s="1"/>
  <c r="F63" i="3"/>
  <c r="AO9" i="4"/>
  <c r="AP48"/>
  <c r="AQ48" s="1"/>
  <c r="AR48" s="1"/>
  <c r="AS48" s="1"/>
  <c r="AT48" s="1"/>
  <c r="AU48" s="1"/>
  <c r="AW48"/>
  <c r="AX48" s="1"/>
  <c r="AD16"/>
  <c r="AE16"/>
  <c r="AF16"/>
  <c r="AG16"/>
  <c r="AR16" s="1"/>
  <c r="AI16"/>
  <c r="AJ16"/>
  <c r="AH16"/>
  <c r="AP16"/>
  <c r="AS16"/>
  <c r="AO50"/>
  <c r="C15" i="8"/>
  <c r="C80" s="1"/>
  <c r="C15" i="7"/>
  <c r="D15" s="1"/>
  <c r="E15" s="1"/>
  <c r="F15" s="1"/>
  <c r="G15" s="1"/>
  <c r="H15" s="1"/>
  <c r="I15" s="1"/>
  <c r="B13" i="8"/>
  <c r="B13" i="7"/>
  <c r="B11" i="8"/>
  <c r="B11" i="7"/>
  <c r="AW3" i="4"/>
  <c r="D6" i="6"/>
  <c r="D5" i="4"/>
  <c r="B15" i="8"/>
  <c r="B80" s="1"/>
  <c r="B15" i="7"/>
  <c r="H43"/>
  <c r="F43"/>
  <c r="C31" i="8"/>
  <c r="E49"/>
  <c r="E20"/>
  <c r="I59" i="3"/>
  <c r="I58"/>
  <c r="I63" s="1"/>
  <c r="I19"/>
  <c r="I15"/>
  <c r="I43" s="1"/>
  <c r="J43" s="1"/>
  <c r="F5"/>
  <c r="F8" s="1"/>
  <c r="F67" i="2"/>
  <c r="F68" s="1"/>
  <c r="C67"/>
  <c r="C68" s="1"/>
  <c r="A3"/>
  <c r="D63" i="3"/>
  <c r="D43"/>
  <c r="I38"/>
  <c r="I37"/>
  <c r="F35"/>
  <c r="I34"/>
  <c r="I33"/>
  <c r="F12"/>
  <c r="F43" s="1"/>
  <c r="G43" s="1"/>
  <c r="I6"/>
  <c r="I62" s="1"/>
  <c r="A3" i="6"/>
  <c r="E69" i="4"/>
  <c r="B43"/>
  <c r="B44" s="1"/>
  <c r="B64" s="1"/>
  <c r="B68" s="1"/>
  <c r="B69" s="1"/>
  <c r="AS51"/>
  <c r="AS49"/>
  <c r="AS46"/>
  <c r="AS14"/>
  <c r="AU47"/>
  <c r="AU16"/>
  <c r="AU9"/>
  <c r="AT47"/>
  <c r="AT16"/>
  <c r="AT9"/>
  <c r="AR51"/>
  <c r="AR49"/>
  <c r="AR46"/>
  <c r="AR14"/>
  <c r="AQ47"/>
  <c r="AW47" s="1"/>
  <c r="AX47" s="1"/>
  <c r="AQ16"/>
  <c r="AQ9"/>
  <c r="AP51"/>
  <c r="AP46"/>
  <c r="AW46" s="1"/>
  <c r="AX46" s="1"/>
  <c r="AP14"/>
  <c r="AW14" s="1"/>
  <c r="AX14" s="1"/>
  <c r="AG14"/>
  <c r="AF14"/>
  <c r="AQ14" s="1"/>
  <c r="AE14"/>
  <c r="AL14" s="1"/>
  <c r="AM14" s="1"/>
  <c r="AK3"/>
  <c r="AK69" s="1"/>
  <c r="D17" i="6" s="1"/>
  <c r="N17" s="1"/>
  <c r="U3" i="4"/>
  <c r="S51"/>
  <c r="I41" i="7"/>
  <c r="I51" s="1"/>
  <c r="G41"/>
  <c r="E41"/>
  <c r="B16"/>
  <c r="B16" i="8"/>
  <c r="B12"/>
  <c r="B12" i="7"/>
  <c r="B10" i="8"/>
  <c r="B10" i="7"/>
  <c r="G43"/>
  <c r="E43"/>
  <c r="C62" i="8"/>
  <c r="E51"/>
  <c r="F51" s="1"/>
  <c r="G51" s="1"/>
  <c r="H51" s="1"/>
  <c r="I51" s="1"/>
  <c r="C33"/>
  <c r="F23" i="2"/>
  <c r="F24" s="1"/>
  <c r="I14"/>
  <c r="F36"/>
  <c r="C64" i="4"/>
  <c r="C68" s="1"/>
  <c r="P3"/>
  <c r="P69" s="1"/>
  <c r="AH3"/>
  <c r="AH69" s="1"/>
  <c r="D18" i="6" s="1"/>
  <c r="N18" s="1"/>
  <c r="AJ3" i="4"/>
  <c r="AF3"/>
  <c r="W69"/>
  <c r="C18" i="6" s="1"/>
  <c r="M18" s="1"/>
  <c r="Y3" i="4"/>
  <c r="Y69" s="1"/>
  <c r="C16" i="6" s="1"/>
  <c r="M16" s="1"/>
  <c r="V69" i="4"/>
  <c r="C14" i="6" s="1"/>
  <c r="M14" s="1"/>
  <c r="H51" i="7"/>
  <c r="F51"/>
  <c r="C32" i="8"/>
  <c r="E50"/>
  <c r="F50" s="1"/>
  <c r="G50" s="1"/>
  <c r="H50" s="1"/>
  <c r="I50" s="1"/>
  <c r="F44" i="9"/>
  <c r="D44"/>
  <c r="F4"/>
  <c r="E27"/>
  <c r="E42" s="1"/>
  <c r="E60" s="1"/>
  <c r="E68" s="1"/>
  <c r="B8" i="6"/>
  <c r="C8"/>
  <c r="B17" i="7"/>
  <c r="C17"/>
  <c r="D17" s="1"/>
  <c r="E17" s="1"/>
  <c r="F17" s="1"/>
  <c r="G17" s="1"/>
  <c r="H17" s="1"/>
  <c r="I17" s="1"/>
  <c r="C6"/>
  <c r="D6" s="1"/>
  <c r="E6" s="1"/>
  <c r="F6" s="1"/>
  <c r="G6" s="1"/>
  <c r="H6" s="1"/>
  <c r="I6" s="1"/>
  <c r="A74" i="8"/>
  <c r="A57"/>
  <c r="C5"/>
  <c r="E29" s="1"/>
  <c r="E44" s="1"/>
  <c r="C5" i="7"/>
  <c r="H29" i="8"/>
  <c r="F29"/>
  <c r="H34"/>
  <c r="C34"/>
  <c r="F81" i="7"/>
  <c r="E80"/>
  <c r="E90" s="1"/>
  <c r="H66" i="9"/>
  <c r="H31" s="1"/>
  <c r="G65"/>
  <c r="E65"/>
  <c r="C66"/>
  <c r="C31" s="1"/>
  <c r="C40" s="1"/>
  <c r="C65"/>
  <c r="S3" i="4"/>
  <c r="B5" i="7"/>
  <c r="B6"/>
  <c r="C35" i="8"/>
  <c r="A67" i="9"/>
  <c r="C57"/>
  <c r="D51"/>
  <c r="G44"/>
  <c r="E44"/>
  <c r="C44"/>
  <c r="A41"/>
  <c r="F63"/>
  <c r="F54" s="1"/>
  <c r="D63"/>
  <c r="D54" s="1"/>
  <c r="AF69" i="4" l="1"/>
  <c r="D13" i="6" s="1"/>
  <c r="N13" s="1"/>
  <c r="AP69" i="4"/>
  <c r="E12" i="6" s="1"/>
  <c r="O12" s="1"/>
  <c r="E10" i="8" s="1"/>
  <c r="T69" i="4"/>
  <c r="C12" i="6" s="1"/>
  <c r="M12" s="1"/>
  <c r="I34" i="8"/>
  <c r="G29"/>
  <c r="X69" i="4"/>
  <c r="C15" i="6" s="1"/>
  <c r="M15" s="1"/>
  <c r="AJ69" i="4"/>
  <c r="D16" i="6" s="1"/>
  <c r="N16" s="1"/>
  <c r="U69" i="4"/>
  <c r="C13" i="6" s="1"/>
  <c r="M13" s="1"/>
  <c r="AA50" i="4"/>
  <c r="AB50" s="1"/>
  <c r="F44" i="8"/>
  <c r="C66"/>
  <c r="F34"/>
  <c r="E34"/>
  <c r="E53" s="1"/>
  <c r="G34"/>
  <c r="I29"/>
  <c r="AT69" i="4"/>
  <c r="E15" i="6" s="1"/>
  <c r="O15" s="1"/>
  <c r="E13" i="8" s="1"/>
  <c r="AU69" i="4"/>
  <c r="E16" i="6" s="1"/>
  <c r="O16" s="1"/>
  <c r="E14" i="8" s="1"/>
  <c r="AS69" i="4"/>
  <c r="E18" i="6" s="1"/>
  <c r="O18" s="1"/>
  <c r="E16" i="8" s="1"/>
  <c r="AD49" i="4"/>
  <c r="AR69"/>
  <c r="E14" i="6" s="1"/>
  <c r="O14" s="1"/>
  <c r="E12" i="8" s="1"/>
  <c r="C48" i="9"/>
  <c r="D22" s="1"/>
  <c r="D25" s="1"/>
  <c r="D39"/>
  <c r="E51"/>
  <c r="C14" i="7"/>
  <c r="D14" s="1"/>
  <c r="E14" s="1"/>
  <c r="F14" i="8" s="1"/>
  <c r="C14"/>
  <c r="C73" i="4"/>
  <c r="C69"/>
  <c r="I21" i="2"/>
  <c r="I22" s="1"/>
  <c r="C48" i="8"/>
  <c r="C55" s="1"/>
  <c r="C56" s="1"/>
  <c r="C11"/>
  <c r="C11" i="7"/>
  <c r="D11" s="1"/>
  <c r="E11" s="1"/>
  <c r="F12" i="8" s="1"/>
  <c r="E43" i="3"/>
  <c r="D44"/>
  <c r="G7" i="8"/>
  <c r="G60"/>
  <c r="G43" s="1"/>
  <c r="I7"/>
  <c r="I60"/>
  <c r="I43" s="1"/>
  <c r="D8" i="6"/>
  <c r="N6"/>
  <c r="E51" i="7"/>
  <c r="B79" i="8"/>
  <c r="AW50" i="4"/>
  <c r="AX50" s="1"/>
  <c r="AL16"/>
  <c r="AM16" s="1"/>
  <c r="AO16"/>
  <c r="AL50"/>
  <c r="AM50" s="1"/>
  <c r="AI69"/>
  <c r="D15" i="6" s="1"/>
  <c r="N15" s="1"/>
  <c r="AL9" i="4"/>
  <c r="AM9" s="1"/>
  <c r="C27" i="8"/>
  <c r="C86" s="1"/>
  <c r="S69" i="4"/>
  <c r="C9" i="6" s="1"/>
  <c r="M9" s="1"/>
  <c r="AA3" i="4"/>
  <c r="F80" i="7"/>
  <c r="F90" s="1"/>
  <c r="G81"/>
  <c r="C10" i="6"/>
  <c r="M8"/>
  <c r="C10" i="8"/>
  <c r="C10" i="7"/>
  <c r="J10" s="1"/>
  <c r="C13"/>
  <c r="D13" s="1"/>
  <c r="E13" s="1"/>
  <c r="F13" i="8" s="1"/>
  <c r="C13"/>
  <c r="L8" i="6"/>
  <c r="B10"/>
  <c r="F27" i="9"/>
  <c r="F42" s="1"/>
  <c r="F60" s="1"/>
  <c r="F68" s="1"/>
  <c r="G4"/>
  <c r="C12" i="7"/>
  <c r="D12" s="1"/>
  <c r="E12" s="1"/>
  <c r="F11" i="8" s="1"/>
  <c r="C12"/>
  <c r="C16" i="7"/>
  <c r="D16" s="1"/>
  <c r="E16" s="1"/>
  <c r="F16" i="8" s="1"/>
  <c r="C16"/>
  <c r="I35" i="2"/>
  <c r="F45"/>
  <c r="F46" s="1"/>
  <c r="C63" i="8"/>
  <c r="F7"/>
  <c r="F60"/>
  <c r="F43" s="1"/>
  <c r="H60"/>
  <c r="H43" s="1"/>
  <c r="H7"/>
  <c r="AD51" i="4"/>
  <c r="AA51"/>
  <c r="AB51" s="1"/>
  <c r="F49" i="8"/>
  <c r="AD3" i="4"/>
  <c r="D8"/>
  <c r="D44" s="1"/>
  <c r="D64" s="1"/>
  <c r="D68" s="1"/>
  <c r="D69" s="1"/>
  <c r="C64" i="8"/>
  <c r="B63"/>
  <c r="C58" i="9"/>
  <c r="D64"/>
  <c r="F64"/>
  <c r="G51" i="7"/>
  <c r="AQ69" i="4"/>
  <c r="E13" i="6" s="1"/>
  <c r="O13" s="1"/>
  <c r="E11" i="8" s="1"/>
  <c r="F44" i="3"/>
  <c r="AE69" i="4"/>
  <c r="D12" i="6" s="1"/>
  <c r="N12" s="1"/>
  <c r="AW9" i="4"/>
  <c r="AX9" s="1"/>
  <c r="I5" i="3"/>
  <c r="I8" s="1"/>
  <c r="I44" s="1"/>
  <c r="AG69" i="4"/>
  <c r="D14" i="6" s="1"/>
  <c r="N14" s="1"/>
  <c r="G44" i="8" l="1"/>
  <c r="H44" s="1"/>
  <c r="I44" s="1"/>
  <c r="E79"/>
  <c r="AL49" i="4"/>
  <c r="AM49" s="1"/>
  <c r="AO49"/>
  <c r="AW49" s="1"/>
  <c r="AX49" s="1"/>
  <c r="C79" i="8"/>
  <c r="F53"/>
  <c r="G53" s="1"/>
  <c r="H53" s="1"/>
  <c r="I53" s="1"/>
  <c r="G66" i="9"/>
  <c r="G31" s="1"/>
  <c r="F65"/>
  <c r="F66"/>
  <c r="F31" s="1"/>
  <c r="G49" i="8"/>
  <c r="H76"/>
  <c r="H4" i="9"/>
  <c r="H27" s="1"/>
  <c r="H42" s="1"/>
  <c r="H60" s="1"/>
  <c r="H68" s="1"/>
  <c r="G27"/>
  <c r="G42" s="1"/>
  <c r="G60" s="1"/>
  <c r="G68" s="1"/>
  <c r="L10" i="6"/>
  <c r="B20"/>
  <c r="B11"/>
  <c r="L11" s="1"/>
  <c r="J26" i="7"/>
  <c r="F10"/>
  <c r="G10"/>
  <c r="D10"/>
  <c r="E10"/>
  <c r="H10"/>
  <c r="I10"/>
  <c r="C7" i="8"/>
  <c r="C76" s="1"/>
  <c r="C7" i="7"/>
  <c r="H81"/>
  <c r="G80"/>
  <c r="G90" s="1"/>
  <c r="AW16" i="4"/>
  <c r="AX16" s="1"/>
  <c r="N8" i="6"/>
  <c r="I76" i="8"/>
  <c r="G76"/>
  <c r="F14" i="7"/>
  <c r="G14" i="8" s="1"/>
  <c r="J44" i="3"/>
  <c r="I64"/>
  <c r="G44"/>
  <c r="F64"/>
  <c r="E66" i="9"/>
  <c r="E31" s="1"/>
  <c r="D65"/>
  <c r="D66"/>
  <c r="D31" s="1"/>
  <c r="C28" i="8"/>
  <c r="C87"/>
  <c r="AL3" i="4"/>
  <c r="AD69"/>
  <c r="D9" i="6" s="1"/>
  <c r="N9" s="1"/>
  <c r="AL51" i="4"/>
  <c r="AM51" s="1"/>
  <c r="AO51"/>
  <c r="AW51" s="1"/>
  <c r="AX51" s="1"/>
  <c r="F76" i="8"/>
  <c r="B47"/>
  <c r="I43" i="2"/>
  <c r="I44" s="1"/>
  <c r="F16" i="7"/>
  <c r="G16" i="8" s="1"/>
  <c r="F12" i="7"/>
  <c r="G11" i="8" s="1"/>
  <c r="B7"/>
  <c r="B76" s="1"/>
  <c r="B7" i="7"/>
  <c r="F13"/>
  <c r="G13" i="8" s="1"/>
  <c r="M10" i="6"/>
  <c r="C20"/>
  <c r="C11"/>
  <c r="M11" s="1"/>
  <c r="D64" i="3"/>
  <c r="E44"/>
  <c r="F11" i="7"/>
  <c r="G12" i="8" s="1"/>
  <c r="F51" i="9"/>
  <c r="D28"/>
  <c r="D40" s="1"/>
  <c r="D50"/>
  <c r="AW69" i="4"/>
  <c r="AA69"/>
  <c r="D10" i="6" l="1"/>
  <c r="AO69" i="4"/>
  <c r="E9" i="6" s="1"/>
  <c r="E10" s="1"/>
  <c r="E64" i="3"/>
  <c r="D68"/>
  <c r="D57" i="9"/>
  <c r="G51"/>
  <c r="G11" i="7"/>
  <c r="H12" i="8" s="1"/>
  <c r="C8"/>
  <c r="C9" s="1"/>
  <c r="C8" i="7"/>
  <c r="C9" s="1"/>
  <c r="D9" s="1"/>
  <c r="G16"/>
  <c r="H16" i="8" s="1"/>
  <c r="B55"/>
  <c r="B56" s="1"/>
  <c r="H80" i="7"/>
  <c r="H90" s="1"/>
  <c r="I81"/>
  <c r="I80" s="1"/>
  <c r="I90" s="1"/>
  <c r="B8" i="8"/>
  <c r="B8" i="7"/>
  <c r="B9" s="1"/>
  <c r="H49" i="8"/>
  <c r="E39" i="9"/>
  <c r="D48"/>
  <c r="E22" s="1"/>
  <c r="C24" i="6"/>
  <c r="M24" s="1"/>
  <c r="M20"/>
  <c r="C18" i="7" s="1"/>
  <c r="G13"/>
  <c r="H13" i="8" s="1"/>
  <c r="G12" i="7"/>
  <c r="H11" i="8" s="1"/>
  <c r="F68" i="3"/>
  <c r="G64"/>
  <c r="J64"/>
  <c r="I68"/>
  <c r="G14" i="7"/>
  <c r="H14" i="8" s="1"/>
  <c r="D20" i="6"/>
  <c r="N10"/>
  <c r="D11"/>
  <c r="N11" s="1"/>
  <c r="O9"/>
  <c r="H26" i="7"/>
  <c r="H34" s="1"/>
  <c r="E26"/>
  <c r="E34" s="1"/>
  <c r="F26"/>
  <c r="F34" s="1"/>
  <c r="G26"/>
  <c r="G34" s="1"/>
  <c r="I26"/>
  <c r="I34" s="1"/>
  <c r="D26"/>
  <c r="D34" s="1"/>
  <c r="L20" i="6"/>
  <c r="B18" i="7" s="1"/>
  <c r="B24" i="6"/>
  <c r="L24" s="1"/>
  <c r="AL69" i="4"/>
  <c r="F10" i="8" l="1"/>
  <c r="F79" s="1"/>
  <c r="I10"/>
  <c r="H10"/>
  <c r="G10"/>
  <c r="J68" i="3"/>
  <c r="I71"/>
  <c r="E9" i="7"/>
  <c r="D8"/>
  <c r="D18" s="1"/>
  <c r="H51" i="9"/>
  <c r="O10" i="6"/>
  <c r="E8" i="8" s="1"/>
  <c r="E11" i="6"/>
  <c r="O11" s="1"/>
  <c r="E20"/>
  <c r="N20"/>
  <c r="D24"/>
  <c r="N24" s="1"/>
  <c r="G68" i="3"/>
  <c r="F71"/>
  <c r="H12" i="7"/>
  <c r="I11" i="8" s="1"/>
  <c r="H13" i="7"/>
  <c r="I13" i="8" s="1"/>
  <c r="I49"/>
  <c r="B9"/>
  <c r="B67" s="1"/>
  <c r="B18"/>
  <c r="B77"/>
  <c r="B65"/>
  <c r="C18"/>
  <c r="C77"/>
  <c r="C67"/>
  <c r="C65"/>
  <c r="G79"/>
  <c r="H14" i="7"/>
  <c r="I14" i="8" s="1"/>
  <c r="E24" i="9"/>
  <c r="E25" s="1"/>
  <c r="H16" i="7"/>
  <c r="I16" i="8" s="1"/>
  <c r="H11" i="7"/>
  <c r="I12" i="8" s="1"/>
  <c r="H79"/>
  <c r="E68" i="3"/>
  <c r="D71"/>
  <c r="D58" i="9"/>
  <c r="E28" l="1"/>
  <c r="E40" s="1"/>
  <c r="E50"/>
  <c r="D74" i="3"/>
  <c r="D75"/>
  <c r="E71"/>
  <c r="I16" i="7"/>
  <c r="C23" i="8"/>
  <c r="C19"/>
  <c r="B78"/>
  <c r="B81"/>
  <c r="I74" i="3"/>
  <c r="I75" s="1"/>
  <c r="J71"/>
  <c r="I11" i="7"/>
  <c r="I14"/>
  <c r="C81" i="8"/>
  <c r="C78"/>
  <c r="B23"/>
  <c r="B19"/>
  <c r="I13" i="7"/>
  <c r="I12"/>
  <c r="G71" i="3"/>
  <c r="F74"/>
  <c r="F75" s="1"/>
  <c r="O20" i="6"/>
  <c r="E24"/>
  <c r="O24" s="1"/>
  <c r="E18" i="8"/>
  <c r="E9"/>
  <c r="E61"/>
  <c r="E52" s="1"/>
  <c r="E77"/>
  <c r="E59"/>
  <c r="E8" i="7"/>
  <c r="F8" i="8" s="1"/>
  <c r="F9" i="7"/>
  <c r="I79" i="8" l="1"/>
  <c r="J75" i="3"/>
  <c r="I76"/>
  <c r="I81" s="1"/>
  <c r="F76"/>
  <c r="F81" s="1"/>
  <c r="G75"/>
  <c r="G9" i="7"/>
  <c r="F8"/>
  <c r="G8" i="8" s="1"/>
  <c r="E62"/>
  <c r="E42"/>
  <c r="E22"/>
  <c r="E23" s="1"/>
  <c r="E19"/>
  <c r="C26"/>
  <c r="C30"/>
  <c r="E75" i="3"/>
  <c r="D76"/>
  <c r="D81" s="1"/>
  <c r="E57" i="9"/>
  <c r="E18" i="7"/>
  <c r="E78" i="8"/>
  <c r="E81"/>
  <c r="C82"/>
  <c r="C84"/>
  <c r="C85" s="1"/>
  <c r="C88" s="1"/>
  <c r="B82"/>
  <c r="B84"/>
  <c r="B85" s="1"/>
  <c r="B88" s="1"/>
  <c r="E48" i="9"/>
  <c r="F22" s="1"/>
  <c r="F39"/>
  <c r="C37" i="8" l="1"/>
  <c r="E36" s="1"/>
  <c r="F24" i="9"/>
  <c r="F25"/>
  <c r="F9" i="8"/>
  <c r="F18"/>
  <c r="F77"/>
  <c r="F61"/>
  <c r="F52" s="1"/>
  <c r="F59"/>
  <c r="E26"/>
  <c r="E47"/>
  <c r="F18" i="7"/>
  <c r="E82" i="8"/>
  <c r="E83"/>
  <c r="E84" s="1"/>
  <c r="E85" s="1"/>
  <c r="E63"/>
  <c r="E64"/>
  <c r="H9" i="7"/>
  <c r="G8"/>
  <c r="H8" i="8" s="1"/>
  <c r="E58" i="9"/>
  <c r="H8" i="7" l="1"/>
  <c r="I8" i="8" s="1"/>
  <c r="I9" i="7"/>
  <c r="I8" s="1"/>
  <c r="I18" s="1"/>
  <c r="G18" i="8"/>
  <c r="G9"/>
  <c r="G77"/>
  <c r="G61"/>
  <c r="G52" s="1"/>
  <c r="G59"/>
  <c r="F19"/>
  <c r="F28" i="9"/>
  <c r="F40" s="1"/>
  <c r="F50"/>
  <c r="G18" i="7"/>
  <c r="E28" i="8"/>
  <c r="E87"/>
  <c r="E88" s="1"/>
  <c r="E55"/>
  <c r="F62"/>
  <c r="F42"/>
  <c r="F78"/>
  <c r="F81"/>
  <c r="E37"/>
  <c r="E45" s="1"/>
  <c r="F36" l="1"/>
  <c r="F20"/>
  <c r="F82"/>
  <c r="F83"/>
  <c r="F84" s="1"/>
  <c r="F85" s="1"/>
  <c r="F57" i="9"/>
  <c r="F63" i="8"/>
  <c r="F64"/>
  <c r="H18"/>
  <c r="H9"/>
  <c r="H77"/>
  <c r="H59"/>
  <c r="H61"/>
  <c r="H52" s="1"/>
  <c r="G39" i="9"/>
  <c r="F48"/>
  <c r="G22" s="1"/>
  <c r="G62" i="8"/>
  <c r="G42"/>
  <c r="G78"/>
  <c r="G81"/>
  <c r="G19"/>
  <c r="H18" i="7"/>
  <c r="E56" i="8"/>
  <c r="G63" l="1"/>
  <c r="H62"/>
  <c r="H42"/>
  <c r="F28"/>
  <c r="F87"/>
  <c r="F88" s="1"/>
  <c r="F22"/>
  <c r="F23" s="1"/>
  <c r="I18"/>
  <c r="I9"/>
  <c r="I77"/>
  <c r="I61"/>
  <c r="I52" s="1"/>
  <c r="I59"/>
  <c r="G82"/>
  <c r="G83"/>
  <c r="G84" s="1"/>
  <c r="G85" s="1"/>
  <c r="G25" i="9"/>
  <c r="G24"/>
  <c r="H78" i="8"/>
  <c r="H81"/>
  <c r="H19"/>
  <c r="G64"/>
  <c r="F58" i="9"/>
  <c r="F26" i="8" l="1"/>
  <c r="F37" s="1"/>
  <c r="F45" s="1"/>
  <c r="F47"/>
  <c r="G28" i="9"/>
  <c r="G40" s="1"/>
  <c r="G50"/>
  <c r="I42" i="8"/>
  <c r="I62"/>
  <c r="I63" s="1"/>
  <c r="I78"/>
  <c r="I81"/>
  <c r="I19"/>
  <c r="I64"/>
  <c r="H63"/>
  <c r="G28"/>
  <c r="G87"/>
  <c r="G88" s="1"/>
  <c r="H82"/>
  <c r="H83"/>
  <c r="H84" s="1"/>
  <c r="H85" s="1"/>
  <c r="H64"/>
  <c r="H87" l="1"/>
  <c r="H88" s="1"/>
  <c r="H28"/>
  <c r="G48" i="9"/>
  <c r="H22" s="1"/>
  <c r="H39"/>
  <c r="F55" i="8"/>
  <c r="F56" s="1"/>
  <c r="I28"/>
  <c r="I87"/>
  <c r="I82"/>
  <c r="I83"/>
  <c r="I84" s="1"/>
  <c r="I85" s="1"/>
  <c r="I88" s="1"/>
  <c r="G57" i="9"/>
  <c r="G58" s="1"/>
  <c r="G36" i="8"/>
  <c r="G20"/>
  <c r="G22" l="1"/>
  <c r="G23" s="1"/>
  <c r="H24" i="9"/>
  <c r="H25"/>
  <c r="H28" l="1"/>
  <c r="H40" s="1"/>
  <c r="H48" s="1"/>
  <c r="H50"/>
  <c r="H57" s="1"/>
  <c r="H58" s="1"/>
  <c r="G26" i="8"/>
  <c r="G37" s="1"/>
  <c r="G45" s="1"/>
  <c r="G47"/>
  <c r="G55" l="1"/>
  <c r="G56" s="1"/>
  <c r="H36"/>
  <c r="H20"/>
  <c r="H22" l="1"/>
  <c r="H23" s="1"/>
  <c r="H26" l="1"/>
  <c r="H37" s="1"/>
  <c r="H45" s="1"/>
  <c r="H47"/>
  <c r="H55" l="1"/>
  <c r="H56" s="1"/>
  <c r="I36"/>
  <c r="I20"/>
  <c r="I22" l="1"/>
  <c r="I23" s="1"/>
  <c r="I26" l="1"/>
  <c r="I37" s="1"/>
  <c r="I45" s="1"/>
  <c r="I47"/>
  <c r="I55" s="1"/>
  <c r="I56" l="1"/>
</calcChain>
</file>

<file path=xl/comments1.xml><?xml version="1.0" encoding="utf-8"?>
<comments xmlns="http://schemas.openxmlformats.org/spreadsheetml/2006/main">
  <authors>
    <author>lberlie</author>
    <author>Laurent BERLIE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micro service 1267,68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ricoh copie 6501,84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1">
      <text>
        <r>
          <rPr>
            <b/>
            <sz val="8"/>
            <color indexed="81"/>
            <rFont val="Tahoma"/>
            <family val="2"/>
          </rPr>
          <t>SOGEPRO, ATYPIC, SERVIDEM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1">
      <text>
        <r>
          <rPr>
            <b/>
            <sz val="8"/>
            <color indexed="81"/>
            <rFont val="Tahoma"/>
          </rPr>
          <t>+ epdp 2712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location salle 75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>
      <text>
        <r>
          <rPr>
            <b/>
            <sz val="8"/>
            <color indexed="81"/>
            <rFont val="Tahoma"/>
            <family val="2"/>
          </rPr>
          <t>GE CAPITAL, ARVAL, RICOH, LOCATION TELEPHONE, CIC BAIL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1">
      <text>
        <r>
          <rPr>
            <b/>
            <sz val="8"/>
            <color indexed="81"/>
            <rFont val="Tahoma"/>
          </rPr>
          <t xml:space="preserve">ARVAL 9729,48
CIC BAIL 447,75 X 12 = 5373 + 1596 (1er loyer étalé sur la période) = 6969
RICOH 1326, 4  X 4 trimestres = 5305,6  
LOCATION MATERIEL DE BUREAU :
ORANGE 199,94/MOIS x 12 = 2399,28
</t>
        </r>
        <r>
          <rPr>
            <sz val="8"/>
            <color indexed="81"/>
            <rFont val="Tahoma"/>
          </rPr>
          <t xml:space="preserve">
CIC TERM CB 123 / TRIM = 492
TARNEAUD LOC MONETIA 154 (ARRET)
AUTRES LOCATIONS 901
</t>
        </r>
        <r>
          <rPr>
            <u/>
            <sz val="8"/>
            <color indexed="81"/>
            <rFont val="Tahoma"/>
            <family val="2"/>
          </rPr>
          <t>PITTNEY BOWES 745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LOC DIVERSES 2283,24</t>
        </r>
        <r>
          <rPr>
            <sz val="8"/>
            <color indexed="81"/>
            <rFont val="Tahoma"/>
          </rPr>
          <t xml:space="preserve"> 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ARVAL 10525
CIC BAIL 447,75 X 12 = 5373 + 1596 (1er loyer étalé sur la période) = 6969
RICOH 1326, 4  X 4 trimestres = 5305,6  
LOCATION MATERIEL DE BUREAU :
ORANGE 199,94/MOIS x 12 = 2399,28
</t>
        </r>
        <r>
          <rPr>
            <sz val="9"/>
            <color indexed="81"/>
            <rFont val="Tahoma"/>
            <family val="2"/>
          </rPr>
          <t xml:space="preserve">
CIC TERM CB 123 / TRIM = 492
TARNEAUD LOC MONETIA 154 (ARRET)
AUTRES LOCATIONS 901
PITTNEY BOWES 745</t>
        </r>
        <r>
          <rPr>
            <u/>
            <sz val="9"/>
            <color indexed="81"/>
            <rFont val="Tahoma"/>
            <family val="2"/>
          </rPr>
          <t xml:space="preserve">
INITIAL 46,75 x 12 = 561</t>
        </r>
        <r>
          <rPr>
            <b/>
            <sz val="9"/>
            <color indexed="81"/>
            <rFont val="Tahoma"/>
            <family val="2"/>
          </rPr>
          <t xml:space="preserve">
LOC DIVERSES 2844,24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b/>
            <sz val="8"/>
            <color indexed="81"/>
            <rFont val="Tahoma"/>
          </rPr>
          <t>AMBOILE</t>
        </r>
        <r>
          <rPr>
            <sz val="8"/>
            <color indexed="81"/>
            <rFont val="Tahoma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amboile 389,71
verif install 400
cpi 308
generale store 550,46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b/>
            <sz val="8"/>
            <color indexed="81"/>
            <rFont val="Tahoma"/>
            <family val="2"/>
          </rPr>
          <t>maintenance Web interactif; réparations PC MICRO SERVICE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1">
      <text>
        <r>
          <rPr>
            <sz val="8"/>
            <color indexed="81"/>
            <rFont val="Tahoma"/>
            <family val="2"/>
          </rPr>
          <t xml:space="preserve">jac pesage 208
</t>
        </r>
        <r>
          <rPr>
            <u/>
            <sz val="8"/>
            <color indexed="81"/>
            <rFont val="Tahoma"/>
            <family val="2"/>
          </rPr>
          <t>cpi incendie 442,71</t>
        </r>
        <r>
          <rPr>
            <b/>
            <sz val="8"/>
            <color indexed="81"/>
            <rFont val="Tahoma"/>
          </rPr>
          <t xml:space="preserve">
ENTRETIEN MATERIEL ET OUTILLAGE 671,2
</t>
        </r>
        <r>
          <rPr>
            <sz val="8"/>
            <color indexed="81"/>
            <rFont val="Tahoma"/>
            <family val="2"/>
          </rPr>
          <t xml:space="preserve">
maintenance Micro-service 2484,81
</t>
        </r>
        <r>
          <rPr>
            <u/>
            <sz val="8"/>
            <color indexed="81"/>
            <rFont val="Tahoma"/>
            <family val="2"/>
          </rPr>
          <t>maintenance web interactif 1461,92</t>
        </r>
        <r>
          <rPr>
            <b/>
            <sz val="8"/>
            <color indexed="81"/>
            <rFont val="Tahoma"/>
          </rPr>
          <t xml:space="preserve">
ENTRETIEN MATERIEL DE BUREAU 3946,73
</t>
        </r>
        <r>
          <rPr>
            <sz val="8"/>
            <color indexed="81"/>
            <rFont val="Tahoma"/>
          </rPr>
          <t xml:space="preserve">
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ENTRETIEN MATERIEL DE TRANSPORT 2472,26-721,5 =1750,76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>
      <text>
        <r>
          <rPr>
            <b/>
            <sz val="8"/>
            <color indexed="81"/>
            <rFont val="Tahoma"/>
          </rPr>
          <t xml:space="preserve">generali 7667,49
etoile securite 264
cardif vie 323,52
generali voiture 882,5
mma voiture 781
</t>
        </r>
        <r>
          <rPr>
            <sz val="8"/>
            <color indexed="81"/>
            <rFont val="Tahoma"/>
          </rPr>
          <t xml:space="preserve">
</t>
        </r>
      </text>
    </comment>
    <comment ref="A20" authorId="1">
      <text>
        <r>
          <rPr>
            <b/>
            <sz val="8"/>
            <color indexed="81"/>
            <rFont val="Tahoma"/>
          </rPr>
          <t>EPIMAC étui &amp; graphismes
PHOTOS</t>
        </r>
      </text>
    </comment>
    <comment ref="D20" authorId="0">
      <text>
        <r>
          <rPr>
            <sz val="9"/>
            <color indexed="81"/>
            <rFont val="Tahoma"/>
            <family val="2"/>
          </rPr>
          <t>triatment fichier poste 1050
2 etudes idea 1290
white tillet 345
plimsoll 299
epimac 1550</t>
        </r>
      </text>
    </comment>
    <comment ref="A22" authorId="1">
      <text>
        <r>
          <rPr>
            <b/>
            <sz val="8"/>
            <color indexed="81"/>
            <rFont val="Tahoma"/>
          </rPr>
          <t>RANDSTAT</t>
        </r>
        <r>
          <rPr>
            <sz val="8"/>
            <color indexed="81"/>
            <rFont val="Tahoma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randstadt sept a dec 2009 6057,54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mora 15791,54
volget 3893,6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1">
      <text>
        <r>
          <rPr>
            <b/>
            <sz val="8"/>
            <color indexed="81"/>
            <rFont val="Tahoma"/>
            <family val="2"/>
          </rPr>
          <t xml:space="preserve">450 E/ MOIS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1350 / trimestre = 5400</t>
        </r>
        <r>
          <rPr>
            <sz val="9"/>
            <color indexed="81"/>
            <rFont val="Tahoma"/>
            <family val="2"/>
          </rPr>
          <t xml:space="preserve">
2307,97 en ponctuel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benzoni 20700
adg cac 9300
jsc 10750
Jf pleinard 2750
jladp 10700
m faucon 3629,83
agd 4127
champetier 3000
qualite France 2770,8
leroy 1360
loubeyre 1200
de vecchy 350
carcy 600</t>
        </r>
      </text>
    </comment>
    <comment ref="D28" authorId="0">
      <text>
        <r>
          <rPr>
            <sz val="9"/>
            <color indexed="81"/>
            <rFont val="Tahoma"/>
            <family val="2"/>
          </rPr>
          <t xml:space="preserve">pages jaunes 880
CNKS 330
PROFESSION KINE 500
</t>
        </r>
        <r>
          <rPr>
            <u/>
            <sz val="9"/>
            <color indexed="81"/>
            <rFont val="Tahoma"/>
            <family val="2"/>
          </rPr>
          <t>TSHIRT MANIA</t>
        </r>
        <r>
          <rPr>
            <b/>
            <u/>
            <sz val="9"/>
            <color indexed="81"/>
            <rFont val="Tahoma"/>
            <family val="2"/>
          </rPr>
          <t xml:space="preserve"> 450</t>
        </r>
        <r>
          <rPr>
            <b/>
            <sz val="9"/>
            <color indexed="81"/>
            <rFont val="Tahoma"/>
            <family val="2"/>
          </rPr>
          <t xml:space="preserve">
ANNONCES ET INSERTIONS 2230,3
</t>
        </r>
        <r>
          <rPr>
            <sz val="9"/>
            <color indexed="81"/>
            <rFont val="Tahoma"/>
            <family val="2"/>
          </rPr>
          <t xml:space="preserve">INSEP 3000
SFMKS 2000
SPEK INK 1167
</t>
        </r>
        <r>
          <rPr>
            <u/>
            <sz val="9"/>
            <color indexed="81"/>
            <rFont val="Tahoma"/>
            <family val="2"/>
          </rPr>
          <t>FNEK 5000/12X7 = 2917</t>
        </r>
        <r>
          <rPr>
            <b/>
            <sz val="9"/>
            <color indexed="81"/>
            <rFont val="Tahoma"/>
            <family val="2"/>
          </rPr>
          <t xml:space="preserve">
CONVENTION PARTENARIAT 9084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9"/>
            <color indexed="81"/>
            <rFont val="Tahoma"/>
            <family val="2"/>
          </rPr>
          <t xml:space="preserve">REED EXPO 8817
</t>
        </r>
        <r>
          <rPr>
            <u/>
            <sz val="9"/>
            <color indexed="81"/>
            <rFont val="Tahoma"/>
            <family val="2"/>
          </rPr>
          <t>CAMERUS 395</t>
        </r>
        <r>
          <rPr>
            <b/>
            <sz val="9"/>
            <color indexed="81"/>
            <rFont val="Tahoma"/>
            <family val="2"/>
          </rPr>
          <t xml:space="preserve">
GICARE 9212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NEURY 7331,59
CANARD EN BOITE 5116
LAJONIE 2414
CHEQUES CADEAUX 4550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INTERCOM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COSMEBIO 800
ECOEMBALLAGE 611
CONSERVATOIRE DES PLANTES 50
COSMED 270
HEC 185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COSMETIC VALLEY
COSMED VEILLE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6" authorId="1">
      <text>
        <r>
          <rPr>
            <b/>
            <sz val="8"/>
            <color indexed="81"/>
            <rFont val="Tahoma"/>
            <family val="2"/>
          </rPr>
          <t>salaires commerciax + admin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indemnité licenciement 2917,38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convention reclt 6723
médecine du travail 713,5
autres charges 91,9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1">
      <text>
        <r>
          <rPr>
            <b/>
            <sz val="8"/>
            <color indexed="81"/>
            <rFont val="Tahoma"/>
          </rPr>
          <t>sur le CA</t>
        </r>
        <r>
          <rPr>
            <sz val="8"/>
            <color indexed="81"/>
            <rFont val="Tahoma"/>
          </rPr>
          <t xml:space="preserve">
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organic % du 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lberlie</author>
    <author>Laurent BERLIE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micro service 1267,68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ricoh copie 6501,84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1">
      <text>
        <r>
          <rPr>
            <b/>
            <sz val="8"/>
            <color indexed="81"/>
            <rFont val="Tahoma"/>
            <family val="2"/>
          </rPr>
          <t>SOGEPRO, ATYPIC, SERVIDEM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1">
      <text>
        <r>
          <rPr>
            <b/>
            <sz val="8"/>
            <color indexed="81"/>
            <rFont val="Tahoma"/>
          </rPr>
          <t>+ epdp 2712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location salle 75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>
      <text>
        <r>
          <rPr>
            <b/>
            <sz val="8"/>
            <color indexed="81"/>
            <rFont val="Tahoma"/>
            <family val="2"/>
          </rPr>
          <t>GE CAPITAL, ARVAL, RICOH, LOCATION TELEPHONE, CIC BAIL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1">
      <text>
        <r>
          <rPr>
            <b/>
            <sz val="8"/>
            <color indexed="81"/>
            <rFont val="Tahoma"/>
          </rPr>
          <t xml:space="preserve">ARVAL 9729,48
CIC BAIL 447,75 X 12 = 5373 + 1596 (1er loyer étalé sur la période) = 6969
RICOH 1326, 4  X 4 trimestres = 5305,6  
LOCATION MATERIEL DE BUREAU :
ORANGE 199,94/MOIS x 12 = 2399,28
</t>
        </r>
        <r>
          <rPr>
            <sz val="8"/>
            <color indexed="81"/>
            <rFont val="Tahoma"/>
          </rPr>
          <t xml:space="preserve">
CIC TERM CB 123 / TRIM = 492
TARNEAUD LOC MONETIA 154 (ARRET)
AUTRES LOCATIONS 901
</t>
        </r>
        <r>
          <rPr>
            <u/>
            <sz val="8"/>
            <color indexed="81"/>
            <rFont val="Tahoma"/>
            <family val="2"/>
          </rPr>
          <t>PITTNEY BOWES 745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LOC DIVERSES 2283,24</t>
        </r>
        <r>
          <rPr>
            <sz val="8"/>
            <color indexed="81"/>
            <rFont val="Tahoma"/>
          </rPr>
          <t xml:space="preserve"> 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 xml:space="preserve">ARVAL 10525
CIC BAIL 447,75 X 12 = 5373 + 1596 (1er loyer étalé sur la période) = 6969
RICOH 1326, 4  X 4 trimestres = 5305,6  
LOCATION MATERIEL DE BUREAU :
ORANGE 199,94/MOIS x 12 = 2399,28
</t>
        </r>
        <r>
          <rPr>
            <sz val="9"/>
            <color indexed="81"/>
            <rFont val="Tahoma"/>
            <family val="2"/>
          </rPr>
          <t xml:space="preserve">
CIC TERM CB 123 / TRIM = 492
TARNEAUD LOC MONETIA 154 (ARRET)
AUTRES LOCATIONS 901
PITTNEY BOWES 745</t>
        </r>
        <r>
          <rPr>
            <u/>
            <sz val="9"/>
            <color indexed="81"/>
            <rFont val="Tahoma"/>
            <family val="2"/>
          </rPr>
          <t xml:space="preserve">
INITIAL 46,75 x 12 = 561</t>
        </r>
        <r>
          <rPr>
            <b/>
            <sz val="9"/>
            <color indexed="81"/>
            <rFont val="Tahoma"/>
            <family val="2"/>
          </rPr>
          <t xml:space="preserve">
LOC DIVERSES 2844,24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b/>
            <sz val="8"/>
            <color indexed="81"/>
            <rFont val="Tahoma"/>
          </rPr>
          <t>AMBOILE</t>
        </r>
        <r>
          <rPr>
            <sz val="8"/>
            <color indexed="81"/>
            <rFont val="Tahoma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amboile 389,71
verif install 400
cpi 308
generale store 550,46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b/>
            <sz val="8"/>
            <color indexed="81"/>
            <rFont val="Tahoma"/>
            <family val="2"/>
          </rPr>
          <t>maintenance Web interactif; réparations PC MICRO SERVICE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1">
      <text>
        <r>
          <rPr>
            <sz val="8"/>
            <color indexed="81"/>
            <rFont val="Tahoma"/>
            <family val="2"/>
          </rPr>
          <t xml:space="preserve">jac pesage 208
</t>
        </r>
        <r>
          <rPr>
            <u/>
            <sz val="8"/>
            <color indexed="81"/>
            <rFont val="Tahoma"/>
            <family val="2"/>
          </rPr>
          <t>cpi incendie 442,71</t>
        </r>
        <r>
          <rPr>
            <b/>
            <sz val="8"/>
            <color indexed="81"/>
            <rFont val="Tahoma"/>
          </rPr>
          <t xml:space="preserve">
ENTRETIEN MATERIEL ET OUTILLAGE 671,2
</t>
        </r>
        <r>
          <rPr>
            <sz val="8"/>
            <color indexed="81"/>
            <rFont val="Tahoma"/>
            <family val="2"/>
          </rPr>
          <t xml:space="preserve">
maintenance Micro-service 2484,81
</t>
        </r>
        <r>
          <rPr>
            <u/>
            <sz val="8"/>
            <color indexed="81"/>
            <rFont val="Tahoma"/>
            <family val="2"/>
          </rPr>
          <t>maintenance web interactif 1461,92</t>
        </r>
        <r>
          <rPr>
            <b/>
            <sz val="8"/>
            <color indexed="81"/>
            <rFont val="Tahoma"/>
          </rPr>
          <t xml:space="preserve">
ENTRETIEN MATERIEL DE BUREAU 3946,73
</t>
        </r>
        <r>
          <rPr>
            <sz val="8"/>
            <color indexed="81"/>
            <rFont val="Tahoma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ENTRETIEN MATERIEL DE TRANSPORT 2472,26-721,5 =1750,76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1">
      <text>
        <r>
          <rPr>
            <b/>
            <sz val="8"/>
            <color indexed="81"/>
            <rFont val="Tahoma"/>
          </rPr>
          <t xml:space="preserve">generali 7667,49
etoile securite 264
cardif vie 323,52
generali voiture 882,5
mma voiture 781
</t>
        </r>
        <r>
          <rPr>
            <sz val="8"/>
            <color indexed="81"/>
            <rFont val="Tahoma"/>
          </rPr>
          <t xml:space="preserve">
</t>
        </r>
      </text>
    </comment>
    <comment ref="A20" authorId="1">
      <text>
        <r>
          <rPr>
            <b/>
            <sz val="8"/>
            <color indexed="81"/>
            <rFont val="Tahoma"/>
          </rPr>
          <t>EPIMAC étui &amp; graphismes
PHOTOS</t>
        </r>
      </text>
    </comment>
    <comment ref="C20" authorId="0">
      <text>
        <r>
          <rPr>
            <sz val="9"/>
            <color indexed="81"/>
            <rFont val="Tahoma"/>
            <family val="2"/>
          </rPr>
          <t>triatment fichier poste 1050
2 etudes idea 1290
white tillet 345
plimsoll 299
epimac 1550</t>
        </r>
      </text>
    </comment>
    <comment ref="A22" authorId="1">
      <text>
        <r>
          <rPr>
            <b/>
            <sz val="8"/>
            <color indexed="81"/>
            <rFont val="Tahoma"/>
          </rPr>
          <t>RANDSTAT</t>
        </r>
        <r>
          <rPr>
            <sz val="8"/>
            <color indexed="81"/>
            <rFont val="Tahoma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randstadt sept a dec 2009 6057,54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mora 15791,54
volget 3893,6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1">
      <text>
        <r>
          <rPr>
            <b/>
            <sz val="8"/>
            <color indexed="81"/>
            <rFont val="Tahoma"/>
            <family val="2"/>
          </rPr>
          <t xml:space="preserve">450 E/ MOIS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1350 / trimestre = 5400</t>
        </r>
        <r>
          <rPr>
            <sz val="9"/>
            <color indexed="81"/>
            <rFont val="Tahoma"/>
            <family val="2"/>
          </rPr>
          <t xml:space="preserve">
2307,97 en ponctuel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benzoni 20700
adg cac 9300
jsc 10750
Jf pleinard 2750
jladp 10700
m faucon 3629,83
agd 4127
champetier 3000
qualite France 2770,8
leroy 1360
loubeyre 1200
de vecchy 350
carcy 600</t>
        </r>
      </text>
    </comment>
    <comment ref="C28" authorId="0">
      <text>
        <r>
          <rPr>
            <sz val="9"/>
            <color indexed="81"/>
            <rFont val="Tahoma"/>
            <family val="2"/>
          </rPr>
          <t xml:space="preserve">pages jaunes 880
CNKS 330
PROFESSION KINE 500
</t>
        </r>
        <r>
          <rPr>
            <u/>
            <sz val="9"/>
            <color indexed="81"/>
            <rFont val="Tahoma"/>
            <family val="2"/>
          </rPr>
          <t>TSHIRT MANIA</t>
        </r>
        <r>
          <rPr>
            <b/>
            <u/>
            <sz val="9"/>
            <color indexed="81"/>
            <rFont val="Tahoma"/>
            <family val="2"/>
          </rPr>
          <t xml:space="preserve"> 450</t>
        </r>
        <r>
          <rPr>
            <b/>
            <sz val="9"/>
            <color indexed="81"/>
            <rFont val="Tahoma"/>
            <family val="2"/>
          </rPr>
          <t xml:space="preserve">
ANNONCES ET INSERTIONS 2230,3
</t>
        </r>
        <r>
          <rPr>
            <sz val="9"/>
            <color indexed="81"/>
            <rFont val="Tahoma"/>
            <family val="2"/>
          </rPr>
          <t xml:space="preserve">INSEP 3000
SFMKS 2000
SPEK INK 1167
</t>
        </r>
        <r>
          <rPr>
            <u/>
            <sz val="9"/>
            <color indexed="81"/>
            <rFont val="Tahoma"/>
            <family val="2"/>
          </rPr>
          <t>FNEK 5000/12X7 = 2917</t>
        </r>
        <r>
          <rPr>
            <b/>
            <sz val="9"/>
            <color indexed="81"/>
            <rFont val="Tahoma"/>
            <family val="2"/>
          </rPr>
          <t xml:space="preserve">
CONVENTION PARTENARIAT 9084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>
      <text>
        <r>
          <rPr>
            <sz val="9"/>
            <color indexed="81"/>
            <rFont val="Tahoma"/>
            <family val="2"/>
          </rPr>
          <t xml:space="preserve">REED EXPO 8817
</t>
        </r>
        <r>
          <rPr>
            <u/>
            <sz val="9"/>
            <color indexed="81"/>
            <rFont val="Tahoma"/>
            <family val="2"/>
          </rPr>
          <t>CAMERUS 395</t>
        </r>
        <r>
          <rPr>
            <b/>
            <sz val="9"/>
            <color indexed="81"/>
            <rFont val="Tahoma"/>
            <family val="2"/>
          </rPr>
          <t xml:space="preserve">
GICARE 9212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NEURY 7331,59
CANARD EN BOITE 5116
LAJONIE 2414
CHEQUES CADEAUX 4550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INTERCOM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COSMEBIO 800
ECOEMBALLAGE 611
CONSERVATOIRE DES PLANTES 50
COSMED 270
HEC 185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COSMETIC VALLEY
COSMED VEILLE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6" authorId="1">
      <text>
        <r>
          <rPr>
            <b/>
            <sz val="8"/>
            <color indexed="81"/>
            <rFont val="Tahoma"/>
            <family val="2"/>
          </rPr>
          <t>salaires commerciax + admin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indemnité licenciement 2917,38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convention reclt 6723
médecine du travail 713,5
autres charges 91,9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1">
      <text>
        <r>
          <rPr>
            <b/>
            <sz val="8"/>
            <color indexed="81"/>
            <rFont val="Tahoma"/>
          </rPr>
          <t>sur le CA</t>
        </r>
        <r>
          <rPr>
            <sz val="8"/>
            <color indexed="81"/>
            <rFont val="Tahoma"/>
          </rPr>
          <t xml:space="preserve">
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organic % du 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lberlie</author>
  </authors>
  <commentList>
    <comment ref="D27" authorId="0">
      <text>
        <r>
          <rPr>
            <b/>
            <sz val="9"/>
            <color indexed="81"/>
            <rFont val="Tahoma"/>
            <charset val="1"/>
          </rPr>
          <t xml:space="preserve">commal tél 40 K€/an
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 xml:space="preserve">2 commal tél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4" authorId="0">
      <text>
        <r>
          <rPr>
            <sz val="9"/>
            <color indexed="81"/>
            <rFont val="Tahoma"/>
            <charset val="1"/>
          </rPr>
          <t xml:space="preserve">2 commal gds cptes (dont 1 MDR) + frais 60 KE+50ke
</t>
        </r>
      </text>
    </comment>
    <comment ref="E44" authorId="0">
      <text>
        <r>
          <rPr>
            <sz val="9"/>
            <color indexed="81"/>
            <rFont val="Tahoma"/>
            <family val="2"/>
          </rPr>
          <t xml:space="preserve">3 commal gds cptes (dont 1 MDR) + frais 2 x 60 KE+50ke
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5 commal gds cptes (dont 1 MDR) + frais 60 KE+50ke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lberlie</author>
  </authors>
  <commentList>
    <comment ref="M7" authorId="0">
      <text>
        <r>
          <rPr>
            <b/>
            <sz val="9"/>
            <color indexed="81"/>
            <rFont val="Tahoma"/>
            <charset val="1"/>
          </rPr>
          <t>300 K€ investissement total sté exploitation
200 K€ invetsissement extension batiment par SCI : financement bancaire 100%?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amort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<sst xmlns="http://schemas.openxmlformats.org/spreadsheetml/2006/main" count="804" uniqueCount="313">
  <si>
    <t>IT</t>
  </si>
  <si>
    <t>Escompte</t>
  </si>
  <si>
    <t>contrôle</t>
  </si>
  <si>
    <t>Bilans</t>
  </si>
  <si>
    <t>Immob</t>
  </si>
  <si>
    <t>Stocks</t>
  </si>
  <si>
    <t>Clients</t>
  </si>
  <si>
    <t>Autres actifs</t>
  </si>
  <si>
    <t>Dispo</t>
  </si>
  <si>
    <t>Capitaux propres</t>
  </si>
  <si>
    <t>Provisions</t>
  </si>
  <si>
    <t>Dette financière</t>
  </si>
  <si>
    <t>Cpte courant</t>
  </si>
  <si>
    <t>Fournisseurs</t>
  </si>
  <si>
    <t>Socfisc</t>
  </si>
  <si>
    <t>Autres passifs</t>
  </si>
  <si>
    <t>Total</t>
  </si>
  <si>
    <t>Marge brute</t>
  </si>
  <si>
    <t>Investissements</t>
  </si>
  <si>
    <t>CONSOLIDATION DU GROUPE EONA SUR LA HOLDING :</t>
  </si>
  <si>
    <t>Bilans 2009</t>
  </si>
  <si>
    <t>LABO</t>
  </si>
  <si>
    <t>HLDG</t>
  </si>
  <si>
    <t>somme</t>
  </si>
  <si>
    <t>élim</t>
  </si>
  <si>
    <t>conso</t>
  </si>
  <si>
    <t>Consolidation</t>
  </si>
  <si>
    <t>Delta conso</t>
  </si>
  <si>
    <t>Participations</t>
  </si>
  <si>
    <t>Créances/part</t>
  </si>
  <si>
    <t>Obligations</t>
  </si>
  <si>
    <t>Bilans 2008</t>
  </si>
  <si>
    <t>Bilans labo</t>
  </si>
  <si>
    <t>PREVISIONNEL EN EUROS</t>
  </si>
  <si>
    <t>2008-2009</t>
  </si>
  <si>
    <t>2009-2010</t>
  </si>
  <si>
    <t>Budget 2010-2011 autofinancement</t>
  </si>
  <si>
    <t>Commentaires</t>
  </si>
  <si>
    <t>Budget 2010-2011 avec financements</t>
  </si>
  <si>
    <t>Chiffre d'affaires avec TVA</t>
  </si>
  <si>
    <t>Croissance ventes kinés 150, 135KE Bastide, 35ke particuliers</t>
  </si>
  <si>
    <t>Croissance ventes kinés 150, Bastide 135, Grands comptes 40, et Particuliers 100</t>
  </si>
  <si>
    <t>Chiffre d'affaires exonéré de tva</t>
  </si>
  <si>
    <t xml:space="preserve"> </t>
  </si>
  <si>
    <t>Ventes export et dom-tom idem</t>
  </si>
  <si>
    <t xml:space="preserve">COUT DES ACHATS </t>
  </si>
  <si>
    <t>Port facturé avec TVA</t>
  </si>
  <si>
    <t>Pot facturé éxonéré de TVA</t>
  </si>
  <si>
    <t>"Marge brute"</t>
  </si>
  <si>
    <t>électricité/eau</t>
  </si>
  <si>
    <t>électricité extension bat sur 2 mois</t>
  </si>
  <si>
    <t>carburant</t>
  </si>
  <si>
    <t>X2 avec + 1 resp Grands comptes</t>
  </si>
  <si>
    <t>petit équipement/entretien/fournitures labo</t>
  </si>
  <si>
    <t>+3%</t>
  </si>
  <si>
    <t>fournitures administratives</t>
  </si>
  <si>
    <t>sous traitance</t>
  </si>
  <si>
    <t>+ entretien jardin 1900; nettoyage vitres patio 1200; + delta epdp 3810</t>
  </si>
  <si>
    <t>+ entretien jardin 1900 nettoyage vitres patio 1200</t>
  </si>
  <si>
    <t>locations immobilières</t>
  </si>
  <si>
    <t xml:space="preserve"> + loc ext bat 2000*2 mois</t>
  </si>
  <si>
    <t>location mobilière</t>
  </si>
  <si>
    <t>CF EN</t>
  </si>
  <si>
    <t>CF EN + location 2 postes tél suppl</t>
  </si>
  <si>
    <t>entretien réparation immobilière</t>
  </si>
  <si>
    <t>entretien réparation mobilière</t>
  </si>
  <si>
    <t>cf contrat micro service</t>
  </si>
  <si>
    <t>entretien transport</t>
  </si>
  <si>
    <t>X2 avec  1 voiture supplémentaire</t>
  </si>
  <si>
    <t>primes assurances</t>
  </si>
  <si>
    <t>aug Generali 1500</t>
  </si>
  <si>
    <t>aug Generali 1500; 1 auto sup 600; ass ext locaux 1000</t>
  </si>
  <si>
    <t>étude et recherche</t>
  </si>
  <si>
    <t>cf Budget marketing</t>
  </si>
  <si>
    <t>documentation</t>
  </si>
  <si>
    <t>*2</t>
  </si>
  <si>
    <t>personnel extérieur</t>
  </si>
  <si>
    <t>commission sur ventes</t>
  </si>
  <si>
    <t>20% de 60 K€ CA martinique</t>
  </si>
  <si>
    <t>honoraire web interactif</t>
  </si>
  <si>
    <t>honoraires</t>
  </si>
  <si>
    <t>honoraires  salva</t>
  </si>
  <si>
    <t>frais d'actes</t>
  </si>
  <si>
    <t>annonces et insertions / partenariats</t>
  </si>
  <si>
    <t>Foire (stand)</t>
  </si>
  <si>
    <t>Cadeaux clients</t>
  </si>
  <si>
    <t>catalogues et publicité</t>
  </si>
  <si>
    <t>publicité mailings</t>
  </si>
  <si>
    <t>cf Budget marketing - 10000 euros</t>
  </si>
  <si>
    <t>Frais transport s/achats</t>
  </si>
  <si>
    <t>Fonction évol CA</t>
  </si>
  <si>
    <t>Frais transport s/ventes</t>
  </si>
  <si>
    <t>missions et réceptions (dont frais salon)</t>
  </si>
  <si>
    <t>frais 2 commerciaux 2* 7500</t>
  </si>
  <si>
    <t>affranchissements mailing</t>
  </si>
  <si>
    <t xml:space="preserve">frais postaux </t>
  </si>
  <si>
    <t>frais colis poste</t>
  </si>
  <si>
    <t>télécom et internet</t>
  </si>
  <si>
    <t xml:space="preserve"> 1 nouvelle télévendeuse soit 2000</t>
  </si>
  <si>
    <t>commisions bancaires</t>
  </si>
  <si>
    <t>cotisation</t>
  </si>
  <si>
    <t>divers</t>
  </si>
  <si>
    <t>Autres achats et charges externes</t>
  </si>
  <si>
    <t>Valeur ajoutée</t>
  </si>
  <si>
    <t>Subvention d'exploitation</t>
  </si>
  <si>
    <t>Salaires - part fixe</t>
  </si>
  <si>
    <t>1 resp GC 45 K€ sur 6 mois</t>
  </si>
  <si>
    <t>Salaires - part variable</t>
  </si>
  <si>
    <t xml:space="preserve"> CA comm +13% </t>
  </si>
  <si>
    <t>comm GC 15 K€ sur 6 mois</t>
  </si>
  <si>
    <t>autres(indem+cp)</t>
  </si>
  <si>
    <t>Charges - part fixe</t>
  </si>
  <si>
    <t>Charges - part variable</t>
  </si>
  <si>
    <t>autres</t>
  </si>
  <si>
    <t>Total salaires et charges</t>
  </si>
  <si>
    <t>Taxe apprentissage</t>
  </si>
  <si>
    <t>Formation continue</t>
  </si>
  <si>
    <t>Frais de stage</t>
  </si>
  <si>
    <t>Taxe professionnelle</t>
  </si>
  <si>
    <t>droits d'enregistrements</t>
  </si>
  <si>
    <t>TVTS</t>
  </si>
  <si>
    <t>Taxe douane</t>
  </si>
  <si>
    <t>IFA (Impôt forfaitaire annuel)</t>
  </si>
  <si>
    <t>autres  (dont taxes foncières)</t>
  </si>
  <si>
    <t>organic</t>
  </si>
  <si>
    <t>Total impôts</t>
  </si>
  <si>
    <t>Excédent brut d'exploitation</t>
  </si>
  <si>
    <t>Dotation aux provisions et amo</t>
  </si>
  <si>
    <t>sur 9 mois : amort 20ke rack sur  5 ans;  sur 6 mois : 50 K€ logiciel sur 3 ans  (20/5/3*4+50/3/2 = 3+8,6)</t>
  </si>
  <si>
    <t>sur 9 mois : amort 20ke rack sur  5 ans;  sur 6 mois : 50 K€ logiciel sur 3 ans + extension sur 2 mois : amort labo 50 K€  + rack suppl 20 K€ (20/5/3*4+50/3+50/5/2 +50/5/6 + 20/5/6= 3+12,5+1,66+0,66)</t>
  </si>
  <si>
    <t>Reprises</t>
  </si>
  <si>
    <t>autres charges de gestion</t>
  </si>
  <si>
    <t>Résultat d'exploitation</t>
  </si>
  <si>
    <t>Charges financières</t>
  </si>
  <si>
    <t>Produits financiers</t>
  </si>
  <si>
    <t>Résultat courant</t>
  </si>
  <si>
    <t>Charges exceptionnelles</t>
  </si>
  <si>
    <t>Produits exceptionnels</t>
  </si>
  <si>
    <t>Impôt sur les sociétés</t>
  </si>
  <si>
    <t>Résultat net</t>
  </si>
  <si>
    <t>Capacité d'autofinancement</t>
  </si>
  <si>
    <t>variation BFR</t>
  </si>
  <si>
    <t>remboursement et octroi d'emprunt</t>
  </si>
  <si>
    <t>dividendes</t>
  </si>
  <si>
    <t>variation trésorerie free cash flow</t>
  </si>
  <si>
    <t>PRI</t>
  </si>
  <si>
    <t>LOG</t>
  </si>
  <si>
    <t>MKTG</t>
  </si>
  <si>
    <t>VTES</t>
  </si>
  <si>
    <t>FGX1</t>
  </si>
  <si>
    <t>FGX2</t>
  </si>
  <si>
    <t>TOTAL</t>
  </si>
  <si>
    <t>AR</t>
  </si>
  <si>
    <t>check</t>
  </si>
  <si>
    <t>Chiffre d'affaires</t>
  </si>
  <si>
    <t>Autres produits</t>
  </si>
  <si>
    <t>Produits d'exploitation</t>
  </si>
  <si>
    <t>Logistique</t>
  </si>
  <si>
    <t>Marketing</t>
  </si>
  <si>
    <t>Ventes</t>
  </si>
  <si>
    <t>Amortissements</t>
  </si>
  <si>
    <t>MB%CA</t>
  </si>
  <si>
    <t>EBIT</t>
  </si>
  <si>
    <t>Res Financier</t>
  </si>
  <si>
    <t>AM</t>
  </si>
  <si>
    <t>SSUBVENTIONS</t>
  </si>
  <si>
    <t>Exceptionnels</t>
  </si>
  <si>
    <t>IS</t>
  </si>
  <si>
    <t>RN</t>
  </si>
  <si>
    <t>Les 4 voies du plan de développement d'EONA :</t>
  </si>
  <si>
    <t>LB 13/04/2010</t>
  </si>
  <si>
    <t>Activité actuelle</t>
  </si>
  <si>
    <t>2010-2011</t>
  </si>
  <si>
    <t>2011-2012</t>
  </si>
  <si>
    <t>2012-2013</t>
  </si>
  <si>
    <t>2013-2014</t>
  </si>
  <si>
    <t>2014-2015</t>
  </si>
  <si>
    <t>2015-2016</t>
  </si>
  <si>
    <t>CA</t>
  </si>
  <si>
    <t>Outil ccial à pleine capa.</t>
  </si>
  <si>
    <t>Autres</t>
  </si>
  <si>
    <t>Produits</t>
  </si>
  <si>
    <t>MB</t>
  </si>
  <si>
    <t>MB%</t>
  </si>
  <si>
    <t>Invstmts et croiss vol</t>
  </si>
  <si>
    <t>du CA en 2009</t>
  </si>
  <si>
    <t>Force de vente</t>
  </si>
  <si>
    <t>FGx salaires</t>
  </si>
  <si>
    <t>FGx autres</t>
  </si>
  <si>
    <t>Amort</t>
  </si>
  <si>
    <t>Prov</t>
  </si>
  <si>
    <t>Ebit</t>
  </si>
  <si>
    <t>Nouveaux Kinés</t>
  </si>
  <si>
    <t>kinés à</t>
  </si>
  <si>
    <t>K€/an</t>
  </si>
  <si>
    <t>CA idem l'activité actuelle</t>
  </si>
  <si>
    <t>pub, couponning, mailings</t>
  </si>
  <si>
    <t>tél, informatique</t>
  </si>
  <si>
    <t>Ebit marginal</t>
  </si>
  <si>
    <t>Grands comptes</t>
  </si>
  <si>
    <t>Centres rééducation</t>
  </si>
  <si>
    <t>centres</t>
  </si>
  <si>
    <t>Maisons retraite</t>
  </si>
  <si>
    <t>MR</t>
  </si>
  <si>
    <t>bastide + réseaux</t>
  </si>
  <si>
    <t>GP + Plateforme</t>
  </si>
  <si>
    <t>du chiffre d'affaires</t>
  </si>
  <si>
    <t>Réseaux magasins</t>
  </si>
  <si>
    <t>Nb magasins</t>
  </si>
  <si>
    <t>CA moy mensuel</t>
  </si>
  <si>
    <t>Nb mois</t>
  </si>
  <si>
    <t>CA moy annuel</t>
  </si>
  <si>
    <t>CA total (K€)</t>
  </si>
  <si>
    <t>GROUPE EONA :</t>
  </si>
  <si>
    <t>Laboratoires Eona</t>
  </si>
  <si>
    <t>Groupe Eona consolidé</t>
  </si>
  <si>
    <t>JSC le 23 sept.  2010</t>
  </si>
  <si>
    <t>Bilans 2010</t>
  </si>
  <si>
    <t>BUSINESS PLAN AVEC INVESTISSEMENT :</t>
  </si>
  <si>
    <t>COMMENTAIRES</t>
  </si>
  <si>
    <t>Investissement 10/11</t>
  </si>
  <si>
    <t>amélioration avec vol./mix</t>
  </si>
  <si>
    <t>cf business units</t>
  </si>
  <si>
    <t>Ebit%CA</t>
  </si>
  <si>
    <t>Résultat Fi</t>
  </si>
  <si>
    <t>sur RAVI</t>
  </si>
  <si>
    <t>Caisse</t>
  </si>
  <si>
    <t>MBA</t>
  </si>
  <si>
    <t>Immob +/-</t>
  </si>
  <si>
    <t>Investissement - cf stratégie</t>
  </si>
  <si>
    <t>BFR+/-</t>
  </si>
  <si>
    <t>voir ci-après</t>
  </si>
  <si>
    <t>Autres A +/-</t>
  </si>
  <si>
    <t>Capropres +/-</t>
  </si>
  <si>
    <t>Defi +/-</t>
  </si>
  <si>
    <t>Cpte crt +/-</t>
  </si>
  <si>
    <t>socfisc +/-</t>
  </si>
  <si>
    <t>autres passifs +/-</t>
  </si>
  <si>
    <t>dispo DP</t>
  </si>
  <si>
    <t>dispo FP</t>
  </si>
  <si>
    <t>augmentation activité</t>
  </si>
  <si>
    <t>BFR</t>
  </si>
  <si>
    <t>BFR%CA</t>
  </si>
  <si>
    <t>Delta BFR</t>
  </si>
  <si>
    <t>jours stocks</t>
  </si>
  <si>
    <t>jours clients</t>
  </si>
  <si>
    <t>jours fournisseurs</t>
  </si>
  <si>
    <t>TVA</t>
  </si>
  <si>
    <t>dette théo</t>
  </si>
  <si>
    <t>dette apparente</t>
  </si>
  <si>
    <t>escpte</t>
  </si>
  <si>
    <t>Cash flow normatif</t>
  </si>
  <si>
    <t>Charges excl amort</t>
  </si>
  <si>
    <t>amortissement</t>
  </si>
  <si>
    <t>Ebit % CA</t>
  </si>
  <si>
    <t>Cash flow norm</t>
  </si>
  <si>
    <t>FCF normatif</t>
  </si>
  <si>
    <t>Delta de conso</t>
  </si>
  <si>
    <t>Marge Brute</t>
  </si>
  <si>
    <t>sur ccrt, defi, escpte,dispo</t>
  </si>
  <si>
    <t>petite activité à l'export 0 TVA</t>
  </si>
  <si>
    <t>2011 m</t>
  </si>
  <si>
    <t>2011 M</t>
  </si>
  <si>
    <t>Holding Eona</t>
  </si>
  <si>
    <t>2011M</t>
  </si>
  <si>
    <t>2011m</t>
  </si>
  <si>
    <t>cpte tenu des investissements</t>
  </si>
  <si>
    <t>ns</t>
  </si>
  <si>
    <t>RN + amortissements - cf 2010</t>
  </si>
  <si>
    <t>JSC le 13 OCTOBRE 2010</t>
  </si>
  <si>
    <t>BUSINESS PLAN DE KINEGEL - Jean Saint-Cricq septembre 2010 :</t>
  </si>
  <si>
    <t>Cptes d'exploitation</t>
  </si>
  <si>
    <t>Prix revient des ventes</t>
  </si>
  <si>
    <t>MB % CA</t>
  </si>
  <si>
    <t>Force vente 1</t>
  </si>
  <si>
    <t>Force de vente 2</t>
  </si>
  <si>
    <t>FGx 1 (salaires siège)</t>
  </si>
  <si>
    <t>FGx 2 (Autres achats)</t>
  </si>
  <si>
    <t>Royautés</t>
  </si>
  <si>
    <t>Impôts et taxes</t>
  </si>
  <si>
    <t>Autres charges</t>
  </si>
  <si>
    <t>EBIT marginal</t>
  </si>
  <si>
    <t>EBIT % CA</t>
  </si>
  <si>
    <t>Résultat financier</t>
  </si>
  <si>
    <t>Résexcept</t>
  </si>
  <si>
    <t>IS marginal</t>
  </si>
  <si>
    <t>RN marginal</t>
  </si>
  <si>
    <t>FINANCEMENT</t>
  </si>
  <si>
    <t>Cptes courants</t>
  </si>
  <si>
    <t>Delta BFR +/-</t>
  </si>
  <si>
    <t>Investissements +/-</t>
  </si>
  <si>
    <t>Autres Créances +/-</t>
  </si>
  <si>
    <t>Autres actifs +/-</t>
  </si>
  <si>
    <t>Escompte +/-</t>
  </si>
  <si>
    <t>Socfisc +/-</t>
  </si>
  <si>
    <t>Autres passifs +/-</t>
  </si>
  <si>
    <t>Dispo DP</t>
  </si>
  <si>
    <t>Dispo FP</t>
  </si>
  <si>
    <t>BILANS</t>
  </si>
  <si>
    <t>Immobilisations</t>
  </si>
  <si>
    <t>Autres créances</t>
  </si>
  <si>
    <t>SN</t>
  </si>
  <si>
    <t>Defi</t>
  </si>
  <si>
    <t>Ccrt</t>
  </si>
  <si>
    <t>stocks</t>
  </si>
  <si>
    <t>clients</t>
  </si>
  <si>
    <t>fournisseurs</t>
  </si>
  <si>
    <t>DELTA BFR</t>
  </si>
  <si>
    <t>Jours BFR                      TVA</t>
  </si>
  <si>
    <t>EONA CONSOLIDE</t>
  </si>
  <si>
    <t>1 CP/Kinegel + 1 DG</t>
  </si>
  <si>
    <t>avec aug loyer 22K€:an+50K</t>
  </si>
  <si>
    <t>lcmt de Kinegel en fin 2011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</si>
</sst>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44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name val="Garamond"/>
      <family val="1"/>
    </font>
    <font>
      <b/>
      <sz val="10"/>
      <name val="Comic Sans MS"/>
      <family val="4"/>
    </font>
    <font>
      <sz val="8"/>
      <name val="Comic Sans MS"/>
      <family val="4"/>
    </font>
    <font>
      <b/>
      <sz val="12"/>
      <name val="Comic Sans MS"/>
      <family val="4"/>
    </font>
    <font>
      <b/>
      <sz val="8"/>
      <name val="Comic Sans MS"/>
      <family val="4"/>
    </font>
    <font>
      <sz val="10"/>
      <name val="Comic Sans MS"/>
      <family val="4"/>
    </font>
    <font>
      <sz val="8"/>
      <color indexed="1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</font>
    <font>
      <u/>
      <sz val="8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name val="Arial"/>
      <family val="2"/>
    </font>
    <font>
      <b/>
      <sz val="8"/>
      <name val="Arial"/>
    </font>
    <font>
      <sz val="8"/>
      <name val="Arial"/>
      <family val="2"/>
    </font>
    <font>
      <b/>
      <sz val="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3" fillId="0" borderId="0"/>
    <xf numFmtId="0" fontId="2" fillId="0" borderId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282">
    <xf numFmtId="0" fontId="0" fillId="0" borderId="0" xfId="0"/>
    <xf numFmtId="0" fontId="20" fillId="0" borderId="0" xfId="0" applyFont="1"/>
    <xf numFmtId="0" fontId="0" fillId="0" borderId="10" xfId="0" applyBorder="1"/>
    <xf numFmtId="0" fontId="20" fillId="0" borderId="10" xfId="0" applyFont="1" applyBorder="1"/>
    <xf numFmtId="1" fontId="20" fillId="0" borderId="10" xfId="0" applyNumberFormat="1" applyFont="1" applyBorder="1"/>
    <xf numFmtId="1" fontId="0" fillId="0" borderId="10" xfId="0" applyNumberFormat="1" applyBorder="1"/>
    <xf numFmtId="0" fontId="0" fillId="0" borderId="11" xfId="0" applyBorder="1"/>
    <xf numFmtId="1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Border="1"/>
    <xf numFmtId="0" fontId="20" fillId="0" borderId="12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1" fillId="0" borderId="10" xfId="0" applyFont="1" applyBorder="1"/>
    <xf numFmtId="1" fontId="21" fillId="0" borderId="10" xfId="0" applyNumberFormat="1" applyFont="1" applyBorder="1"/>
    <xf numFmtId="0" fontId="24" fillId="0" borderId="0" xfId="33" applyFont="1" applyAlignment="1">
      <alignment vertical="center"/>
    </xf>
    <xf numFmtId="3" fontId="25" fillId="0" borderId="0" xfId="33" applyNumberFormat="1" applyFont="1"/>
    <xf numFmtId="10" fontId="25" fillId="0" borderId="0" xfId="33" applyNumberFormat="1" applyFont="1"/>
    <xf numFmtId="0" fontId="25" fillId="0" borderId="0" xfId="33" applyFont="1"/>
    <xf numFmtId="0" fontId="2" fillId="0" borderId="0" xfId="33"/>
    <xf numFmtId="0" fontId="25" fillId="0" borderId="0" xfId="33" applyFont="1" applyAlignment="1">
      <alignment horizontal="center" vertical="center"/>
    </xf>
    <xf numFmtId="0" fontId="27" fillId="0" borderId="13" xfId="33" applyFont="1" applyBorder="1" applyAlignment="1">
      <alignment horizontal="center" vertical="center"/>
    </xf>
    <xf numFmtId="0" fontId="28" fillId="0" borderId="14" xfId="33" applyFont="1" applyBorder="1" applyAlignment="1">
      <alignment vertical="center"/>
    </xf>
    <xf numFmtId="3" fontId="28" fillId="0" borderId="15" xfId="33" applyNumberFormat="1" applyFont="1" applyBorder="1" applyAlignment="1">
      <alignment vertical="center"/>
    </xf>
    <xf numFmtId="9" fontId="28" fillId="0" borderId="16" xfId="33" applyNumberFormat="1" applyFont="1" applyBorder="1" applyAlignment="1">
      <alignment vertical="center"/>
    </xf>
    <xf numFmtId="3" fontId="28" fillId="0" borderId="17" xfId="33" applyNumberFormat="1" applyFont="1" applyBorder="1" applyAlignment="1">
      <alignment vertical="center"/>
    </xf>
    <xf numFmtId="9" fontId="28" fillId="0" borderId="18" xfId="33" applyNumberFormat="1" applyFont="1" applyBorder="1" applyAlignment="1">
      <alignment vertical="center"/>
    </xf>
    <xf numFmtId="3" fontId="25" fillId="0" borderId="19" xfId="33" applyNumberFormat="1" applyFont="1" applyBorder="1" applyAlignment="1">
      <alignment vertical="center" wrapText="1"/>
    </xf>
    <xf numFmtId="3" fontId="25" fillId="0" borderId="20" xfId="33" applyNumberFormat="1" applyFont="1" applyBorder="1" applyAlignment="1">
      <alignment vertical="center" wrapText="1"/>
    </xf>
    <xf numFmtId="0" fontId="28" fillId="0" borderId="21" xfId="33" applyFont="1" applyBorder="1" applyAlignment="1">
      <alignment vertical="center"/>
    </xf>
    <xf numFmtId="3" fontId="28" fillId="0" borderId="22" xfId="33" applyNumberFormat="1" applyFont="1" applyBorder="1" applyAlignment="1">
      <alignment vertical="center"/>
    </xf>
    <xf numFmtId="9" fontId="28" fillId="0" borderId="23" xfId="33" applyNumberFormat="1" applyFont="1" applyBorder="1" applyAlignment="1">
      <alignment vertical="center"/>
    </xf>
    <xf numFmtId="9" fontId="28" fillId="0" borderId="24" xfId="33" applyNumberFormat="1" applyFont="1" applyBorder="1" applyAlignment="1">
      <alignment vertical="center"/>
    </xf>
    <xf numFmtId="3" fontId="25" fillId="0" borderId="0" xfId="33" applyNumberFormat="1" applyFont="1" applyBorder="1" applyAlignment="1">
      <alignment vertical="center"/>
    </xf>
    <xf numFmtId="3" fontId="25" fillId="0" borderId="25" xfId="33" applyNumberFormat="1" applyFont="1" applyBorder="1" applyAlignment="1">
      <alignment vertical="center"/>
    </xf>
    <xf numFmtId="0" fontId="25" fillId="0" borderId="21" xfId="33" applyFont="1" applyBorder="1"/>
    <xf numFmtId="3" fontId="25" fillId="0" borderId="22" xfId="33" applyNumberFormat="1" applyFont="1" applyBorder="1"/>
    <xf numFmtId="10" fontId="25" fillId="0" borderId="23" xfId="33" applyNumberFormat="1" applyFont="1" applyBorder="1"/>
    <xf numFmtId="10" fontId="25" fillId="0" borderId="24" xfId="33" applyNumberFormat="1" applyFont="1" applyBorder="1"/>
    <xf numFmtId="3" fontId="25" fillId="0" borderId="0" xfId="33" applyNumberFormat="1" applyFont="1" applyBorder="1"/>
    <xf numFmtId="3" fontId="25" fillId="0" borderId="25" xfId="33" applyNumberFormat="1" applyFont="1" applyBorder="1"/>
    <xf numFmtId="0" fontId="25" fillId="0" borderId="26" xfId="33" applyFont="1" applyBorder="1"/>
    <xf numFmtId="3" fontId="25" fillId="0" borderId="27" xfId="33" applyNumberFormat="1" applyFont="1" applyBorder="1"/>
    <xf numFmtId="10" fontId="25" fillId="0" borderId="28" xfId="33" applyNumberFormat="1" applyFont="1" applyBorder="1"/>
    <xf numFmtId="3" fontId="25" fillId="0" borderId="29" xfId="33" applyNumberFormat="1" applyFont="1" applyBorder="1"/>
    <xf numFmtId="10" fontId="25" fillId="0" borderId="30" xfId="33" applyNumberFormat="1" applyFont="1" applyBorder="1"/>
    <xf numFmtId="3" fontId="25" fillId="0" borderId="31" xfId="33" applyNumberFormat="1" applyFont="1" applyBorder="1"/>
    <xf numFmtId="3" fontId="25" fillId="0" borderId="32" xfId="33" applyNumberFormat="1" applyFont="1" applyBorder="1"/>
    <xf numFmtId="0" fontId="24" fillId="0" borderId="33" xfId="33" applyFont="1" applyBorder="1" applyAlignment="1">
      <alignment vertical="center"/>
    </xf>
    <xf numFmtId="3" fontId="24" fillId="0" borderId="34" xfId="33" applyNumberFormat="1" applyFont="1" applyBorder="1" applyAlignment="1">
      <alignment vertical="center"/>
    </xf>
    <xf numFmtId="164" fontId="24" fillId="0" borderId="30" xfId="33" applyNumberFormat="1" applyFont="1" applyBorder="1" applyAlignment="1">
      <alignment vertical="center"/>
    </xf>
    <xf numFmtId="10" fontId="24" fillId="0" borderId="30" xfId="33" applyNumberFormat="1" applyFont="1" applyBorder="1" applyAlignment="1">
      <alignment vertical="center"/>
    </xf>
    <xf numFmtId="0" fontId="29" fillId="0" borderId="21" xfId="33" applyFont="1" applyBorder="1"/>
    <xf numFmtId="3" fontId="25" fillId="0" borderId="35" xfId="33" applyNumberFormat="1" applyFont="1" applyBorder="1"/>
    <xf numFmtId="3" fontId="25" fillId="0" borderId="24" xfId="33" applyNumberFormat="1" applyFont="1" applyBorder="1"/>
    <xf numFmtId="3" fontId="25" fillId="0" borderId="35" xfId="33" quotePrefix="1" applyNumberFormat="1" applyFont="1" applyBorder="1" applyAlignment="1">
      <alignment wrapText="1"/>
    </xf>
    <xf numFmtId="3" fontId="25" fillId="0" borderId="35" xfId="33" applyNumberFormat="1" applyFont="1" applyBorder="1" applyAlignment="1">
      <alignment wrapText="1"/>
    </xf>
    <xf numFmtId="0" fontId="25" fillId="24" borderId="21" xfId="33" applyFont="1" applyFill="1" applyBorder="1"/>
    <xf numFmtId="3" fontId="25" fillId="24" borderId="35" xfId="33" applyNumberFormat="1" applyFont="1" applyFill="1" applyBorder="1"/>
    <xf numFmtId="3" fontId="25" fillId="24" borderId="24" xfId="33" applyNumberFormat="1" applyFont="1" applyFill="1" applyBorder="1"/>
    <xf numFmtId="3" fontId="25" fillId="24" borderId="35" xfId="33" quotePrefix="1" applyNumberFormat="1" applyFont="1" applyFill="1" applyBorder="1"/>
    <xf numFmtId="0" fontId="25" fillId="0" borderId="21" xfId="33" applyFont="1" applyFill="1" applyBorder="1"/>
    <xf numFmtId="3" fontId="25" fillId="0" borderId="35" xfId="33" applyNumberFormat="1" applyFont="1" applyFill="1" applyBorder="1"/>
    <xf numFmtId="3" fontId="25" fillId="0" borderId="24" xfId="33" applyNumberFormat="1" applyFont="1" applyFill="1" applyBorder="1"/>
    <xf numFmtId="3" fontId="25" fillId="0" borderId="0" xfId="33" applyNumberFormat="1" applyFont="1" applyFill="1" applyBorder="1"/>
    <xf numFmtId="3" fontId="25" fillId="0" borderId="36" xfId="33" applyNumberFormat="1" applyFont="1" applyFill="1" applyBorder="1"/>
    <xf numFmtId="0" fontId="29" fillId="24" borderId="21" xfId="33" applyFont="1" applyFill="1" applyBorder="1"/>
    <xf numFmtId="0" fontId="24" fillId="0" borderId="37" xfId="33" applyFont="1" applyBorder="1" applyAlignment="1">
      <alignment vertical="center"/>
    </xf>
    <xf numFmtId="3" fontId="24" fillId="0" borderId="38" xfId="33" applyNumberFormat="1" applyFont="1" applyBorder="1" applyAlignment="1">
      <alignment vertical="center"/>
    </xf>
    <xf numFmtId="164" fontId="24" fillId="0" borderId="39" xfId="33" applyNumberFormat="1" applyFont="1" applyBorder="1" applyAlignment="1">
      <alignment vertical="center"/>
    </xf>
    <xf numFmtId="3" fontId="24" fillId="0" borderId="40" xfId="33" applyNumberFormat="1" applyFont="1" applyBorder="1" applyAlignment="1">
      <alignment vertical="center"/>
    </xf>
    <xf numFmtId="0" fontId="28" fillId="0" borderId="33" xfId="33" applyFont="1" applyBorder="1" applyAlignment="1">
      <alignment vertical="center"/>
    </xf>
    <xf numFmtId="3" fontId="28" fillId="0" borderId="34" xfId="33" applyNumberFormat="1" applyFont="1" applyBorder="1" applyAlignment="1">
      <alignment vertical="center"/>
    </xf>
    <xf numFmtId="3" fontId="24" fillId="0" borderId="35" xfId="33" applyNumberFormat="1" applyFont="1" applyBorder="1" applyAlignment="1">
      <alignment vertical="center"/>
    </xf>
    <xf numFmtId="3" fontId="25" fillId="0" borderId="17" xfId="33" applyNumberFormat="1" applyFont="1" applyBorder="1"/>
    <xf numFmtId="10" fontId="25" fillId="0" borderId="18" xfId="33" applyNumberFormat="1" applyFont="1" applyBorder="1"/>
    <xf numFmtId="10" fontId="25" fillId="24" borderId="24" xfId="33" applyNumberFormat="1" applyFont="1" applyFill="1" applyBorder="1"/>
    <xf numFmtId="3" fontId="25" fillId="24" borderId="0" xfId="33" quotePrefix="1" applyNumberFormat="1" applyFont="1" applyFill="1" applyBorder="1"/>
    <xf numFmtId="3" fontId="25" fillId="24" borderId="22" xfId="33" applyNumberFormat="1" applyFont="1" applyFill="1" applyBorder="1"/>
    <xf numFmtId="3" fontId="25" fillId="24" borderId="0" xfId="33" applyNumberFormat="1" applyFont="1" applyFill="1" applyBorder="1"/>
    <xf numFmtId="0" fontId="24" fillId="0" borderId="41" xfId="33" applyFont="1" applyBorder="1" applyAlignment="1">
      <alignment vertical="center"/>
    </xf>
    <xf numFmtId="3" fontId="24" fillId="0" borderId="42" xfId="33" applyNumberFormat="1" applyFont="1" applyBorder="1" applyAlignment="1">
      <alignment vertical="center"/>
    </xf>
    <xf numFmtId="164" fontId="24" fillId="0" borderId="43" xfId="33" applyNumberFormat="1" applyFont="1" applyBorder="1" applyAlignment="1">
      <alignment vertical="center"/>
    </xf>
    <xf numFmtId="3" fontId="24" fillId="0" borderId="44" xfId="33" applyNumberFormat="1" applyFont="1" applyBorder="1" applyAlignment="1">
      <alignment vertical="center"/>
    </xf>
    <xf numFmtId="3" fontId="24" fillId="0" borderId="45" xfId="33" applyNumberFormat="1" applyFont="1" applyBorder="1" applyAlignment="1">
      <alignment vertical="center"/>
    </xf>
    <xf numFmtId="3" fontId="24" fillId="0" borderId="43" xfId="33" applyNumberFormat="1" applyFont="1" applyBorder="1" applyAlignment="1">
      <alignment vertical="center"/>
    </xf>
    <xf numFmtId="0" fontId="25" fillId="0" borderId="14" xfId="33" applyFont="1" applyBorder="1"/>
    <xf numFmtId="0" fontId="25" fillId="0" borderId="33" xfId="33" applyFont="1" applyBorder="1"/>
    <xf numFmtId="3" fontId="25" fillId="0" borderId="35" xfId="32" applyNumberFormat="1" applyFont="1" applyBorder="1"/>
    <xf numFmtId="3" fontId="24" fillId="0" borderId="46" xfId="33" applyNumberFormat="1" applyFont="1" applyBorder="1" applyAlignment="1">
      <alignment vertical="center"/>
    </xf>
    <xf numFmtId="164" fontId="24" fillId="0" borderId="47" xfId="33" applyNumberFormat="1" applyFont="1" applyBorder="1" applyAlignment="1">
      <alignment vertical="center"/>
    </xf>
    <xf numFmtId="3" fontId="24" fillId="0" borderId="48" xfId="33" applyNumberFormat="1" applyFont="1" applyBorder="1" applyAlignment="1">
      <alignment vertical="center"/>
    </xf>
    <xf numFmtId="0" fontId="24" fillId="0" borderId="14" xfId="33" applyFont="1" applyBorder="1" applyAlignment="1">
      <alignment vertical="center"/>
    </xf>
    <xf numFmtId="10" fontId="24" fillId="0" borderId="24" xfId="33" applyNumberFormat="1" applyFont="1" applyBorder="1" applyAlignment="1">
      <alignment vertical="center"/>
    </xf>
    <xf numFmtId="0" fontId="24" fillId="0" borderId="21" xfId="33" applyFont="1" applyBorder="1" applyAlignment="1">
      <alignment vertical="center"/>
    </xf>
    <xf numFmtId="3" fontId="2" fillId="0" borderId="10" xfId="33" applyNumberFormat="1" applyBorder="1"/>
    <xf numFmtId="1" fontId="26" fillId="0" borderId="46" xfId="33" quotePrefix="1" applyNumberFormat="1" applyFont="1" applyBorder="1" applyAlignment="1">
      <alignment horizontal="center" vertical="center"/>
    </xf>
    <xf numFmtId="0" fontId="2" fillId="0" borderId="0" xfId="33" applyFill="1"/>
    <xf numFmtId="0" fontId="2" fillId="0" borderId="10" xfId="33" applyFont="1" applyBorder="1"/>
    <xf numFmtId="3" fontId="28" fillId="25" borderId="10" xfId="33" applyNumberFormat="1" applyFont="1" applyFill="1" applyBorder="1" applyAlignment="1">
      <alignment vertical="center"/>
    </xf>
    <xf numFmtId="3" fontId="28" fillId="0" borderId="10" xfId="33" applyNumberFormat="1" applyFont="1" applyFill="1" applyBorder="1" applyAlignment="1">
      <alignment vertical="center"/>
    </xf>
    <xf numFmtId="0" fontId="2" fillId="25" borderId="10" xfId="33" applyFill="1" applyBorder="1"/>
    <xf numFmtId="3" fontId="2" fillId="25" borderId="10" xfId="33" applyNumberFormat="1" applyFill="1" applyBorder="1"/>
    <xf numFmtId="0" fontId="2" fillId="25" borderId="10" xfId="33" applyFont="1" applyFill="1" applyBorder="1"/>
    <xf numFmtId="0" fontId="2" fillId="0" borderId="10" xfId="33" applyBorder="1"/>
    <xf numFmtId="0" fontId="0" fillId="0" borderId="12" xfId="0" applyBorder="1"/>
    <xf numFmtId="0" fontId="0" fillId="0" borderId="49" xfId="0" applyBorder="1"/>
    <xf numFmtId="3" fontId="28" fillId="25" borderId="50" xfId="33" applyNumberFormat="1" applyFont="1" applyFill="1" applyBorder="1" applyAlignment="1">
      <alignment vertical="center"/>
    </xf>
    <xf numFmtId="3" fontId="28" fillId="0" borderId="50" xfId="33" applyNumberFormat="1" applyFont="1" applyFill="1" applyBorder="1" applyAlignment="1">
      <alignment vertical="center"/>
    </xf>
    <xf numFmtId="0" fontId="0" fillId="0" borderId="51" xfId="0" applyBorder="1"/>
    <xf numFmtId="0" fontId="2" fillId="0" borderId="52" xfId="33" applyFont="1" applyBorder="1"/>
    <xf numFmtId="3" fontId="28" fillId="25" borderId="53" xfId="33" applyNumberFormat="1" applyFont="1" applyFill="1" applyBorder="1" applyAlignment="1">
      <alignment vertical="center"/>
    </xf>
    <xf numFmtId="3" fontId="2" fillId="0" borderId="54" xfId="33" applyNumberFormat="1" applyBorder="1"/>
    <xf numFmtId="3" fontId="2" fillId="25" borderId="54" xfId="33" applyNumberFormat="1" applyFill="1" applyBorder="1"/>
    <xf numFmtId="3" fontId="28" fillId="0" borderId="53" xfId="33" applyNumberFormat="1" applyFont="1" applyFill="1" applyBorder="1" applyAlignment="1">
      <alignment vertical="center"/>
    </xf>
    <xf numFmtId="3" fontId="28" fillId="25" borderId="55" xfId="33" applyNumberFormat="1" applyFont="1" applyFill="1" applyBorder="1" applyAlignment="1">
      <alignment vertical="center"/>
    </xf>
    <xf numFmtId="0" fontId="2" fillId="25" borderId="56" xfId="33" applyFill="1" applyBorder="1"/>
    <xf numFmtId="3" fontId="2" fillId="25" borderId="56" xfId="33" applyNumberFormat="1" applyFill="1" applyBorder="1"/>
    <xf numFmtId="3" fontId="2" fillId="25" borderId="57" xfId="33" applyNumberFormat="1" applyFill="1" applyBorder="1"/>
    <xf numFmtId="3" fontId="28" fillId="0" borderId="58" xfId="33" applyNumberFormat="1" applyFont="1" applyBorder="1" applyAlignment="1">
      <alignment vertical="center"/>
    </xf>
    <xf numFmtId="3" fontId="28" fillId="0" borderId="59" xfId="33" applyNumberFormat="1" applyFont="1" applyBorder="1" applyAlignment="1">
      <alignment vertical="center"/>
    </xf>
    <xf numFmtId="3" fontId="25" fillId="0" borderId="59" xfId="33" applyNumberFormat="1" applyFont="1" applyBorder="1"/>
    <xf numFmtId="3" fontId="25" fillId="0" borderId="60" xfId="33" applyNumberFormat="1" applyFont="1" applyBorder="1"/>
    <xf numFmtId="3" fontId="24" fillId="0" borderId="61" xfId="33" applyNumberFormat="1" applyFont="1" applyBorder="1" applyAlignment="1">
      <alignment vertical="center"/>
    </xf>
    <xf numFmtId="3" fontId="25" fillId="0" borderId="58" xfId="33" applyNumberFormat="1" applyFont="1" applyBorder="1"/>
    <xf numFmtId="3" fontId="25" fillId="24" borderId="59" xfId="33" applyNumberFormat="1" applyFont="1" applyFill="1" applyBorder="1"/>
    <xf numFmtId="3" fontId="28" fillId="25" borderId="62" xfId="33" applyNumberFormat="1" applyFont="1" applyFill="1" applyBorder="1" applyAlignment="1">
      <alignment vertical="center"/>
    </xf>
    <xf numFmtId="3" fontId="25" fillId="0" borderId="10" xfId="33" applyNumberFormat="1" applyFont="1" applyBorder="1"/>
    <xf numFmtId="3" fontId="25" fillId="25" borderId="10" xfId="33" applyNumberFormat="1" applyFont="1" applyFill="1" applyBorder="1"/>
    <xf numFmtId="3" fontId="25" fillId="0" borderId="10" xfId="33" applyNumberFormat="1" applyFont="1" applyFill="1" applyBorder="1"/>
    <xf numFmtId="3" fontId="25" fillId="24" borderId="10" xfId="33" applyNumberFormat="1" applyFont="1" applyFill="1" applyBorder="1"/>
    <xf numFmtId="3" fontId="24" fillId="25" borderId="10" xfId="33" applyNumberFormat="1" applyFont="1" applyFill="1" applyBorder="1" applyAlignment="1">
      <alignment vertical="center"/>
    </xf>
    <xf numFmtId="0" fontId="25" fillId="0" borderId="0" xfId="33" applyFont="1" applyBorder="1"/>
    <xf numFmtId="3" fontId="28" fillId="25" borderId="12" xfId="33" applyNumberFormat="1" applyFont="1" applyFill="1" applyBorder="1" applyAlignment="1">
      <alignment vertical="center"/>
    </xf>
    <xf numFmtId="1" fontId="26" fillId="25" borderId="13" xfId="33" quotePrefix="1" applyNumberFormat="1" applyFont="1" applyFill="1" applyBorder="1" applyAlignment="1">
      <alignment horizontal="center" vertical="center"/>
    </xf>
    <xf numFmtId="3" fontId="2" fillId="0" borderId="0" xfId="33" applyNumberFormat="1"/>
    <xf numFmtId="0" fontId="2" fillId="25" borderId="63" xfId="33" applyFill="1" applyBorder="1"/>
    <xf numFmtId="3" fontId="2" fillId="25" borderId="63" xfId="33" applyNumberFormat="1" applyFill="1" applyBorder="1"/>
    <xf numFmtId="3" fontId="28" fillId="26" borderId="50" xfId="33" applyNumberFormat="1" applyFont="1" applyFill="1" applyBorder="1" applyAlignment="1">
      <alignment vertical="center"/>
    </xf>
    <xf numFmtId="0" fontId="2" fillId="26" borderId="10" xfId="33" applyFill="1" applyBorder="1"/>
    <xf numFmtId="3" fontId="2" fillId="26" borderId="10" xfId="33" applyNumberFormat="1" applyFill="1" applyBorder="1"/>
    <xf numFmtId="3" fontId="25" fillId="26" borderId="22" xfId="33" applyNumberFormat="1" applyFont="1" applyFill="1" applyBorder="1"/>
    <xf numFmtId="3" fontId="28" fillId="26" borderId="34" xfId="33" applyNumberFormat="1" applyFont="1" applyFill="1" applyBorder="1" applyAlignment="1">
      <alignment vertical="center"/>
    </xf>
    <xf numFmtId="3" fontId="24" fillId="26" borderId="34" xfId="33" applyNumberFormat="1" applyFont="1" applyFill="1" applyBorder="1" applyAlignment="1">
      <alignment vertical="center"/>
    </xf>
    <xf numFmtId="3" fontId="24" fillId="26" borderId="38" xfId="33" applyNumberFormat="1" applyFont="1" applyFill="1" applyBorder="1" applyAlignment="1">
      <alignment vertical="center"/>
    </xf>
    <xf numFmtId="0" fontId="2" fillId="0" borderId="0" xfId="33" applyFont="1"/>
    <xf numFmtId="3" fontId="24" fillId="26" borderId="45" xfId="33" applyNumberFormat="1" applyFont="1" applyFill="1" applyBorder="1" applyAlignment="1">
      <alignment vertical="center"/>
    </xf>
    <xf numFmtId="0" fontId="0" fillId="0" borderId="50" xfId="0" applyBorder="1"/>
    <xf numFmtId="0" fontId="0" fillId="0" borderId="11" xfId="0" applyBorder="1" applyAlignment="1">
      <alignment horizontal="left"/>
    </xf>
    <xf numFmtId="0" fontId="0" fillId="0" borderId="64" xfId="0" applyBorder="1" applyAlignment="1">
      <alignment horizontal="center"/>
    </xf>
    <xf numFmtId="0" fontId="0" fillId="0" borderId="50" xfId="0" applyBorder="1" applyAlignment="1">
      <alignment horizontal="center"/>
    </xf>
    <xf numFmtId="1" fontId="0" fillId="0" borderId="50" xfId="0" applyNumberFormat="1" applyBorder="1"/>
    <xf numFmtId="0" fontId="20" fillId="0" borderId="50" xfId="0" applyFont="1" applyBorder="1"/>
    <xf numFmtId="9" fontId="20" fillId="0" borderId="10" xfId="0" applyNumberFormat="1" applyFont="1" applyBorder="1"/>
    <xf numFmtId="9" fontId="20" fillId="0" borderId="50" xfId="0" applyNumberFormat="1" applyFont="1" applyBorder="1"/>
    <xf numFmtId="0" fontId="0" fillId="25" borderId="10" xfId="0" applyFill="1" applyBorder="1"/>
    <xf numFmtId="1" fontId="0" fillId="25" borderId="10" xfId="0" applyNumberFormat="1" applyFill="1" applyBorder="1"/>
    <xf numFmtId="1" fontId="20" fillId="0" borderId="50" xfId="0" applyNumberFormat="1" applyFont="1" applyBorder="1"/>
    <xf numFmtId="0" fontId="0" fillId="0" borderId="65" xfId="0" applyBorder="1"/>
    <xf numFmtId="1" fontId="0" fillId="25" borderId="66" xfId="0" applyNumberFormat="1" applyFill="1" applyBorder="1"/>
    <xf numFmtId="0" fontId="0" fillId="0" borderId="11" xfId="0" applyBorder="1" applyAlignment="1">
      <alignment horizontal="center"/>
    </xf>
    <xf numFmtId="1" fontId="20" fillId="25" borderId="10" xfId="0" applyNumberFormat="1" applyFont="1" applyFill="1" applyBorder="1"/>
    <xf numFmtId="0" fontId="20" fillId="25" borderId="66" xfId="0" applyFont="1" applyFill="1" applyBorder="1"/>
    <xf numFmtId="9" fontId="0" fillId="25" borderId="10" xfId="0" applyNumberFormat="1" applyFill="1" applyBorder="1"/>
    <xf numFmtId="9" fontId="0" fillId="25" borderId="66" xfId="0" applyNumberFormat="1" applyFill="1" applyBorder="1"/>
    <xf numFmtId="9" fontId="0" fillId="26" borderId="50" xfId="0" applyNumberFormat="1" applyFill="1" applyBorder="1"/>
    <xf numFmtId="9" fontId="0" fillId="0" borderId="10" xfId="0" applyNumberFormat="1" applyBorder="1"/>
    <xf numFmtId="0" fontId="0" fillId="25" borderId="66" xfId="0" applyFill="1" applyBorder="1"/>
    <xf numFmtId="9" fontId="1" fillId="0" borderId="11" xfId="34" applyFont="1" applyBorder="1" applyAlignment="1">
      <alignment horizontal="center"/>
    </xf>
    <xf numFmtId="0" fontId="0" fillId="0" borderId="64" xfId="0" applyBorder="1" applyAlignment="1">
      <alignment horizontal="left"/>
    </xf>
    <xf numFmtId="1" fontId="20" fillId="25" borderId="66" xfId="0" applyNumberFormat="1" applyFont="1" applyFill="1" applyBorder="1"/>
    <xf numFmtId="9" fontId="0" fillId="26" borderId="10" xfId="0" applyNumberFormat="1" applyFill="1" applyBorder="1"/>
    <xf numFmtId="9" fontId="0" fillId="0" borderId="11" xfId="0" applyNumberFormat="1" applyBorder="1" applyAlignment="1">
      <alignment horizontal="center"/>
    </xf>
    <xf numFmtId="0" fontId="21" fillId="0" borderId="50" xfId="0" applyFont="1" applyBorder="1"/>
    <xf numFmtId="0" fontId="0" fillId="0" borderId="10" xfId="0" applyFill="1" applyBorder="1"/>
    <xf numFmtId="1" fontId="0" fillId="0" borderId="10" xfId="0" applyNumberFormat="1" applyFill="1" applyBorder="1"/>
    <xf numFmtId="0" fontId="40" fillId="0" borderId="10" xfId="0" quotePrefix="1" applyFont="1" applyBorder="1" applyAlignment="1">
      <alignment horizontal="right"/>
    </xf>
    <xf numFmtId="0" fontId="40" fillId="0" borderId="66" xfId="0" applyFont="1" applyBorder="1" applyAlignment="1">
      <alignment horizontal="right"/>
    </xf>
    <xf numFmtId="0" fontId="40" fillId="0" borderId="50" xfId="0" quotePrefix="1" applyFont="1" applyBorder="1" applyAlignment="1">
      <alignment horizontal="right"/>
    </xf>
    <xf numFmtId="1" fontId="40" fillId="0" borderId="10" xfId="0" quotePrefix="1" applyNumberFormat="1" applyFont="1" applyBorder="1" applyAlignment="1">
      <alignment horizontal="right"/>
    </xf>
    <xf numFmtId="1" fontId="40" fillId="0" borderId="66" xfId="0" applyNumberFormat="1" applyFont="1" applyBorder="1" applyAlignment="1">
      <alignment horizontal="right"/>
    </xf>
    <xf numFmtId="1" fontId="40" fillId="0" borderId="50" xfId="0" quotePrefix="1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41" fillId="0" borderId="10" xfId="0" quotePrefix="1" applyFont="1" applyBorder="1" applyAlignment="1">
      <alignment horizontal="right"/>
    </xf>
    <xf numFmtId="3" fontId="0" fillId="0" borderId="10" xfId="0" applyNumberFormat="1" applyBorder="1"/>
    <xf numFmtId="9" fontId="0" fillId="0" borderId="10" xfId="34" applyFont="1" applyBorder="1"/>
    <xf numFmtId="0" fontId="0" fillId="0" borderId="10" xfId="0" applyBorder="1" applyAlignment="1">
      <alignment horizontal="left"/>
    </xf>
    <xf numFmtId="0" fontId="0" fillId="0" borderId="0" xfId="0" applyFill="1" applyBorder="1"/>
    <xf numFmtId="0" fontId="0" fillId="26" borderId="10" xfId="0" applyFill="1" applyBorder="1"/>
    <xf numFmtId="1" fontId="20" fillId="26" borderId="10" xfId="0" applyNumberFormat="1" applyFont="1" applyFill="1" applyBorder="1"/>
    <xf numFmtId="1" fontId="0" fillId="26" borderId="10" xfId="0" applyNumberFormat="1" applyFill="1" applyBorder="1"/>
    <xf numFmtId="0" fontId="0" fillId="0" borderId="0" xfId="0" applyFill="1"/>
    <xf numFmtId="0" fontId="40" fillId="0" borderId="10" xfId="0" applyFont="1" applyBorder="1" applyAlignment="1">
      <alignment horizontal="center"/>
    </xf>
    <xf numFmtId="0" fontId="42" fillId="0" borderId="0" xfId="0" applyFont="1" applyAlignment="1">
      <alignment horizontal="right"/>
    </xf>
    <xf numFmtId="1" fontId="20" fillId="0" borderId="10" xfId="0" applyNumberFormat="1" applyFont="1" applyFill="1" applyBorder="1"/>
    <xf numFmtId="0" fontId="0" fillId="0" borderId="67" xfId="0" applyBorder="1"/>
    <xf numFmtId="1" fontId="21" fillId="0" borderId="10" xfId="0" applyNumberFormat="1" applyFont="1" applyFill="1" applyBorder="1"/>
    <xf numFmtId="0" fontId="0" fillId="0" borderId="64" xfId="0" applyBorder="1"/>
    <xf numFmtId="9" fontId="20" fillId="0" borderId="10" xfId="34" applyFont="1" applyBorder="1"/>
    <xf numFmtId="164" fontId="20" fillId="0" borderId="10" xfId="34" applyNumberFormat="1" applyFont="1" applyBorder="1"/>
    <xf numFmtId="1" fontId="0" fillId="0" borderId="0" xfId="0" applyNumberFormat="1"/>
    <xf numFmtId="1" fontId="0" fillId="0" borderId="0" xfId="0" applyNumberFormat="1" applyFill="1"/>
    <xf numFmtId="1" fontId="40" fillId="0" borderId="10" xfId="0" applyNumberFormat="1" applyFont="1" applyBorder="1" applyAlignment="1">
      <alignment horizontal="right"/>
    </xf>
    <xf numFmtId="1" fontId="40" fillId="0" borderId="10" xfId="0" applyNumberFormat="1" applyFont="1" applyFill="1" applyBorder="1" applyAlignment="1">
      <alignment horizontal="right"/>
    </xf>
    <xf numFmtId="0" fontId="0" fillId="0" borderId="0" xfId="0" applyBorder="1"/>
    <xf numFmtId="9" fontId="1" fillId="0" borderId="10" xfId="34" applyBorder="1"/>
    <xf numFmtId="1" fontId="20" fillId="0" borderId="10" xfId="34" applyNumberFormat="1" applyFont="1" applyBorder="1"/>
    <xf numFmtId="1" fontId="20" fillId="25" borderId="10" xfId="34" applyNumberFormat="1" applyFont="1" applyFill="1" applyBorder="1"/>
    <xf numFmtId="10" fontId="0" fillId="0" borderId="10" xfId="0" applyNumberFormat="1" applyBorder="1"/>
    <xf numFmtId="0" fontId="20" fillId="0" borderId="0" xfId="0" applyFont="1" applyFill="1"/>
    <xf numFmtId="1" fontId="40" fillId="0" borderId="10" xfId="0" applyNumberFormat="1" applyFont="1" applyBorder="1"/>
    <xf numFmtId="1" fontId="1" fillId="0" borderId="10" xfId="34" applyNumberFormat="1" applyBorder="1"/>
    <xf numFmtId="164" fontId="20" fillId="0" borderId="0" xfId="34" applyNumberFormat="1" applyFont="1" applyFill="1" applyBorder="1"/>
    <xf numFmtId="2" fontId="0" fillId="0" borderId="0" xfId="0" applyNumberFormat="1" applyBorder="1"/>
    <xf numFmtId="164" fontId="0" fillId="0" borderId="68" xfId="0" applyNumberFormat="1" applyBorder="1"/>
    <xf numFmtId="164" fontId="0" fillId="0" borderId="11" xfId="0" applyNumberFormat="1" applyBorder="1"/>
    <xf numFmtId="164" fontId="21" fillId="0" borderId="11" xfId="0" applyNumberFormat="1" applyFont="1" applyBorder="1"/>
    <xf numFmtId="0" fontId="20" fillId="0" borderId="0" xfId="0" applyFont="1" applyFill="1" applyBorder="1"/>
    <xf numFmtId="1" fontId="0" fillId="0" borderId="0" xfId="0" applyNumberFormat="1" applyFill="1" applyBorder="1"/>
    <xf numFmtId="1" fontId="20" fillId="0" borderId="0" xfId="0" applyNumberFormat="1" applyFont="1" applyFill="1" applyBorder="1"/>
    <xf numFmtId="9" fontId="0" fillId="0" borderId="0" xfId="0" applyNumberFormat="1" applyFill="1" applyBorder="1"/>
    <xf numFmtId="0" fontId="0" fillId="0" borderId="69" xfId="0" applyFill="1" applyBorder="1"/>
    <xf numFmtId="1" fontId="21" fillId="25" borderId="10" xfId="0" applyNumberFormat="1" applyFont="1" applyFill="1" applyBorder="1"/>
    <xf numFmtId="164" fontId="20" fillId="25" borderId="10" xfId="34" applyNumberFormat="1" applyFont="1" applyFill="1" applyBorder="1"/>
    <xf numFmtId="9" fontId="20" fillId="25" borderId="10" xfId="34" applyFont="1" applyFill="1" applyBorder="1" applyAlignment="1">
      <alignment horizontal="right"/>
    </xf>
    <xf numFmtId="1" fontId="0" fillId="25" borderId="0" xfId="0" applyNumberFormat="1" applyFill="1"/>
    <xf numFmtId="1" fontId="40" fillId="25" borderId="10" xfId="0" applyNumberFormat="1" applyFont="1" applyFill="1" applyBorder="1" applyAlignment="1">
      <alignment horizontal="right"/>
    </xf>
    <xf numFmtId="9" fontId="1" fillId="25" borderId="10" xfId="34" applyFill="1" applyBorder="1"/>
    <xf numFmtId="10" fontId="0" fillId="25" borderId="10" xfId="0" applyNumberFormat="1" applyFill="1" applyBorder="1"/>
    <xf numFmtId="1" fontId="40" fillId="25" borderId="10" xfId="0" applyNumberFormat="1" applyFont="1" applyFill="1" applyBorder="1"/>
    <xf numFmtId="0" fontId="20" fillId="25" borderId="10" xfId="0" applyFont="1" applyFill="1" applyBorder="1"/>
    <xf numFmtId="1" fontId="26" fillId="0" borderId="46" xfId="33" applyNumberFormat="1" applyFont="1" applyBorder="1" applyAlignment="1">
      <alignment horizontal="center" vertical="center"/>
    </xf>
    <xf numFmtId="9" fontId="20" fillId="0" borderId="10" xfId="34" applyNumberFormat="1" applyFont="1" applyBorder="1" applyAlignment="1">
      <alignment horizontal="right"/>
    </xf>
    <xf numFmtId="0" fontId="20" fillId="0" borderId="12" xfId="0" applyFont="1" applyBorder="1"/>
    <xf numFmtId="1" fontId="20" fillId="0" borderId="12" xfId="0" applyNumberFormat="1" applyFont="1" applyBorder="1"/>
    <xf numFmtId="1" fontId="20" fillId="25" borderId="12" xfId="0" applyNumberFormat="1" applyFont="1" applyFill="1" applyBorder="1"/>
    <xf numFmtId="0" fontId="40" fillId="0" borderId="70" xfId="0" applyFont="1" applyBorder="1" applyAlignment="1">
      <alignment horizontal="center"/>
    </xf>
    <xf numFmtId="0" fontId="43" fillId="0" borderId="71" xfId="0" applyFont="1" applyBorder="1" applyAlignment="1">
      <alignment horizontal="right"/>
    </xf>
    <xf numFmtId="0" fontId="43" fillId="0" borderId="71" xfId="0" applyFont="1" applyFill="1" applyBorder="1" applyAlignment="1">
      <alignment horizontal="right"/>
    </xf>
    <xf numFmtId="0" fontId="43" fillId="25" borderId="71" xfId="0" applyFont="1" applyFill="1" applyBorder="1" applyAlignment="1">
      <alignment horizontal="right"/>
    </xf>
    <xf numFmtId="0" fontId="43" fillId="0" borderId="71" xfId="0" quotePrefix="1" applyFont="1" applyBorder="1" applyAlignment="1">
      <alignment horizontal="right"/>
    </xf>
    <xf numFmtId="0" fontId="43" fillId="0" borderId="72" xfId="0" quotePrefix="1" applyFont="1" applyBorder="1" applyAlignment="1">
      <alignment horizontal="right"/>
    </xf>
    <xf numFmtId="0" fontId="40" fillId="0" borderId="0" xfId="0" applyFont="1"/>
    <xf numFmtId="165" fontId="20" fillId="0" borderId="10" xfId="0" applyNumberFormat="1" applyFont="1" applyFill="1" applyBorder="1"/>
    <xf numFmtId="165" fontId="21" fillId="0" borderId="10" xfId="0" applyNumberFormat="1" applyFont="1" applyFill="1" applyBorder="1"/>
    <xf numFmtId="9" fontId="20" fillId="0" borderId="10" xfId="34" applyFont="1" applyFill="1" applyBorder="1"/>
    <xf numFmtId="165" fontId="0" fillId="0" borderId="10" xfId="0" applyNumberFormat="1" applyFill="1" applyBorder="1"/>
    <xf numFmtId="165" fontId="0" fillId="26" borderId="10" xfId="0" applyNumberFormat="1" applyFill="1" applyBorder="1"/>
    <xf numFmtId="165" fontId="0" fillId="0" borderId="10" xfId="0" applyNumberFormat="1" applyBorder="1"/>
    <xf numFmtId="165" fontId="20" fillId="0" borderId="10" xfId="0" applyNumberFormat="1" applyFont="1" applyBorder="1"/>
    <xf numFmtId="9" fontId="21" fillId="0" borderId="10" xfId="34" applyFont="1" applyBorder="1" applyAlignment="1">
      <alignment horizontal="right"/>
    </xf>
    <xf numFmtId="9" fontId="21" fillId="0" borderId="10" xfId="34" applyFont="1" applyBorder="1"/>
    <xf numFmtId="9" fontId="20" fillId="0" borderId="0" xfId="34" applyFont="1"/>
    <xf numFmtId="1" fontId="20" fillId="0" borderId="0" xfId="0" applyNumberFormat="1" applyFont="1"/>
    <xf numFmtId="10" fontId="19" fillId="0" borderId="10" xfId="0" applyNumberFormat="1" applyFont="1" applyBorder="1"/>
    <xf numFmtId="9" fontId="1" fillId="0" borderId="0" xfId="34"/>
    <xf numFmtId="14" fontId="26" fillId="0" borderId="46" xfId="33" quotePrefix="1" applyNumberFormat="1" applyFont="1" applyBorder="1" applyAlignment="1">
      <alignment horizontal="center" vertical="center"/>
    </xf>
    <xf numFmtId="14" fontId="26" fillId="0" borderId="47" xfId="33" applyNumberFormat="1" applyFont="1" applyBorder="1" applyAlignment="1">
      <alignment horizontal="center" vertical="center"/>
    </xf>
    <xf numFmtId="17" fontId="26" fillId="0" borderId="46" xfId="33" applyNumberFormat="1" applyFont="1" applyBorder="1" applyAlignment="1">
      <alignment horizontal="center" vertical="center"/>
    </xf>
    <xf numFmtId="17" fontId="26" fillId="0" borderId="44" xfId="33" applyNumberFormat="1" applyFont="1" applyBorder="1" applyAlignment="1">
      <alignment horizontal="center" vertical="center"/>
    </xf>
    <xf numFmtId="17" fontId="26" fillId="0" borderId="73" xfId="33" applyNumberFormat="1" applyFont="1" applyBorder="1" applyAlignment="1">
      <alignment horizontal="center" vertical="center" wrapText="1"/>
    </xf>
    <xf numFmtId="17" fontId="26" fillId="0" borderId="74" xfId="33" applyNumberFormat="1" applyFont="1" applyBorder="1" applyAlignment="1">
      <alignment horizontal="center" vertical="center" wrapText="1"/>
    </xf>
    <xf numFmtId="0" fontId="27" fillId="0" borderId="70" xfId="33" applyFont="1" applyFill="1" applyBorder="1" applyAlignment="1">
      <alignment horizontal="center"/>
    </xf>
    <xf numFmtId="0" fontId="27" fillId="0" borderId="71" xfId="33" applyFont="1" applyFill="1" applyBorder="1" applyAlignment="1">
      <alignment horizontal="center"/>
    </xf>
    <xf numFmtId="0" fontId="27" fillId="0" borderId="72" xfId="33" applyFont="1" applyFill="1" applyBorder="1" applyAlignment="1">
      <alignment horizontal="center"/>
    </xf>
    <xf numFmtId="0" fontId="27" fillId="0" borderId="73" xfId="33" applyFont="1" applyFill="1" applyBorder="1" applyAlignment="1">
      <alignment horizontal="center"/>
    </xf>
    <xf numFmtId="0" fontId="27" fillId="0" borderId="40" xfId="33" applyFont="1" applyFill="1" applyBorder="1" applyAlignment="1">
      <alignment horizontal="center"/>
    </xf>
    <xf numFmtId="0" fontId="27" fillId="0" borderId="74" xfId="33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0" fillId="0" borderId="73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74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50" xfId="0" applyFont="1" applyBorder="1" applyAlignment="1">
      <alignment horizontal="center"/>
    </xf>
    <xf numFmtId="3" fontId="25" fillId="27" borderId="0" xfId="33" applyNumberFormat="1" applyFont="1" applyFill="1" applyBorder="1"/>
    <xf numFmtId="1" fontId="0" fillId="27" borderId="50" xfId="0" applyNumberFormat="1" applyFill="1" applyBorder="1"/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Prévisionnel" xfId="32"/>
    <cellStyle name="Normal_prévisionnel eona 2010 2011" xfId="33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" xfId="38" builtinId="15" customBuiltin="1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berlie\AppData\Local\Microsoft\Windows\Temporary%20Internet%20Files\Content.Outlook\01CJH2JW\Eona%20BP%20Automne%202010%20ts%20circu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berlie\AppData\Local\Microsoft\Windows\Temporary%20Internet%20Files\Content.Outlook\01CJH2JW\Kinegel%20Business%20Plan%20JSC%20Automne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 bilans"/>
      <sheetName val="BP 0"/>
      <sheetName val="Valo BP0 JSC"/>
      <sheetName val="STRUCTURES"/>
      <sheetName val="Prez"/>
      <sheetName val="Plan dvlpmt"/>
      <sheetName val="BP 1"/>
      <sheetName val="Valo BP1JSC"/>
      <sheetName val="BP 2 ss Plateforme"/>
      <sheetName val="Valo BP1JSC (2)"/>
    </sheetNames>
    <sheetDataSet>
      <sheetData sheetId="0"/>
      <sheetData sheetId="1"/>
      <sheetData sheetId="2"/>
      <sheetData sheetId="3"/>
      <sheetData sheetId="4">
        <row r="5">
          <cell r="G5">
            <v>0.65727272727272723</v>
          </cell>
        </row>
        <row r="7">
          <cell r="G7">
            <v>0.72444444444444445</v>
          </cell>
        </row>
        <row r="8">
          <cell r="G8">
            <v>0.65555555555555556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inegel Prev ventes 1"/>
      <sheetName val="Kinegel BP1"/>
      <sheetName val="Kinegel proj+val"/>
      <sheetName val="Prev ventes 2"/>
      <sheetName val="BP2"/>
      <sheetName val="Kinegel proj+val (2)"/>
    </sheetNames>
    <sheetDataSet>
      <sheetData sheetId="0">
        <row r="27">
          <cell r="N27">
            <v>46.8</v>
          </cell>
          <cell r="O27">
            <v>102.375</v>
          </cell>
          <cell r="P27">
            <v>177.45000000000002</v>
          </cell>
          <cell r="Q27">
            <v>235.95</v>
          </cell>
          <cell r="R27">
            <v>294.45</v>
          </cell>
          <cell r="S27">
            <v>352.95</v>
          </cell>
        </row>
        <row r="28">
          <cell r="N28">
            <v>14.493600000000001</v>
          </cell>
          <cell r="O28">
            <v>31.184999999999999</v>
          </cell>
          <cell r="P28">
            <v>52.552500000000002</v>
          </cell>
          <cell r="Q28">
            <v>67.881</v>
          </cell>
          <cell r="R28">
            <v>82.219499999999996</v>
          </cell>
          <cell r="S28">
            <v>95.567999999999998</v>
          </cell>
        </row>
        <row r="29">
          <cell r="N29">
            <v>32.306399999999996</v>
          </cell>
          <cell r="O29">
            <v>71.19</v>
          </cell>
          <cell r="P29">
            <v>124.89750000000001</v>
          </cell>
          <cell r="Q29">
            <v>168.06899999999999</v>
          </cell>
          <cell r="R29">
            <v>212.23050000000001</v>
          </cell>
          <cell r="S29">
            <v>257.38200000000001</v>
          </cell>
        </row>
        <row r="30">
          <cell r="N30">
            <v>0.69030769230769229</v>
          </cell>
          <cell r="O30">
            <v>0.69538461538461538</v>
          </cell>
          <cell r="P30">
            <v>0.70384615384615379</v>
          </cell>
          <cell r="Q30">
            <v>0.71230769230769231</v>
          </cell>
          <cell r="R30">
            <v>0.72076923076923083</v>
          </cell>
          <cell r="S30">
            <v>0.72923076923076924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7"/>
  <sheetViews>
    <sheetView workbookViewId="0">
      <selection activeCell="I87" sqref="A1:I87"/>
    </sheetView>
  </sheetViews>
  <sheetFormatPr baseColWidth="10" defaultColWidth="7.42578125" defaultRowHeight="12.75"/>
  <cols>
    <col min="1" max="1" width="18.140625" customWidth="1"/>
    <col min="2" max="6" width="7.42578125" customWidth="1"/>
    <col min="7" max="7" width="3" customWidth="1"/>
    <col min="8" max="8" width="17.42578125" customWidth="1"/>
  </cols>
  <sheetData>
    <row r="1" spans="1:9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9">
      <c r="A2" s="1" t="s">
        <v>19</v>
      </c>
      <c r="H2" s="1" t="s">
        <v>216</v>
      </c>
    </row>
    <row r="3" spans="1:9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>
      <c r="A4" s="3" t="s">
        <v>217</v>
      </c>
      <c r="B4" s="7" t="s">
        <v>21</v>
      </c>
      <c r="C4" s="8" t="s">
        <v>22</v>
      </c>
      <c r="D4" s="9" t="s">
        <v>23</v>
      </c>
      <c r="E4" s="9" t="s">
        <v>24</v>
      </c>
      <c r="F4" s="9" t="s">
        <v>25</v>
      </c>
      <c r="H4" s="10" t="s">
        <v>26</v>
      </c>
      <c r="I4" s="13">
        <v>2010</v>
      </c>
    </row>
    <row r="5" spans="1:9">
      <c r="A5" s="2" t="s">
        <v>4</v>
      </c>
      <c r="B5" s="5">
        <v>353</v>
      </c>
      <c r="C5" s="189"/>
      <c r="D5" s="5">
        <f>C5+B5</f>
        <v>353</v>
      </c>
      <c r="E5" s="2"/>
      <c r="F5" s="5">
        <f>D5+E5</f>
        <v>353</v>
      </c>
      <c r="H5" s="11" t="s">
        <v>3</v>
      </c>
      <c r="I5" s="13"/>
    </row>
    <row r="6" spans="1:9">
      <c r="A6" s="2" t="s">
        <v>27</v>
      </c>
      <c r="B6" s="5"/>
      <c r="C6" s="189"/>
      <c r="D6" s="5"/>
      <c r="E6" s="2"/>
      <c r="F6" s="5">
        <f>+E24</f>
        <v>132</v>
      </c>
      <c r="H6" s="6" t="s">
        <v>4</v>
      </c>
      <c r="I6" s="5">
        <f>F5</f>
        <v>353</v>
      </c>
    </row>
    <row r="7" spans="1:9">
      <c r="A7" s="2" t="s">
        <v>28</v>
      </c>
      <c r="B7" s="5"/>
      <c r="C7" s="189">
        <v>631</v>
      </c>
      <c r="D7" s="5">
        <f t="shared" ref="D7:D12" si="0">C7+B7</f>
        <v>631</v>
      </c>
      <c r="E7" s="2">
        <v>-631</v>
      </c>
      <c r="F7" s="5">
        <f t="shared" ref="F7:F12" si="1">D7+E7</f>
        <v>0</v>
      </c>
      <c r="H7" s="2" t="s">
        <v>27</v>
      </c>
      <c r="I7" s="5">
        <f>+F6</f>
        <v>132</v>
      </c>
    </row>
    <row r="8" spans="1:9">
      <c r="A8" s="2" t="s">
        <v>29</v>
      </c>
      <c r="B8" s="5"/>
      <c r="C8" s="189">
        <v>49</v>
      </c>
      <c r="D8" s="5">
        <f t="shared" si="0"/>
        <v>49</v>
      </c>
      <c r="E8" s="2">
        <v>-49</v>
      </c>
      <c r="F8" s="5">
        <f t="shared" si="1"/>
        <v>0</v>
      </c>
      <c r="H8" s="6" t="s">
        <v>5</v>
      </c>
      <c r="I8" s="5">
        <f>F9</f>
        <v>273</v>
      </c>
    </row>
    <row r="9" spans="1:9">
      <c r="A9" s="2" t="s">
        <v>5</v>
      </c>
      <c r="B9" s="5">
        <f>92+150+31</f>
        <v>273</v>
      </c>
      <c r="C9" s="189"/>
      <c r="D9" s="5">
        <f t="shared" si="0"/>
        <v>273</v>
      </c>
      <c r="E9" s="2"/>
      <c r="F9" s="5">
        <f t="shared" si="1"/>
        <v>273</v>
      </c>
      <c r="H9" s="6" t="s">
        <v>6</v>
      </c>
      <c r="I9" s="5">
        <f>F10</f>
        <v>265</v>
      </c>
    </row>
    <row r="10" spans="1:9">
      <c r="A10" s="2" t="s">
        <v>6</v>
      </c>
      <c r="B10" s="5">
        <v>265</v>
      </c>
      <c r="C10" s="189"/>
      <c r="D10" s="5">
        <f t="shared" si="0"/>
        <v>265</v>
      </c>
      <c r="E10" s="2"/>
      <c r="F10" s="5">
        <f t="shared" si="1"/>
        <v>265</v>
      </c>
      <c r="H10" s="6" t="s">
        <v>7</v>
      </c>
      <c r="I10" s="5">
        <f>F11</f>
        <v>84</v>
      </c>
    </row>
    <row r="11" spans="1:9">
      <c r="A11" s="2" t="s">
        <v>7</v>
      </c>
      <c r="B11" s="5">
        <f>2+21+5+1+31</f>
        <v>60</v>
      </c>
      <c r="C11" s="189">
        <v>24</v>
      </c>
      <c r="D11" s="5">
        <f t="shared" si="0"/>
        <v>84</v>
      </c>
      <c r="E11" s="2"/>
      <c r="F11" s="5">
        <f t="shared" si="1"/>
        <v>84</v>
      </c>
      <c r="H11" s="11" t="s">
        <v>8</v>
      </c>
      <c r="I11" s="5">
        <f>F12</f>
        <v>131</v>
      </c>
    </row>
    <row r="12" spans="1:9">
      <c r="A12" s="3" t="s">
        <v>8</v>
      </c>
      <c r="B12" s="4">
        <f>71+59</f>
        <v>130</v>
      </c>
      <c r="C12" s="189">
        <v>1</v>
      </c>
      <c r="D12" s="5">
        <f t="shared" si="0"/>
        <v>131</v>
      </c>
      <c r="E12" s="2"/>
      <c r="F12" s="5">
        <f t="shared" si="1"/>
        <v>131</v>
      </c>
      <c r="H12" s="6"/>
      <c r="I12" s="2"/>
    </row>
    <row r="13" spans="1:9">
      <c r="A13" s="2"/>
      <c r="B13" s="5"/>
      <c r="C13" s="189"/>
      <c r="D13" s="5"/>
      <c r="E13" s="2"/>
      <c r="F13" s="5"/>
      <c r="H13" s="11" t="s">
        <v>9</v>
      </c>
      <c r="I13" s="5">
        <f>F14</f>
        <v>414</v>
      </c>
    </row>
    <row r="14" spans="1:9">
      <c r="A14" s="3" t="s">
        <v>9</v>
      </c>
      <c r="B14" s="4">
        <v>499</v>
      </c>
      <c r="C14" s="189">
        <v>414</v>
      </c>
      <c r="D14" s="5">
        <f t="shared" ref="D14:D22" si="2">C14+B14</f>
        <v>913</v>
      </c>
      <c r="E14" s="2">
        <v>-499</v>
      </c>
      <c r="F14" s="5">
        <f>D14+E14</f>
        <v>414</v>
      </c>
      <c r="H14" s="6" t="s">
        <v>10</v>
      </c>
      <c r="I14" s="5">
        <f>F15</f>
        <v>27</v>
      </c>
    </row>
    <row r="15" spans="1:9">
      <c r="A15" s="2" t="s">
        <v>10</v>
      </c>
      <c r="B15" s="5">
        <v>27</v>
      </c>
      <c r="C15" s="189"/>
      <c r="D15" s="5">
        <f t="shared" si="2"/>
        <v>27</v>
      </c>
      <c r="E15" s="2"/>
      <c r="F15" s="5">
        <f t="shared" ref="F15:F22" si="3">D15+E15</f>
        <v>27</v>
      </c>
      <c r="H15" s="6" t="s">
        <v>11</v>
      </c>
      <c r="I15" s="5">
        <f>F16+F17</f>
        <v>239</v>
      </c>
    </row>
    <row r="16" spans="1:9">
      <c r="A16" s="2" t="s">
        <v>30</v>
      </c>
      <c r="B16" s="5"/>
      <c r="C16" s="189"/>
      <c r="D16" s="5">
        <f t="shared" si="2"/>
        <v>0</v>
      </c>
      <c r="E16" s="2"/>
      <c r="F16" s="5">
        <f t="shared" si="3"/>
        <v>0</v>
      </c>
      <c r="H16" s="6" t="s">
        <v>12</v>
      </c>
      <c r="I16" s="5">
        <f>F18</f>
        <v>121</v>
      </c>
    </row>
    <row r="17" spans="1:9">
      <c r="A17" s="2" t="s">
        <v>11</v>
      </c>
      <c r="B17" s="5">
        <v>43</v>
      </c>
      <c r="C17" s="189">
        <v>196</v>
      </c>
      <c r="D17" s="5">
        <f t="shared" si="2"/>
        <v>239</v>
      </c>
      <c r="E17" s="2"/>
      <c r="F17" s="5">
        <f t="shared" si="3"/>
        <v>239</v>
      </c>
      <c r="H17" s="6" t="s">
        <v>1</v>
      </c>
      <c r="I17" s="5">
        <f>F19</f>
        <v>0</v>
      </c>
    </row>
    <row r="18" spans="1:9">
      <c r="A18" s="2" t="s">
        <v>12</v>
      </c>
      <c r="B18" s="5">
        <f>126+13</f>
        <v>139</v>
      </c>
      <c r="C18" s="189">
        <v>31</v>
      </c>
      <c r="D18" s="5">
        <f t="shared" si="2"/>
        <v>170</v>
      </c>
      <c r="E18" s="2">
        <v>-49</v>
      </c>
      <c r="F18" s="5">
        <f t="shared" si="3"/>
        <v>121</v>
      </c>
      <c r="H18" s="6" t="s">
        <v>13</v>
      </c>
      <c r="I18" s="5">
        <f>F20</f>
        <v>291</v>
      </c>
    </row>
    <row r="19" spans="1:9">
      <c r="A19" s="2" t="s">
        <v>1</v>
      </c>
      <c r="B19" s="5"/>
      <c r="C19" s="189"/>
      <c r="D19" s="5">
        <f t="shared" si="2"/>
        <v>0</v>
      </c>
      <c r="E19" s="2"/>
      <c r="F19" s="5">
        <f t="shared" si="3"/>
        <v>0</v>
      </c>
      <c r="H19" s="6" t="s">
        <v>14</v>
      </c>
      <c r="I19" s="5">
        <f>F21</f>
        <v>101</v>
      </c>
    </row>
    <row r="20" spans="1:9">
      <c r="A20" s="2" t="s">
        <v>13</v>
      </c>
      <c r="B20" s="5">
        <v>286</v>
      </c>
      <c r="C20" s="189">
        <v>5</v>
      </c>
      <c r="D20" s="5">
        <f t="shared" si="2"/>
        <v>291</v>
      </c>
      <c r="E20" s="2"/>
      <c r="F20" s="5">
        <f t="shared" si="3"/>
        <v>291</v>
      </c>
      <c r="H20" s="6" t="s">
        <v>15</v>
      </c>
      <c r="I20" s="5">
        <f>F22</f>
        <v>45</v>
      </c>
    </row>
    <row r="21" spans="1:9">
      <c r="A21" s="2" t="s">
        <v>14</v>
      </c>
      <c r="B21" s="5">
        <f>42+33+7+5</f>
        <v>87</v>
      </c>
      <c r="C21" s="189">
        <v>14</v>
      </c>
      <c r="D21" s="5">
        <f t="shared" si="2"/>
        <v>101</v>
      </c>
      <c r="E21" s="2"/>
      <c r="F21" s="5">
        <f t="shared" si="3"/>
        <v>101</v>
      </c>
      <c r="H21" s="11" t="s">
        <v>16</v>
      </c>
      <c r="I21" s="2">
        <f>SUM(I13:I20)</f>
        <v>1238</v>
      </c>
    </row>
    <row r="22" spans="1:9">
      <c r="A22" s="2" t="s">
        <v>15</v>
      </c>
      <c r="B22" s="5"/>
      <c r="C22" s="189">
        <v>45</v>
      </c>
      <c r="D22" s="5">
        <f t="shared" si="2"/>
        <v>45</v>
      </c>
      <c r="E22" s="2"/>
      <c r="F22" s="5">
        <f t="shared" si="3"/>
        <v>45</v>
      </c>
      <c r="H22" s="6" t="s">
        <v>2</v>
      </c>
      <c r="I22" s="2">
        <f>I21-SUM(I6:I11)</f>
        <v>0</v>
      </c>
    </row>
    <row r="23" spans="1:9">
      <c r="A23" s="3" t="s">
        <v>16</v>
      </c>
      <c r="B23" s="4">
        <f>SUM(B14:B22)</f>
        <v>1081</v>
      </c>
      <c r="C23" s="190">
        <f>SUM(C14:C22)</f>
        <v>705</v>
      </c>
      <c r="D23" s="4">
        <f>SUM(D14:D22)</f>
        <v>1786</v>
      </c>
      <c r="E23" s="4">
        <f>SUM(E14:E22)</f>
        <v>-548</v>
      </c>
      <c r="F23" s="4">
        <f>SUM(F14:F22)</f>
        <v>1238</v>
      </c>
    </row>
    <row r="24" spans="1:9">
      <c r="A24" s="2" t="s">
        <v>2</v>
      </c>
      <c r="B24" s="5">
        <f>B23-SUM(B5:B12)</f>
        <v>0</v>
      </c>
      <c r="C24" s="191">
        <f>C23-SUM(C5:C12)</f>
        <v>0</v>
      </c>
      <c r="D24" s="5">
        <f>D23-SUM(D5:D12)</f>
        <v>0</v>
      </c>
      <c r="E24" s="5">
        <f>E23-SUM(E5:E12)</f>
        <v>132</v>
      </c>
      <c r="F24" s="5">
        <f>F23-SUM(F5:F12)</f>
        <v>0</v>
      </c>
    </row>
    <row r="25" spans="1:9">
      <c r="A2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6" spans="1:9">
      <c r="A26" s="3" t="s">
        <v>20</v>
      </c>
      <c r="B26" s="7" t="s">
        <v>21</v>
      </c>
      <c r="C26" s="8" t="s">
        <v>22</v>
      </c>
      <c r="D26" s="9" t="s">
        <v>23</v>
      </c>
      <c r="E26" s="9" t="s">
        <v>24</v>
      </c>
      <c r="F26" s="9" t="s">
        <v>25</v>
      </c>
      <c r="H26" s="10" t="s">
        <v>26</v>
      </c>
      <c r="I26" s="13">
        <v>2009</v>
      </c>
    </row>
    <row r="27" spans="1:9">
      <c r="A27" s="2" t="s">
        <v>4</v>
      </c>
      <c r="B27" s="5">
        <f>300+72+6</f>
        <v>378</v>
      </c>
      <c r="C27" s="2"/>
      <c r="D27" s="5">
        <f>C27+B27</f>
        <v>378</v>
      </c>
      <c r="E27" s="2"/>
      <c r="F27" s="5">
        <f>D27+E27</f>
        <v>378</v>
      </c>
      <c r="H27" s="11" t="s">
        <v>3</v>
      </c>
      <c r="I27" s="13"/>
    </row>
    <row r="28" spans="1:9">
      <c r="A28" s="2" t="s">
        <v>27</v>
      </c>
      <c r="B28" s="5"/>
      <c r="C28" s="2"/>
      <c r="D28" s="5"/>
      <c r="E28" s="2"/>
      <c r="F28" s="5"/>
      <c r="H28" s="6" t="s">
        <v>4</v>
      </c>
      <c r="I28" s="5">
        <f>F27</f>
        <v>378</v>
      </c>
    </row>
    <row r="29" spans="1:9">
      <c r="A29" s="2" t="s">
        <v>28</v>
      </c>
      <c r="B29" s="5"/>
      <c r="C29" s="2">
        <v>250</v>
      </c>
      <c r="D29" s="5">
        <f t="shared" ref="D29:D34" si="4">C29+B29</f>
        <v>250</v>
      </c>
      <c r="E29" s="2">
        <v>-250</v>
      </c>
      <c r="F29" s="5">
        <f t="shared" ref="F29:F34" si="5">D29+E29</f>
        <v>0</v>
      </c>
      <c r="H29" s="175" t="s">
        <v>27</v>
      </c>
      <c r="I29" s="2"/>
    </row>
    <row r="30" spans="1:9">
      <c r="A30" s="2" t="s">
        <v>29</v>
      </c>
      <c r="B30" s="5"/>
      <c r="C30" s="2">
        <f>126+76</f>
        <v>202</v>
      </c>
      <c r="D30" s="5">
        <f t="shared" si="4"/>
        <v>202</v>
      </c>
      <c r="E30" s="2">
        <v>-202</v>
      </c>
      <c r="F30" s="5">
        <f t="shared" si="5"/>
        <v>0</v>
      </c>
      <c r="H30" s="6" t="s">
        <v>5</v>
      </c>
      <c r="I30" s="5">
        <f>F31</f>
        <v>370</v>
      </c>
    </row>
    <row r="31" spans="1:9">
      <c r="A31" s="2" t="s">
        <v>5</v>
      </c>
      <c r="B31" s="5">
        <v>370</v>
      </c>
      <c r="C31" s="2"/>
      <c r="D31" s="5">
        <f t="shared" si="4"/>
        <v>370</v>
      </c>
      <c r="E31" s="2"/>
      <c r="F31" s="5">
        <f t="shared" si="5"/>
        <v>370</v>
      </c>
      <c r="H31" s="6" t="s">
        <v>6</v>
      </c>
      <c r="I31" s="5">
        <f>F32</f>
        <v>301</v>
      </c>
    </row>
    <row r="32" spans="1:9">
      <c r="A32" s="2" t="s">
        <v>6</v>
      </c>
      <c r="B32" s="5">
        <v>301</v>
      </c>
      <c r="C32" s="2"/>
      <c r="D32" s="5">
        <f t="shared" si="4"/>
        <v>301</v>
      </c>
      <c r="E32" s="2"/>
      <c r="F32" s="5">
        <f t="shared" si="5"/>
        <v>301</v>
      </c>
      <c r="H32" s="6" t="s">
        <v>7</v>
      </c>
      <c r="I32" s="5">
        <f>F33</f>
        <v>95</v>
      </c>
    </row>
    <row r="33" spans="1:9">
      <c r="A33" s="2" t="s">
        <v>7</v>
      </c>
      <c r="B33" s="5">
        <f>45+17</f>
        <v>62</v>
      </c>
      <c r="C33" s="2">
        <v>33</v>
      </c>
      <c r="D33" s="5">
        <f t="shared" si="4"/>
        <v>95</v>
      </c>
      <c r="E33" s="2"/>
      <c r="F33" s="5">
        <f t="shared" si="5"/>
        <v>95</v>
      </c>
      <c r="H33" s="11" t="s">
        <v>8</v>
      </c>
      <c r="I33" s="5">
        <f>F34</f>
        <v>104</v>
      </c>
    </row>
    <row r="34" spans="1:9">
      <c r="A34" s="3" t="s">
        <v>8</v>
      </c>
      <c r="B34" s="4">
        <v>25</v>
      </c>
      <c r="C34" s="2">
        <v>79</v>
      </c>
      <c r="D34" s="5">
        <f t="shared" si="4"/>
        <v>104</v>
      </c>
      <c r="E34" s="2"/>
      <c r="F34" s="5">
        <f t="shared" si="5"/>
        <v>104</v>
      </c>
      <c r="H34" s="6"/>
      <c r="I34" s="2"/>
    </row>
    <row r="35" spans="1:9">
      <c r="A35" s="2"/>
      <c r="B35" s="5"/>
      <c r="C35" s="2"/>
      <c r="D35" s="5"/>
      <c r="E35" s="2"/>
      <c r="F35" s="5"/>
      <c r="H35" s="11" t="s">
        <v>9</v>
      </c>
      <c r="I35" s="5">
        <f>F36</f>
        <v>168</v>
      </c>
    </row>
    <row r="36" spans="1:9">
      <c r="A36" s="3" t="s">
        <v>9</v>
      </c>
      <c r="B36" s="4">
        <v>285</v>
      </c>
      <c r="C36" s="2">
        <v>133</v>
      </c>
      <c r="D36" s="5">
        <f t="shared" ref="D36:D44" si="6">C36+B36</f>
        <v>418</v>
      </c>
      <c r="E36" s="2">
        <v>-285</v>
      </c>
      <c r="F36" s="5">
        <f>D36+E36-E46</f>
        <v>168</v>
      </c>
      <c r="H36" s="6" t="s">
        <v>10</v>
      </c>
      <c r="I36" s="5">
        <f>F37</f>
        <v>21</v>
      </c>
    </row>
    <row r="37" spans="1:9">
      <c r="A37" s="2" t="s">
        <v>10</v>
      </c>
      <c r="B37" s="5">
        <v>21</v>
      </c>
      <c r="C37" s="2"/>
      <c r="D37" s="5">
        <f t="shared" si="6"/>
        <v>21</v>
      </c>
      <c r="E37" s="2"/>
      <c r="F37" s="5">
        <f t="shared" ref="F37:F44" si="7">D37+E37</f>
        <v>21</v>
      </c>
      <c r="H37" s="6" t="s">
        <v>11</v>
      </c>
      <c r="I37" s="5">
        <f>F38+F39</f>
        <v>392</v>
      </c>
    </row>
    <row r="38" spans="1:9">
      <c r="A38" s="2" t="s">
        <v>30</v>
      </c>
      <c r="B38" s="5"/>
      <c r="C38" s="2">
        <v>250</v>
      </c>
      <c r="D38" s="5">
        <f t="shared" si="6"/>
        <v>250</v>
      </c>
      <c r="E38" s="2"/>
      <c r="F38" s="5">
        <f t="shared" si="7"/>
        <v>250</v>
      </c>
      <c r="H38" s="6" t="s">
        <v>12</v>
      </c>
      <c r="I38" s="5">
        <f>F40</f>
        <v>89</v>
      </c>
    </row>
    <row r="39" spans="1:9">
      <c r="A39" s="2" t="s">
        <v>11</v>
      </c>
      <c r="B39" s="5">
        <v>62</v>
      </c>
      <c r="C39" s="2">
        <v>80</v>
      </c>
      <c r="D39" s="5">
        <f t="shared" si="6"/>
        <v>142</v>
      </c>
      <c r="E39" s="2"/>
      <c r="F39" s="5">
        <f t="shared" si="7"/>
        <v>142</v>
      </c>
      <c r="H39" s="6" t="s">
        <v>1</v>
      </c>
      <c r="I39" s="5">
        <f>F41</f>
        <v>0</v>
      </c>
    </row>
    <row r="40" spans="1:9">
      <c r="A40" s="2" t="s">
        <v>12</v>
      </c>
      <c r="B40" s="5">
        <f>184+76</f>
        <v>260</v>
      </c>
      <c r="C40" s="2">
        <v>31</v>
      </c>
      <c r="D40" s="5">
        <f t="shared" si="6"/>
        <v>291</v>
      </c>
      <c r="E40" s="2">
        <v>-202</v>
      </c>
      <c r="F40" s="5">
        <f t="shared" si="7"/>
        <v>89</v>
      </c>
      <c r="H40" s="6" t="s">
        <v>13</v>
      </c>
      <c r="I40" s="5">
        <f>F42</f>
        <v>422</v>
      </c>
    </row>
    <row r="41" spans="1:9">
      <c r="A41" s="2" t="s">
        <v>1</v>
      </c>
      <c r="B41" s="5"/>
      <c r="C41" s="2"/>
      <c r="D41" s="5">
        <f t="shared" si="6"/>
        <v>0</v>
      </c>
      <c r="E41" s="2"/>
      <c r="F41" s="5">
        <f t="shared" si="7"/>
        <v>0</v>
      </c>
      <c r="H41" s="6" t="s">
        <v>14</v>
      </c>
      <c r="I41" s="5">
        <f>F43</f>
        <v>111</v>
      </c>
    </row>
    <row r="42" spans="1:9">
      <c r="A42" s="2" t="s">
        <v>13</v>
      </c>
      <c r="B42" s="5">
        <v>397</v>
      </c>
      <c r="C42" s="2">
        <v>25</v>
      </c>
      <c r="D42" s="5">
        <f t="shared" si="6"/>
        <v>422</v>
      </c>
      <c r="E42" s="2"/>
      <c r="F42" s="5">
        <f t="shared" si="7"/>
        <v>422</v>
      </c>
      <c r="H42" s="6" t="s">
        <v>15</v>
      </c>
      <c r="I42" s="5">
        <f>F44</f>
        <v>45</v>
      </c>
    </row>
    <row r="43" spans="1:9">
      <c r="A43" s="2" t="s">
        <v>14</v>
      </c>
      <c r="B43" s="5">
        <v>111</v>
      </c>
      <c r="C43" s="2"/>
      <c r="D43" s="5">
        <f t="shared" si="6"/>
        <v>111</v>
      </c>
      <c r="E43" s="2"/>
      <c r="F43" s="5">
        <f t="shared" si="7"/>
        <v>111</v>
      </c>
      <c r="H43" s="11" t="s">
        <v>16</v>
      </c>
      <c r="I43" s="2">
        <f>SUM(I35:I42)</f>
        <v>1248</v>
      </c>
    </row>
    <row r="44" spans="1:9">
      <c r="A44" s="2" t="s">
        <v>15</v>
      </c>
      <c r="B44" s="5"/>
      <c r="C44" s="2">
        <v>45</v>
      </c>
      <c r="D44" s="5">
        <f t="shared" si="6"/>
        <v>45</v>
      </c>
      <c r="E44" s="2"/>
      <c r="F44" s="5">
        <f t="shared" si="7"/>
        <v>45</v>
      </c>
      <c r="H44" s="6" t="s">
        <v>2</v>
      </c>
      <c r="I44" s="2">
        <f>I43-SUM(I28:I33)</f>
        <v>0</v>
      </c>
    </row>
    <row r="45" spans="1:9">
      <c r="A45" s="3" t="s">
        <v>16</v>
      </c>
      <c r="B45" s="4">
        <f>SUM(B36:B44)</f>
        <v>1136</v>
      </c>
      <c r="C45" s="4">
        <f>SUM(C36:C44)</f>
        <v>564</v>
      </c>
      <c r="D45" s="4">
        <f>SUM(D36:D44)</f>
        <v>1700</v>
      </c>
      <c r="E45" s="4">
        <f>SUM(E36:E44)</f>
        <v>-487</v>
      </c>
      <c r="F45" s="4">
        <f>SUM(F36:F44)</f>
        <v>1248</v>
      </c>
    </row>
    <row r="46" spans="1:9">
      <c r="A46" s="2" t="s">
        <v>2</v>
      </c>
      <c r="B46" s="5">
        <f>B45-SUM(B27:B34)</f>
        <v>0</v>
      </c>
      <c r="C46" s="5">
        <f>C45-SUM(C27:C34)</f>
        <v>0</v>
      </c>
      <c r="D46" s="5">
        <f>D45-SUM(D27:D34)</f>
        <v>0</v>
      </c>
      <c r="E46" s="5">
        <f>E45-SUM(E27:E34)</f>
        <v>-35</v>
      </c>
      <c r="F46" s="5">
        <f>F45-SUM(F27:F34)</f>
        <v>0</v>
      </c>
    </row>
    <row r="47" spans="1:9">
      <c r="A4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8" spans="1:9">
      <c r="A48" s="3" t="s">
        <v>31</v>
      </c>
      <c r="B48" s="7" t="s">
        <v>21</v>
      </c>
      <c r="C48" s="8" t="s">
        <v>22</v>
      </c>
      <c r="D48" s="9" t="s">
        <v>23</v>
      </c>
      <c r="E48" s="9" t="s">
        <v>24</v>
      </c>
      <c r="F48" s="9" t="s">
        <v>25</v>
      </c>
      <c r="H48" s="10" t="s">
        <v>26</v>
      </c>
      <c r="I48" s="13">
        <v>2008</v>
      </c>
    </row>
    <row r="49" spans="1:9">
      <c r="A49" s="2" t="s">
        <v>4</v>
      </c>
      <c r="B49" s="5">
        <v>410</v>
      </c>
      <c r="C49" s="2"/>
      <c r="D49" s="5">
        <f>C49+B49</f>
        <v>410</v>
      </c>
      <c r="E49" s="2"/>
      <c r="F49" s="5">
        <f>D49+E49</f>
        <v>410</v>
      </c>
      <c r="H49" s="11" t="s">
        <v>3</v>
      </c>
      <c r="I49" s="12"/>
    </row>
    <row r="50" spans="1:9">
      <c r="A50" s="2" t="s">
        <v>27</v>
      </c>
      <c r="B50" s="5"/>
      <c r="C50" s="2"/>
      <c r="D50" s="5"/>
      <c r="E50" s="2"/>
      <c r="F50" s="5">
        <f>E68</f>
        <v>676</v>
      </c>
      <c r="H50" s="6" t="s">
        <v>4</v>
      </c>
      <c r="I50" s="5">
        <f>F49+F50</f>
        <v>1086</v>
      </c>
    </row>
    <row r="51" spans="1:9">
      <c r="A51" s="2" t="s">
        <v>28</v>
      </c>
      <c r="B51" s="5"/>
      <c r="C51" s="2">
        <v>960</v>
      </c>
      <c r="D51" s="5">
        <f t="shared" ref="D51:D56" si="8">C51+B51</f>
        <v>960</v>
      </c>
      <c r="E51" s="2">
        <v>-960</v>
      </c>
      <c r="F51" s="5">
        <f t="shared" ref="F51:F56" si="9">D51+E51</f>
        <v>0</v>
      </c>
      <c r="H51" s="175" t="s">
        <v>27</v>
      </c>
      <c r="I51" s="2"/>
    </row>
    <row r="52" spans="1:9">
      <c r="A52" s="2" t="s">
        <v>29</v>
      </c>
      <c r="B52" s="5"/>
      <c r="C52" s="2">
        <f>40+92</f>
        <v>132</v>
      </c>
      <c r="D52" s="5">
        <f t="shared" si="8"/>
        <v>132</v>
      </c>
      <c r="E52" s="2">
        <v>-132</v>
      </c>
      <c r="F52" s="5">
        <f t="shared" si="9"/>
        <v>0</v>
      </c>
      <c r="H52" s="6" t="s">
        <v>5</v>
      </c>
      <c r="I52" s="5">
        <f>F53</f>
        <v>239</v>
      </c>
    </row>
    <row r="53" spans="1:9">
      <c r="A53" s="2" t="s">
        <v>5</v>
      </c>
      <c r="B53" s="5">
        <v>239</v>
      </c>
      <c r="C53" s="2"/>
      <c r="D53" s="5">
        <f t="shared" si="8"/>
        <v>239</v>
      </c>
      <c r="E53" s="2"/>
      <c r="F53" s="5">
        <f t="shared" si="9"/>
        <v>239</v>
      </c>
      <c r="H53" s="6" t="s">
        <v>6</v>
      </c>
      <c r="I53" s="5">
        <f>F54</f>
        <v>350</v>
      </c>
    </row>
    <row r="54" spans="1:9">
      <c r="A54" s="2" t="s">
        <v>6</v>
      </c>
      <c r="B54" s="5">
        <v>350</v>
      </c>
      <c r="C54" s="2"/>
      <c r="D54" s="5">
        <f t="shared" si="8"/>
        <v>350</v>
      </c>
      <c r="E54" s="2"/>
      <c r="F54" s="5">
        <f t="shared" si="9"/>
        <v>350</v>
      </c>
      <c r="H54" s="6" t="s">
        <v>7</v>
      </c>
      <c r="I54" s="5">
        <f>F55</f>
        <v>133</v>
      </c>
    </row>
    <row r="55" spans="1:9">
      <c r="A55" s="2" t="s">
        <v>7</v>
      </c>
      <c r="B55" s="5">
        <v>49</v>
      </c>
      <c r="C55" s="2">
        <f>66+15+3</f>
        <v>84</v>
      </c>
      <c r="D55" s="5">
        <f t="shared" si="8"/>
        <v>133</v>
      </c>
      <c r="E55" s="2"/>
      <c r="F55" s="5">
        <f t="shared" si="9"/>
        <v>133</v>
      </c>
      <c r="H55" s="11" t="s">
        <v>8</v>
      </c>
      <c r="I55" s="5">
        <f>F56</f>
        <v>38</v>
      </c>
    </row>
    <row r="56" spans="1:9">
      <c r="A56" s="14" t="s">
        <v>8</v>
      </c>
      <c r="B56" s="5">
        <v>3</v>
      </c>
      <c r="C56" s="2">
        <f>28+7</f>
        <v>35</v>
      </c>
      <c r="D56" s="5">
        <f t="shared" si="8"/>
        <v>38</v>
      </c>
      <c r="E56" s="2"/>
      <c r="F56" s="5">
        <f t="shared" si="9"/>
        <v>38</v>
      </c>
      <c r="H56" s="6"/>
      <c r="I56" s="2"/>
    </row>
    <row r="57" spans="1:9">
      <c r="A57" s="2"/>
      <c r="B57" s="5"/>
      <c r="C57" s="2"/>
      <c r="D57" s="5"/>
      <c r="E57" s="2"/>
      <c r="F57" s="5"/>
      <c r="H57" s="11" t="s">
        <v>9</v>
      </c>
      <c r="I57" s="5">
        <f>F58</f>
        <v>723</v>
      </c>
    </row>
    <row r="58" spans="1:9">
      <c r="A58" s="3" t="s">
        <v>9</v>
      </c>
      <c r="B58" s="15">
        <v>284</v>
      </c>
      <c r="C58" s="2">
        <v>723</v>
      </c>
      <c r="D58" s="5">
        <f t="shared" ref="D58:D66" si="10">C58+B58</f>
        <v>1007</v>
      </c>
      <c r="E58" s="2">
        <v>-284</v>
      </c>
      <c r="F58" s="5">
        <f>C58</f>
        <v>723</v>
      </c>
      <c r="H58" s="6" t="s">
        <v>10</v>
      </c>
      <c r="I58" s="5">
        <f>F59</f>
        <v>21</v>
      </c>
    </row>
    <row r="59" spans="1:9">
      <c r="A59" s="2" t="s">
        <v>10</v>
      </c>
      <c r="B59" s="5">
        <v>21</v>
      </c>
      <c r="C59" s="2"/>
      <c r="D59" s="5">
        <f t="shared" si="10"/>
        <v>21</v>
      </c>
      <c r="E59" s="2"/>
      <c r="F59" s="5">
        <f t="shared" ref="F59:F66" si="11">D59+E59</f>
        <v>21</v>
      </c>
      <c r="H59" s="6" t="s">
        <v>11</v>
      </c>
      <c r="I59" s="5">
        <f>F60+F61</f>
        <v>592</v>
      </c>
    </row>
    <row r="60" spans="1:9">
      <c r="A60" s="2" t="s">
        <v>30</v>
      </c>
      <c r="B60" s="5"/>
      <c r="C60" s="2">
        <v>250</v>
      </c>
      <c r="D60" s="5">
        <f t="shared" si="10"/>
        <v>250</v>
      </c>
      <c r="E60" s="2"/>
      <c r="F60" s="5">
        <f t="shared" si="11"/>
        <v>250</v>
      </c>
      <c r="H60" s="6" t="s">
        <v>12</v>
      </c>
      <c r="I60" s="5">
        <f>F62</f>
        <v>117</v>
      </c>
    </row>
    <row r="61" spans="1:9">
      <c r="A61" s="2" t="s">
        <v>11</v>
      </c>
      <c r="B61" s="5">
        <v>185</v>
      </c>
      <c r="C61" s="2">
        <f>77+80</f>
        <v>157</v>
      </c>
      <c r="D61" s="5">
        <f t="shared" si="10"/>
        <v>342</v>
      </c>
      <c r="E61" s="2"/>
      <c r="F61" s="5">
        <f t="shared" si="11"/>
        <v>342</v>
      </c>
      <c r="H61" s="6" t="s">
        <v>1</v>
      </c>
      <c r="I61" s="5">
        <f>F63</f>
        <v>0</v>
      </c>
    </row>
    <row r="62" spans="1:9">
      <c r="A62" s="2" t="s">
        <v>12</v>
      </c>
      <c r="B62" s="5">
        <v>172</v>
      </c>
      <c r="C62" s="2">
        <v>77</v>
      </c>
      <c r="D62" s="5">
        <f t="shared" si="10"/>
        <v>249</v>
      </c>
      <c r="E62" s="2">
        <v>-132</v>
      </c>
      <c r="F62" s="5">
        <f t="shared" si="11"/>
        <v>117</v>
      </c>
      <c r="H62" s="6" t="s">
        <v>13</v>
      </c>
      <c r="I62" s="5">
        <f>F64</f>
        <v>326</v>
      </c>
    </row>
    <row r="63" spans="1:9">
      <c r="A63" s="2" t="s">
        <v>1</v>
      </c>
      <c r="B63" s="5"/>
      <c r="C63" s="2"/>
      <c r="D63" s="5">
        <f t="shared" si="10"/>
        <v>0</v>
      </c>
      <c r="E63" s="2"/>
      <c r="F63" s="5">
        <f t="shared" si="11"/>
        <v>0</v>
      </c>
      <c r="H63" s="6" t="s">
        <v>14</v>
      </c>
      <c r="I63" s="5">
        <f>F65</f>
        <v>67</v>
      </c>
    </row>
    <row r="64" spans="1:9">
      <c r="A64" s="2" t="s">
        <v>13</v>
      </c>
      <c r="B64" s="5">
        <v>322</v>
      </c>
      <c r="C64" s="2">
        <v>4</v>
      </c>
      <c r="D64" s="5">
        <f t="shared" si="10"/>
        <v>326</v>
      </c>
      <c r="E64" s="2"/>
      <c r="F64" s="5">
        <f t="shared" si="11"/>
        <v>326</v>
      </c>
      <c r="H64" s="6" t="s">
        <v>15</v>
      </c>
      <c r="I64" s="5">
        <f>F66</f>
        <v>0</v>
      </c>
    </row>
    <row r="65" spans="1:9">
      <c r="A65" s="2" t="s">
        <v>14</v>
      </c>
      <c r="B65" s="5">
        <v>67</v>
      </c>
      <c r="C65" s="2"/>
      <c r="D65" s="5">
        <f t="shared" si="10"/>
        <v>67</v>
      </c>
      <c r="E65" s="2"/>
      <c r="F65" s="5">
        <f t="shared" si="11"/>
        <v>67</v>
      </c>
      <c r="H65" s="11" t="s">
        <v>16</v>
      </c>
      <c r="I65" s="2">
        <f>SUM(I57:I64)</f>
        <v>1846</v>
      </c>
    </row>
    <row r="66" spans="1:9">
      <c r="A66" s="2" t="s">
        <v>15</v>
      </c>
      <c r="B66" s="5"/>
      <c r="C66" s="2"/>
      <c r="D66" s="5">
        <f t="shared" si="10"/>
        <v>0</v>
      </c>
      <c r="E66" s="2"/>
      <c r="F66" s="5">
        <f t="shared" si="11"/>
        <v>0</v>
      </c>
      <c r="H66" s="6" t="s">
        <v>2</v>
      </c>
      <c r="I66" s="2">
        <f>I65-SUM(I50:I55)</f>
        <v>0</v>
      </c>
    </row>
    <row r="67" spans="1:9">
      <c r="A67" s="3" t="s">
        <v>16</v>
      </c>
      <c r="B67" s="4">
        <v>1051</v>
      </c>
      <c r="C67" s="4">
        <f>SUM(C58:C66)</f>
        <v>1211</v>
      </c>
      <c r="D67" s="4">
        <f>SUM(D58:D66)</f>
        <v>2262</v>
      </c>
      <c r="E67" s="4">
        <f>SUM(E58:E66)</f>
        <v>-416</v>
      </c>
      <c r="F67" s="4">
        <f>SUM(F58:F66)</f>
        <v>1846</v>
      </c>
    </row>
    <row r="68" spans="1:9">
      <c r="A68" s="2" t="s">
        <v>2</v>
      </c>
      <c r="B68" s="5">
        <v>0</v>
      </c>
      <c r="C68" s="5">
        <f>C67-SUM(C49:C56)</f>
        <v>0</v>
      </c>
      <c r="D68" s="5">
        <f>D67-SUM(D49:D56)</f>
        <v>0</v>
      </c>
      <c r="E68" s="5">
        <f>E67-SUM(E49:E56)</f>
        <v>676</v>
      </c>
      <c r="F68" s="5">
        <f>F67-SUM(F49:F56)</f>
        <v>0</v>
      </c>
    </row>
    <row r="71" spans="1:9">
      <c r="A71" s="3" t="s">
        <v>32</v>
      </c>
      <c r="B71" s="3">
        <v>2008</v>
      </c>
      <c r="C71" s="3">
        <v>2009</v>
      </c>
    </row>
    <row r="72" spans="1:9">
      <c r="A72" s="2" t="s">
        <v>4</v>
      </c>
      <c r="B72" s="2">
        <v>410</v>
      </c>
      <c r="C72" s="2">
        <v>378</v>
      </c>
    </row>
    <row r="73" spans="1:9">
      <c r="A73" s="2" t="s">
        <v>5</v>
      </c>
      <c r="B73" s="2">
        <v>239</v>
      </c>
      <c r="C73" s="2">
        <v>370</v>
      </c>
    </row>
    <row r="74" spans="1:9">
      <c r="A74" s="2" t="s">
        <v>6</v>
      </c>
      <c r="B74" s="2">
        <v>350</v>
      </c>
      <c r="C74" s="2">
        <v>301</v>
      </c>
    </row>
    <row r="75" spans="1:9">
      <c r="A75" s="2" t="s">
        <v>7</v>
      </c>
      <c r="B75" s="2">
        <v>49</v>
      </c>
      <c r="C75" s="2">
        <v>62</v>
      </c>
    </row>
    <row r="76" spans="1:9">
      <c r="A76" s="2" t="s">
        <v>8</v>
      </c>
      <c r="B76" s="2">
        <v>3</v>
      </c>
      <c r="C76" s="2">
        <v>25</v>
      </c>
    </row>
    <row r="77" spans="1:9">
      <c r="A77" s="2"/>
      <c r="B77" s="2"/>
      <c r="C77" s="2"/>
    </row>
    <row r="78" spans="1:9">
      <c r="A78" s="2" t="s">
        <v>9</v>
      </c>
      <c r="B78" s="2">
        <v>284</v>
      </c>
      <c r="C78" s="2">
        <v>285</v>
      </c>
    </row>
    <row r="79" spans="1:9">
      <c r="A79" s="2" t="s">
        <v>10</v>
      </c>
      <c r="B79" s="2">
        <v>21</v>
      </c>
      <c r="C79" s="2">
        <v>21</v>
      </c>
    </row>
    <row r="80" spans="1:9">
      <c r="A80" s="2" t="s">
        <v>11</v>
      </c>
      <c r="B80" s="2">
        <v>185</v>
      </c>
      <c r="C80" s="2">
        <v>62</v>
      </c>
    </row>
    <row r="81" spans="1:3">
      <c r="A81" s="2" t="s">
        <v>12</v>
      </c>
      <c r="B81" s="2">
        <v>172</v>
      </c>
      <c r="C81" s="2">
        <v>260</v>
      </c>
    </row>
    <row r="82" spans="1:3">
      <c r="A82" s="2" t="s">
        <v>1</v>
      </c>
      <c r="B82" s="2"/>
      <c r="C82" s="2"/>
    </row>
    <row r="83" spans="1:3">
      <c r="A83" s="2" t="s">
        <v>13</v>
      </c>
      <c r="B83" s="2">
        <v>322</v>
      </c>
      <c r="C83" s="2">
        <v>397</v>
      </c>
    </row>
    <row r="84" spans="1:3">
      <c r="A84" s="2" t="s">
        <v>14</v>
      </c>
      <c r="B84" s="2">
        <v>67</v>
      </c>
      <c r="C84" s="2">
        <v>111</v>
      </c>
    </row>
    <row r="85" spans="1:3">
      <c r="A85" s="2" t="s">
        <v>15</v>
      </c>
      <c r="B85" s="2"/>
      <c r="C85" s="2"/>
    </row>
    <row r="86" spans="1:3">
      <c r="A86" s="3" t="s">
        <v>16</v>
      </c>
      <c r="B86" s="3">
        <v>1051</v>
      </c>
      <c r="C86" s="3">
        <v>1136</v>
      </c>
    </row>
    <row r="87" spans="1:3">
      <c r="A87" s="3" t="s">
        <v>2</v>
      </c>
      <c r="B87" s="3">
        <v>0</v>
      </c>
      <c r="C87" s="3">
        <v>0</v>
      </c>
    </row>
  </sheetData>
  <phoneticPr fontId="19" type="noConversion"/>
  <pageMargins left="0.78740157480314965" right="0.78740157480314965" top="0.23622047244094491" bottom="0.43307086614173229" header="0.15748031496062992" footer="0.15748031496062992"/>
  <pageSetup paperSize="9" scale="73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topLeftCell="A48" workbookViewId="0">
      <selection activeCell="K65" sqref="K65"/>
    </sheetView>
  </sheetViews>
  <sheetFormatPr baseColWidth="10" defaultRowHeight="15"/>
  <cols>
    <col min="1" max="1" width="34" style="20" bestFit="1" customWidth="1"/>
    <col min="2" max="2" width="11.28515625" style="20" customWidth="1"/>
    <col min="3" max="3" width="8.7109375" style="20" customWidth="1"/>
    <col min="4" max="4" width="11.28515625" style="20" customWidth="1"/>
    <col min="5" max="5" width="8.42578125" style="20" customWidth="1"/>
    <col min="6" max="6" width="11.28515625" style="20" customWidth="1"/>
    <col min="7" max="7" width="7.85546875" style="20" customWidth="1"/>
    <col min="8" max="11" width="11.28515625" style="20" customWidth="1"/>
    <col min="12" max="14" width="42.28515625" style="20" customWidth="1"/>
    <col min="15" max="16384" width="11.42578125" style="20"/>
  </cols>
  <sheetData>
    <row r="1" spans="1:11" ht="17.25" thickBot="1">
      <c r="A1" s="16" t="s">
        <v>33</v>
      </c>
      <c r="B1" s="17"/>
      <c r="C1" s="18"/>
      <c r="D1" s="17"/>
      <c r="E1" s="18"/>
      <c r="F1" s="17"/>
      <c r="G1" s="19"/>
      <c r="H1" s="19"/>
      <c r="I1" s="19"/>
      <c r="J1" s="19"/>
      <c r="K1" s="19"/>
    </row>
    <row r="2" spans="1:11" ht="21" thickTop="1" thickBot="1">
      <c r="A2" s="21"/>
      <c r="B2" s="257" t="s">
        <v>34</v>
      </c>
      <c r="C2" s="258"/>
      <c r="D2" s="259" t="s">
        <v>35</v>
      </c>
      <c r="E2" s="260"/>
      <c r="F2" s="261" t="s">
        <v>36</v>
      </c>
      <c r="G2" s="262"/>
      <c r="H2" s="22" t="s">
        <v>37</v>
      </c>
      <c r="I2" s="261" t="s">
        <v>38</v>
      </c>
      <c r="J2" s="262"/>
      <c r="K2" s="22" t="s">
        <v>37</v>
      </c>
    </row>
    <row r="3" spans="1:11" ht="102.75" thickTop="1">
      <c r="A3" s="23" t="s">
        <v>39</v>
      </c>
      <c r="B3" s="24">
        <v>1321432</v>
      </c>
      <c r="C3" s="25">
        <v>1</v>
      </c>
      <c r="D3" s="24">
        <v>1414238.8</v>
      </c>
      <c r="E3" s="25">
        <v>1</v>
      </c>
      <c r="F3" s="26">
        <f>D3+150000+135000+35000</f>
        <v>1734238.8</v>
      </c>
      <c r="G3" s="27">
        <v>1</v>
      </c>
      <c r="H3" s="28" t="s">
        <v>40</v>
      </c>
      <c r="I3" s="26">
        <f>D3+150000+135000+40000+45000</f>
        <v>1784238.8</v>
      </c>
      <c r="J3" s="27">
        <v>1</v>
      </c>
      <c r="K3" s="29" t="s">
        <v>41</v>
      </c>
    </row>
    <row r="4" spans="1:11">
      <c r="A4" s="30" t="s">
        <v>42</v>
      </c>
      <c r="B4" s="31">
        <v>223613</v>
      </c>
      <c r="C4" s="32"/>
      <c r="D4" s="31">
        <v>227281.19</v>
      </c>
      <c r="E4" s="32"/>
      <c r="F4" s="31">
        <f>D4</f>
        <v>227281.19</v>
      </c>
      <c r="G4" s="33"/>
      <c r="H4" s="34" t="s">
        <v>43</v>
      </c>
      <c r="I4" s="31">
        <f>D4</f>
        <v>227281.19</v>
      </c>
      <c r="J4" s="33"/>
      <c r="K4" s="35" t="s">
        <v>44</v>
      </c>
    </row>
    <row r="5" spans="1:11">
      <c r="A5" s="36" t="s">
        <v>45</v>
      </c>
      <c r="B5" s="37">
        <v>522285</v>
      </c>
      <c r="C5" s="38">
        <v>0.33800000000000002</v>
      </c>
      <c r="D5" s="37">
        <f>(D3+D4+D6+D7)*E5</f>
        <v>609112.12545599998</v>
      </c>
      <c r="E5" s="38">
        <v>0.36320000000000002</v>
      </c>
      <c r="F5" s="37">
        <f>(F3+F4+F6+F7)*G5</f>
        <v>741217.47342645063</v>
      </c>
      <c r="G5" s="39">
        <v>0.37</v>
      </c>
      <c r="H5" s="40" t="s">
        <v>43</v>
      </c>
      <c r="I5" s="37">
        <f>(I3+I4+I6+I7)*J5</f>
        <v>760077.04628995853</v>
      </c>
      <c r="J5" s="39">
        <v>0.37</v>
      </c>
      <c r="K5" s="41"/>
    </row>
    <row r="6" spans="1:11">
      <c r="A6" s="36" t="s">
        <v>46</v>
      </c>
      <c r="B6" s="37">
        <v>28808</v>
      </c>
      <c r="C6" s="38"/>
      <c r="D6" s="37">
        <v>27487.67</v>
      </c>
      <c r="E6" s="38"/>
      <c r="F6" s="37">
        <f>D6*F3/D3</f>
        <v>33707.308720136934</v>
      </c>
      <c r="G6" s="39"/>
      <c r="H6" s="40" t="s">
        <v>43</v>
      </c>
      <c r="I6" s="37">
        <f>D6*I3/D3</f>
        <v>34679.127270158337</v>
      </c>
      <c r="J6" s="39"/>
      <c r="K6" s="41"/>
    </row>
    <row r="7" spans="1:11" ht="15.75" thickBot="1">
      <c r="A7" s="42" t="s">
        <v>47</v>
      </c>
      <c r="B7" s="43">
        <v>6889</v>
      </c>
      <c r="C7" s="44"/>
      <c r="D7" s="43">
        <v>8063.17</v>
      </c>
      <c r="E7" s="44"/>
      <c r="F7" s="45">
        <f>D7*F4/D4</f>
        <v>8063.17</v>
      </c>
      <c r="G7" s="46"/>
      <c r="H7" s="47"/>
      <c r="I7" s="45">
        <f>D7*I4/D4</f>
        <v>8063.17</v>
      </c>
      <c r="J7" s="46"/>
      <c r="K7" s="48"/>
    </row>
    <row r="8" spans="1:11" ht="17.25" thickBot="1">
      <c r="A8" s="49" t="s">
        <v>48</v>
      </c>
      <c r="B8" s="50">
        <v>1058457</v>
      </c>
      <c r="C8" s="51">
        <f>C3-C5</f>
        <v>0.66199999999999992</v>
      </c>
      <c r="D8" s="50">
        <f>D3+D4-D5+D6+D7</f>
        <v>1067958.7045439999</v>
      </c>
      <c r="E8" s="52">
        <f>E3-E5</f>
        <v>0.63680000000000003</v>
      </c>
      <c r="F8" s="50">
        <f>F3+F4-F5+F6+F7</f>
        <v>1262072.9952936862</v>
      </c>
      <c r="G8" s="51">
        <f>G3-G5</f>
        <v>0.63</v>
      </c>
      <c r="H8" s="50"/>
      <c r="I8" s="50">
        <f>I3+I4-I5+I6+I7</f>
        <v>1294185.2409801998</v>
      </c>
      <c r="J8" s="51">
        <f>J3-J5</f>
        <v>0.63</v>
      </c>
      <c r="K8" s="50"/>
    </row>
    <row r="9" spans="1:11" ht="15.75" thickTop="1">
      <c r="A9" s="53" t="s">
        <v>49</v>
      </c>
      <c r="B9" s="54">
        <v>5902</v>
      </c>
      <c r="C9" s="55"/>
      <c r="D9" s="54">
        <v>-8776</v>
      </c>
      <c r="E9" s="55"/>
      <c r="F9" s="54">
        <f>6000</f>
        <v>6000</v>
      </c>
      <c r="G9" s="55"/>
      <c r="H9" s="54" t="s">
        <v>43</v>
      </c>
      <c r="I9" s="54">
        <f>F9+650</f>
        <v>6650</v>
      </c>
      <c r="J9" s="55"/>
      <c r="K9" s="54" t="s">
        <v>50</v>
      </c>
    </row>
    <row r="10" spans="1:11">
      <c r="A10" s="36" t="s">
        <v>51</v>
      </c>
      <c r="B10" s="54">
        <v>2198.84</v>
      </c>
      <c r="C10" s="55"/>
      <c r="D10" s="54">
        <v>1973.63</v>
      </c>
      <c r="E10" s="55"/>
      <c r="F10" s="54">
        <f>D10</f>
        <v>1973.63</v>
      </c>
      <c r="G10" s="55"/>
      <c r="H10" s="54"/>
      <c r="I10" s="54">
        <f>D10*2</f>
        <v>3947.26</v>
      </c>
      <c r="J10" s="55"/>
      <c r="K10" s="54" t="s">
        <v>52</v>
      </c>
    </row>
    <row r="11" spans="1:11">
      <c r="A11" s="36" t="s">
        <v>53</v>
      </c>
      <c r="B11" s="54">
        <v>2541</v>
      </c>
      <c r="C11" s="55"/>
      <c r="D11" s="54">
        <f>691.93+3847.43+924.65+332.74+612.94</f>
        <v>6409.6899999999987</v>
      </c>
      <c r="E11" s="55"/>
      <c r="F11" s="54">
        <f>D11</f>
        <v>6409.6899999999987</v>
      </c>
      <c r="G11" s="55"/>
      <c r="H11" s="54" t="s">
        <v>43</v>
      </c>
      <c r="I11" s="54">
        <f>D11*1.03</f>
        <v>6601.9806999999992</v>
      </c>
      <c r="J11" s="55"/>
      <c r="K11" s="54" t="s">
        <v>54</v>
      </c>
    </row>
    <row r="12" spans="1:11">
      <c r="A12" s="36" t="s">
        <v>55</v>
      </c>
      <c r="B12" s="54">
        <v>5420.84</v>
      </c>
      <c r="C12" s="55"/>
      <c r="D12" s="54">
        <f>7833.49+6501.84</f>
        <v>14335.33</v>
      </c>
      <c r="E12" s="55"/>
      <c r="F12" s="54">
        <f>D12</f>
        <v>14335.33</v>
      </c>
      <c r="G12" s="55"/>
      <c r="H12" s="54" t="s">
        <v>43</v>
      </c>
      <c r="I12" s="54">
        <f>D12*1.03</f>
        <v>14765.3899</v>
      </c>
      <c r="J12" s="55"/>
      <c r="K12" s="54" t="s">
        <v>54</v>
      </c>
    </row>
    <row r="13" spans="1:11" ht="76.5">
      <c r="A13" s="53" t="s">
        <v>56</v>
      </c>
      <c r="B13" s="54">
        <v>11000.79</v>
      </c>
      <c r="C13" s="55"/>
      <c r="D13" s="54">
        <v>14045.57</v>
      </c>
      <c r="E13" s="55"/>
      <c r="F13" s="54">
        <f>D13+1900+1200+3810</f>
        <v>20955.57</v>
      </c>
      <c r="G13" s="55"/>
      <c r="H13" s="56" t="s">
        <v>57</v>
      </c>
      <c r="I13" s="54">
        <f>D13+1900+1200</f>
        <v>17145.57</v>
      </c>
      <c r="J13" s="55"/>
      <c r="K13" s="54" t="s">
        <v>58</v>
      </c>
    </row>
    <row r="14" spans="1:11">
      <c r="A14" s="53" t="s">
        <v>59</v>
      </c>
      <c r="B14" s="54">
        <v>32335</v>
      </c>
      <c r="C14" s="55"/>
      <c r="D14" s="54">
        <f>26400+7800+75</f>
        <v>34275</v>
      </c>
      <c r="E14" s="55"/>
      <c r="F14" s="54">
        <f>26400+7800</f>
        <v>34200</v>
      </c>
      <c r="G14" s="55"/>
      <c r="H14" s="54"/>
      <c r="I14" s="54">
        <f>F14</f>
        <v>34200</v>
      </c>
      <c r="J14" s="55"/>
      <c r="K14" s="54" t="s">
        <v>60</v>
      </c>
    </row>
    <row r="15" spans="1:11">
      <c r="A15" s="53" t="s">
        <v>61</v>
      </c>
      <c r="B15" s="54">
        <v>28349</v>
      </c>
      <c r="C15" s="55"/>
      <c r="D15" s="54">
        <f>2283.24+9729.48+9294.12-6501.84+5305.6+6969</f>
        <v>27079.599999999999</v>
      </c>
      <c r="E15" s="55"/>
      <c r="F15" s="54">
        <f>D15+10525-9729.48+561</f>
        <v>28436.12</v>
      </c>
      <c r="G15" s="55"/>
      <c r="H15" s="54" t="s">
        <v>62</v>
      </c>
      <c r="I15" s="54">
        <f>D15+600</f>
        <v>27679.599999999999</v>
      </c>
      <c r="J15" s="55"/>
      <c r="K15" s="54" t="s">
        <v>63</v>
      </c>
    </row>
    <row r="16" spans="1:11">
      <c r="A16" s="53" t="s">
        <v>64</v>
      </c>
      <c r="B16" s="54">
        <v>1133.76</v>
      </c>
      <c r="C16" s="55"/>
      <c r="D16" s="54">
        <v>1820</v>
      </c>
      <c r="E16" s="55"/>
      <c r="F16" s="54">
        <f>D16</f>
        <v>1820</v>
      </c>
      <c r="G16" s="55"/>
      <c r="H16" s="54" t="s">
        <v>62</v>
      </c>
      <c r="I16" s="54">
        <f>D16</f>
        <v>1820</v>
      </c>
      <c r="J16" s="55"/>
      <c r="K16" s="54" t="s">
        <v>62</v>
      </c>
    </row>
    <row r="17" spans="1:11">
      <c r="A17" s="53" t="s">
        <v>65</v>
      </c>
      <c r="B17" s="54">
        <v>2359</v>
      </c>
      <c r="C17" s="55"/>
      <c r="D17" s="54">
        <f>671.2+3946.73+2472.26-721.5</f>
        <v>6368.6900000000005</v>
      </c>
      <c r="E17" s="55"/>
      <c r="F17" s="54">
        <f>D17</f>
        <v>6368.6900000000005</v>
      </c>
      <c r="G17" s="55"/>
      <c r="H17" s="54" t="s">
        <v>66</v>
      </c>
      <c r="I17" s="54">
        <f>D17</f>
        <v>6368.6900000000005</v>
      </c>
      <c r="J17" s="55"/>
      <c r="K17" s="54" t="s">
        <v>66</v>
      </c>
    </row>
    <row r="18" spans="1:11">
      <c r="A18" s="36" t="s">
        <v>67</v>
      </c>
      <c r="B18" s="54">
        <v>2016</v>
      </c>
      <c r="C18" s="55"/>
      <c r="D18" s="54">
        <v>1750.76</v>
      </c>
      <c r="E18" s="55"/>
      <c r="F18" s="54">
        <f>D18</f>
        <v>1750.76</v>
      </c>
      <c r="G18" s="55"/>
      <c r="H18" s="54"/>
      <c r="I18" s="54">
        <f>D18*2</f>
        <v>3501.52</v>
      </c>
      <c r="J18" s="55"/>
      <c r="K18" s="54" t="s">
        <v>68</v>
      </c>
    </row>
    <row r="19" spans="1:11" ht="25.5">
      <c r="A19" s="53" t="s">
        <v>69</v>
      </c>
      <c r="B19" s="54">
        <v>9863</v>
      </c>
      <c r="C19" s="55"/>
      <c r="D19" s="54">
        <f>8015.11+264+323.52+1663.5</f>
        <v>10266.130000000001</v>
      </c>
      <c r="E19" s="55"/>
      <c r="F19" s="54">
        <f>D19+1500</f>
        <v>11766.130000000001</v>
      </c>
      <c r="G19" s="55"/>
      <c r="H19" s="57" t="s">
        <v>70</v>
      </c>
      <c r="I19" s="54">
        <f>D19+1500+1*600+1000</f>
        <v>13366.130000000001</v>
      </c>
      <c r="J19" s="55"/>
      <c r="K19" s="54" t="s">
        <v>71</v>
      </c>
    </row>
    <row r="20" spans="1:11">
      <c r="A20" s="58" t="s">
        <v>72</v>
      </c>
      <c r="B20" s="59">
        <v>11996</v>
      </c>
      <c r="C20" s="60"/>
      <c r="D20" s="59">
        <v>5778.85</v>
      </c>
      <c r="E20" s="60"/>
      <c r="F20" s="61">
        <v>5493</v>
      </c>
      <c r="G20" s="60"/>
      <c r="H20" s="59" t="s">
        <v>73</v>
      </c>
      <c r="I20" s="59">
        <v>43000</v>
      </c>
      <c r="J20" s="60"/>
      <c r="K20" s="59" t="s">
        <v>73</v>
      </c>
    </row>
    <row r="21" spans="1:11">
      <c r="A21" s="62" t="s">
        <v>74</v>
      </c>
      <c r="B21" s="63">
        <v>411.24</v>
      </c>
      <c r="C21" s="64"/>
      <c r="D21" s="63">
        <v>1148.8399999999999</v>
      </c>
      <c r="E21" s="64"/>
      <c r="F21" s="63">
        <f>D21*2</f>
        <v>2297.6799999999998</v>
      </c>
      <c r="G21" s="64"/>
      <c r="H21" s="63" t="s">
        <v>75</v>
      </c>
      <c r="I21" s="65">
        <f>D21*2</f>
        <v>2297.6799999999998</v>
      </c>
      <c r="J21" s="66"/>
      <c r="K21" s="63" t="s">
        <v>75</v>
      </c>
    </row>
    <row r="22" spans="1:11">
      <c r="A22" s="36" t="s">
        <v>76</v>
      </c>
      <c r="B22" s="54">
        <v>0</v>
      </c>
      <c r="C22" s="55"/>
      <c r="D22" s="54">
        <v>6057.71</v>
      </c>
      <c r="E22" s="55"/>
      <c r="F22" s="54">
        <v>0</v>
      </c>
      <c r="G22" s="55"/>
      <c r="H22" s="54"/>
      <c r="I22" s="54">
        <v>0</v>
      </c>
      <c r="J22" s="55"/>
      <c r="K22" s="54"/>
    </row>
    <row r="23" spans="1:11">
      <c r="A23" s="58" t="s">
        <v>77</v>
      </c>
      <c r="B23" s="59">
        <v>18793.060000000001</v>
      </c>
      <c r="C23" s="60"/>
      <c r="D23" s="59">
        <v>19944.71</v>
      </c>
      <c r="E23" s="60"/>
      <c r="F23" s="59">
        <v>12000</v>
      </c>
      <c r="G23" s="60"/>
      <c r="H23" s="59" t="s">
        <v>78</v>
      </c>
      <c r="I23" s="59">
        <v>12000</v>
      </c>
      <c r="J23" s="60"/>
      <c r="K23" s="59" t="s">
        <v>78</v>
      </c>
    </row>
    <row r="24" spans="1:11">
      <c r="A24" s="53" t="s">
        <v>79</v>
      </c>
      <c r="B24" s="54">
        <v>5400</v>
      </c>
      <c r="C24" s="55"/>
      <c r="D24" s="54">
        <v>7707.97</v>
      </c>
      <c r="E24" s="55"/>
      <c r="F24" s="54">
        <f>D24</f>
        <v>7707.97</v>
      </c>
      <c r="G24" s="55"/>
      <c r="H24" s="54"/>
      <c r="I24" s="54">
        <f>D24</f>
        <v>7707.97</v>
      </c>
      <c r="J24" s="55"/>
      <c r="K24" s="54"/>
    </row>
    <row r="25" spans="1:11">
      <c r="A25" s="53" t="s">
        <v>80</v>
      </c>
      <c r="B25" s="54">
        <f>52660+6000+600</f>
        <v>59260</v>
      </c>
      <c r="C25" s="55"/>
      <c r="D25" s="54">
        <f>70720.42+600</f>
        <v>71320.42</v>
      </c>
      <c r="E25" s="55"/>
      <c r="F25" s="54">
        <f>D25</f>
        <v>71320.42</v>
      </c>
      <c r="G25" s="55"/>
      <c r="H25" s="54" t="s">
        <v>43</v>
      </c>
      <c r="I25" s="54">
        <f>D25</f>
        <v>71320.42</v>
      </c>
      <c r="J25" s="55"/>
      <c r="K25" s="54" t="s">
        <v>43</v>
      </c>
    </row>
    <row r="26" spans="1:11">
      <c r="A26" s="53" t="s">
        <v>81</v>
      </c>
      <c r="B26" s="54">
        <v>74400</v>
      </c>
      <c r="C26" s="55"/>
      <c r="D26" s="54">
        <v>74400</v>
      </c>
      <c r="E26" s="55"/>
      <c r="F26" s="54">
        <v>74400</v>
      </c>
      <c r="G26" s="55"/>
      <c r="H26" s="54"/>
      <c r="I26" s="54"/>
      <c r="J26" s="55"/>
      <c r="K26" s="54"/>
    </row>
    <row r="27" spans="1:11">
      <c r="A27" s="36" t="s">
        <v>82</v>
      </c>
      <c r="B27" s="54">
        <v>1400.66</v>
      </c>
      <c r="C27" s="55"/>
      <c r="D27" s="54">
        <v>56.05</v>
      </c>
      <c r="E27" s="55"/>
      <c r="F27" s="54">
        <f>D27</f>
        <v>56.05</v>
      </c>
      <c r="G27" s="55"/>
      <c r="H27" s="54"/>
      <c r="I27" s="54">
        <f>D27</f>
        <v>56.05</v>
      </c>
      <c r="J27" s="55"/>
      <c r="K27" s="54"/>
    </row>
    <row r="28" spans="1:11">
      <c r="A28" s="67" t="s">
        <v>83</v>
      </c>
      <c r="B28" s="59">
        <v>9526</v>
      </c>
      <c r="C28" s="60"/>
      <c r="D28" s="59">
        <f>2130.3+9084</f>
        <v>11214.3</v>
      </c>
      <c r="E28" s="60"/>
      <c r="F28" s="59">
        <v>19210</v>
      </c>
      <c r="G28" s="60"/>
      <c r="H28" s="59" t="s">
        <v>73</v>
      </c>
      <c r="I28" s="59">
        <f>F28</f>
        <v>19210</v>
      </c>
      <c r="J28" s="60"/>
      <c r="K28" s="59" t="s">
        <v>73</v>
      </c>
    </row>
    <row r="29" spans="1:11">
      <c r="A29" s="67" t="s">
        <v>84</v>
      </c>
      <c r="B29" s="59">
        <v>24265</v>
      </c>
      <c r="C29" s="60"/>
      <c r="D29" s="59">
        <f>15337.6+1215.44</f>
        <v>16553.04</v>
      </c>
      <c r="E29" s="60"/>
      <c r="F29" s="59">
        <v>19806</v>
      </c>
      <c r="G29" s="60"/>
      <c r="H29" s="59" t="s">
        <v>73</v>
      </c>
      <c r="I29" s="59">
        <v>22806</v>
      </c>
      <c r="J29" s="60"/>
      <c r="K29" s="59" t="s">
        <v>73</v>
      </c>
    </row>
    <row r="30" spans="1:11">
      <c r="A30" s="58" t="s">
        <v>85</v>
      </c>
      <c r="B30" s="59">
        <v>14380.39</v>
      </c>
      <c r="C30" s="60"/>
      <c r="D30" s="59">
        <v>20861.54</v>
      </c>
      <c r="E30" s="60"/>
      <c r="F30" s="59">
        <v>16658.400000000001</v>
      </c>
      <c r="G30" s="60"/>
      <c r="H30" s="59" t="s">
        <v>73</v>
      </c>
      <c r="I30" s="59">
        <f>F30</f>
        <v>16658.400000000001</v>
      </c>
      <c r="J30" s="60"/>
      <c r="K30" s="59" t="s">
        <v>73</v>
      </c>
    </row>
    <row r="31" spans="1:11">
      <c r="A31" s="58" t="s">
        <v>86</v>
      </c>
      <c r="B31" s="59">
        <v>19272.5</v>
      </c>
      <c r="C31" s="60"/>
      <c r="D31" s="59">
        <v>23160.9</v>
      </c>
      <c r="E31" s="60"/>
      <c r="F31" s="59">
        <v>15388</v>
      </c>
      <c r="G31" s="60"/>
      <c r="H31" s="59" t="s">
        <v>73</v>
      </c>
      <c r="I31" s="59">
        <f>F31</f>
        <v>15388</v>
      </c>
      <c r="J31" s="60"/>
      <c r="K31" s="59" t="s">
        <v>73</v>
      </c>
    </row>
    <row r="32" spans="1:11">
      <c r="A32" s="58" t="s">
        <v>87</v>
      </c>
      <c r="B32" s="59">
        <v>15339</v>
      </c>
      <c r="C32" s="60"/>
      <c r="D32" s="59">
        <v>38186.699999999997</v>
      </c>
      <c r="E32" s="60"/>
      <c r="F32" s="59">
        <v>64936</v>
      </c>
      <c r="G32" s="60"/>
      <c r="H32" s="59" t="s">
        <v>88</v>
      </c>
      <c r="I32" s="59">
        <f>F32</f>
        <v>64936</v>
      </c>
      <c r="J32" s="60"/>
      <c r="K32" s="59" t="s">
        <v>73</v>
      </c>
    </row>
    <row r="33" spans="1:11">
      <c r="A33" s="62" t="s">
        <v>89</v>
      </c>
      <c r="B33" s="63">
        <v>12808</v>
      </c>
      <c r="C33" s="64"/>
      <c r="D33" s="63">
        <f>8397.51+935</f>
        <v>9332.51</v>
      </c>
      <c r="E33" s="64"/>
      <c r="F33" s="63">
        <f>D33*F3/D3</f>
        <v>11444.178269884831</v>
      </c>
      <c r="G33" s="64"/>
      <c r="H33" s="63" t="s">
        <v>90</v>
      </c>
      <c r="I33" s="63">
        <f>D33*I3/D3</f>
        <v>11774.126437054336</v>
      </c>
      <c r="J33" s="64"/>
      <c r="K33" s="63" t="s">
        <v>90</v>
      </c>
    </row>
    <row r="34" spans="1:11">
      <c r="A34" s="58" t="s">
        <v>91</v>
      </c>
      <c r="B34" s="59">
        <v>75026</v>
      </c>
      <c r="C34" s="60"/>
      <c r="D34" s="59">
        <v>68481.33</v>
      </c>
      <c r="E34" s="60"/>
      <c r="F34" s="59">
        <f>D34*F3/D3</f>
        <v>83976.609580789329</v>
      </c>
      <c r="G34" s="60"/>
      <c r="H34" s="59" t="s">
        <v>90</v>
      </c>
      <c r="I34" s="59">
        <f>D34*I3/D3</f>
        <v>86397.747015287663</v>
      </c>
      <c r="J34" s="60"/>
      <c r="K34" s="59" t="s">
        <v>90</v>
      </c>
    </row>
    <row r="35" spans="1:11">
      <c r="A35" s="53" t="s">
        <v>92</v>
      </c>
      <c r="B35" s="54">
        <v>32208</v>
      </c>
      <c r="C35" s="55"/>
      <c r="D35" s="54">
        <f>2095+10576.86+1338.02+225.32+1551.06+2901.44+169.68+531.15+2684.75+14068.87+389.97+505.9</f>
        <v>37038.020000000004</v>
      </c>
      <c r="E35" s="55"/>
      <c r="F35" s="54">
        <f>D35</f>
        <v>37038.020000000004</v>
      </c>
      <c r="G35" s="55"/>
      <c r="H35" s="57" t="s">
        <v>43</v>
      </c>
      <c r="I35" s="54">
        <f>D35+15000</f>
        <v>52038.020000000004</v>
      </c>
      <c r="J35" s="55"/>
      <c r="K35" s="54" t="s">
        <v>93</v>
      </c>
    </row>
    <row r="36" spans="1:11">
      <c r="A36" s="58" t="s">
        <v>94</v>
      </c>
      <c r="B36" s="59">
        <v>10183.379999999999</v>
      </c>
      <c r="C36" s="60"/>
      <c r="D36" s="59">
        <v>9509.82</v>
      </c>
      <c r="E36" s="60"/>
      <c r="F36" s="59">
        <v>31779</v>
      </c>
      <c r="G36" s="60"/>
      <c r="H36" s="59" t="s">
        <v>73</v>
      </c>
      <c r="I36" s="59">
        <f>F36</f>
        <v>31779</v>
      </c>
      <c r="J36" s="60"/>
      <c r="K36" s="59" t="s">
        <v>73</v>
      </c>
    </row>
    <row r="37" spans="1:11">
      <c r="A37" s="36" t="s">
        <v>95</v>
      </c>
      <c r="B37" s="54">
        <v>8952</v>
      </c>
      <c r="C37" s="55"/>
      <c r="D37" s="54">
        <v>9056.32</v>
      </c>
      <c r="E37" s="55"/>
      <c r="F37" s="54">
        <f>D37*F3/D3</f>
        <v>11105.494722119065</v>
      </c>
      <c r="G37" s="55"/>
      <c r="H37" s="54" t="s">
        <v>90</v>
      </c>
      <c r="I37" s="54">
        <f>D37*I3/D3</f>
        <v>11425.678272450168</v>
      </c>
      <c r="J37" s="55"/>
      <c r="K37" s="54" t="s">
        <v>90</v>
      </c>
    </row>
    <row r="38" spans="1:11">
      <c r="A38" s="58" t="s">
        <v>96</v>
      </c>
      <c r="B38" s="59">
        <v>33327</v>
      </c>
      <c r="C38" s="60"/>
      <c r="D38" s="59">
        <v>31853.41</v>
      </c>
      <c r="E38" s="60"/>
      <c r="F38" s="59">
        <f>D38*F3/D3</f>
        <v>39060.885286351921</v>
      </c>
      <c r="G38" s="60"/>
      <c r="H38" s="59" t="s">
        <v>90</v>
      </c>
      <c r="I38" s="59">
        <f>D38*I3/D3</f>
        <v>40187.053299844411</v>
      </c>
      <c r="J38" s="60"/>
      <c r="K38" s="59" t="s">
        <v>90</v>
      </c>
    </row>
    <row r="39" spans="1:11">
      <c r="A39" s="53" t="s">
        <v>97</v>
      </c>
      <c r="B39" s="54">
        <v>11079</v>
      </c>
      <c r="C39" s="55"/>
      <c r="D39" s="54">
        <f>1681.9+5029.6+22.3+984.76+327+1411.8</f>
        <v>9457.36</v>
      </c>
      <c r="E39" s="55"/>
      <c r="F39" s="54">
        <f>D39+2000</f>
        <v>11457.36</v>
      </c>
      <c r="G39" s="55"/>
      <c r="H39" s="54" t="s">
        <v>98</v>
      </c>
      <c r="I39" s="54">
        <f>D39+2000</f>
        <v>11457.36</v>
      </c>
      <c r="J39" s="55"/>
      <c r="K39" s="54" t="s">
        <v>98</v>
      </c>
    </row>
    <row r="40" spans="1:11">
      <c r="A40" s="36" t="s">
        <v>99</v>
      </c>
      <c r="B40" s="54">
        <v>4800</v>
      </c>
      <c r="C40" s="55"/>
      <c r="D40" s="54">
        <f>1299.68+2563.68</f>
        <v>3863.3599999999997</v>
      </c>
      <c r="E40" s="55"/>
      <c r="F40" s="54">
        <f>D40</f>
        <v>3863.3599999999997</v>
      </c>
      <c r="G40" s="55"/>
      <c r="H40" s="54"/>
      <c r="I40" s="54">
        <f>D40</f>
        <v>3863.3599999999997</v>
      </c>
      <c r="J40" s="55"/>
      <c r="K40" s="54"/>
    </row>
    <row r="41" spans="1:11">
      <c r="A41" s="53" t="s">
        <v>100</v>
      </c>
      <c r="B41" s="54">
        <v>1634.91</v>
      </c>
      <c r="C41" s="55"/>
      <c r="D41" s="54">
        <v>1939.34</v>
      </c>
      <c r="E41" s="55"/>
      <c r="F41" s="54">
        <f>D41</f>
        <v>1939.34</v>
      </c>
      <c r="G41" s="55"/>
      <c r="H41" s="54"/>
      <c r="I41" s="54">
        <f>D41</f>
        <v>1939.34</v>
      </c>
      <c r="J41" s="55"/>
      <c r="K41" s="54"/>
    </row>
    <row r="42" spans="1:11" ht="15.75" thickBot="1">
      <c r="A42" s="36" t="s">
        <v>101</v>
      </c>
      <c r="B42" s="54">
        <v>109</v>
      </c>
      <c r="C42" s="55"/>
      <c r="D42" s="54">
        <v>68</v>
      </c>
      <c r="E42" s="55"/>
      <c r="F42" s="54">
        <v>0</v>
      </c>
      <c r="G42" s="55"/>
      <c r="H42" s="54"/>
      <c r="I42" s="54">
        <v>0</v>
      </c>
      <c r="J42" s="55"/>
      <c r="K42" s="54"/>
    </row>
    <row r="43" spans="1:11" ht="17.25" thickBot="1">
      <c r="A43" s="68" t="s">
        <v>102</v>
      </c>
      <c r="B43" s="69">
        <v>473290.37</v>
      </c>
      <c r="C43" s="70">
        <f>B43/(B3+B4)</f>
        <v>0.30632788689002588</v>
      </c>
      <c r="D43" s="69">
        <f>SUM(D9:D42)</f>
        <v>586538.89999999991</v>
      </c>
      <c r="E43" s="70">
        <f>D43/(D3+D4)</f>
        <v>0.35731450337074477</v>
      </c>
      <c r="F43" s="69">
        <f>SUM(F9:F42)</f>
        <v>674953.68785914511</v>
      </c>
      <c r="G43" s="70">
        <f>F43/(F3+F4)</f>
        <v>0.34409727726463041</v>
      </c>
      <c r="H43" s="71"/>
      <c r="I43" s="69">
        <f>SUM(I9:I42)</f>
        <v>662288.34562463639</v>
      </c>
      <c r="J43" s="70">
        <f>I43/(I3+I4)</f>
        <v>0.32924770766242117</v>
      </c>
      <c r="K43" s="71"/>
    </row>
    <row r="44" spans="1:11" ht="17.25" thickBot="1">
      <c r="A44" s="49" t="s">
        <v>103</v>
      </c>
      <c r="B44" s="50">
        <v>585166.63</v>
      </c>
      <c r="C44" s="51">
        <f>B44/(B3+B4)</f>
        <v>0.37873759663958007</v>
      </c>
      <c r="D44" s="50">
        <f>D8-D43</f>
        <v>481419.80454399996</v>
      </c>
      <c r="E44" s="51">
        <f>D44/(D3+D4)</f>
        <v>0.2932768455314394</v>
      </c>
      <c r="F44" s="50">
        <f>F8-F43</f>
        <v>587119.30743454106</v>
      </c>
      <c r="G44" s="51">
        <f>F44/(F3+F4)</f>
        <v>0.29931854400043156</v>
      </c>
      <c r="H44" s="50"/>
      <c r="I44" s="50">
        <f>I8-I43</f>
        <v>631896.89535556338</v>
      </c>
      <c r="J44" s="51">
        <f>I44/(I3+I4)</f>
        <v>0.31413900855917587</v>
      </c>
      <c r="K44" s="50"/>
    </row>
    <row r="45" spans="1:11" ht="18" thickTop="1" thickBot="1">
      <c r="A45" s="72" t="s">
        <v>104</v>
      </c>
      <c r="B45" s="50"/>
      <c r="C45" s="51"/>
      <c r="D45" s="73">
        <v>66487.83</v>
      </c>
      <c r="E45" s="51"/>
      <c r="F45" s="50"/>
      <c r="G45" s="51"/>
      <c r="H45" s="50"/>
      <c r="I45" s="50"/>
      <c r="J45" s="51"/>
      <c r="K45" s="74"/>
    </row>
    <row r="46" spans="1:11" ht="15.75" thickTop="1">
      <c r="A46" s="36" t="s">
        <v>105</v>
      </c>
      <c r="B46" s="54">
        <v>273109.8</v>
      </c>
      <c r="C46" s="39">
        <f>B46/B3</f>
        <v>0.20667715024306962</v>
      </c>
      <c r="D46" s="54">
        <v>252694.56</v>
      </c>
      <c r="E46" s="39" t="s">
        <v>43</v>
      </c>
      <c r="F46" s="54">
        <v>270503</v>
      </c>
      <c r="G46" s="39"/>
      <c r="H46" s="40" t="s">
        <v>43</v>
      </c>
      <c r="I46" s="75">
        <f>F46+45000/2</f>
        <v>293003</v>
      </c>
      <c r="J46" s="76"/>
      <c r="K46" s="54" t="s">
        <v>106</v>
      </c>
    </row>
    <row r="47" spans="1:11">
      <c r="A47" s="58" t="s">
        <v>107</v>
      </c>
      <c r="B47" s="59">
        <v>28861</v>
      </c>
      <c r="C47" s="77"/>
      <c r="D47" s="59">
        <v>28228</v>
      </c>
      <c r="E47" s="77"/>
      <c r="F47" s="59">
        <v>44236</v>
      </c>
      <c r="G47" s="77"/>
      <c r="H47" s="78" t="s">
        <v>108</v>
      </c>
      <c r="I47" s="79">
        <f>F47+15000/2</f>
        <v>51736</v>
      </c>
      <c r="J47" s="77"/>
      <c r="K47" s="59" t="s">
        <v>109</v>
      </c>
    </row>
    <row r="48" spans="1:11">
      <c r="A48" s="36" t="s">
        <v>110</v>
      </c>
      <c r="B48" s="54">
        <v>3483</v>
      </c>
      <c r="C48" s="39"/>
      <c r="D48" s="54">
        <v>2917.38</v>
      </c>
      <c r="E48" s="39"/>
      <c r="F48" s="54">
        <v>0</v>
      </c>
      <c r="G48" s="39"/>
      <c r="H48" s="40"/>
      <c r="I48" s="37">
        <v>0</v>
      </c>
      <c r="J48" s="39"/>
      <c r="K48" s="54"/>
    </row>
    <row r="49" spans="1:11">
      <c r="A49" s="36" t="s">
        <v>111</v>
      </c>
      <c r="B49" s="54">
        <v>104702.21399999998</v>
      </c>
      <c r="C49" s="39">
        <f>+B49/(B46)</f>
        <v>0.38337040267321049</v>
      </c>
      <c r="D49" s="54">
        <f>D46*E49</f>
        <v>113990.51601599999</v>
      </c>
      <c r="E49" s="39">
        <v>0.4511</v>
      </c>
      <c r="F49" s="54">
        <f>F46*G49</f>
        <v>122023.90330000001</v>
      </c>
      <c r="G49" s="39">
        <v>0.4511</v>
      </c>
      <c r="H49" s="40"/>
      <c r="I49" s="54">
        <f>I46*J49</f>
        <v>132173.65330000001</v>
      </c>
      <c r="J49" s="39">
        <v>0.4511</v>
      </c>
      <c r="K49" s="54"/>
    </row>
    <row r="50" spans="1:11">
      <c r="A50" s="58" t="s">
        <v>112</v>
      </c>
      <c r="B50" s="59">
        <v>12246.23</v>
      </c>
      <c r="C50" s="39">
        <f>+B50/(B47)</f>
        <v>0.42431759121305568</v>
      </c>
      <c r="D50" s="54">
        <f>D47*E50</f>
        <v>12733.650799999999</v>
      </c>
      <c r="E50" s="39">
        <v>0.4511</v>
      </c>
      <c r="F50" s="59">
        <f>F47*G50</f>
        <v>19954.8596</v>
      </c>
      <c r="G50" s="77">
        <v>0.4511</v>
      </c>
      <c r="H50" s="80"/>
      <c r="I50" s="59">
        <f>I47*J50</f>
        <v>23338.1096</v>
      </c>
      <c r="J50" s="77">
        <v>0.4511</v>
      </c>
      <c r="K50" s="59"/>
    </row>
    <row r="51" spans="1:11" ht="15.75" thickBot="1">
      <c r="A51" s="36" t="s">
        <v>113</v>
      </c>
      <c r="B51" s="54">
        <v>8891</v>
      </c>
      <c r="C51" s="39"/>
      <c r="D51" s="54">
        <f>6723+713.5+91.9</f>
        <v>7528.4</v>
      </c>
      <c r="E51" s="39"/>
      <c r="F51" s="54">
        <v>713.5</v>
      </c>
      <c r="G51" s="39"/>
      <c r="H51" s="40"/>
      <c r="I51" s="37">
        <v>0</v>
      </c>
      <c r="J51" s="39"/>
      <c r="K51" s="54"/>
    </row>
    <row r="52" spans="1:11" ht="18" thickTop="1" thickBot="1">
      <c r="A52" s="81" t="s">
        <v>114</v>
      </c>
      <c r="B52" s="82">
        <f>SUM(B46:B51)</f>
        <v>431293.24399999995</v>
      </c>
      <c r="C52" s="83">
        <f>B52/(B3+B4)</f>
        <v>0.27914607276810705</v>
      </c>
      <c r="D52" s="82">
        <f>SUM(D46:D51)</f>
        <v>418092.50681600004</v>
      </c>
      <c r="E52" s="83">
        <f>D52/(D3+D4)</f>
        <v>0.25469839500157415</v>
      </c>
      <c r="F52" s="82">
        <f>SUM(F46:F51)</f>
        <v>457431.26290000003</v>
      </c>
      <c r="G52" s="83">
        <f>F52/(F3+F4)</f>
        <v>0.23320244770995172</v>
      </c>
      <c r="H52" s="84"/>
      <c r="I52" s="82">
        <f>SUM(I46:I51)</f>
        <v>500250.76290000003</v>
      </c>
      <c r="J52" s="83">
        <f>I52/(I3+I4)</f>
        <v>0.24869291152309156</v>
      </c>
      <c r="K52" s="85"/>
    </row>
    <row r="53" spans="1:11" ht="15.75" thickTop="1">
      <c r="A53" s="36" t="s">
        <v>115</v>
      </c>
      <c r="B53" s="54">
        <v>2055</v>
      </c>
      <c r="C53" s="55">
        <f>B53/($B$46)</f>
        <v>7.524446211743409E-3</v>
      </c>
      <c r="D53" s="54">
        <v>1924</v>
      </c>
      <c r="E53" s="55"/>
      <c r="F53" s="54">
        <f>0.0068*(F46+F47)</f>
        <v>2140.2251999999999</v>
      </c>
      <c r="G53" s="55"/>
      <c r="H53" s="54"/>
      <c r="I53" s="54">
        <f>0.0068*(I46+I47)</f>
        <v>2344.2251999999999</v>
      </c>
      <c r="J53" s="55"/>
      <c r="K53" s="54"/>
    </row>
    <row r="54" spans="1:11">
      <c r="A54" s="36" t="s">
        <v>116</v>
      </c>
      <c r="B54" s="54">
        <v>1661</v>
      </c>
      <c r="C54" s="55">
        <f>B54/($B$46)</f>
        <v>6.0818029964505122E-3</v>
      </c>
      <c r="D54" s="54">
        <v>1557</v>
      </c>
      <c r="E54" s="55"/>
      <c r="F54" s="54">
        <f>0.0055*(F46+F47)</f>
        <v>1731.0645</v>
      </c>
      <c r="G54" s="55"/>
      <c r="H54" s="54"/>
      <c r="I54" s="54">
        <f>0.0055*(I46+I47)</f>
        <v>1896.0645</v>
      </c>
      <c r="J54" s="55"/>
      <c r="K54" s="54"/>
    </row>
    <row r="55" spans="1:11">
      <c r="A55" s="36" t="s">
        <v>117</v>
      </c>
      <c r="B55" s="54">
        <v>1487</v>
      </c>
      <c r="C55" s="55"/>
      <c r="D55" s="54">
        <v>0</v>
      </c>
      <c r="E55" s="55"/>
      <c r="F55" s="54">
        <f>D55</f>
        <v>0</v>
      </c>
      <c r="G55" s="55"/>
      <c r="H55" s="54"/>
      <c r="I55" s="54">
        <f t="shared" ref="I55:I61" si="0">D55</f>
        <v>0</v>
      </c>
      <c r="J55" s="55"/>
      <c r="K55" s="54"/>
    </row>
    <row r="56" spans="1:11">
      <c r="A56" s="36" t="s">
        <v>118</v>
      </c>
      <c r="B56" s="54">
        <v>5443</v>
      </c>
      <c r="C56" s="55">
        <f t="shared" ref="C56:C62" si="1">B56/$B$3</f>
        <v>4.1190163398494963E-3</v>
      </c>
      <c r="D56" s="54">
        <v>3773</v>
      </c>
      <c r="E56" s="55"/>
      <c r="F56" s="54">
        <v>1000</v>
      </c>
      <c r="G56" s="55"/>
      <c r="H56" s="54" t="s">
        <v>43</v>
      </c>
      <c r="I56" s="54">
        <f t="shared" si="0"/>
        <v>3773</v>
      </c>
      <c r="J56" s="55"/>
      <c r="K56" s="54"/>
    </row>
    <row r="57" spans="1:11">
      <c r="A57" s="36" t="s">
        <v>119</v>
      </c>
      <c r="B57" s="54">
        <v>15.25</v>
      </c>
      <c r="C57" s="55">
        <f t="shared" si="1"/>
        <v>1.1540510597594126E-5</v>
      </c>
      <c r="D57" s="54">
        <v>0</v>
      </c>
      <c r="E57" s="55"/>
      <c r="F57" s="54">
        <f>D57</f>
        <v>0</v>
      </c>
      <c r="G57" s="55"/>
      <c r="H57" s="54"/>
      <c r="I57" s="54">
        <f t="shared" si="0"/>
        <v>0</v>
      </c>
      <c r="J57" s="55"/>
      <c r="K57" s="54"/>
    </row>
    <row r="58" spans="1:11">
      <c r="A58" s="36" t="s">
        <v>120</v>
      </c>
      <c r="B58" s="54">
        <v>2282</v>
      </c>
      <c r="C58" s="55">
        <f t="shared" si="1"/>
        <v>1.7269144382760521E-3</v>
      </c>
      <c r="D58" s="54">
        <f>2400-350</f>
        <v>2050</v>
      </c>
      <c r="E58" s="55"/>
      <c r="F58" s="54">
        <f>D58</f>
        <v>2050</v>
      </c>
      <c r="G58" s="55"/>
      <c r="H58" s="54"/>
      <c r="I58" s="54">
        <f t="shared" si="0"/>
        <v>2050</v>
      </c>
      <c r="J58" s="55"/>
      <c r="K58" s="54"/>
    </row>
    <row r="59" spans="1:11">
      <c r="A59" s="36" t="s">
        <v>121</v>
      </c>
      <c r="B59" s="54">
        <v>9209.4599999999991</v>
      </c>
      <c r="C59" s="55">
        <f t="shared" si="1"/>
        <v>6.9693029985651925E-3</v>
      </c>
      <c r="D59" s="54">
        <f>1887.55+3971.82</f>
        <v>5859.37</v>
      </c>
      <c r="E59" s="55"/>
      <c r="F59" s="54">
        <f>D59</f>
        <v>5859.37</v>
      </c>
      <c r="G59" s="55"/>
      <c r="H59" s="54"/>
      <c r="I59" s="54">
        <f t="shared" si="0"/>
        <v>5859.37</v>
      </c>
      <c r="J59" s="55"/>
      <c r="K59" s="54"/>
    </row>
    <row r="60" spans="1:11">
      <c r="A60" s="36" t="s">
        <v>122</v>
      </c>
      <c r="B60" s="54">
        <v>3750</v>
      </c>
      <c r="C60" s="55">
        <f t="shared" si="1"/>
        <v>2.8378304748182277E-3</v>
      </c>
      <c r="D60" s="54">
        <v>0</v>
      </c>
      <c r="E60" s="55"/>
      <c r="F60" s="54">
        <f>D60</f>
        <v>0</v>
      </c>
      <c r="G60" s="55"/>
      <c r="H60" s="54"/>
      <c r="I60" s="54">
        <f t="shared" si="0"/>
        <v>0</v>
      </c>
      <c r="J60" s="55"/>
      <c r="K60" s="54"/>
    </row>
    <row r="61" spans="1:11">
      <c r="A61" s="36" t="s">
        <v>123</v>
      </c>
      <c r="B61" s="54">
        <v>1</v>
      </c>
      <c r="C61" s="55">
        <f t="shared" si="1"/>
        <v>7.5675479328486069E-7</v>
      </c>
      <c r="D61" s="54">
        <v>1818.66</v>
      </c>
      <c r="E61" s="55"/>
      <c r="F61" s="54">
        <v>1200</v>
      </c>
      <c r="G61" s="55"/>
      <c r="H61" s="54"/>
      <c r="I61" s="54">
        <f t="shared" si="0"/>
        <v>1818.66</v>
      </c>
      <c r="J61" s="55"/>
      <c r="K61" s="54"/>
    </row>
    <row r="62" spans="1:11" ht="15.75" thickBot="1">
      <c r="A62" s="36" t="s">
        <v>124</v>
      </c>
      <c r="B62" s="54">
        <v>2516.5455999999999</v>
      </c>
      <c r="C62" s="55">
        <f t="shared" si="1"/>
        <v>1.9044079453199255E-3</v>
      </c>
      <c r="D62" s="54">
        <v>2684.8244640000003</v>
      </c>
      <c r="E62" s="55"/>
      <c r="F62" s="54">
        <f>(F3+F4+F6+F7)*0.0016</f>
        <v>3205.2647499522191</v>
      </c>
      <c r="G62" s="55"/>
      <c r="H62" s="54"/>
      <c r="I62" s="54">
        <f>(I3+I4+I6+I7)*0.0016</f>
        <v>3286.8196596322532</v>
      </c>
      <c r="J62" s="55"/>
      <c r="K62" s="54"/>
    </row>
    <row r="63" spans="1:11" ht="18" thickTop="1" thickBot="1">
      <c r="A63" s="81" t="s">
        <v>125</v>
      </c>
      <c r="B63" s="84">
        <v>28420.2556</v>
      </c>
      <c r="C63" s="86"/>
      <c r="D63" s="84">
        <f>SUM(D53:D62)</f>
        <v>19666.854464</v>
      </c>
      <c r="E63" s="86">
        <v>1.3837670646436291E-2</v>
      </c>
      <c r="F63" s="84">
        <f>SUM(F53:F62)</f>
        <v>17185.924449952217</v>
      </c>
      <c r="G63" s="86"/>
      <c r="H63" s="84"/>
      <c r="I63" s="84">
        <f>SUM(I53:I62)</f>
        <v>21028.139359632252</v>
      </c>
      <c r="J63" s="86"/>
      <c r="K63" s="84"/>
    </row>
    <row r="64" spans="1:11" ht="18" thickTop="1" thickBot="1">
      <c r="A64" s="81" t="s">
        <v>126</v>
      </c>
      <c r="B64" s="85">
        <v>51053.130400000053</v>
      </c>
      <c r="C64" s="51">
        <f>B64/(B3+B4)</f>
        <v>3.304313492487277E-2</v>
      </c>
      <c r="D64" s="85">
        <f>D44-D52-D63+D45</f>
        <v>110148.27326399992</v>
      </c>
      <c r="E64" s="51">
        <f>D64/(D3+D4)</f>
        <v>6.7101390135370767E-2</v>
      </c>
      <c r="F64" s="85">
        <f>F44-F52-F63-H63</f>
        <v>112502.12008458881</v>
      </c>
      <c r="G64" s="51">
        <f>F64/(F3+F4)</f>
        <v>5.7354562103947161E-2</v>
      </c>
      <c r="H64" s="85"/>
      <c r="I64" s="85">
        <f>I44-I52-I63-K63</f>
        <v>110617.9930959311</v>
      </c>
      <c r="J64" s="51">
        <f>I64/(I3+I4)</f>
        <v>5.4992241511818682E-2</v>
      </c>
      <c r="K64" s="85"/>
    </row>
    <row r="65" spans="1:11" ht="60.75" customHeight="1" thickTop="1">
      <c r="A65" s="36" t="s">
        <v>127</v>
      </c>
      <c r="B65" s="54">
        <v>43334</v>
      </c>
      <c r="C65" s="39"/>
      <c r="D65" s="54">
        <f>36548.65+3355-2013</f>
        <v>37890.65</v>
      </c>
      <c r="E65" s="39"/>
      <c r="F65" s="54">
        <f>14707+11600</f>
        <v>26307</v>
      </c>
      <c r="G65" s="39"/>
      <c r="H65" s="57" t="s">
        <v>128</v>
      </c>
      <c r="I65" s="54">
        <f>D65+17617</f>
        <v>55507.65</v>
      </c>
      <c r="J65" s="39"/>
      <c r="K65" s="57" t="s">
        <v>129</v>
      </c>
    </row>
    <row r="66" spans="1:11">
      <c r="A66" s="36" t="s">
        <v>130</v>
      </c>
      <c r="B66" s="54">
        <v>1509</v>
      </c>
      <c r="C66" s="39"/>
      <c r="D66" s="54">
        <v>0</v>
      </c>
      <c r="E66" s="39"/>
      <c r="F66" s="54">
        <f>D66</f>
        <v>0</v>
      </c>
      <c r="G66" s="39"/>
      <c r="H66" s="54"/>
      <c r="I66" s="54">
        <v>0</v>
      </c>
      <c r="J66" s="39"/>
      <c r="K66" s="54"/>
    </row>
    <row r="67" spans="1:11" ht="15.75" thickBot="1">
      <c r="A67" s="36" t="s">
        <v>131</v>
      </c>
      <c r="B67" s="54">
        <v>2483</v>
      </c>
      <c r="C67" s="39"/>
      <c r="D67" s="54">
        <f>6684.04-6505.14</f>
        <v>178.89999999999964</v>
      </c>
      <c r="E67" s="39"/>
      <c r="F67" s="54">
        <v>0</v>
      </c>
      <c r="G67" s="39"/>
      <c r="H67" s="54"/>
      <c r="I67" s="54">
        <v>0</v>
      </c>
      <c r="J67" s="39"/>
      <c r="K67" s="54"/>
    </row>
    <row r="68" spans="1:11" ht="18" thickTop="1" thickBot="1">
      <c r="A68" s="81" t="s">
        <v>132</v>
      </c>
      <c r="B68" s="82">
        <v>6745.1304000000528</v>
      </c>
      <c r="C68" s="83">
        <f>B68/(B3+B4)</f>
        <v>4.3656530392319013E-3</v>
      </c>
      <c r="D68" s="82">
        <f>D64-D65+D66-D67</f>
        <v>72078.723263999913</v>
      </c>
      <c r="E68" s="83">
        <f>D68/(D3+D4)</f>
        <v>4.3909744446060578E-2</v>
      </c>
      <c r="F68" s="82">
        <f>F64-F65+F66-F67</f>
        <v>86195.120084588809</v>
      </c>
      <c r="G68" s="83">
        <f>F68/(F3+F4)</f>
        <v>4.3943024044628173E-2</v>
      </c>
      <c r="H68" s="84"/>
      <c r="I68" s="82">
        <f>I64-I65+I66-I67</f>
        <v>55110.343095931101</v>
      </c>
      <c r="J68" s="83">
        <f>I68/(I3+I4)</f>
        <v>2.7397362874793555E-2</v>
      </c>
      <c r="K68" s="85"/>
    </row>
    <row r="69" spans="1:11" ht="15.75" thickTop="1">
      <c r="A69" s="36" t="s">
        <v>133</v>
      </c>
      <c r="B69" s="54">
        <v>8183.88</v>
      </c>
      <c r="C69" s="39"/>
      <c r="D69" s="54">
        <v>4334.16</v>
      </c>
      <c r="E69" s="39" t="s">
        <v>43</v>
      </c>
      <c r="F69" s="54">
        <f>D69</f>
        <v>4334.16</v>
      </c>
      <c r="G69" s="39"/>
      <c r="H69" s="54"/>
      <c r="I69" s="54">
        <f>D69</f>
        <v>4334.16</v>
      </c>
      <c r="J69" s="39"/>
      <c r="K69" s="54"/>
    </row>
    <row r="70" spans="1:11" ht="15.75" thickBot="1">
      <c r="A70" s="36" t="s">
        <v>134</v>
      </c>
      <c r="B70" s="54">
        <v>0</v>
      </c>
      <c r="C70" s="39"/>
      <c r="D70" s="54">
        <v>0</v>
      </c>
      <c r="E70" s="39"/>
      <c r="F70" s="54">
        <f>D70</f>
        <v>0</v>
      </c>
      <c r="G70" s="39"/>
      <c r="H70" s="54"/>
      <c r="I70" s="54">
        <f>D70</f>
        <v>0</v>
      </c>
      <c r="J70" s="39"/>
      <c r="K70" s="54"/>
    </row>
    <row r="71" spans="1:11" ht="18" thickTop="1" thickBot="1">
      <c r="A71" s="81" t="s">
        <v>135</v>
      </c>
      <c r="B71" s="82">
        <v>-1438.7495999999473</v>
      </c>
      <c r="C71" s="83">
        <f>B71/(B3+B4)</f>
        <v>-9.3120239216330097E-4</v>
      </c>
      <c r="D71" s="82">
        <f>D68-D69+D70</f>
        <v>67744.563263999909</v>
      </c>
      <c r="E71" s="83">
        <f>D71/(D3+D4)</f>
        <v>4.1269411080397451E-2</v>
      </c>
      <c r="F71" s="82">
        <f>F68-F69+F70</f>
        <v>81860.960084588805</v>
      </c>
      <c r="G71" s="83">
        <f>F71/(F3+F4)</f>
        <v>4.1733431472492311E-2</v>
      </c>
      <c r="H71" s="84"/>
      <c r="I71" s="82">
        <f>I68-I69+I70</f>
        <v>50776.183095931105</v>
      </c>
      <c r="J71" s="83">
        <f>I71/(I3+I4)</f>
        <v>2.5242693758132179E-2</v>
      </c>
      <c r="K71" s="85"/>
    </row>
    <row r="72" spans="1:11" ht="15.75" thickTop="1">
      <c r="A72" s="87" t="s">
        <v>136</v>
      </c>
      <c r="B72" s="54">
        <v>6811.36</v>
      </c>
      <c r="C72" s="39"/>
      <c r="D72" s="54">
        <f>6284.98+4000+6505.14</f>
        <v>16790.12</v>
      </c>
      <c r="E72" s="39"/>
      <c r="F72" s="54">
        <v>0</v>
      </c>
      <c r="G72" s="39"/>
      <c r="H72" s="54"/>
      <c r="I72" s="54">
        <v>0</v>
      </c>
      <c r="J72" s="39"/>
      <c r="K72" s="54"/>
    </row>
    <row r="73" spans="1:11">
      <c r="A73" s="36" t="s">
        <v>137</v>
      </c>
      <c r="B73" s="54">
        <v>10297</v>
      </c>
      <c r="C73" s="39"/>
      <c r="D73" s="54">
        <v>1539.47</v>
      </c>
      <c r="E73" s="39"/>
      <c r="F73" s="54">
        <v>0</v>
      </c>
      <c r="G73" s="39"/>
      <c r="H73" s="54"/>
      <c r="I73" s="54">
        <v>0</v>
      </c>
      <c r="J73" s="39"/>
      <c r="K73" s="54"/>
    </row>
    <row r="74" spans="1:11" ht="15.75" thickBot="1">
      <c r="A74" s="88" t="s">
        <v>138</v>
      </c>
      <c r="B74" s="89">
        <v>1190</v>
      </c>
      <c r="C74" s="39">
        <f>B74/B3</f>
        <v>9.0053820400898417E-4</v>
      </c>
      <c r="D74" s="89">
        <f>(D71+D73-D72)*0.15</f>
        <v>7874.0869895999867</v>
      </c>
      <c r="E74" s="39" t="s">
        <v>43</v>
      </c>
      <c r="F74" s="89">
        <f>(F71+F73-F72-38120)/3+38120*0.15</f>
        <v>20298.320028196271</v>
      </c>
      <c r="G74" s="39"/>
      <c r="H74" s="89"/>
      <c r="I74" s="89">
        <f>(I71+I73-I72-38120)/3+38120*0.15</f>
        <v>9936.7276986437028</v>
      </c>
      <c r="J74" s="39"/>
      <c r="K74" s="89"/>
    </row>
    <row r="75" spans="1:11" ht="18" thickTop="1" thickBot="1">
      <c r="A75" s="81" t="s">
        <v>139</v>
      </c>
      <c r="B75" s="82">
        <v>856.89040000005298</v>
      </c>
      <c r="C75" s="83">
        <f>B75/(B3+B4)</f>
        <v>5.5460546456579122E-4</v>
      </c>
      <c r="D75" s="90">
        <f>D71-D72+D73-D74</f>
        <v>44619.826274399929</v>
      </c>
      <c r="E75" s="91">
        <f>D75/(D3+D4)</f>
        <v>2.7182018218614525E-2</v>
      </c>
      <c r="F75" s="82">
        <f>F71-F72+F73-F74</f>
        <v>61562.640056392534</v>
      </c>
      <c r="G75" s="83">
        <f>F75/(F3+F4)</f>
        <v>3.1385170872713121E-2</v>
      </c>
      <c r="H75" s="71"/>
      <c r="I75" s="82">
        <f>I71-I72+I73-I74</f>
        <v>40839.455397287398</v>
      </c>
      <c r="J75" s="83">
        <f>I75/(I3+I4)</f>
        <v>2.0302783765667375E-2</v>
      </c>
      <c r="K75" s="92"/>
    </row>
    <row r="76" spans="1:11" ht="17.25" thickTop="1">
      <c r="A76" s="93" t="s">
        <v>140</v>
      </c>
      <c r="B76" s="74">
        <v>41383.555521332884</v>
      </c>
      <c r="C76" s="94">
        <f t="shared" ref="C76:C81" si="2">B76/$B$3</f>
        <v>3.1317204003938823E-2</v>
      </c>
      <c r="D76" s="74">
        <f>D75+D65</f>
        <v>82510.476274399931</v>
      </c>
      <c r="E76" s="94">
        <v>0.56100342222593003</v>
      </c>
      <c r="F76" s="74">
        <f>F75+F65</f>
        <v>87869.640056392527</v>
      </c>
      <c r="G76" s="94"/>
      <c r="H76" s="74"/>
      <c r="I76" s="74">
        <f>I75+I65</f>
        <v>96347.105397287407</v>
      </c>
      <c r="J76" s="94"/>
      <c r="K76" s="74"/>
    </row>
    <row r="77" spans="1:11" ht="16.5">
      <c r="A77" s="95" t="s">
        <v>18</v>
      </c>
      <c r="B77" s="74">
        <v>0</v>
      </c>
      <c r="C77" s="94">
        <f t="shared" si="2"/>
        <v>0</v>
      </c>
      <c r="D77" s="74">
        <v>0</v>
      </c>
      <c r="E77" s="94">
        <v>0</v>
      </c>
      <c r="F77" s="74">
        <v>70000</v>
      </c>
      <c r="G77" s="94"/>
      <c r="H77" s="74"/>
      <c r="I77" s="74">
        <v>140000</v>
      </c>
      <c r="J77" s="94"/>
      <c r="K77" s="74"/>
    </row>
    <row r="78" spans="1:11" ht="16.5">
      <c r="A78" s="95" t="s">
        <v>141</v>
      </c>
      <c r="B78" s="74">
        <v>0</v>
      </c>
      <c r="C78" s="94">
        <f t="shared" si="2"/>
        <v>0</v>
      </c>
      <c r="D78" s="74">
        <v>0</v>
      </c>
      <c r="E78" s="94">
        <v>0</v>
      </c>
      <c r="F78" s="74">
        <f>D78</f>
        <v>0</v>
      </c>
      <c r="G78" s="94"/>
      <c r="H78" s="74"/>
      <c r="I78" s="74">
        <f>D78</f>
        <v>0</v>
      </c>
      <c r="J78" s="94"/>
      <c r="K78" s="74"/>
    </row>
    <row r="79" spans="1:11" ht="16.5">
      <c r="A79" s="95" t="s">
        <v>142</v>
      </c>
      <c r="B79" s="74">
        <v>0</v>
      </c>
      <c r="C79" s="94">
        <f t="shared" si="2"/>
        <v>0</v>
      </c>
      <c r="D79" s="74">
        <v>19861</v>
      </c>
      <c r="E79" s="94">
        <v>0.36448392306562916</v>
      </c>
      <c r="F79" s="74">
        <v>20711</v>
      </c>
      <c r="G79" s="94"/>
      <c r="H79" s="74"/>
      <c r="I79" s="74">
        <f>F79</f>
        <v>20711</v>
      </c>
      <c r="J79" s="94"/>
      <c r="K79" s="74"/>
    </row>
    <row r="80" spans="1:11" ht="16.5">
      <c r="A80" s="95" t="s">
        <v>143</v>
      </c>
      <c r="B80" s="74">
        <v>0</v>
      </c>
      <c r="C80" s="94">
        <f t="shared" si="2"/>
        <v>0</v>
      </c>
      <c r="D80" s="74">
        <v>0</v>
      </c>
      <c r="E80" s="94">
        <v>0</v>
      </c>
      <c r="F80" s="74">
        <f>D80</f>
        <v>0</v>
      </c>
      <c r="G80" s="94"/>
      <c r="H80" s="74"/>
      <c r="I80" s="74">
        <f>D80</f>
        <v>0</v>
      </c>
      <c r="J80" s="94"/>
      <c r="K80" s="74"/>
    </row>
    <row r="81" spans="1:11" ht="17.25" thickBot="1">
      <c r="A81" s="49" t="s">
        <v>144</v>
      </c>
      <c r="B81" s="50">
        <v>87940.555521332892</v>
      </c>
      <c r="C81" s="52">
        <f t="shared" si="2"/>
        <v>6.6549436914902088E-2</v>
      </c>
      <c r="D81" s="50">
        <f>D76-D77-D78-D79-D80</f>
        <v>62649.476274399931</v>
      </c>
      <c r="E81" s="52">
        <v>0.19651949916030093</v>
      </c>
      <c r="F81" s="50">
        <f>F76-F77-F78-F79-F80</f>
        <v>-2841.3599436074728</v>
      </c>
      <c r="G81" s="52"/>
      <c r="H81" s="50"/>
      <c r="I81" s="50">
        <f>I76-I77-I78-I79-I80</f>
        <v>-64363.894602712593</v>
      </c>
      <c r="J81" s="52"/>
      <c r="K81" s="50"/>
    </row>
    <row r="82" spans="1:11" ht="15.75" thickTop="1"/>
  </sheetData>
  <mergeCells count="4">
    <mergeCell ref="B2:C2"/>
    <mergeCell ref="D2:E2"/>
    <mergeCell ref="F2:G2"/>
    <mergeCell ref="I2:J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  <headerFooter alignWithMargins="0">
    <oddFooter>&amp;L&amp;D&amp;C&amp;A&amp;R&amp;F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73"/>
  <sheetViews>
    <sheetView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E21" sqref="E21"/>
    </sheetView>
  </sheetViews>
  <sheetFormatPr baseColWidth="10" defaultRowHeight="15"/>
  <cols>
    <col min="1" max="1" width="34" style="20" bestFit="1" customWidth="1"/>
    <col min="2" max="5" width="11.28515625" style="20" customWidth="1"/>
    <col min="6" max="6" width="5.85546875" style="20" customWidth="1"/>
    <col min="7" max="7" width="8.85546875" style="98" customWidth="1"/>
    <col min="8" max="8" width="8.140625" style="20" customWidth="1"/>
    <col min="9" max="13" width="8" style="20" customWidth="1"/>
    <col min="14" max="14" width="9.85546875" style="20" customWidth="1"/>
    <col min="15" max="15" width="8" style="20" customWidth="1"/>
    <col min="16" max="16" width="10.140625" style="20" customWidth="1"/>
    <col min="17" max="17" width="8" style="20" customWidth="1"/>
    <col min="18" max="18" width="11.28515625" style="20" customWidth="1"/>
    <col min="19" max="19" width="8.140625" style="20" customWidth="1"/>
    <col min="20" max="20" width="7.42578125" style="20" customWidth="1"/>
    <col min="21" max="21" width="8.7109375" style="20" customWidth="1"/>
    <col min="22" max="24" width="7.42578125" style="20" customWidth="1"/>
    <col min="25" max="26" width="8.140625" style="20" customWidth="1"/>
    <col min="27" max="27" width="8.85546875" style="20" customWidth="1"/>
    <col min="28" max="28" width="7.42578125" style="20" customWidth="1"/>
    <col min="29" max="30" width="9.7109375" style="20" customWidth="1"/>
    <col min="31" max="31" width="7.42578125" style="20" customWidth="1"/>
    <col min="32" max="32" width="9.7109375" style="20" customWidth="1"/>
    <col min="33" max="35" width="7.42578125" style="20" customWidth="1"/>
    <col min="36" max="37" width="9" style="20" customWidth="1"/>
    <col min="38" max="38" width="9.85546875" style="20" customWidth="1"/>
    <col min="39" max="39" width="7.42578125" style="20" customWidth="1"/>
    <col min="40" max="40" width="9.28515625" style="20" customWidth="1"/>
    <col min="41" max="41" width="9.140625" style="20" customWidth="1"/>
    <col min="42" max="42" width="7.42578125" style="20" customWidth="1"/>
    <col min="43" max="43" width="8.7109375" style="20" customWidth="1"/>
    <col min="44" max="46" width="7.42578125" style="20" customWidth="1"/>
    <col min="47" max="48" width="8.42578125" style="20" customWidth="1"/>
    <col min="49" max="49" width="9.140625" style="20" customWidth="1"/>
    <col min="50" max="69" width="7.42578125" style="20" customWidth="1"/>
    <col min="70" max="16384" width="11.42578125" style="20"/>
  </cols>
  <sheetData>
    <row r="1" spans="1:50" ht="16.5" thickBot="1">
      <c r="B1" s="17"/>
      <c r="C1" s="17"/>
      <c r="D1" s="17"/>
      <c r="E1" s="19"/>
      <c r="F1" s="133"/>
      <c r="G1" s="266">
        <v>2009</v>
      </c>
      <c r="H1" s="267"/>
      <c r="I1" s="267"/>
      <c r="J1" s="267"/>
      <c r="K1" s="267"/>
      <c r="L1" s="267"/>
      <c r="M1" s="267"/>
      <c r="N1" s="267"/>
      <c r="O1" s="267"/>
      <c r="P1" s="267"/>
      <c r="Q1" s="268"/>
      <c r="R1" s="263">
        <v>2010</v>
      </c>
      <c r="S1" s="264"/>
      <c r="T1" s="264"/>
      <c r="U1" s="264"/>
      <c r="V1" s="264"/>
      <c r="W1" s="264"/>
      <c r="X1" s="264"/>
      <c r="Y1" s="264"/>
      <c r="Z1" s="264"/>
      <c r="AA1" s="264"/>
      <c r="AB1" s="265"/>
      <c r="AC1" s="263" t="s">
        <v>261</v>
      </c>
      <c r="AD1" s="264"/>
      <c r="AE1" s="264"/>
      <c r="AF1" s="264"/>
      <c r="AG1" s="264"/>
      <c r="AH1" s="264"/>
      <c r="AI1" s="264"/>
      <c r="AJ1" s="264"/>
      <c r="AK1" s="264"/>
      <c r="AL1" s="264"/>
      <c r="AM1" s="265"/>
      <c r="AN1" s="263" t="s">
        <v>262</v>
      </c>
      <c r="AO1" s="264"/>
      <c r="AP1" s="264"/>
      <c r="AQ1" s="264"/>
      <c r="AR1" s="264"/>
      <c r="AS1" s="264"/>
      <c r="AT1" s="264"/>
      <c r="AU1" s="264"/>
      <c r="AV1" s="264"/>
      <c r="AW1" s="264"/>
      <c r="AX1" s="265"/>
    </row>
    <row r="2" spans="1:50" ht="21" customHeight="1" thickTop="1" thickBot="1">
      <c r="A2" s="16" t="s">
        <v>33</v>
      </c>
      <c r="B2" s="97">
        <v>2009</v>
      </c>
      <c r="C2" s="97">
        <f>+B2+1</f>
        <v>2010</v>
      </c>
      <c r="D2" s="232" t="s">
        <v>265</v>
      </c>
      <c r="E2" s="232" t="s">
        <v>264</v>
      </c>
      <c r="F2" s="135"/>
      <c r="G2" s="107" t="s">
        <v>152</v>
      </c>
      <c r="H2" s="106" t="s">
        <v>145</v>
      </c>
      <c r="I2" s="106" t="s">
        <v>146</v>
      </c>
      <c r="J2" s="106" t="s">
        <v>147</v>
      </c>
      <c r="K2" s="106" t="s">
        <v>148</v>
      </c>
      <c r="L2" s="106" t="s">
        <v>0</v>
      </c>
      <c r="M2" s="106" t="s">
        <v>149</v>
      </c>
      <c r="N2" s="106" t="s">
        <v>150</v>
      </c>
      <c r="O2" s="106" t="s">
        <v>164</v>
      </c>
      <c r="P2" s="106" t="s">
        <v>151</v>
      </c>
      <c r="Q2" s="111" t="s">
        <v>153</v>
      </c>
      <c r="R2" s="110" t="s">
        <v>152</v>
      </c>
      <c r="S2" s="106" t="s">
        <v>145</v>
      </c>
      <c r="T2" s="106" t="s">
        <v>146</v>
      </c>
      <c r="U2" s="106" t="s">
        <v>147</v>
      </c>
      <c r="V2" s="106" t="s">
        <v>148</v>
      </c>
      <c r="W2" s="106" t="s">
        <v>0</v>
      </c>
      <c r="X2" s="106" t="s">
        <v>149</v>
      </c>
      <c r="Y2" s="106" t="s">
        <v>150</v>
      </c>
      <c r="Z2" s="106" t="s">
        <v>164</v>
      </c>
      <c r="AA2" s="106" t="s">
        <v>151</v>
      </c>
      <c r="AB2" s="111" t="s">
        <v>153</v>
      </c>
      <c r="AC2" s="110" t="s">
        <v>152</v>
      </c>
      <c r="AD2" s="106" t="s">
        <v>145</v>
      </c>
      <c r="AE2" s="106" t="s">
        <v>146</v>
      </c>
      <c r="AF2" s="106" t="s">
        <v>147</v>
      </c>
      <c r="AG2" s="106" t="s">
        <v>148</v>
      </c>
      <c r="AH2" s="106" t="s">
        <v>0</v>
      </c>
      <c r="AI2" s="106" t="s">
        <v>149</v>
      </c>
      <c r="AJ2" s="106" t="s">
        <v>150</v>
      </c>
      <c r="AK2" s="106" t="s">
        <v>164</v>
      </c>
      <c r="AL2" s="106" t="s">
        <v>151</v>
      </c>
      <c r="AM2" s="111" t="s">
        <v>153</v>
      </c>
      <c r="AN2" s="110" t="s">
        <v>152</v>
      </c>
      <c r="AO2" s="106" t="s">
        <v>145</v>
      </c>
      <c r="AP2" s="106" t="s">
        <v>146</v>
      </c>
      <c r="AQ2" s="106" t="s">
        <v>147</v>
      </c>
      <c r="AR2" s="106" t="s">
        <v>148</v>
      </c>
      <c r="AS2" s="106" t="s">
        <v>0</v>
      </c>
      <c r="AT2" s="106" t="s">
        <v>149</v>
      </c>
      <c r="AU2" s="106" t="s">
        <v>150</v>
      </c>
      <c r="AV2" s="106" t="s">
        <v>164</v>
      </c>
      <c r="AW2" s="106" t="s">
        <v>151</v>
      </c>
      <c r="AX2" s="111" t="s">
        <v>153</v>
      </c>
    </row>
    <row r="3" spans="1:50" ht="15.75" thickTop="1">
      <c r="A3" s="23" t="s">
        <v>39</v>
      </c>
      <c r="B3" s="24">
        <v>1321432</v>
      </c>
      <c r="C3" s="24">
        <v>1414238.8</v>
      </c>
      <c r="D3" s="26">
        <f>C3+150000+135000+35000</f>
        <v>1734238.8</v>
      </c>
      <c r="E3" s="120">
        <v>1839239</v>
      </c>
      <c r="F3" s="134"/>
      <c r="G3" s="108" t="str">
        <f>IF(F3=$G$2,B3," ")</f>
        <v xml:space="preserve"> </v>
      </c>
      <c r="H3" s="101">
        <f>SUMIF($F$3:$F$68,H2,$B$3:$B$68)</f>
        <v>537634</v>
      </c>
      <c r="I3" s="101">
        <f t="shared" ref="I3:O3" si="0">SUMIF($F$3:$F$68,I2,$B$3:$B$68)</f>
        <v>77042</v>
      </c>
      <c r="J3" s="101">
        <f t="shared" si="0"/>
        <v>155179.51</v>
      </c>
      <c r="K3" s="101">
        <f t="shared" si="0"/>
        <v>18793.060000000001</v>
      </c>
      <c r="L3" s="101">
        <f t="shared" si="0"/>
        <v>28420.2556</v>
      </c>
      <c r="M3" s="101">
        <f t="shared" si="0"/>
        <v>74400</v>
      </c>
      <c r="N3" s="101">
        <f t="shared" si="0"/>
        <v>167556.04</v>
      </c>
      <c r="O3" s="101">
        <f t="shared" si="0"/>
        <v>44308</v>
      </c>
      <c r="P3" s="96">
        <f>+SUM(H3:O3)</f>
        <v>1103332.8656000001</v>
      </c>
      <c r="Q3" s="114"/>
      <c r="R3" s="112" t="str">
        <f t="shared" ref="R3:R8" si="1">IF(Q3=$G$2,L3," ")</f>
        <v xml:space="preserve"> </v>
      </c>
      <c r="S3" s="101">
        <f>SUMIF($F$3:$F$68,S2,$C$3:$C$68)</f>
        <v>624854.19999999995</v>
      </c>
      <c r="T3" s="101">
        <f t="shared" ref="T3:Z3" si="2">SUMIF($F$3:$F$68,T2,$C$3:$C$68)</f>
        <v>70232.09</v>
      </c>
      <c r="U3" s="101">
        <f t="shared" si="2"/>
        <v>175432.72999999998</v>
      </c>
      <c r="V3" s="101">
        <f t="shared" si="2"/>
        <v>19944.71</v>
      </c>
      <c r="W3" s="101">
        <f t="shared" si="2"/>
        <v>19666.854464</v>
      </c>
      <c r="X3" s="101">
        <f t="shared" si="2"/>
        <v>74400</v>
      </c>
      <c r="Y3" s="101">
        <f t="shared" si="2"/>
        <v>203468.17</v>
      </c>
      <c r="Z3" s="101">
        <f t="shared" si="2"/>
        <v>38069.550000000003</v>
      </c>
      <c r="AA3" s="96">
        <f>+SUM(S3:Z3)</f>
        <v>1226068.3044639998</v>
      </c>
      <c r="AB3" s="113"/>
      <c r="AC3" s="112" t="str">
        <f t="shared" ref="AC3:AC8" si="3">IF(AB3=$G$2,W3," ")</f>
        <v xml:space="preserve"> </v>
      </c>
      <c r="AD3" s="101">
        <f>SUMIF($F$3:$F$68,AD2,$D$3:$D$68)</f>
        <v>759071.34169633535</v>
      </c>
      <c r="AE3" s="101">
        <f t="shared" ref="AE3:AK3" si="4">SUMIF($F$3:$F$68,AE2,$D$3:$D$68)</f>
        <v>85727.369580789324</v>
      </c>
      <c r="AF3" s="101">
        <f t="shared" si="4"/>
        <v>233794.29528635193</v>
      </c>
      <c r="AG3" s="101">
        <f t="shared" si="4"/>
        <v>12000</v>
      </c>
      <c r="AH3" s="101">
        <f t="shared" si="4"/>
        <v>17185.924449952217</v>
      </c>
      <c r="AI3" s="101">
        <f t="shared" si="4"/>
        <v>74400</v>
      </c>
      <c r="AJ3" s="101">
        <f t="shared" si="4"/>
        <v>209158.15472211907</v>
      </c>
      <c r="AK3" s="101">
        <f t="shared" si="4"/>
        <v>26307</v>
      </c>
      <c r="AL3" s="96">
        <f>+SUM(AD3:AK3)</f>
        <v>1417644.0857355481</v>
      </c>
      <c r="AM3" s="114"/>
      <c r="AN3" s="112" t="str">
        <f t="shared" ref="AN3:AN8" si="5">IF(AM3=$G$2,AH3," ")</f>
        <v xml:space="preserve"> </v>
      </c>
      <c r="AO3" s="101">
        <f t="shared" ref="AO3:AV3" si="6">SUMIF($F$3:$F$68,AO2,$E$3:$E$68)</f>
        <v>778095.10713705432</v>
      </c>
      <c r="AP3" s="101">
        <f t="shared" si="6"/>
        <v>89899.267015287667</v>
      </c>
      <c r="AQ3" s="101">
        <f t="shared" si="6"/>
        <v>262427.46329984441</v>
      </c>
      <c r="AR3" s="101">
        <f t="shared" si="6"/>
        <v>12000</v>
      </c>
      <c r="AS3" s="101">
        <f t="shared" si="6"/>
        <v>21028.139359632252</v>
      </c>
      <c r="AT3" s="101">
        <f t="shared" si="6"/>
        <v>74400</v>
      </c>
      <c r="AU3" s="101">
        <f t="shared" si="6"/>
        <v>220582.43817245014</v>
      </c>
      <c r="AV3" s="101">
        <f t="shared" si="6"/>
        <v>32324</v>
      </c>
      <c r="AW3" s="96">
        <f>+SUM(AO3:AV3)</f>
        <v>1490756.4149842686</v>
      </c>
      <c r="AX3" s="113"/>
    </row>
    <row r="4" spans="1:50">
      <c r="A4" s="30" t="s">
        <v>42</v>
      </c>
      <c r="B4" s="31">
        <v>223613</v>
      </c>
      <c r="C4" s="31">
        <v>227281.19</v>
      </c>
      <c r="D4" s="31">
        <f>C4</f>
        <v>227281.19</v>
      </c>
      <c r="E4" s="121">
        <v>227281.19</v>
      </c>
      <c r="F4" s="100"/>
      <c r="G4" s="108" t="str">
        <f t="shared" ref="G4:G67" si="7">IF(F4=$G$2,B4," ")</f>
        <v xml:space="preserve"> </v>
      </c>
      <c r="H4" s="102"/>
      <c r="I4" s="102"/>
      <c r="J4" s="102"/>
      <c r="K4" s="102"/>
      <c r="L4" s="102"/>
      <c r="M4" s="102"/>
      <c r="N4" s="102"/>
      <c r="O4" s="102"/>
      <c r="P4" s="103"/>
      <c r="Q4" s="114"/>
      <c r="R4" s="112" t="str">
        <f t="shared" si="1"/>
        <v xml:space="preserve"> </v>
      </c>
      <c r="S4" s="102"/>
      <c r="T4" s="102"/>
      <c r="U4" s="102"/>
      <c r="V4" s="102"/>
      <c r="W4" s="102"/>
      <c r="X4" s="102"/>
      <c r="Y4" s="102"/>
      <c r="Z4" s="102"/>
      <c r="AA4" s="103"/>
      <c r="AB4" s="114"/>
      <c r="AC4" s="112" t="str">
        <f t="shared" si="3"/>
        <v xml:space="preserve"> </v>
      </c>
      <c r="AD4" s="102"/>
      <c r="AE4" s="102"/>
      <c r="AF4" s="102"/>
      <c r="AG4" s="102"/>
      <c r="AH4" s="102"/>
      <c r="AI4" s="102"/>
      <c r="AJ4" s="102"/>
      <c r="AK4" s="102"/>
      <c r="AL4" s="103"/>
      <c r="AM4" s="114"/>
      <c r="AN4" s="112" t="str">
        <f t="shared" si="5"/>
        <v xml:space="preserve"> </v>
      </c>
      <c r="AO4" s="102"/>
      <c r="AP4" s="102"/>
      <c r="AQ4" s="102"/>
      <c r="AR4" s="102"/>
      <c r="AS4" s="102"/>
      <c r="AT4" s="102"/>
      <c r="AU4" s="102"/>
      <c r="AV4" s="102"/>
      <c r="AW4" s="103"/>
      <c r="AX4" s="114"/>
    </row>
    <row r="5" spans="1:50">
      <c r="A5" s="36" t="s">
        <v>45</v>
      </c>
      <c r="B5" s="142">
        <v>522285</v>
      </c>
      <c r="C5" s="142">
        <v>609112</v>
      </c>
      <c r="D5" s="37">
        <f>(D3+D4+D6+D7)*'data 1'!G5</f>
        <v>741217.47342645063</v>
      </c>
      <c r="E5" s="122">
        <v>759719</v>
      </c>
      <c r="F5" s="128" t="s">
        <v>145</v>
      </c>
      <c r="G5" s="108" t="str">
        <f t="shared" si="7"/>
        <v xml:space="preserve"> </v>
      </c>
      <c r="H5" s="104"/>
      <c r="I5" s="102"/>
      <c r="J5" s="102"/>
      <c r="K5" s="102"/>
      <c r="L5" s="102"/>
      <c r="M5" s="102"/>
      <c r="N5" s="102"/>
      <c r="O5" s="102"/>
      <c r="P5" s="103"/>
      <c r="Q5" s="114"/>
      <c r="R5" s="112" t="str">
        <f t="shared" si="1"/>
        <v xml:space="preserve"> </v>
      </c>
      <c r="S5" s="104"/>
      <c r="T5" s="102"/>
      <c r="U5" s="102"/>
      <c r="V5" s="102"/>
      <c r="W5" s="102"/>
      <c r="X5" s="102"/>
      <c r="Y5" s="102"/>
      <c r="Z5" s="102"/>
      <c r="AA5" s="103"/>
      <c r="AB5" s="114"/>
      <c r="AC5" s="112" t="str">
        <f t="shared" si="3"/>
        <v xml:space="preserve"> </v>
      </c>
      <c r="AD5" s="104"/>
      <c r="AE5" s="102"/>
      <c r="AF5" s="102"/>
      <c r="AG5" s="102"/>
      <c r="AH5" s="102"/>
      <c r="AI5" s="102"/>
      <c r="AJ5" s="102"/>
      <c r="AK5" s="102"/>
      <c r="AL5" s="103"/>
      <c r="AM5" s="114"/>
      <c r="AN5" s="112" t="str">
        <f t="shared" si="5"/>
        <v xml:space="preserve"> </v>
      </c>
      <c r="AO5" s="104"/>
      <c r="AP5" s="102"/>
      <c r="AQ5" s="102"/>
      <c r="AR5" s="102"/>
      <c r="AS5" s="102"/>
      <c r="AT5" s="102"/>
      <c r="AU5" s="102"/>
      <c r="AV5" s="102"/>
      <c r="AW5" s="103"/>
      <c r="AX5" s="114"/>
    </row>
    <row r="6" spans="1:50">
      <c r="A6" s="36" t="s">
        <v>46</v>
      </c>
      <c r="B6" s="37">
        <v>28808</v>
      </c>
      <c r="C6" s="37">
        <v>27487.67</v>
      </c>
      <c r="D6" s="37">
        <f>C6*D3/C3</f>
        <v>33707.308720136934</v>
      </c>
      <c r="E6" s="122">
        <v>35748</v>
      </c>
      <c r="F6" s="129"/>
      <c r="G6" s="108" t="str">
        <f t="shared" si="7"/>
        <v xml:space="preserve"> </v>
      </c>
      <c r="H6" s="102"/>
      <c r="I6" s="102"/>
      <c r="J6" s="102"/>
      <c r="K6" s="102"/>
      <c r="L6" s="102"/>
      <c r="M6" s="102"/>
      <c r="N6" s="102"/>
      <c r="O6" s="102"/>
      <c r="P6" s="103"/>
      <c r="Q6" s="114"/>
      <c r="R6" s="112" t="str">
        <f t="shared" si="1"/>
        <v xml:space="preserve"> </v>
      </c>
      <c r="S6" s="102"/>
      <c r="T6" s="102"/>
      <c r="U6" s="102"/>
      <c r="V6" s="102"/>
      <c r="W6" s="102"/>
      <c r="X6" s="102"/>
      <c r="Y6" s="102"/>
      <c r="Z6" s="102"/>
      <c r="AA6" s="103"/>
      <c r="AB6" s="114"/>
      <c r="AC6" s="112" t="str">
        <f t="shared" si="3"/>
        <v xml:space="preserve"> </v>
      </c>
      <c r="AD6" s="102"/>
      <c r="AE6" s="102"/>
      <c r="AF6" s="102"/>
      <c r="AG6" s="102"/>
      <c r="AH6" s="102"/>
      <c r="AI6" s="102"/>
      <c r="AJ6" s="102"/>
      <c r="AK6" s="102"/>
      <c r="AL6" s="103"/>
      <c r="AM6" s="114"/>
      <c r="AN6" s="112" t="str">
        <f t="shared" si="5"/>
        <v xml:space="preserve"> </v>
      </c>
      <c r="AO6" s="102"/>
      <c r="AP6" s="102"/>
      <c r="AQ6" s="102"/>
      <c r="AR6" s="102"/>
      <c r="AS6" s="102"/>
      <c r="AT6" s="102"/>
      <c r="AU6" s="102"/>
      <c r="AV6" s="102"/>
      <c r="AW6" s="103"/>
      <c r="AX6" s="114"/>
    </row>
    <row r="7" spans="1:50" ht="15.75" thickBot="1">
      <c r="A7" s="42" t="s">
        <v>47</v>
      </c>
      <c r="B7" s="43">
        <v>6889</v>
      </c>
      <c r="C7" s="43">
        <v>8063.17</v>
      </c>
      <c r="D7" s="45">
        <f>C7*D4/C4</f>
        <v>8063.17</v>
      </c>
      <c r="E7" s="123">
        <v>8063.17</v>
      </c>
      <c r="F7" s="129"/>
      <c r="G7" s="108" t="str">
        <f t="shared" si="7"/>
        <v xml:space="preserve"> </v>
      </c>
      <c r="H7" s="102"/>
      <c r="I7" s="102"/>
      <c r="J7" s="102"/>
      <c r="K7" s="102"/>
      <c r="L7" s="102"/>
      <c r="M7" s="102"/>
      <c r="N7" s="102"/>
      <c r="O7" s="102"/>
      <c r="P7" s="103"/>
      <c r="Q7" s="114"/>
      <c r="R7" s="112" t="str">
        <f t="shared" si="1"/>
        <v xml:space="preserve"> </v>
      </c>
      <c r="S7" s="102"/>
      <c r="T7" s="102"/>
      <c r="U7" s="102"/>
      <c r="V7" s="102"/>
      <c r="W7" s="102"/>
      <c r="X7" s="102"/>
      <c r="Y7" s="102"/>
      <c r="Z7" s="102"/>
      <c r="AA7" s="103"/>
      <c r="AB7" s="114"/>
      <c r="AC7" s="112" t="str">
        <f t="shared" si="3"/>
        <v xml:space="preserve"> </v>
      </c>
      <c r="AD7" s="102"/>
      <c r="AE7" s="102"/>
      <c r="AF7" s="102"/>
      <c r="AG7" s="102"/>
      <c r="AH7" s="102"/>
      <c r="AI7" s="102"/>
      <c r="AJ7" s="102"/>
      <c r="AK7" s="102"/>
      <c r="AL7" s="103"/>
      <c r="AM7" s="114"/>
      <c r="AN7" s="112" t="str">
        <f t="shared" si="5"/>
        <v xml:space="preserve"> </v>
      </c>
      <c r="AO7" s="102"/>
      <c r="AP7" s="102"/>
      <c r="AQ7" s="102"/>
      <c r="AR7" s="102"/>
      <c r="AS7" s="102"/>
      <c r="AT7" s="102"/>
      <c r="AU7" s="102"/>
      <c r="AV7" s="102"/>
      <c r="AW7" s="103"/>
      <c r="AX7" s="114"/>
    </row>
    <row r="8" spans="1:50" ht="17.25" thickBot="1">
      <c r="A8" s="49" t="s">
        <v>48</v>
      </c>
      <c r="B8" s="144">
        <f>B3+B4-B5+B6+B7</f>
        <v>1058457</v>
      </c>
      <c r="C8" s="50">
        <f>C3+C4-C5+C6+C7</f>
        <v>1067958.8299999998</v>
      </c>
      <c r="D8" s="50">
        <f>D3+D4-D5+D6+D7</f>
        <v>1262072.9952936862</v>
      </c>
      <c r="E8" s="50">
        <f>E3+E4-E5+E6+E7</f>
        <v>1350612.3599999999</v>
      </c>
      <c r="F8" s="129"/>
      <c r="G8" s="108" t="str">
        <f t="shared" si="7"/>
        <v xml:space="preserve"> </v>
      </c>
      <c r="H8" s="102"/>
      <c r="I8" s="102"/>
      <c r="J8" s="102"/>
      <c r="K8" s="102"/>
      <c r="L8" s="102"/>
      <c r="M8" s="102"/>
      <c r="N8" s="102"/>
      <c r="O8" s="102"/>
      <c r="P8" s="103"/>
      <c r="Q8" s="114"/>
      <c r="R8" s="112" t="str">
        <f t="shared" si="1"/>
        <v xml:space="preserve"> </v>
      </c>
      <c r="S8" s="102"/>
      <c r="T8" s="102"/>
      <c r="U8" s="102"/>
      <c r="V8" s="102"/>
      <c r="W8" s="102"/>
      <c r="X8" s="102"/>
      <c r="Y8" s="102"/>
      <c r="Z8" s="102"/>
      <c r="AA8" s="103"/>
      <c r="AB8" s="114"/>
      <c r="AC8" s="112" t="str">
        <f t="shared" si="3"/>
        <v xml:space="preserve"> </v>
      </c>
      <c r="AD8" s="102"/>
      <c r="AE8" s="102"/>
      <c r="AF8" s="102"/>
      <c r="AG8" s="102"/>
      <c r="AH8" s="102"/>
      <c r="AI8" s="102"/>
      <c r="AJ8" s="102"/>
      <c r="AK8" s="102"/>
      <c r="AL8" s="103"/>
      <c r="AM8" s="114"/>
      <c r="AN8" s="112" t="str">
        <f t="shared" si="5"/>
        <v xml:space="preserve"> </v>
      </c>
      <c r="AO8" s="102"/>
      <c r="AP8" s="102"/>
      <c r="AQ8" s="102"/>
      <c r="AR8" s="102"/>
      <c r="AS8" s="102"/>
      <c r="AT8" s="102"/>
      <c r="AU8" s="102"/>
      <c r="AV8" s="102"/>
      <c r="AW8" s="103"/>
      <c r="AX8" s="114"/>
    </row>
    <row r="9" spans="1:50" ht="15.75" thickTop="1">
      <c r="A9" s="53" t="s">
        <v>49</v>
      </c>
      <c r="B9" s="54">
        <v>5902</v>
      </c>
      <c r="C9" s="54">
        <v>-8776</v>
      </c>
      <c r="D9" s="54">
        <f>6000</f>
        <v>6000</v>
      </c>
      <c r="E9" s="40">
        <v>6650</v>
      </c>
      <c r="F9" s="130" t="s">
        <v>152</v>
      </c>
      <c r="G9" s="109">
        <f t="shared" si="7"/>
        <v>5902</v>
      </c>
      <c r="H9" s="99">
        <v>3000</v>
      </c>
      <c r="I9" s="105">
        <v>1000</v>
      </c>
      <c r="J9" s="105">
        <v>200</v>
      </c>
      <c r="K9" s="105">
        <v>200</v>
      </c>
      <c r="L9" s="105"/>
      <c r="M9" s="105"/>
      <c r="N9" s="105">
        <v>1502</v>
      </c>
      <c r="O9" s="105"/>
      <c r="P9" s="96">
        <f t="shared" ref="P9:P16" si="8">+SUM(H9:N9)</f>
        <v>5902</v>
      </c>
      <c r="Q9" s="113">
        <f>P9-G9</f>
        <v>0</v>
      </c>
      <c r="R9" s="115">
        <f>C9</f>
        <v>-8776</v>
      </c>
      <c r="S9" s="99">
        <f t="shared" ref="S9:Y9" si="9">H9/$G$9*$R$9</f>
        <v>-4460.8607251779058</v>
      </c>
      <c r="T9" s="99">
        <f t="shared" si="9"/>
        <v>-1486.953575059302</v>
      </c>
      <c r="U9" s="99">
        <f t="shared" si="9"/>
        <v>-297.39071501186038</v>
      </c>
      <c r="V9" s="99">
        <f t="shared" si="9"/>
        <v>-297.39071501186038</v>
      </c>
      <c r="W9" s="99">
        <f t="shared" si="9"/>
        <v>0</v>
      </c>
      <c r="X9" s="99">
        <f t="shared" si="9"/>
        <v>0</v>
      </c>
      <c r="Y9" s="99">
        <f t="shared" si="9"/>
        <v>-2233.4042697390719</v>
      </c>
      <c r="Z9" s="99"/>
      <c r="AA9" s="96">
        <f>SUM(S9:Y9)</f>
        <v>-8776</v>
      </c>
      <c r="AB9" s="113">
        <f>AA9-R9</f>
        <v>0</v>
      </c>
      <c r="AC9" s="115">
        <f>D9</f>
        <v>6000</v>
      </c>
      <c r="AD9" s="99">
        <f t="shared" ref="AD9:AJ9" si="10">$AC$9*S9/$R$9</f>
        <v>3049.813622500847</v>
      </c>
      <c r="AE9" s="99">
        <f t="shared" si="10"/>
        <v>1016.6045408336158</v>
      </c>
      <c r="AF9" s="99">
        <f t="shared" si="10"/>
        <v>203.32090816672311</v>
      </c>
      <c r="AG9" s="99">
        <f t="shared" si="10"/>
        <v>203.32090816672311</v>
      </c>
      <c r="AH9" s="99">
        <f t="shared" si="10"/>
        <v>0</v>
      </c>
      <c r="AI9" s="99">
        <f t="shared" si="10"/>
        <v>0</v>
      </c>
      <c r="AJ9" s="99">
        <f t="shared" si="10"/>
        <v>1526.9400203320911</v>
      </c>
      <c r="AK9" s="99"/>
      <c r="AL9" s="96">
        <f>SUM(AD9:AJ9)</f>
        <v>6000</v>
      </c>
      <c r="AM9" s="113">
        <f>AL9-AC9</f>
        <v>0</v>
      </c>
      <c r="AN9" s="115">
        <f>E9</f>
        <v>6650</v>
      </c>
      <c r="AO9" s="99">
        <f t="shared" ref="AO9:AU9" si="11">$AN$9/$AC$9*AD9</f>
        <v>3380.2100982717725</v>
      </c>
      <c r="AP9" s="99">
        <f t="shared" si="11"/>
        <v>1126.7366994239242</v>
      </c>
      <c r="AQ9" s="99">
        <f t="shared" si="11"/>
        <v>225.34733988478479</v>
      </c>
      <c r="AR9" s="99">
        <f t="shared" si="11"/>
        <v>225.34733988478479</v>
      </c>
      <c r="AS9" s="99">
        <f t="shared" si="11"/>
        <v>0</v>
      </c>
      <c r="AT9" s="99">
        <f t="shared" si="11"/>
        <v>0</v>
      </c>
      <c r="AU9" s="99">
        <f t="shared" si="11"/>
        <v>1692.3585225347344</v>
      </c>
      <c r="AV9" s="99"/>
      <c r="AW9" s="96">
        <f>SUM(AO9:AU9)</f>
        <v>6650</v>
      </c>
      <c r="AX9" s="113">
        <f>AW9-AN9</f>
        <v>0</v>
      </c>
    </row>
    <row r="10" spans="1:50">
      <c r="A10" s="36" t="s">
        <v>51</v>
      </c>
      <c r="B10" s="54">
        <v>2198.84</v>
      </c>
      <c r="C10" s="54">
        <v>1973.63</v>
      </c>
      <c r="D10" s="54">
        <f>C10</f>
        <v>1973.63</v>
      </c>
      <c r="E10" s="40">
        <v>3947.26</v>
      </c>
      <c r="F10" s="130" t="s">
        <v>150</v>
      </c>
      <c r="G10" s="108" t="str">
        <f t="shared" si="7"/>
        <v xml:space="preserve"> </v>
      </c>
      <c r="H10" s="102"/>
      <c r="I10" s="102"/>
      <c r="J10" s="102"/>
      <c r="K10" s="102"/>
      <c r="L10" s="102"/>
      <c r="M10" s="102"/>
      <c r="N10" s="102"/>
      <c r="O10" s="102"/>
      <c r="P10" s="103">
        <f t="shared" si="8"/>
        <v>0</v>
      </c>
      <c r="Q10" s="114"/>
      <c r="R10" s="112" t="str">
        <f>IF(Q10=$G$2,L10," ")</f>
        <v xml:space="preserve"> </v>
      </c>
      <c r="S10" s="102"/>
      <c r="T10" s="102"/>
      <c r="U10" s="102"/>
      <c r="V10" s="102"/>
      <c r="W10" s="102"/>
      <c r="X10" s="102"/>
      <c r="Y10" s="102"/>
      <c r="Z10" s="102"/>
      <c r="AA10" s="103"/>
      <c r="AB10" s="113"/>
      <c r="AC10" s="112" t="str">
        <f>IF(AB10=$G$2,W10," ")</f>
        <v xml:space="preserve"> </v>
      </c>
      <c r="AD10" s="102"/>
      <c r="AE10" s="102"/>
      <c r="AF10" s="102"/>
      <c r="AG10" s="102"/>
      <c r="AH10" s="102"/>
      <c r="AI10" s="102"/>
      <c r="AJ10" s="102"/>
      <c r="AK10" s="102"/>
      <c r="AL10" s="103"/>
      <c r="AM10" s="113"/>
      <c r="AN10" s="112" t="str">
        <f>IF(AM10=$G$2,AH10," ")</f>
        <v xml:space="preserve"> </v>
      </c>
      <c r="AO10" s="102"/>
      <c r="AP10" s="102"/>
      <c r="AQ10" s="102"/>
      <c r="AR10" s="102"/>
      <c r="AS10" s="102"/>
      <c r="AT10" s="102"/>
      <c r="AU10" s="102"/>
      <c r="AV10" s="102"/>
      <c r="AW10" s="103"/>
      <c r="AX10" s="113"/>
    </row>
    <row r="11" spans="1:50">
      <c r="A11" s="36" t="s">
        <v>53</v>
      </c>
      <c r="B11" s="54">
        <v>2541</v>
      </c>
      <c r="C11" s="54">
        <f>691.93+3847.43+924.65+332.74+612.94</f>
        <v>6409.6899999999987</v>
      </c>
      <c r="D11" s="54">
        <f>C11</f>
        <v>6409.6899999999987</v>
      </c>
      <c r="E11" s="40">
        <v>6601.9806999999992</v>
      </c>
      <c r="F11" s="128" t="s">
        <v>145</v>
      </c>
      <c r="G11" s="108" t="str">
        <f t="shared" si="7"/>
        <v xml:space="preserve"> </v>
      </c>
      <c r="H11" s="102"/>
      <c r="I11" s="102"/>
      <c r="J11" s="102"/>
      <c r="K11" s="102"/>
      <c r="L11" s="102"/>
      <c r="M11" s="102"/>
      <c r="N11" s="102"/>
      <c r="O11" s="102"/>
      <c r="P11" s="103">
        <f t="shared" si="8"/>
        <v>0</v>
      </c>
      <c r="Q11" s="114"/>
      <c r="R11" s="112" t="str">
        <f>IF(Q11=$G$2,L11," ")</f>
        <v xml:space="preserve"> </v>
      </c>
      <c r="S11" s="102"/>
      <c r="T11" s="102"/>
      <c r="U11" s="102"/>
      <c r="V11" s="102"/>
      <c r="W11" s="102"/>
      <c r="X11" s="102"/>
      <c r="Y11" s="102"/>
      <c r="Z11" s="102"/>
      <c r="AA11" s="103"/>
      <c r="AB11" s="113"/>
      <c r="AC11" s="112" t="str">
        <f>IF(AB11=$G$2,W11," ")</f>
        <v xml:space="preserve"> </v>
      </c>
      <c r="AD11" s="102"/>
      <c r="AE11" s="102"/>
      <c r="AF11" s="102"/>
      <c r="AG11" s="102"/>
      <c r="AH11" s="102"/>
      <c r="AI11" s="102"/>
      <c r="AJ11" s="102"/>
      <c r="AK11" s="102"/>
      <c r="AL11" s="103"/>
      <c r="AM11" s="113"/>
      <c r="AN11" s="112" t="str">
        <f>IF(AM11=$G$2,AH11," ")</f>
        <v xml:space="preserve"> </v>
      </c>
      <c r="AO11" s="102"/>
      <c r="AP11" s="102"/>
      <c r="AQ11" s="102"/>
      <c r="AR11" s="102"/>
      <c r="AS11" s="102"/>
      <c r="AT11" s="102"/>
      <c r="AU11" s="102"/>
      <c r="AV11" s="102"/>
      <c r="AW11" s="103"/>
      <c r="AX11" s="113"/>
    </row>
    <row r="12" spans="1:50">
      <c r="A12" s="36" t="s">
        <v>55</v>
      </c>
      <c r="B12" s="54">
        <v>5420.84</v>
      </c>
      <c r="C12" s="54">
        <f>7833.49+6501.84</f>
        <v>14335.33</v>
      </c>
      <c r="D12" s="54">
        <f>C12</f>
        <v>14335.33</v>
      </c>
      <c r="E12" s="280">
        <f>14765.3899-1000</f>
        <v>13765.3899</v>
      </c>
      <c r="F12" s="128" t="s">
        <v>150</v>
      </c>
      <c r="G12" s="108" t="str">
        <f t="shared" si="7"/>
        <v xml:space="preserve"> </v>
      </c>
      <c r="H12" s="102"/>
      <c r="I12" s="102"/>
      <c r="J12" s="102"/>
      <c r="K12" s="102"/>
      <c r="L12" s="102"/>
      <c r="M12" s="102"/>
      <c r="N12" s="102"/>
      <c r="O12" s="102"/>
      <c r="P12" s="103">
        <f t="shared" si="8"/>
        <v>0</v>
      </c>
      <c r="Q12" s="114"/>
      <c r="R12" s="112" t="str">
        <f>IF(Q12=$G$2,L12," ")</f>
        <v xml:space="preserve"> </v>
      </c>
      <c r="S12" s="102"/>
      <c r="T12" s="102"/>
      <c r="U12" s="102"/>
      <c r="V12" s="102"/>
      <c r="W12" s="102"/>
      <c r="X12" s="102"/>
      <c r="Y12" s="102"/>
      <c r="Z12" s="102"/>
      <c r="AA12" s="103"/>
      <c r="AB12" s="113"/>
      <c r="AC12" s="112" t="str">
        <f>IF(AB12=$G$2,W12," ")</f>
        <v xml:space="preserve"> </v>
      </c>
      <c r="AD12" s="102"/>
      <c r="AE12" s="102"/>
      <c r="AF12" s="102"/>
      <c r="AG12" s="102"/>
      <c r="AH12" s="102"/>
      <c r="AI12" s="102"/>
      <c r="AJ12" s="102"/>
      <c r="AK12" s="102"/>
      <c r="AL12" s="103"/>
      <c r="AM12" s="113"/>
      <c r="AN12" s="112" t="str">
        <f>IF(AM12=$G$2,AH12," ")</f>
        <v xml:space="preserve"> </v>
      </c>
      <c r="AO12" s="102"/>
      <c r="AP12" s="102"/>
      <c r="AQ12" s="102"/>
      <c r="AR12" s="102"/>
      <c r="AS12" s="102"/>
      <c r="AT12" s="102"/>
      <c r="AU12" s="102"/>
      <c r="AV12" s="102"/>
      <c r="AW12" s="103"/>
      <c r="AX12" s="113"/>
    </row>
    <row r="13" spans="1:50">
      <c r="A13" s="53" t="s">
        <v>56</v>
      </c>
      <c r="B13" s="54">
        <v>11000.79</v>
      </c>
      <c r="C13" s="54">
        <v>14045.57</v>
      </c>
      <c r="D13" s="54">
        <f>C13+1900+1200+3810</f>
        <v>20955.57</v>
      </c>
      <c r="E13" s="40">
        <v>20956</v>
      </c>
      <c r="F13" s="128" t="s">
        <v>150</v>
      </c>
      <c r="G13" s="108" t="str">
        <f t="shared" si="7"/>
        <v xml:space="preserve"> </v>
      </c>
      <c r="H13" s="102"/>
      <c r="I13" s="102"/>
      <c r="J13" s="102"/>
      <c r="K13" s="102"/>
      <c r="L13" s="102"/>
      <c r="M13" s="102"/>
      <c r="N13" s="102"/>
      <c r="O13" s="102"/>
      <c r="P13" s="103">
        <f t="shared" si="8"/>
        <v>0</v>
      </c>
      <c r="Q13" s="114"/>
      <c r="R13" s="112" t="str">
        <f>IF(Q13=$G$2,L13," ")</f>
        <v xml:space="preserve"> </v>
      </c>
      <c r="S13" s="102"/>
      <c r="T13" s="102"/>
      <c r="U13" s="102"/>
      <c r="V13" s="102"/>
      <c r="W13" s="102"/>
      <c r="X13" s="102"/>
      <c r="Y13" s="102"/>
      <c r="Z13" s="102"/>
      <c r="AA13" s="103"/>
      <c r="AB13" s="113"/>
      <c r="AC13" s="112" t="str">
        <f>IF(AB13=$G$2,W13," ")</f>
        <v xml:space="preserve"> </v>
      </c>
      <c r="AD13" s="102"/>
      <c r="AE13" s="102"/>
      <c r="AF13" s="102"/>
      <c r="AG13" s="102"/>
      <c r="AH13" s="102"/>
      <c r="AI13" s="102"/>
      <c r="AJ13" s="102"/>
      <c r="AK13" s="102"/>
      <c r="AL13" s="103"/>
      <c r="AM13" s="113"/>
      <c r="AN13" s="112" t="str">
        <f>IF(AM13=$G$2,AH13," ")</f>
        <v xml:space="preserve"> </v>
      </c>
      <c r="AO13" s="102"/>
      <c r="AP13" s="102"/>
      <c r="AQ13" s="102"/>
      <c r="AR13" s="102"/>
      <c r="AS13" s="102"/>
      <c r="AT13" s="102"/>
      <c r="AU13" s="102"/>
      <c r="AV13" s="102"/>
      <c r="AW13" s="103"/>
      <c r="AX13" s="113"/>
    </row>
    <row r="14" spans="1:50">
      <c r="A14" s="53" t="s">
        <v>59</v>
      </c>
      <c r="B14" s="54">
        <v>32335</v>
      </c>
      <c r="C14" s="54">
        <f>26400+7800+75</f>
        <v>34275</v>
      </c>
      <c r="D14" s="54">
        <f>26400+7800</f>
        <v>34200</v>
      </c>
      <c r="E14" s="40">
        <v>34200</v>
      </c>
      <c r="F14" s="130" t="s">
        <v>152</v>
      </c>
      <c r="G14" s="109">
        <f t="shared" si="7"/>
        <v>32335</v>
      </c>
      <c r="H14" s="105">
        <v>10000</v>
      </c>
      <c r="I14" s="105">
        <v>10000</v>
      </c>
      <c r="J14" s="105"/>
      <c r="K14" s="105"/>
      <c r="L14" s="105"/>
      <c r="M14" s="105"/>
      <c r="N14" s="105">
        <v>12335</v>
      </c>
      <c r="O14" s="105"/>
      <c r="P14" s="96">
        <f t="shared" si="8"/>
        <v>32335</v>
      </c>
      <c r="Q14" s="113">
        <f>P14-G14</f>
        <v>0</v>
      </c>
      <c r="R14" s="115">
        <f>C14</f>
        <v>34275</v>
      </c>
      <c r="S14" s="105">
        <f t="shared" ref="S14:Y14" si="12">H14/$G$14*$R$14</f>
        <v>10599.969073759084</v>
      </c>
      <c r="T14" s="105">
        <f t="shared" si="12"/>
        <v>10599.969073759084</v>
      </c>
      <c r="U14" s="105">
        <f t="shared" si="12"/>
        <v>0</v>
      </c>
      <c r="V14" s="105">
        <f t="shared" si="12"/>
        <v>0</v>
      </c>
      <c r="W14" s="105">
        <f t="shared" si="12"/>
        <v>0</v>
      </c>
      <c r="X14" s="105">
        <f t="shared" si="12"/>
        <v>0</v>
      </c>
      <c r="Y14" s="105">
        <f t="shared" si="12"/>
        <v>13075.061852481831</v>
      </c>
      <c r="Z14" s="105"/>
      <c r="AA14" s="96">
        <f>SUM(S14:Y14)</f>
        <v>34275</v>
      </c>
      <c r="AB14" s="113">
        <f>AA14-R14</f>
        <v>0</v>
      </c>
      <c r="AC14" s="115">
        <f>D14</f>
        <v>34200</v>
      </c>
      <c r="AD14" s="105">
        <f t="shared" ref="AD14:AJ14" si="13">$AC$14*H14/$G$14</f>
        <v>10576.774393072523</v>
      </c>
      <c r="AE14" s="105">
        <f t="shared" si="13"/>
        <v>10576.774393072523</v>
      </c>
      <c r="AF14" s="105">
        <f t="shared" si="13"/>
        <v>0</v>
      </c>
      <c r="AG14" s="105">
        <f t="shared" si="13"/>
        <v>0</v>
      </c>
      <c r="AH14" s="105">
        <f t="shared" si="13"/>
        <v>0</v>
      </c>
      <c r="AI14" s="105">
        <f t="shared" si="13"/>
        <v>0</v>
      </c>
      <c r="AJ14" s="105">
        <f t="shared" si="13"/>
        <v>13046.451213854956</v>
      </c>
      <c r="AK14" s="105"/>
      <c r="AL14" s="96">
        <f>SUM(AD14:AJ14)</f>
        <v>34200</v>
      </c>
      <c r="AM14" s="113">
        <f>AL14-AC14</f>
        <v>0</v>
      </c>
      <c r="AN14" s="115">
        <f>E14</f>
        <v>34200</v>
      </c>
      <c r="AO14" s="105">
        <f t="shared" ref="AO14:AU14" si="14">$AN$14/$AC$14*AD14</f>
        <v>10576.774393072523</v>
      </c>
      <c r="AP14" s="105">
        <f t="shared" si="14"/>
        <v>10576.774393072523</v>
      </c>
      <c r="AQ14" s="105">
        <f t="shared" si="14"/>
        <v>0</v>
      </c>
      <c r="AR14" s="105">
        <f t="shared" si="14"/>
        <v>0</v>
      </c>
      <c r="AS14" s="105">
        <f t="shared" si="14"/>
        <v>0</v>
      </c>
      <c r="AT14" s="105">
        <f t="shared" si="14"/>
        <v>0</v>
      </c>
      <c r="AU14" s="105">
        <f t="shared" si="14"/>
        <v>13046.451213854956</v>
      </c>
      <c r="AV14" s="105"/>
      <c r="AW14" s="96">
        <f>SUM(AO14:AU14)</f>
        <v>34200</v>
      </c>
      <c r="AX14" s="113">
        <f>AW14-AN14</f>
        <v>0</v>
      </c>
    </row>
    <row r="15" spans="1:50">
      <c r="A15" s="53" t="s">
        <v>61</v>
      </c>
      <c r="B15" s="54">
        <v>28349</v>
      </c>
      <c r="C15" s="54">
        <f>2283.24+9729.48+9294.12-6501.84+5305.6+6969</f>
        <v>27079.599999999999</v>
      </c>
      <c r="D15" s="54">
        <f>C15+10525-9729.48+561</f>
        <v>28436.12</v>
      </c>
      <c r="E15" s="40">
        <f>D15+600</f>
        <v>29036.12</v>
      </c>
      <c r="F15" s="130" t="s">
        <v>150</v>
      </c>
      <c r="G15" s="108" t="str">
        <f t="shared" si="7"/>
        <v xml:space="preserve"> </v>
      </c>
      <c r="H15" s="102"/>
      <c r="I15" s="102"/>
      <c r="J15" s="102"/>
      <c r="K15" s="102"/>
      <c r="L15" s="102"/>
      <c r="M15" s="102"/>
      <c r="N15" s="102"/>
      <c r="O15" s="102"/>
      <c r="P15" s="103">
        <f t="shared" si="8"/>
        <v>0</v>
      </c>
      <c r="Q15" s="114"/>
      <c r="R15" s="112" t="str">
        <f>IF(Q15=$G$2,L15," ")</f>
        <v xml:space="preserve"> </v>
      </c>
      <c r="S15" s="102"/>
      <c r="T15" s="102"/>
      <c r="U15" s="102"/>
      <c r="V15" s="102"/>
      <c r="W15" s="102"/>
      <c r="X15" s="102"/>
      <c r="Y15" s="102"/>
      <c r="Z15" s="102"/>
      <c r="AA15" s="103"/>
      <c r="AB15" s="113"/>
      <c r="AC15" s="112" t="str">
        <f>IF(AB15=$G$2,W15," ")</f>
        <v xml:space="preserve"> </v>
      </c>
      <c r="AD15" s="102"/>
      <c r="AE15" s="102"/>
      <c r="AF15" s="102"/>
      <c r="AG15" s="102"/>
      <c r="AH15" s="102"/>
      <c r="AI15" s="102"/>
      <c r="AJ15" s="102"/>
      <c r="AK15" s="102"/>
      <c r="AL15" s="103"/>
      <c r="AM15" s="113"/>
      <c r="AN15" s="112" t="str">
        <f>IF(AM15=$G$2,AH15," ")</f>
        <v xml:space="preserve"> </v>
      </c>
      <c r="AO15" s="102"/>
      <c r="AP15" s="102"/>
      <c r="AQ15" s="102"/>
      <c r="AR15" s="102"/>
      <c r="AS15" s="102"/>
      <c r="AT15" s="102"/>
      <c r="AU15" s="102"/>
      <c r="AV15" s="102"/>
      <c r="AW15" s="103"/>
      <c r="AX15" s="113"/>
    </row>
    <row r="16" spans="1:50">
      <c r="A16" s="53" t="s">
        <v>64</v>
      </c>
      <c r="B16" s="54">
        <v>1133.76</v>
      </c>
      <c r="C16" s="54">
        <v>1820</v>
      </c>
      <c r="D16" s="54">
        <f>C16</f>
        <v>1820</v>
      </c>
      <c r="E16" s="40">
        <v>1820</v>
      </c>
      <c r="F16" s="130" t="s">
        <v>152</v>
      </c>
      <c r="G16" s="109">
        <f t="shared" si="7"/>
        <v>1133.76</v>
      </c>
      <c r="H16" s="105">
        <v>500</v>
      </c>
      <c r="I16" s="105">
        <v>500</v>
      </c>
      <c r="J16" s="105"/>
      <c r="K16" s="105"/>
      <c r="L16" s="105"/>
      <c r="M16" s="105"/>
      <c r="N16" s="105">
        <v>134</v>
      </c>
      <c r="O16" s="105"/>
      <c r="P16" s="96">
        <f t="shared" si="8"/>
        <v>1134</v>
      </c>
      <c r="Q16" s="113">
        <f>P16-G16</f>
        <v>0.24000000000000909</v>
      </c>
      <c r="R16" s="115">
        <f>C16</f>
        <v>1820</v>
      </c>
      <c r="S16" s="105">
        <f t="shared" ref="S16:Y16" si="15">H16/$G$16*$R$16</f>
        <v>802.63900649167374</v>
      </c>
      <c r="T16" s="105">
        <f t="shared" si="15"/>
        <v>802.63900649167374</v>
      </c>
      <c r="U16" s="105">
        <f t="shared" si="15"/>
        <v>0</v>
      </c>
      <c r="V16" s="105">
        <f t="shared" si="15"/>
        <v>0</v>
      </c>
      <c r="W16" s="105">
        <f t="shared" si="15"/>
        <v>0</v>
      </c>
      <c r="X16" s="105">
        <f t="shared" si="15"/>
        <v>0</v>
      </c>
      <c r="Y16" s="105">
        <f t="shared" si="15"/>
        <v>215.10725373976857</v>
      </c>
      <c r="Z16" s="105"/>
      <c r="AA16" s="96">
        <f>SUM(S16:Y16)</f>
        <v>1820.385266723116</v>
      </c>
      <c r="AB16" s="113">
        <f>AA16-R16</f>
        <v>0.38526672311604671</v>
      </c>
      <c r="AC16" s="115">
        <f>D16</f>
        <v>1820</v>
      </c>
      <c r="AD16" s="105">
        <f t="shared" ref="AD16:AJ16" si="16">$AC$16*S16/$R$16</f>
        <v>802.63900649167374</v>
      </c>
      <c r="AE16" s="105">
        <f t="shared" si="16"/>
        <v>802.63900649167374</v>
      </c>
      <c r="AF16" s="105">
        <f t="shared" si="16"/>
        <v>0</v>
      </c>
      <c r="AG16" s="105">
        <f t="shared" si="16"/>
        <v>0</v>
      </c>
      <c r="AH16" s="105">
        <f t="shared" si="16"/>
        <v>0</v>
      </c>
      <c r="AI16" s="105">
        <f t="shared" si="16"/>
        <v>0</v>
      </c>
      <c r="AJ16" s="105">
        <f t="shared" si="16"/>
        <v>215.10725373976857</v>
      </c>
      <c r="AK16" s="105"/>
      <c r="AL16" s="96">
        <f>SUM(AD16:AJ16)</f>
        <v>1820.385266723116</v>
      </c>
      <c r="AM16" s="113">
        <f>AL16-AC16</f>
        <v>0.38526672311604671</v>
      </c>
      <c r="AN16" s="115">
        <f>E16</f>
        <v>1820</v>
      </c>
      <c r="AO16" s="105">
        <f t="shared" ref="AO16:AU16" si="17">$AN$16/$AC$16*AD16</f>
        <v>802.63900649167374</v>
      </c>
      <c r="AP16" s="105">
        <f t="shared" si="17"/>
        <v>802.63900649167374</v>
      </c>
      <c r="AQ16" s="105">
        <f t="shared" si="17"/>
        <v>0</v>
      </c>
      <c r="AR16" s="105">
        <f t="shared" si="17"/>
        <v>0</v>
      </c>
      <c r="AS16" s="105">
        <f t="shared" si="17"/>
        <v>0</v>
      </c>
      <c r="AT16" s="105">
        <f t="shared" si="17"/>
        <v>0</v>
      </c>
      <c r="AU16" s="105">
        <f t="shared" si="17"/>
        <v>215.10725373976857</v>
      </c>
      <c r="AV16" s="105"/>
      <c r="AW16" s="96">
        <f>SUM(AO16:AU16)</f>
        <v>1820.385266723116</v>
      </c>
      <c r="AX16" s="113">
        <f>AW16-AN16</f>
        <v>0.38526672311604671</v>
      </c>
    </row>
    <row r="17" spans="1:50">
      <c r="A17" s="53" t="s">
        <v>65</v>
      </c>
      <c r="B17" s="54">
        <v>2359</v>
      </c>
      <c r="C17" s="54">
        <f>671.2+3946.73+2472.26-721.5</f>
        <v>6368.6900000000005</v>
      </c>
      <c r="D17" s="54">
        <f>C17</f>
        <v>6368.6900000000005</v>
      </c>
      <c r="E17" s="40">
        <v>6368.69</v>
      </c>
      <c r="F17" s="130" t="s">
        <v>150</v>
      </c>
      <c r="G17" s="108" t="str">
        <f t="shared" si="7"/>
        <v xml:space="preserve"> </v>
      </c>
      <c r="H17" s="102"/>
      <c r="I17" s="102"/>
      <c r="J17" s="102"/>
      <c r="K17" s="102"/>
      <c r="L17" s="102"/>
      <c r="M17" s="102"/>
      <c r="N17" s="102"/>
      <c r="O17" s="102"/>
      <c r="P17" s="103"/>
      <c r="Q17" s="114"/>
      <c r="R17" s="112" t="str">
        <f t="shared" ref="R17:R45" si="18">IF(Q17=$G$2,L17," ")</f>
        <v xml:space="preserve"> </v>
      </c>
      <c r="S17" s="102"/>
      <c r="T17" s="102"/>
      <c r="U17" s="102"/>
      <c r="V17" s="102"/>
      <c r="W17" s="102"/>
      <c r="X17" s="102"/>
      <c r="Y17" s="102"/>
      <c r="Z17" s="102"/>
      <c r="AA17" s="103"/>
      <c r="AB17" s="114"/>
      <c r="AC17" s="112" t="str">
        <f t="shared" ref="AC17:AC45" si="19">IF(AB17=$G$2,W17," ")</f>
        <v xml:space="preserve"> </v>
      </c>
      <c r="AD17" s="102"/>
      <c r="AE17" s="102"/>
      <c r="AF17" s="102"/>
      <c r="AG17" s="102"/>
      <c r="AH17" s="102"/>
      <c r="AI17" s="102"/>
      <c r="AJ17" s="102"/>
      <c r="AK17" s="102"/>
      <c r="AL17" s="103"/>
      <c r="AM17" s="114"/>
      <c r="AN17" s="112" t="str">
        <f t="shared" ref="AN17:AN45" si="20">IF(AM17=$G$2,AH17," ")</f>
        <v xml:space="preserve"> </v>
      </c>
      <c r="AO17" s="102"/>
      <c r="AP17" s="102"/>
      <c r="AQ17" s="102"/>
      <c r="AR17" s="102"/>
      <c r="AS17" s="102"/>
      <c r="AT17" s="102"/>
      <c r="AU17" s="102"/>
      <c r="AV17" s="102"/>
      <c r="AW17" s="103"/>
      <c r="AX17" s="114"/>
    </row>
    <row r="18" spans="1:50">
      <c r="A18" s="36" t="s">
        <v>67</v>
      </c>
      <c r="B18" s="54">
        <v>2016</v>
      </c>
      <c r="C18" s="54">
        <v>1750.76</v>
      </c>
      <c r="D18" s="54">
        <f>C18</f>
        <v>1750.76</v>
      </c>
      <c r="E18" s="40">
        <v>3501.52</v>
      </c>
      <c r="F18" s="130" t="s">
        <v>146</v>
      </c>
      <c r="G18" s="108" t="str">
        <f t="shared" si="7"/>
        <v xml:space="preserve"> </v>
      </c>
      <c r="H18" s="102"/>
      <c r="I18" s="102"/>
      <c r="J18" s="102"/>
      <c r="K18" s="102"/>
      <c r="L18" s="102"/>
      <c r="M18" s="102"/>
      <c r="N18" s="102"/>
      <c r="O18" s="102"/>
      <c r="P18" s="103"/>
      <c r="Q18" s="114"/>
      <c r="R18" s="112" t="str">
        <f t="shared" si="18"/>
        <v xml:space="preserve"> </v>
      </c>
      <c r="S18" s="102"/>
      <c r="T18" s="102"/>
      <c r="U18" s="102"/>
      <c r="V18" s="102"/>
      <c r="W18" s="102"/>
      <c r="X18" s="102"/>
      <c r="Y18" s="102"/>
      <c r="Z18" s="102"/>
      <c r="AA18" s="103"/>
      <c r="AB18" s="114"/>
      <c r="AC18" s="112" t="str">
        <f t="shared" si="19"/>
        <v xml:space="preserve"> </v>
      </c>
      <c r="AD18" s="102"/>
      <c r="AE18" s="102"/>
      <c r="AF18" s="102"/>
      <c r="AG18" s="102"/>
      <c r="AH18" s="102"/>
      <c r="AI18" s="102"/>
      <c r="AJ18" s="102"/>
      <c r="AK18" s="102"/>
      <c r="AL18" s="103"/>
      <c r="AM18" s="114"/>
      <c r="AN18" s="112" t="str">
        <f t="shared" si="20"/>
        <v xml:space="preserve"> </v>
      </c>
      <c r="AO18" s="102"/>
      <c r="AP18" s="102"/>
      <c r="AQ18" s="102"/>
      <c r="AR18" s="102"/>
      <c r="AS18" s="102"/>
      <c r="AT18" s="102"/>
      <c r="AU18" s="102"/>
      <c r="AV18" s="102"/>
      <c r="AW18" s="103"/>
      <c r="AX18" s="114"/>
    </row>
    <row r="19" spans="1:50">
      <c r="A19" s="53" t="s">
        <v>69</v>
      </c>
      <c r="B19" s="54">
        <v>9863</v>
      </c>
      <c r="C19" s="54">
        <f>8015.11+264+323.52+1663.5</f>
        <v>10266.130000000001</v>
      </c>
      <c r="D19" s="54">
        <f>C19+1500</f>
        <v>11766.130000000001</v>
      </c>
      <c r="E19" s="40">
        <v>13366.13</v>
      </c>
      <c r="F19" s="130" t="s">
        <v>150</v>
      </c>
      <c r="G19" s="108" t="str">
        <f t="shared" si="7"/>
        <v xml:space="preserve"> </v>
      </c>
      <c r="H19" s="102"/>
      <c r="I19" s="102"/>
      <c r="J19" s="102"/>
      <c r="K19" s="102"/>
      <c r="L19" s="102"/>
      <c r="M19" s="102"/>
      <c r="N19" s="102"/>
      <c r="O19" s="102"/>
      <c r="P19" s="103"/>
      <c r="Q19" s="114"/>
      <c r="R19" s="112" t="str">
        <f t="shared" si="18"/>
        <v xml:space="preserve"> </v>
      </c>
      <c r="S19" s="102"/>
      <c r="T19" s="102"/>
      <c r="U19" s="102"/>
      <c r="V19" s="102"/>
      <c r="W19" s="102"/>
      <c r="X19" s="102"/>
      <c r="Y19" s="102"/>
      <c r="Z19" s="102"/>
      <c r="AA19" s="103"/>
      <c r="AB19" s="114"/>
      <c r="AC19" s="112" t="str">
        <f t="shared" si="19"/>
        <v xml:space="preserve"> </v>
      </c>
      <c r="AD19" s="102"/>
      <c r="AE19" s="102"/>
      <c r="AF19" s="102"/>
      <c r="AG19" s="102"/>
      <c r="AH19" s="102"/>
      <c r="AI19" s="102"/>
      <c r="AJ19" s="102"/>
      <c r="AK19" s="102"/>
      <c r="AL19" s="103"/>
      <c r="AM19" s="114"/>
      <c r="AN19" s="112" t="str">
        <f t="shared" si="20"/>
        <v xml:space="preserve"> </v>
      </c>
      <c r="AO19" s="102"/>
      <c r="AP19" s="102"/>
      <c r="AQ19" s="102"/>
      <c r="AR19" s="102"/>
      <c r="AS19" s="102"/>
      <c r="AT19" s="102"/>
      <c r="AU19" s="102"/>
      <c r="AV19" s="102"/>
      <c r="AW19" s="103"/>
      <c r="AX19" s="114"/>
    </row>
    <row r="20" spans="1:50">
      <c r="A20" s="58" t="s">
        <v>72</v>
      </c>
      <c r="B20" s="59">
        <v>11996</v>
      </c>
      <c r="C20" s="59">
        <v>5778.85</v>
      </c>
      <c r="D20" s="61">
        <v>5493</v>
      </c>
      <c r="E20" s="80">
        <v>30000</v>
      </c>
      <c r="F20" s="131" t="s">
        <v>147</v>
      </c>
      <c r="G20" s="108" t="str">
        <f t="shared" si="7"/>
        <v xml:space="preserve"> </v>
      </c>
      <c r="H20" s="102"/>
      <c r="I20" s="102"/>
      <c r="J20" s="102"/>
      <c r="K20" s="102"/>
      <c r="L20" s="102"/>
      <c r="M20" s="102"/>
      <c r="N20" s="102"/>
      <c r="O20" s="102"/>
      <c r="P20" s="103"/>
      <c r="Q20" s="114"/>
      <c r="R20" s="112" t="str">
        <f t="shared" si="18"/>
        <v xml:space="preserve"> </v>
      </c>
      <c r="S20" s="102"/>
      <c r="T20" s="102"/>
      <c r="U20" s="102"/>
      <c r="V20" s="102"/>
      <c r="W20" s="102"/>
      <c r="X20" s="102"/>
      <c r="Y20" s="102"/>
      <c r="Z20" s="102"/>
      <c r="AA20" s="103"/>
      <c r="AB20" s="114"/>
      <c r="AC20" s="112" t="str">
        <f t="shared" si="19"/>
        <v xml:space="preserve"> </v>
      </c>
      <c r="AD20" s="102"/>
      <c r="AE20" s="102"/>
      <c r="AF20" s="102"/>
      <c r="AG20" s="102"/>
      <c r="AH20" s="102"/>
      <c r="AI20" s="102"/>
      <c r="AJ20" s="102"/>
      <c r="AK20" s="102"/>
      <c r="AL20" s="103"/>
      <c r="AM20" s="114"/>
      <c r="AN20" s="112" t="str">
        <f t="shared" si="20"/>
        <v xml:space="preserve"> </v>
      </c>
      <c r="AO20" s="102"/>
      <c r="AP20" s="102"/>
      <c r="AQ20" s="102"/>
      <c r="AR20" s="102"/>
      <c r="AS20" s="102"/>
      <c r="AT20" s="102"/>
      <c r="AU20" s="102"/>
      <c r="AV20" s="102"/>
      <c r="AW20" s="103"/>
      <c r="AX20" s="114"/>
    </row>
    <row r="21" spans="1:50">
      <c r="A21" s="62" t="s">
        <v>74</v>
      </c>
      <c r="B21" s="63">
        <v>411.24</v>
      </c>
      <c r="C21" s="63">
        <v>1148.8399999999999</v>
      </c>
      <c r="D21" s="63">
        <f>C21*2</f>
        <v>2297.6799999999998</v>
      </c>
      <c r="E21" s="65">
        <v>2297.6799999999998</v>
      </c>
      <c r="F21" s="130" t="s">
        <v>147</v>
      </c>
      <c r="G21" s="108" t="str">
        <f t="shared" si="7"/>
        <v xml:space="preserve"> </v>
      </c>
      <c r="H21" s="102"/>
      <c r="I21" s="102"/>
      <c r="J21" s="102"/>
      <c r="K21" s="102"/>
      <c r="L21" s="102"/>
      <c r="M21" s="102"/>
      <c r="N21" s="102"/>
      <c r="O21" s="102"/>
      <c r="P21" s="103"/>
      <c r="Q21" s="114"/>
      <c r="R21" s="112" t="str">
        <f t="shared" si="18"/>
        <v xml:space="preserve"> </v>
      </c>
      <c r="S21" s="102"/>
      <c r="T21" s="102"/>
      <c r="U21" s="102"/>
      <c r="V21" s="102"/>
      <c r="W21" s="102"/>
      <c r="X21" s="102"/>
      <c r="Y21" s="102"/>
      <c r="Z21" s="102"/>
      <c r="AA21" s="103"/>
      <c r="AB21" s="114"/>
      <c r="AC21" s="112" t="str">
        <f t="shared" si="19"/>
        <v xml:space="preserve"> </v>
      </c>
      <c r="AD21" s="102"/>
      <c r="AE21" s="102"/>
      <c r="AF21" s="102"/>
      <c r="AG21" s="102"/>
      <c r="AH21" s="102"/>
      <c r="AI21" s="102"/>
      <c r="AJ21" s="102"/>
      <c r="AK21" s="102"/>
      <c r="AL21" s="103"/>
      <c r="AM21" s="114"/>
      <c r="AN21" s="112" t="str">
        <f t="shared" si="20"/>
        <v xml:space="preserve"> </v>
      </c>
      <c r="AO21" s="102"/>
      <c r="AP21" s="102"/>
      <c r="AQ21" s="102"/>
      <c r="AR21" s="102"/>
      <c r="AS21" s="102"/>
      <c r="AT21" s="102"/>
      <c r="AU21" s="102"/>
      <c r="AV21" s="102"/>
      <c r="AW21" s="103"/>
      <c r="AX21" s="114"/>
    </row>
    <row r="22" spans="1:50">
      <c r="A22" s="36" t="s">
        <v>76</v>
      </c>
      <c r="B22" s="54">
        <v>0</v>
      </c>
      <c r="C22" s="54">
        <v>6057.71</v>
      </c>
      <c r="D22" s="54">
        <v>0</v>
      </c>
      <c r="E22" s="40">
        <v>0</v>
      </c>
      <c r="F22" s="128" t="s">
        <v>150</v>
      </c>
      <c r="G22" s="108" t="str">
        <f t="shared" si="7"/>
        <v xml:space="preserve"> </v>
      </c>
      <c r="H22" s="102"/>
      <c r="I22" s="102"/>
      <c r="J22" s="102"/>
      <c r="K22" s="102"/>
      <c r="L22" s="102"/>
      <c r="M22" s="102"/>
      <c r="N22" s="102"/>
      <c r="O22" s="102"/>
      <c r="P22" s="103"/>
      <c r="Q22" s="114"/>
      <c r="R22" s="112" t="str">
        <f t="shared" si="18"/>
        <v xml:space="preserve"> </v>
      </c>
      <c r="S22" s="102"/>
      <c r="T22" s="102"/>
      <c r="U22" s="102"/>
      <c r="V22" s="102"/>
      <c r="W22" s="102"/>
      <c r="X22" s="102"/>
      <c r="Y22" s="102"/>
      <c r="Z22" s="102"/>
      <c r="AA22" s="103"/>
      <c r="AB22" s="114"/>
      <c r="AC22" s="112" t="str">
        <f t="shared" si="19"/>
        <v xml:space="preserve"> </v>
      </c>
      <c r="AD22" s="102"/>
      <c r="AE22" s="102"/>
      <c r="AF22" s="102"/>
      <c r="AG22" s="102"/>
      <c r="AH22" s="102"/>
      <c r="AI22" s="102"/>
      <c r="AJ22" s="102"/>
      <c r="AK22" s="102"/>
      <c r="AL22" s="103"/>
      <c r="AM22" s="114"/>
      <c r="AN22" s="112" t="str">
        <f t="shared" si="20"/>
        <v xml:space="preserve"> </v>
      </c>
      <c r="AO22" s="102"/>
      <c r="AP22" s="102"/>
      <c r="AQ22" s="102"/>
      <c r="AR22" s="102"/>
      <c r="AS22" s="102"/>
      <c r="AT22" s="102"/>
      <c r="AU22" s="102"/>
      <c r="AV22" s="102"/>
      <c r="AW22" s="103"/>
      <c r="AX22" s="114"/>
    </row>
    <row r="23" spans="1:50">
      <c r="A23" s="58" t="s">
        <v>77</v>
      </c>
      <c r="B23" s="59">
        <v>18793.060000000001</v>
      </c>
      <c r="C23" s="59">
        <v>19944.71</v>
      </c>
      <c r="D23" s="59">
        <v>12000</v>
      </c>
      <c r="E23" s="80">
        <v>12000</v>
      </c>
      <c r="F23" s="131" t="s">
        <v>148</v>
      </c>
      <c r="G23" s="108" t="str">
        <f t="shared" si="7"/>
        <v xml:space="preserve"> </v>
      </c>
      <c r="H23" s="102"/>
      <c r="I23" s="102"/>
      <c r="J23" s="102"/>
      <c r="K23" s="102"/>
      <c r="L23" s="102"/>
      <c r="M23" s="102"/>
      <c r="N23" s="102"/>
      <c r="O23" s="102"/>
      <c r="P23" s="103"/>
      <c r="Q23" s="114"/>
      <c r="R23" s="112" t="str">
        <f t="shared" si="18"/>
        <v xml:space="preserve"> </v>
      </c>
      <c r="S23" s="102"/>
      <c r="T23" s="102"/>
      <c r="U23" s="102"/>
      <c r="V23" s="102"/>
      <c r="W23" s="102"/>
      <c r="X23" s="102"/>
      <c r="Y23" s="102"/>
      <c r="Z23" s="102"/>
      <c r="AA23" s="103"/>
      <c r="AB23" s="114"/>
      <c r="AC23" s="112" t="str">
        <f t="shared" si="19"/>
        <v xml:space="preserve"> </v>
      </c>
      <c r="AD23" s="102"/>
      <c r="AE23" s="102"/>
      <c r="AF23" s="102"/>
      <c r="AG23" s="102"/>
      <c r="AH23" s="102"/>
      <c r="AI23" s="102"/>
      <c r="AJ23" s="102"/>
      <c r="AK23" s="102"/>
      <c r="AL23" s="103"/>
      <c r="AM23" s="114"/>
      <c r="AN23" s="112" t="str">
        <f t="shared" si="20"/>
        <v xml:space="preserve"> </v>
      </c>
      <c r="AO23" s="102"/>
      <c r="AP23" s="102"/>
      <c r="AQ23" s="102"/>
      <c r="AR23" s="102"/>
      <c r="AS23" s="102"/>
      <c r="AT23" s="102"/>
      <c r="AU23" s="102"/>
      <c r="AV23" s="102"/>
      <c r="AW23" s="103"/>
      <c r="AX23" s="114"/>
    </row>
    <row r="24" spans="1:50">
      <c r="A24" s="53" t="s">
        <v>79</v>
      </c>
      <c r="B24" s="54">
        <v>5400</v>
      </c>
      <c r="C24" s="54">
        <v>7707.97</v>
      </c>
      <c r="D24" s="54">
        <f>C24</f>
        <v>7707.97</v>
      </c>
      <c r="E24" s="40">
        <v>7707.97</v>
      </c>
      <c r="F24" s="128" t="s">
        <v>147</v>
      </c>
      <c r="G24" s="108" t="str">
        <f t="shared" si="7"/>
        <v xml:space="preserve"> </v>
      </c>
      <c r="H24" s="102"/>
      <c r="I24" s="102"/>
      <c r="J24" s="102"/>
      <c r="K24" s="102"/>
      <c r="L24" s="102"/>
      <c r="M24" s="102"/>
      <c r="N24" s="102"/>
      <c r="O24" s="102"/>
      <c r="P24" s="103"/>
      <c r="Q24" s="114"/>
      <c r="R24" s="112" t="str">
        <f t="shared" si="18"/>
        <v xml:space="preserve"> </v>
      </c>
      <c r="S24" s="102"/>
      <c r="T24" s="102"/>
      <c r="U24" s="102"/>
      <c r="V24" s="102"/>
      <c r="W24" s="102"/>
      <c r="X24" s="102"/>
      <c r="Y24" s="102"/>
      <c r="Z24" s="102"/>
      <c r="AA24" s="103"/>
      <c r="AB24" s="114"/>
      <c r="AC24" s="112" t="str">
        <f t="shared" si="19"/>
        <v xml:space="preserve"> </v>
      </c>
      <c r="AD24" s="102"/>
      <c r="AE24" s="102"/>
      <c r="AF24" s="102"/>
      <c r="AG24" s="102"/>
      <c r="AH24" s="102"/>
      <c r="AI24" s="102"/>
      <c r="AJ24" s="102"/>
      <c r="AK24" s="102"/>
      <c r="AL24" s="103"/>
      <c r="AM24" s="114"/>
      <c r="AN24" s="112" t="str">
        <f t="shared" si="20"/>
        <v xml:space="preserve"> </v>
      </c>
      <c r="AO24" s="102"/>
      <c r="AP24" s="102"/>
      <c r="AQ24" s="102"/>
      <c r="AR24" s="102"/>
      <c r="AS24" s="102"/>
      <c r="AT24" s="102"/>
      <c r="AU24" s="102"/>
      <c r="AV24" s="102"/>
      <c r="AW24" s="103"/>
      <c r="AX24" s="114"/>
    </row>
    <row r="25" spans="1:50">
      <c r="A25" s="53" t="s">
        <v>80</v>
      </c>
      <c r="B25" s="54">
        <f>52660+6000+600</f>
        <v>59260</v>
      </c>
      <c r="C25" s="54">
        <f>70720.42+600</f>
        <v>71320.42</v>
      </c>
      <c r="D25" s="54">
        <f>C25</f>
        <v>71320.42</v>
      </c>
      <c r="E25" s="40">
        <v>71320.42</v>
      </c>
      <c r="F25" s="128" t="s">
        <v>150</v>
      </c>
      <c r="G25" s="108" t="str">
        <f t="shared" si="7"/>
        <v xml:space="preserve"> </v>
      </c>
      <c r="H25" s="102"/>
      <c r="I25" s="102"/>
      <c r="J25" s="102"/>
      <c r="K25" s="102"/>
      <c r="L25" s="102"/>
      <c r="M25" s="102"/>
      <c r="N25" s="102"/>
      <c r="O25" s="102"/>
      <c r="P25" s="103"/>
      <c r="Q25" s="114"/>
      <c r="R25" s="112" t="str">
        <f t="shared" si="18"/>
        <v xml:space="preserve"> </v>
      </c>
      <c r="S25" s="102"/>
      <c r="T25" s="102"/>
      <c r="U25" s="102"/>
      <c r="V25" s="102"/>
      <c r="W25" s="102"/>
      <c r="X25" s="102"/>
      <c r="Y25" s="102"/>
      <c r="Z25" s="102"/>
      <c r="AA25" s="103"/>
      <c r="AB25" s="114"/>
      <c r="AC25" s="112" t="str">
        <f t="shared" si="19"/>
        <v xml:space="preserve"> </v>
      </c>
      <c r="AD25" s="102"/>
      <c r="AE25" s="102"/>
      <c r="AF25" s="102"/>
      <c r="AG25" s="102"/>
      <c r="AH25" s="102"/>
      <c r="AI25" s="102"/>
      <c r="AJ25" s="102"/>
      <c r="AK25" s="102"/>
      <c r="AL25" s="103"/>
      <c r="AM25" s="114"/>
      <c r="AN25" s="112" t="str">
        <f t="shared" si="20"/>
        <v xml:space="preserve"> </v>
      </c>
      <c r="AO25" s="102"/>
      <c r="AP25" s="102"/>
      <c r="AQ25" s="102"/>
      <c r="AR25" s="102"/>
      <c r="AS25" s="102"/>
      <c r="AT25" s="102"/>
      <c r="AU25" s="102"/>
      <c r="AV25" s="102"/>
      <c r="AW25" s="103"/>
      <c r="AX25" s="114"/>
    </row>
    <row r="26" spans="1:50">
      <c r="A26" s="53" t="s">
        <v>81</v>
      </c>
      <c r="B26" s="54">
        <v>74400</v>
      </c>
      <c r="C26" s="54">
        <v>74400</v>
      </c>
      <c r="D26" s="54">
        <v>74400</v>
      </c>
      <c r="E26" s="40">
        <v>74400</v>
      </c>
      <c r="F26" s="128" t="s">
        <v>149</v>
      </c>
      <c r="G26" s="108" t="str">
        <f t="shared" si="7"/>
        <v xml:space="preserve"> </v>
      </c>
      <c r="H26" s="102"/>
      <c r="I26" s="102"/>
      <c r="J26" s="102"/>
      <c r="K26" s="102"/>
      <c r="L26" s="102"/>
      <c r="M26" s="102"/>
      <c r="N26" s="102"/>
      <c r="O26" s="102"/>
      <c r="P26" s="103"/>
      <c r="Q26" s="114"/>
      <c r="R26" s="112" t="str">
        <f t="shared" si="18"/>
        <v xml:space="preserve"> </v>
      </c>
      <c r="S26" s="102"/>
      <c r="T26" s="102"/>
      <c r="U26" s="102"/>
      <c r="V26" s="102"/>
      <c r="W26" s="102"/>
      <c r="X26" s="102"/>
      <c r="Y26" s="102"/>
      <c r="Z26" s="102"/>
      <c r="AA26" s="103"/>
      <c r="AB26" s="114"/>
      <c r="AC26" s="112" t="str">
        <f t="shared" si="19"/>
        <v xml:space="preserve"> </v>
      </c>
      <c r="AD26" s="102"/>
      <c r="AE26" s="102"/>
      <c r="AF26" s="102"/>
      <c r="AG26" s="102"/>
      <c r="AH26" s="102"/>
      <c r="AI26" s="102"/>
      <c r="AJ26" s="102"/>
      <c r="AK26" s="102"/>
      <c r="AL26" s="103"/>
      <c r="AM26" s="114"/>
      <c r="AN26" s="112" t="str">
        <f t="shared" si="20"/>
        <v xml:space="preserve"> </v>
      </c>
      <c r="AO26" s="102"/>
      <c r="AP26" s="102"/>
      <c r="AQ26" s="102"/>
      <c r="AR26" s="102"/>
      <c r="AS26" s="102"/>
      <c r="AT26" s="102"/>
      <c r="AU26" s="102"/>
      <c r="AV26" s="102"/>
      <c r="AW26" s="103"/>
      <c r="AX26" s="114"/>
    </row>
    <row r="27" spans="1:50">
      <c r="A27" s="36" t="s">
        <v>82</v>
      </c>
      <c r="B27" s="54">
        <v>1400.66</v>
      </c>
      <c r="C27" s="54">
        <v>56.05</v>
      </c>
      <c r="D27" s="54">
        <f>C27</f>
        <v>56.05</v>
      </c>
      <c r="E27" s="40">
        <v>56.05</v>
      </c>
      <c r="F27" s="128" t="s">
        <v>150</v>
      </c>
      <c r="G27" s="108" t="str">
        <f t="shared" si="7"/>
        <v xml:space="preserve"> </v>
      </c>
      <c r="H27" s="102"/>
      <c r="I27" s="102"/>
      <c r="J27" s="102"/>
      <c r="K27" s="102"/>
      <c r="L27" s="102"/>
      <c r="M27" s="102"/>
      <c r="N27" s="102"/>
      <c r="O27" s="102"/>
      <c r="P27" s="103"/>
      <c r="Q27" s="114"/>
      <c r="R27" s="112" t="str">
        <f t="shared" si="18"/>
        <v xml:space="preserve"> </v>
      </c>
      <c r="S27" s="102"/>
      <c r="T27" s="102"/>
      <c r="U27" s="102"/>
      <c r="V27" s="102"/>
      <c r="W27" s="102"/>
      <c r="X27" s="102"/>
      <c r="Y27" s="102"/>
      <c r="Z27" s="102"/>
      <c r="AA27" s="103"/>
      <c r="AB27" s="114"/>
      <c r="AC27" s="112" t="str">
        <f t="shared" si="19"/>
        <v xml:space="preserve"> </v>
      </c>
      <c r="AD27" s="102"/>
      <c r="AE27" s="102"/>
      <c r="AF27" s="102"/>
      <c r="AG27" s="102"/>
      <c r="AH27" s="102"/>
      <c r="AI27" s="102"/>
      <c r="AJ27" s="102"/>
      <c r="AK27" s="102"/>
      <c r="AL27" s="103"/>
      <c r="AM27" s="114"/>
      <c r="AN27" s="112" t="str">
        <f t="shared" si="20"/>
        <v xml:space="preserve"> </v>
      </c>
      <c r="AO27" s="102"/>
      <c r="AP27" s="102"/>
      <c r="AQ27" s="102"/>
      <c r="AR27" s="102"/>
      <c r="AS27" s="102"/>
      <c r="AT27" s="102"/>
      <c r="AU27" s="102"/>
      <c r="AV27" s="102"/>
      <c r="AW27" s="103"/>
      <c r="AX27" s="114"/>
    </row>
    <row r="28" spans="1:50">
      <c r="A28" s="67" t="s">
        <v>83</v>
      </c>
      <c r="B28" s="59">
        <v>9526</v>
      </c>
      <c r="C28" s="59">
        <f>2130.3+9084</f>
        <v>11214.3</v>
      </c>
      <c r="D28" s="59">
        <v>19210</v>
      </c>
      <c r="E28" s="80">
        <v>19210</v>
      </c>
      <c r="F28" s="131" t="s">
        <v>147</v>
      </c>
      <c r="G28" s="108" t="str">
        <f t="shared" si="7"/>
        <v xml:space="preserve"> </v>
      </c>
      <c r="H28" s="102"/>
      <c r="I28" s="102"/>
      <c r="J28" s="102"/>
      <c r="K28" s="102"/>
      <c r="L28" s="102"/>
      <c r="M28" s="102"/>
      <c r="N28" s="102"/>
      <c r="O28" s="102"/>
      <c r="P28" s="103"/>
      <c r="Q28" s="114"/>
      <c r="R28" s="112" t="str">
        <f t="shared" si="18"/>
        <v xml:space="preserve"> </v>
      </c>
      <c r="S28" s="102"/>
      <c r="T28" s="102"/>
      <c r="U28" s="102"/>
      <c r="V28" s="102"/>
      <c r="W28" s="102"/>
      <c r="X28" s="102"/>
      <c r="Y28" s="102"/>
      <c r="Z28" s="102"/>
      <c r="AA28" s="103"/>
      <c r="AB28" s="114"/>
      <c r="AC28" s="112" t="str">
        <f t="shared" si="19"/>
        <v xml:space="preserve"> </v>
      </c>
      <c r="AD28" s="102"/>
      <c r="AE28" s="102"/>
      <c r="AF28" s="102"/>
      <c r="AG28" s="102"/>
      <c r="AH28" s="102"/>
      <c r="AI28" s="102"/>
      <c r="AJ28" s="102"/>
      <c r="AK28" s="102"/>
      <c r="AL28" s="103"/>
      <c r="AM28" s="114"/>
      <c r="AN28" s="112" t="str">
        <f t="shared" si="20"/>
        <v xml:space="preserve"> </v>
      </c>
      <c r="AO28" s="102"/>
      <c r="AP28" s="102"/>
      <c r="AQ28" s="102"/>
      <c r="AR28" s="102"/>
      <c r="AS28" s="102"/>
      <c r="AT28" s="102"/>
      <c r="AU28" s="102"/>
      <c r="AV28" s="102"/>
      <c r="AW28" s="103"/>
      <c r="AX28" s="114"/>
    </row>
    <row r="29" spans="1:50">
      <c r="A29" s="67" t="s">
        <v>84</v>
      </c>
      <c r="B29" s="59">
        <v>24265</v>
      </c>
      <c r="C29" s="59">
        <f>15337.6+1215.44</f>
        <v>16553.04</v>
      </c>
      <c r="D29" s="59">
        <v>19806</v>
      </c>
      <c r="E29" s="80">
        <v>22806</v>
      </c>
      <c r="F29" s="131" t="s">
        <v>147</v>
      </c>
      <c r="G29" s="108" t="str">
        <f t="shared" si="7"/>
        <v xml:space="preserve"> 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14"/>
      <c r="R29" s="112" t="str">
        <f t="shared" si="18"/>
        <v xml:space="preserve"> </v>
      </c>
      <c r="S29" s="102"/>
      <c r="T29" s="102"/>
      <c r="U29" s="102"/>
      <c r="V29" s="102"/>
      <c r="W29" s="102"/>
      <c r="X29" s="102"/>
      <c r="Y29" s="102"/>
      <c r="Z29" s="102"/>
      <c r="AA29" s="103"/>
      <c r="AB29" s="114"/>
      <c r="AC29" s="112" t="str">
        <f t="shared" si="19"/>
        <v xml:space="preserve"> </v>
      </c>
      <c r="AD29" s="102"/>
      <c r="AE29" s="102"/>
      <c r="AF29" s="102"/>
      <c r="AG29" s="102"/>
      <c r="AH29" s="102"/>
      <c r="AI29" s="102"/>
      <c r="AJ29" s="102"/>
      <c r="AK29" s="102"/>
      <c r="AL29" s="103"/>
      <c r="AM29" s="114"/>
      <c r="AN29" s="112" t="str">
        <f t="shared" si="20"/>
        <v xml:space="preserve"> </v>
      </c>
      <c r="AO29" s="102"/>
      <c r="AP29" s="102"/>
      <c r="AQ29" s="102"/>
      <c r="AR29" s="102"/>
      <c r="AS29" s="102"/>
      <c r="AT29" s="102"/>
      <c r="AU29" s="102"/>
      <c r="AV29" s="102"/>
      <c r="AW29" s="103"/>
      <c r="AX29" s="114"/>
    </row>
    <row r="30" spans="1:50">
      <c r="A30" s="58" t="s">
        <v>85</v>
      </c>
      <c r="B30" s="59">
        <v>14380.39</v>
      </c>
      <c r="C30" s="59">
        <v>20861.54</v>
      </c>
      <c r="D30" s="59">
        <v>16658.400000000001</v>
      </c>
      <c r="E30" s="80">
        <v>16658.400000000001</v>
      </c>
      <c r="F30" s="131" t="s">
        <v>147</v>
      </c>
      <c r="G30" s="108" t="str">
        <f t="shared" si="7"/>
        <v xml:space="preserve"> </v>
      </c>
      <c r="H30" s="102"/>
      <c r="I30" s="102"/>
      <c r="J30" s="102"/>
      <c r="K30" s="102"/>
      <c r="L30" s="102"/>
      <c r="M30" s="102"/>
      <c r="N30" s="102"/>
      <c r="O30" s="102"/>
      <c r="P30" s="103"/>
      <c r="Q30" s="114"/>
      <c r="R30" s="112" t="str">
        <f t="shared" si="18"/>
        <v xml:space="preserve"> </v>
      </c>
      <c r="S30" s="102"/>
      <c r="T30" s="102"/>
      <c r="U30" s="102"/>
      <c r="V30" s="102"/>
      <c r="W30" s="102"/>
      <c r="X30" s="102"/>
      <c r="Y30" s="102"/>
      <c r="Z30" s="102"/>
      <c r="AA30" s="103"/>
      <c r="AB30" s="114"/>
      <c r="AC30" s="112" t="str">
        <f t="shared" si="19"/>
        <v xml:space="preserve"> </v>
      </c>
      <c r="AD30" s="102"/>
      <c r="AE30" s="102"/>
      <c r="AF30" s="102"/>
      <c r="AG30" s="102"/>
      <c r="AH30" s="102"/>
      <c r="AI30" s="102"/>
      <c r="AJ30" s="102"/>
      <c r="AK30" s="102"/>
      <c r="AL30" s="103"/>
      <c r="AM30" s="114"/>
      <c r="AN30" s="112" t="str">
        <f t="shared" si="20"/>
        <v xml:space="preserve"> </v>
      </c>
      <c r="AO30" s="102"/>
      <c r="AP30" s="102"/>
      <c r="AQ30" s="102"/>
      <c r="AR30" s="102"/>
      <c r="AS30" s="102"/>
      <c r="AT30" s="102"/>
      <c r="AU30" s="102"/>
      <c r="AV30" s="102"/>
      <c r="AW30" s="103"/>
      <c r="AX30" s="114"/>
    </row>
    <row r="31" spans="1:50">
      <c r="A31" s="58" t="s">
        <v>86</v>
      </c>
      <c r="B31" s="59">
        <v>19272.5</v>
      </c>
      <c r="C31" s="59">
        <v>23160.9</v>
      </c>
      <c r="D31" s="59">
        <v>15388</v>
      </c>
      <c r="E31" s="80">
        <v>15388</v>
      </c>
      <c r="F31" s="131" t="s">
        <v>147</v>
      </c>
      <c r="G31" s="108" t="str">
        <f t="shared" si="7"/>
        <v xml:space="preserve"> </v>
      </c>
      <c r="H31" s="102"/>
      <c r="I31" s="102"/>
      <c r="J31" s="102"/>
      <c r="K31" s="102"/>
      <c r="L31" s="102"/>
      <c r="M31" s="102"/>
      <c r="N31" s="102"/>
      <c r="O31" s="102"/>
      <c r="P31" s="103"/>
      <c r="Q31" s="114"/>
      <c r="R31" s="112" t="str">
        <f t="shared" si="18"/>
        <v xml:space="preserve"> </v>
      </c>
      <c r="S31" s="102"/>
      <c r="T31" s="102"/>
      <c r="U31" s="102"/>
      <c r="V31" s="102"/>
      <c r="W31" s="102"/>
      <c r="X31" s="102"/>
      <c r="Y31" s="102"/>
      <c r="Z31" s="102"/>
      <c r="AA31" s="103"/>
      <c r="AB31" s="114"/>
      <c r="AC31" s="112" t="str">
        <f t="shared" si="19"/>
        <v xml:space="preserve"> </v>
      </c>
      <c r="AD31" s="102"/>
      <c r="AE31" s="102"/>
      <c r="AF31" s="102"/>
      <c r="AG31" s="102"/>
      <c r="AH31" s="102"/>
      <c r="AI31" s="102"/>
      <c r="AJ31" s="102"/>
      <c r="AK31" s="102"/>
      <c r="AL31" s="103"/>
      <c r="AM31" s="114"/>
      <c r="AN31" s="112" t="str">
        <f t="shared" si="20"/>
        <v xml:space="preserve"> </v>
      </c>
      <c r="AO31" s="102"/>
      <c r="AP31" s="102"/>
      <c r="AQ31" s="102"/>
      <c r="AR31" s="102"/>
      <c r="AS31" s="102"/>
      <c r="AT31" s="102"/>
      <c r="AU31" s="102"/>
      <c r="AV31" s="102"/>
      <c r="AW31" s="103"/>
      <c r="AX31" s="114"/>
    </row>
    <row r="32" spans="1:50">
      <c r="A32" s="58" t="s">
        <v>87</v>
      </c>
      <c r="B32" s="59">
        <v>15339</v>
      </c>
      <c r="C32" s="59">
        <v>38186.699999999997</v>
      </c>
      <c r="D32" s="59">
        <v>64936</v>
      </c>
      <c r="E32" s="80">
        <v>64936</v>
      </c>
      <c r="F32" s="131" t="s">
        <v>147</v>
      </c>
      <c r="G32" s="108" t="str">
        <f t="shared" si="7"/>
        <v xml:space="preserve"> </v>
      </c>
      <c r="H32" s="102"/>
      <c r="I32" s="102"/>
      <c r="J32" s="102"/>
      <c r="K32" s="102"/>
      <c r="L32" s="102"/>
      <c r="M32" s="102"/>
      <c r="N32" s="102"/>
      <c r="O32" s="102"/>
      <c r="P32" s="103"/>
      <c r="Q32" s="114"/>
      <c r="R32" s="112" t="str">
        <f t="shared" si="18"/>
        <v xml:space="preserve"> </v>
      </c>
      <c r="S32" s="102"/>
      <c r="T32" s="102"/>
      <c r="U32" s="102"/>
      <c r="V32" s="102"/>
      <c r="W32" s="102"/>
      <c r="X32" s="102"/>
      <c r="Y32" s="102"/>
      <c r="Z32" s="102"/>
      <c r="AA32" s="103"/>
      <c r="AB32" s="114"/>
      <c r="AC32" s="112" t="str">
        <f t="shared" si="19"/>
        <v xml:space="preserve"> </v>
      </c>
      <c r="AD32" s="102"/>
      <c r="AE32" s="102"/>
      <c r="AF32" s="102"/>
      <c r="AG32" s="102"/>
      <c r="AH32" s="102"/>
      <c r="AI32" s="102"/>
      <c r="AJ32" s="102"/>
      <c r="AK32" s="102"/>
      <c r="AL32" s="103"/>
      <c r="AM32" s="114"/>
      <c r="AN32" s="112" t="str">
        <f t="shared" si="20"/>
        <v xml:space="preserve"> </v>
      </c>
      <c r="AO32" s="102"/>
      <c r="AP32" s="102"/>
      <c r="AQ32" s="102"/>
      <c r="AR32" s="102"/>
      <c r="AS32" s="102"/>
      <c r="AT32" s="102"/>
      <c r="AU32" s="102"/>
      <c r="AV32" s="102"/>
      <c r="AW32" s="103"/>
      <c r="AX32" s="114"/>
    </row>
    <row r="33" spans="1:50">
      <c r="A33" s="62" t="s">
        <v>89</v>
      </c>
      <c r="B33" s="63">
        <v>12808</v>
      </c>
      <c r="C33" s="63">
        <f>8397.51+935</f>
        <v>9332.51</v>
      </c>
      <c r="D33" s="63">
        <f>C33*D3/C3</f>
        <v>11444.178269884831</v>
      </c>
      <c r="E33" s="65">
        <v>11774.126437054336</v>
      </c>
      <c r="F33" s="130" t="s">
        <v>145</v>
      </c>
      <c r="G33" s="108" t="str">
        <f t="shared" si="7"/>
        <v xml:space="preserve"> </v>
      </c>
      <c r="H33" s="102"/>
      <c r="I33" s="102"/>
      <c r="J33" s="102"/>
      <c r="K33" s="102"/>
      <c r="L33" s="102"/>
      <c r="M33" s="102"/>
      <c r="N33" s="102"/>
      <c r="O33" s="102"/>
      <c r="P33" s="103"/>
      <c r="Q33" s="114"/>
      <c r="R33" s="112" t="str">
        <f t="shared" si="18"/>
        <v xml:space="preserve"> </v>
      </c>
      <c r="S33" s="102"/>
      <c r="T33" s="102"/>
      <c r="U33" s="102"/>
      <c r="V33" s="102"/>
      <c r="W33" s="102"/>
      <c r="X33" s="102"/>
      <c r="Y33" s="102"/>
      <c r="Z33" s="102"/>
      <c r="AA33" s="103"/>
      <c r="AB33" s="114"/>
      <c r="AC33" s="112" t="str">
        <f t="shared" si="19"/>
        <v xml:space="preserve"> </v>
      </c>
      <c r="AD33" s="102"/>
      <c r="AE33" s="102"/>
      <c r="AF33" s="102"/>
      <c r="AG33" s="102"/>
      <c r="AH33" s="102"/>
      <c r="AI33" s="102"/>
      <c r="AJ33" s="102"/>
      <c r="AK33" s="102"/>
      <c r="AL33" s="103"/>
      <c r="AM33" s="114"/>
      <c r="AN33" s="112" t="str">
        <f t="shared" si="20"/>
        <v xml:space="preserve"> </v>
      </c>
      <c r="AO33" s="102"/>
      <c r="AP33" s="102"/>
      <c r="AQ33" s="102"/>
      <c r="AR33" s="102"/>
      <c r="AS33" s="102"/>
      <c r="AT33" s="102"/>
      <c r="AU33" s="102"/>
      <c r="AV33" s="102"/>
      <c r="AW33" s="103"/>
      <c r="AX33" s="114"/>
    </row>
    <row r="34" spans="1:50">
      <c r="A34" s="58" t="s">
        <v>91</v>
      </c>
      <c r="B34" s="59">
        <v>75026</v>
      </c>
      <c r="C34" s="59">
        <v>68481.33</v>
      </c>
      <c r="D34" s="59">
        <f>C34*D3/C3</f>
        <v>83976.609580789329</v>
      </c>
      <c r="E34" s="80">
        <v>86397.747015287663</v>
      </c>
      <c r="F34" s="131" t="s">
        <v>146</v>
      </c>
      <c r="G34" s="108" t="str">
        <f t="shared" si="7"/>
        <v xml:space="preserve"> </v>
      </c>
      <c r="H34" s="102"/>
      <c r="I34" s="102"/>
      <c r="J34" s="102"/>
      <c r="K34" s="102"/>
      <c r="L34" s="102"/>
      <c r="M34" s="102"/>
      <c r="N34" s="102"/>
      <c r="O34" s="102"/>
      <c r="P34" s="103"/>
      <c r="Q34" s="114"/>
      <c r="R34" s="112" t="str">
        <f t="shared" si="18"/>
        <v xml:space="preserve"> </v>
      </c>
      <c r="S34" s="102"/>
      <c r="T34" s="102"/>
      <c r="U34" s="102"/>
      <c r="V34" s="102"/>
      <c r="W34" s="102"/>
      <c r="X34" s="102"/>
      <c r="Y34" s="102"/>
      <c r="Z34" s="102"/>
      <c r="AA34" s="103"/>
      <c r="AB34" s="114"/>
      <c r="AC34" s="112" t="str">
        <f t="shared" si="19"/>
        <v xml:space="preserve"> </v>
      </c>
      <c r="AD34" s="102"/>
      <c r="AE34" s="102"/>
      <c r="AF34" s="102"/>
      <c r="AG34" s="102"/>
      <c r="AH34" s="102"/>
      <c r="AI34" s="102"/>
      <c r="AJ34" s="102"/>
      <c r="AK34" s="102"/>
      <c r="AL34" s="103"/>
      <c r="AM34" s="114"/>
      <c r="AN34" s="112" t="str">
        <f t="shared" si="20"/>
        <v xml:space="preserve"> </v>
      </c>
      <c r="AO34" s="102"/>
      <c r="AP34" s="102"/>
      <c r="AQ34" s="102"/>
      <c r="AR34" s="102"/>
      <c r="AS34" s="102"/>
      <c r="AT34" s="102"/>
      <c r="AU34" s="102"/>
      <c r="AV34" s="102"/>
      <c r="AW34" s="103"/>
      <c r="AX34" s="114"/>
    </row>
    <row r="35" spans="1:50">
      <c r="A35" s="53" t="s">
        <v>92</v>
      </c>
      <c r="B35" s="54">
        <v>32208</v>
      </c>
      <c r="C35" s="54">
        <f>2095+10576.86+1338.02+225.32+1551.06+2901.44+169.68+531.15+2684.75+14068.87+389.97+505.9</f>
        <v>37038.020000000004</v>
      </c>
      <c r="D35" s="54">
        <f>C35</f>
        <v>37038.020000000004</v>
      </c>
      <c r="E35" s="40">
        <v>44538</v>
      </c>
      <c r="F35" s="128" t="s">
        <v>150</v>
      </c>
      <c r="G35" s="108" t="str">
        <f t="shared" si="7"/>
        <v xml:space="preserve"> </v>
      </c>
      <c r="H35" s="102"/>
      <c r="I35" s="102"/>
      <c r="J35" s="102"/>
      <c r="K35" s="102"/>
      <c r="L35" s="102"/>
      <c r="M35" s="102"/>
      <c r="N35" s="102"/>
      <c r="O35" s="102"/>
      <c r="P35" s="103"/>
      <c r="Q35" s="114"/>
      <c r="R35" s="112" t="str">
        <f t="shared" si="18"/>
        <v xml:space="preserve"> </v>
      </c>
      <c r="S35" s="102"/>
      <c r="T35" s="102"/>
      <c r="U35" s="102"/>
      <c r="V35" s="102"/>
      <c r="W35" s="102"/>
      <c r="X35" s="102"/>
      <c r="Y35" s="102"/>
      <c r="Z35" s="102"/>
      <c r="AA35" s="103"/>
      <c r="AB35" s="114"/>
      <c r="AC35" s="112" t="str">
        <f t="shared" si="19"/>
        <v xml:space="preserve"> </v>
      </c>
      <c r="AD35" s="102"/>
      <c r="AE35" s="102"/>
      <c r="AF35" s="102"/>
      <c r="AG35" s="102"/>
      <c r="AH35" s="102"/>
      <c r="AI35" s="102"/>
      <c r="AJ35" s="102"/>
      <c r="AK35" s="102"/>
      <c r="AL35" s="103"/>
      <c r="AM35" s="114"/>
      <c r="AN35" s="112" t="str">
        <f t="shared" si="20"/>
        <v xml:space="preserve"> </v>
      </c>
      <c r="AO35" s="102"/>
      <c r="AP35" s="102"/>
      <c r="AQ35" s="102"/>
      <c r="AR35" s="102"/>
      <c r="AS35" s="102"/>
      <c r="AT35" s="102"/>
      <c r="AU35" s="102"/>
      <c r="AV35" s="102"/>
      <c r="AW35" s="103"/>
      <c r="AX35" s="114"/>
    </row>
    <row r="36" spans="1:50">
      <c r="A36" s="58" t="s">
        <v>94</v>
      </c>
      <c r="B36" s="59">
        <v>10183.379999999999</v>
      </c>
      <c r="C36" s="59">
        <v>9509.82</v>
      </c>
      <c r="D36" s="59">
        <v>31779</v>
      </c>
      <c r="E36" s="80">
        <v>31779</v>
      </c>
      <c r="F36" s="131" t="s">
        <v>147</v>
      </c>
      <c r="G36" s="108" t="str">
        <f t="shared" si="7"/>
        <v xml:space="preserve"> </v>
      </c>
      <c r="H36" s="102"/>
      <c r="I36" s="102"/>
      <c r="J36" s="102"/>
      <c r="K36" s="102"/>
      <c r="L36" s="102"/>
      <c r="M36" s="102"/>
      <c r="N36" s="102"/>
      <c r="O36" s="102"/>
      <c r="P36" s="103"/>
      <c r="Q36" s="114"/>
      <c r="R36" s="112" t="str">
        <f t="shared" si="18"/>
        <v xml:space="preserve"> </v>
      </c>
      <c r="S36" s="102"/>
      <c r="T36" s="102"/>
      <c r="U36" s="102"/>
      <c r="V36" s="102"/>
      <c r="W36" s="102"/>
      <c r="X36" s="102"/>
      <c r="Y36" s="102"/>
      <c r="Z36" s="102"/>
      <c r="AA36" s="103"/>
      <c r="AB36" s="114"/>
      <c r="AC36" s="112" t="str">
        <f t="shared" si="19"/>
        <v xml:space="preserve"> </v>
      </c>
      <c r="AD36" s="102"/>
      <c r="AE36" s="102"/>
      <c r="AF36" s="102"/>
      <c r="AG36" s="102"/>
      <c r="AH36" s="102"/>
      <c r="AI36" s="102"/>
      <c r="AJ36" s="102"/>
      <c r="AK36" s="102"/>
      <c r="AL36" s="103"/>
      <c r="AM36" s="114"/>
      <c r="AN36" s="112" t="str">
        <f t="shared" si="20"/>
        <v xml:space="preserve"> </v>
      </c>
      <c r="AO36" s="102"/>
      <c r="AP36" s="102"/>
      <c r="AQ36" s="102"/>
      <c r="AR36" s="102"/>
      <c r="AS36" s="102"/>
      <c r="AT36" s="102"/>
      <c r="AU36" s="102"/>
      <c r="AV36" s="102"/>
      <c r="AW36" s="103"/>
      <c r="AX36" s="114"/>
    </row>
    <row r="37" spans="1:50">
      <c r="A37" s="36" t="s">
        <v>95</v>
      </c>
      <c r="B37" s="54">
        <v>8952</v>
      </c>
      <c r="C37" s="54">
        <v>9056.32</v>
      </c>
      <c r="D37" s="54">
        <f>C37*D3/C3</f>
        <v>11105.494722119065</v>
      </c>
      <c r="E37" s="40">
        <v>11425.678272450168</v>
      </c>
      <c r="F37" s="128" t="s">
        <v>150</v>
      </c>
      <c r="G37" s="108" t="str">
        <f t="shared" si="7"/>
        <v xml:space="preserve"> </v>
      </c>
      <c r="H37" s="102"/>
      <c r="I37" s="102"/>
      <c r="J37" s="102"/>
      <c r="K37" s="102"/>
      <c r="L37" s="102"/>
      <c r="M37" s="102"/>
      <c r="N37" s="102"/>
      <c r="O37" s="102"/>
      <c r="P37" s="103"/>
      <c r="Q37" s="114"/>
      <c r="R37" s="112" t="str">
        <f t="shared" si="18"/>
        <v xml:space="preserve"> </v>
      </c>
      <c r="S37" s="102"/>
      <c r="T37" s="102"/>
      <c r="U37" s="102"/>
      <c r="V37" s="102"/>
      <c r="W37" s="102"/>
      <c r="X37" s="102"/>
      <c r="Y37" s="102"/>
      <c r="Z37" s="102"/>
      <c r="AA37" s="103"/>
      <c r="AB37" s="114"/>
      <c r="AC37" s="112" t="str">
        <f t="shared" si="19"/>
        <v xml:space="preserve"> </v>
      </c>
      <c r="AD37" s="102"/>
      <c r="AE37" s="102"/>
      <c r="AF37" s="102"/>
      <c r="AG37" s="102"/>
      <c r="AH37" s="102"/>
      <c r="AI37" s="102"/>
      <c r="AJ37" s="102"/>
      <c r="AK37" s="102"/>
      <c r="AL37" s="103"/>
      <c r="AM37" s="114"/>
      <c r="AN37" s="112" t="str">
        <f t="shared" si="20"/>
        <v xml:space="preserve"> </v>
      </c>
      <c r="AO37" s="102"/>
      <c r="AP37" s="102"/>
      <c r="AQ37" s="102"/>
      <c r="AR37" s="102"/>
      <c r="AS37" s="102"/>
      <c r="AT37" s="102"/>
      <c r="AU37" s="102"/>
      <c r="AV37" s="102"/>
      <c r="AW37" s="103"/>
      <c r="AX37" s="114"/>
    </row>
    <row r="38" spans="1:50">
      <c r="A38" s="58" t="s">
        <v>96</v>
      </c>
      <c r="B38" s="59">
        <v>33327</v>
      </c>
      <c r="C38" s="59">
        <v>31853.41</v>
      </c>
      <c r="D38" s="59">
        <f>C38*D3/C3</f>
        <v>39060.885286351921</v>
      </c>
      <c r="E38" s="80">
        <v>40187.053299844411</v>
      </c>
      <c r="F38" s="131" t="s">
        <v>147</v>
      </c>
      <c r="G38" s="108" t="str">
        <f t="shared" si="7"/>
        <v xml:space="preserve"> </v>
      </c>
      <c r="H38" s="102"/>
      <c r="I38" s="102"/>
      <c r="J38" s="102"/>
      <c r="K38" s="102"/>
      <c r="L38" s="102"/>
      <c r="M38" s="102"/>
      <c r="N38" s="102"/>
      <c r="O38" s="102"/>
      <c r="P38" s="103"/>
      <c r="Q38" s="114"/>
      <c r="R38" s="112" t="str">
        <f t="shared" si="18"/>
        <v xml:space="preserve"> </v>
      </c>
      <c r="S38" s="102"/>
      <c r="T38" s="102"/>
      <c r="U38" s="102"/>
      <c r="V38" s="102"/>
      <c r="W38" s="102"/>
      <c r="X38" s="102"/>
      <c r="Y38" s="102"/>
      <c r="Z38" s="102"/>
      <c r="AA38" s="103"/>
      <c r="AB38" s="114"/>
      <c r="AC38" s="112" t="str">
        <f t="shared" si="19"/>
        <v xml:space="preserve"> </v>
      </c>
      <c r="AD38" s="102"/>
      <c r="AE38" s="102"/>
      <c r="AF38" s="102"/>
      <c r="AG38" s="102"/>
      <c r="AH38" s="102"/>
      <c r="AI38" s="102"/>
      <c r="AJ38" s="102"/>
      <c r="AK38" s="102"/>
      <c r="AL38" s="103"/>
      <c r="AM38" s="114"/>
      <c r="AN38" s="112" t="str">
        <f t="shared" si="20"/>
        <v xml:space="preserve"> </v>
      </c>
      <c r="AO38" s="102"/>
      <c r="AP38" s="102"/>
      <c r="AQ38" s="102"/>
      <c r="AR38" s="102"/>
      <c r="AS38" s="102"/>
      <c r="AT38" s="102"/>
      <c r="AU38" s="102"/>
      <c r="AV38" s="102"/>
      <c r="AW38" s="103"/>
      <c r="AX38" s="114"/>
    </row>
    <row r="39" spans="1:50">
      <c r="A39" s="53" t="s">
        <v>97</v>
      </c>
      <c r="B39" s="54">
        <v>11079</v>
      </c>
      <c r="C39" s="54">
        <f>1681.9+5029.6+22.3+984.76+327+1411.8</f>
        <v>9457.36</v>
      </c>
      <c r="D39" s="54">
        <f>C39+2000</f>
        <v>11457.36</v>
      </c>
      <c r="E39" s="40">
        <v>11457.36</v>
      </c>
      <c r="F39" s="128" t="s">
        <v>147</v>
      </c>
      <c r="G39" s="108" t="str">
        <f t="shared" si="7"/>
        <v xml:space="preserve"> </v>
      </c>
      <c r="H39" s="102"/>
      <c r="I39" s="102"/>
      <c r="J39" s="102"/>
      <c r="K39" s="102"/>
      <c r="L39" s="102"/>
      <c r="M39" s="102"/>
      <c r="N39" s="102"/>
      <c r="O39" s="102"/>
      <c r="P39" s="103"/>
      <c r="Q39" s="114"/>
      <c r="R39" s="112" t="str">
        <f t="shared" si="18"/>
        <v xml:space="preserve"> </v>
      </c>
      <c r="S39" s="102"/>
      <c r="T39" s="102"/>
      <c r="U39" s="102"/>
      <c r="V39" s="102"/>
      <c r="W39" s="102"/>
      <c r="X39" s="102"/>
      <c r="Y39" s="102"/>
      <c r="Z39" s="102"/>
      <c r="AA39" s="103"/>
      <c r="AB39" s="114"/>
      <c r="AC39" s="112" t="str">
        <f t="shared" si="19"/>
        <v xml:space="preserve"> </v>
      </c>
      <c r="AD39" s="102"/>
      <c r="AE39" s="102"/>
      <c r="AF39" s="102"/>
      <c r="AG39" s="102"/>
      <c r="AH39" s="102"/>
      <c r="AI39" s="102"/>
      <c r="AJ39" s="102"/>
      <c r="AK39" s="102"/>
      <c r="AL39" s="103"/>
      <c r="AM39" s="114"/>
      <c r="AN39" s="112" t="str">
        <f t="shared" si="20"/>
        <v xml:space="preserve"> </v>
      </c>
      <c r="AO39" s="102"/>
      <c r="AP39" s="102"/>
      <c r="AQ39" s="102"/>
      <c r="AR39" s="102"/>
      <c r="AS39" s="102"/>
      <c r="AT39" s="102"/>
      <c r="AU39" s="102"/>
      <c r="AV39" s="102"/>
      <c r="AW39" s="103"/>
      <c r="AX39" s="114"/>
    </row>
    <row r="40" spans="1:50">
      <c r="A40" s="36" t="s">
        <v>99</v>
      </c>
      <c r="B40" s="54">
        <v>4800</v>
      </c>
      <c r="C40" s="54">
        <f>1299.68+2563.68</f>
        <v>3863.3599999999997</v>
      </c>
      <c r="D40" s="54">
        <f>C40</f>
        <v>3863.3599999999997</v>
      </c>
      <c r="E40" s="40">
        <v>3863.36</v>
      </c>
      <c r="F40" s="128" t="s">
        <v>150</v>
      </c>
      <c r="G40" s="108" t="str">
        <f t="shared" si="7"/>
        <v xml:space="preserve"> </v>
      </c>
      <c r="H40" s="102"/>
      <c r="I40" s="102"/>
      <c r="J40" s="102"/>
      <c r="K40" s="102"/>
      <c r="L40" s="102"/>
      <c r="M40" s="102"/>
      <c r="N40" s="102"/>
      <c r="O40" s="102"/>
      <c r="P40" s="103"/>
      <c r="Q40" s="114"/>
      <c r="R40" s="112" t="str">
        <f t="shared" si="18"/>
        <v xml:space="preserve"> </v>
      </c>
      <c r="S40" s="102"/>
      <c r="T40" s="102"/>
      <c r="U40" s="102"/>
      <c r="V40" s="102"/>
      <c r="W40" s="102"/>
      <c r="X40" s="102"/>
      <c r="Y40" s="102"/>
      <c r="Z40" s="102"/>
      <c r="AA40" s="103"/>
      <c r="AB40" s="114"/>
      <c r="AC40" s="112" t="str">
        <f t="shared" si="19"/>
        <v xml:space="preserve"> </v>
      </c>
      <c r="AD40" s="102"/>
      <c r="AE40" s="102"/>
      <c r="AF40" s="102"/>
      <c r="AG40" s="102"/>
      <c r="AH40" s="102"/>
      <c r="AI40" s="102"/>
      <c r="AJ40" s="102"/>
      <c r="AK40" s="102"/>
      <c r="AL40" s="103"/>
      <c r="AM40" s="114"/>
      <c r="AN40" s="112" t="str">
        <f t="shared" si="20"/>
        <v xml:space="preserve"> </v>
      </c>
      <c r="AO40" s="102"/>
      <c r="AP40" s="102"/>
      <c r="AQ40" s="102"/>
      <c r="AR40" s="102"/>
      <c r="AS40" s="102"/>
      <c r="AT40" s="102"/>
      <c r="AU40" s="102"/>
      <c r="AV40" s="102"/>
      <c r="AW40" s="103"/>
      <c r="AX40" s="114"/>
    </row>
    <row r="41" spans="1:50">
      <c r="A41" s="53" t="s">
        <v>100</v>
      </c>
      <c r="B41" s="54">
        <v>1634.91</v>
      </c>
      <c r="C41" s="54">
        <v>1939.34</v>
      </c>
      <c r="D41" s="54">
        <f>C41</f>
        <v>1939.34</v>
      </c>
      <c r="E41" s="40">
        <v>1939.34</v>
      </c>
      <c r="F41" s="128" t="s">
        <v>150</v>
      </c>
      <c r="G41" s="108" t="str">
        <f t="shared" si="7"/>
        <v xml:space="preserve"> </v>
      </c>
      <c r="H41" s="102"/>
      <c r="I41" s="102"/>
      <c r="J41" s="102"/>
      <c r="K41" s="102"/>
      <c r="L41" s="102"/>
      <c r="M41" s="102"/>
      <c r="N41" s="102"/>
      <c r="O41" s="102"/>
      <c r="P41" s="103"/>
      <c r="Q41" s="114"/>
      <c r="R41" s="112" t="str">
        <f t="shared" si="18"/>
        <v xml:space="preserve"> </v>
      </c>
      <c r="S41" s="102"/>
      <c r="T41" s="102"/>
      <c r="U41" s="102"/>
      <c r="V41" s="102"/>
      <c r="W41" s="102"/>
      <c r="X41" s="102"/>
      <c r="Y41" s="102"/>
      <c r="Z41" s="102"/>
      <c r="AA41" s="103"/>
      <c r="AB41" s="114"/>
      <c r="AC41" s="112" t="str">
        <f t="shared" si="19"/>
        <v xml:space="preserve"> </v>
      </c>
      <c r="AD41" s="102"/>
      <c r="AE41" s="102"/>
      <c r="AF41" s="102"/>
      <c r="AG41" s="102"/>
      <c r="AH41" s="102"/>
      <c r="AI41" s="102"/>
      <c r="AJ41" s="102"/>
      <c r="AK41" s="102"/>
      <c r="AL41" s="103"/>
      <c r="AM41" s="114"/>
      <c r="AN41" s="112" t="str">
        <f t="shared" si="20"/>
        <v xml:space="preserve"> </v>
      </c>
      <c r="AO41" s="102"/>
      <c r="AP41" s="102"/>
      <c r="AQ41" s="102"/>
      <c r="AR41" s="102"/>
      <c r="AS41" s="102"/>
      <c r="AT41" s="102"/>
      <c r="AU41" s="102"/>
      <c r="AV41" s="102"/>
      <c r="AW41" s="103"/>
      <c r="AX41" s="114"/>
    </row>
    <row r="42" spans="1:50" ht="15.75" thickBot="1">
      <c r="A42" s="36" t="s">
        <v>101</v>
      </c>
      <c r="B42" s="54">
        <v>109</v>
      </c>
      <c r="C42" s="54">
        <v>68</v>
      </c>
      <c r="D42" s="54">
        <v>0</v>
      </c>
      <c r="E42" s="40">
        <v>0</v>
      </c>
      <c r="F42" s="128" t="s">
        <v>150</v>
      </c>
      <c r="G42" s="108" t="str">
        <f t="shared" si="7"/>
        <v xml:space="preserve"> </v>
      </c>
      <c r="H42" s="102"/>
      <c r="I42" s="102"/>
      <c r="J42" s="102"/>
      <c r="K42" s="102"/>
      <c r="L42" s="102"/>
      <c r="M42" s="102"/>
      <c r="N42" s="102"/>
      <c r="O42" s="102"/>
      <c r="P42" s="103"/>
      <c r="Q42" s="114"/>
      <c r="R42" s="112" t="str">
        <f t="shared" si="18"/>
        <v xml:space="preserve"> </v>
      </c>
      <c r="S42" s="102"/>
      <c r="T42" s="102"/>
      <c r="U42" s="102"/>
      <c r="V42" s="102"/>
      <c r="W42" s="102"/>
      <c r="X42" s="102"/>
      <c r="Y42" s="102"/>
      <c r="Z42" s="102"/>
      <c r="AA42" s="103"/>
      <c r="AB42" s="114"/>
      <c r="AC42" s="112" t="str">
        <f t="shared" si="19"/>
        <v xml:space="preserve"> </v>
      </c>
      <c r="AD42" s="102"/>
      <c r="AE42" s="102"/>
      <c r="AF42" s="102"/>
      <c r="AG42" s="102"/>
      <c r="AH42" s="102"/>
      <c r="AI42" s="102"/>
      <c r="AJ42" s="102"/>
      <c r="AK42" s="102"/>
      <c r="AL42" s="103"/>
      <c r="AM42" s="114"/>
      <c r="AN42" s="112" t="str">
        <f t="shared" si="20"/>
        <v xml:space="preserve"> </v>
      </c>
      <c r="AO42" s="102"/>
      <c r="AP42" s="102"/>
      <c r="AQ42" s="102"/>
      <c r="AR42" s="102"/>
      <c r="AS42" s="102"/>
      <c r="AT42" s="102"/>
      <c r="AU42" s="102"/>
      <c r="AV42" s="102"/>
      <c r="AW42" s="103"/>
      <c r="AX42" s="114"/>
    </row>
    <row r="43" spans="1:50" ht="17.25" thickBot="1">
      <c r="A43" s="68" t="s">
        <v>102</v>
      </c>
      <c r="B43" s="145">
        <f>SUM(B9:B42)</f>
        <v>547690.37</v>
      </c>
      <c r="C43" s="69">
        <f>SUM(C9:C42)</f>
        <v>586538.89999999991</v>
      </c>
      <c r="D43" s="69">
        <f>SUM(D9:D42)</f>
        <v>674953.68785914511</v>
      </c>
      <c r="E43" s="69">
        <f>SUM(E9:E42)</f>
        <v>720355.27562463656</v>
      </c>
      <c r="F43" s="132"/>
      <c r="G43" s="108" t="str">
        <f t="shared" si="7"/>
        <v xml:space="preserve"> </v>
      </c>
      <c r="H43" s="102"/>
      <c r="I43" s="102"/>
      <c r="J43" s="102"/>
      <c r="K43" s="102"/>
      <c r="L43" s="102"/>
      <c r="M43" s="102"/>
      <c r="N43" s="102"/>
      <c r="O43" s="102"/>
      <c r="P43" s="103"/>
      <c r="Q43" s="114"/>
      <c r="R43" s="112" t="str">
        <f t="shared" si="18"/>
        <v xml:space="preserve"> </v>
      </c>
      <c r="S43" s="102"/>
      <c r="T43" s="102"/>
      <c r="U43" s="102"/>
      <c r="V43" s="102"/>
      <c r="W43" s="102"/>
      <c r="X43" s="102"/>
      <c r="Y43" s="102"/>
      <c r="Z43" s="102"/>
      <c r="AA43" s="103"/>
      <c r="AB43" s="114"/>
      <c r="AC43" s="112" t="str">
        <f t="shared" si="19"/>
        <v xml:space="preserve"> </v>
      </c>
      <c r="AD43" s="102"/>
      <c r="AE43" s="102"/>
      <c r="AF43" s="102"/>
      <c r="AG43" s="102"/>
      <c r="AH43" s="102"/>
      <c r="AI43" s="102"/>
      <c r="AJ43" s="102"/>
      <c r="AK43" s="102"/>
      <c r="AL43" s="103"/>
      <c r="AM43" s="114"/>
      <c r="AN43" s="112" t="str">
        <f t="shared" si="20"/>
        <v xml:space="preserve"> </v>
      </c>
      <c r="AO43" s="102"/>
      <c r="AP43" s="102"/>
      <c r="AQ43" s="102"/>
      <c r="AR43" s="102"/>
      <c r="AS43" s="102"/>
      <c r="AT43" s="102"/>
      <c r="AU43" s="102"/>
      <c r="AV43" s="102"/>
      <c r="AW43" s="103"/>
      <c r="AX43" s="114"/>
    </row>
    <row r="44" spans="1:50" ht="17.25" thickBot="1">
      <c r="A44" s="49" t="s">
        <v>103</v>
      </c>
      <c r="B44" s="144">
        <f>B8-B43</f>
        <v>510766.63</v>
      </c>
      <c r="C44" s="50">
        <f>C8-C43</f>
        <v>481419.92999999993</v>
      </c>
      <c r="D44" s="50">
        <f>D8-D43</f>
        <v>587119.30743454106</v>
      </c>
      <c r="E44" s="50">
        <f>E8-E43</f>
        <v>630257.08437536331</v>
      </c>
      <c r="F44" s="132"/>
      <c r="G44" s="108" t="str">
        <f t="shared" si="7"/>
        <v xml:space="preserve"> </v>
      </c>
      <c r="H44" s="102"/>
      <c r="I44" s="102"/>
      <c r="J44" s="102"/>
      <c r="K44" s="102"/>
      <c r="L44" s="102"/>
      <c r="M44" s="102"/>
      <c r="N44" s="102"/>
      <c r="O44" s="102"/>
      <c r="P44" s="103"/>
      <c r="Q44" s="114"/>
      <c r="R44" s="112" t="str">
        <f t="shared" si="18"/>
        <v xml:space="preserve"> </v>
      </c>
      <c r="S44" s="102"/>
      <c r="T44" s="102"/>
      <c r="U44" s="102"/>
      <c r="V44" s="102"/>
      <c r="W44" s="102"/>
      <c r="X44" s="102"/>
      <c r="Y44" s="102"/>
      <c r="Z44" s="102"/>
      <c r="AA44" s="103"/>
      <c r="AB44" s="114"/>
      <c r="AC44" s="112" t="str">
        <f t="shared" si="19"/>
        <v xml:space="preserve"> </v>
      </c>
      <c r="AD44" s="102"/>
      <c r="AE44" s="102"/>
      <c r="AF44" s="102"/>
      <c r="AG44" s="102"/>
      <c r="AH44" s="102"/>
      <c r="AI44" s="102"/>
      <c r="AJ44" s="102"/>
      <c r="AK44" s="102"/>
      <c r="AL44" s="103"/>
      <c r="AM44" s="114"/>
      <c r="AN44" s="112" t="str">
        <f t="shared" si="20"/>
        <v xml:space="preserve"> </v>
      </c>
      <c r="AO44" s="102"/>
      <c r="AP44" s="102"/>
      <c r="AQ44" s="102"/>
      <c r="AR44" s="102"/>
      <c r="AS44" s="102"/>
      <c r="AT44" s="102"/>
      <c r="AU44" s="102"/>
      <c r="AV44" s="102"/>
      <c r="AW44" s="103"/>
      <c r="AX44" s="114"/>
    </row>
    <row r="45" spans="1:50" ht="18" thickTop="1" thickBot="1">
      <c r="A45" s="72" t="s">
        <v>104</v>
      </c>
      <c r="B45" s="50"/>
      <c r="C45" s="143"/>
      <c r="D45" s="50"/>
      <c r="E45" s="124"/>
      <c r="F45" s="132"/>
      <c r="G45" s="108" t="str">
        <f t="shared" si="7"/>
        <v xml:space="preserve"> </v>
      </c>
      <c r="H45" s="102"/>
      <c r="I45" s="102"/>
      <c r="J45" s="102"/>
      <c r="K45" s="102"/>
      <c r="L45" s="102"/>
      <c r="M45" s="102"/>
      <c r="N45" s="102"/>
      <c r="O45" s="102"/>
      <c r="P45" s="103"/>
      <c r="Q45" s="114"/>
      <c r="R45" s="112" t="str">
        <f t="shared" si="18"/>
        <v xml:space="preserve"> </v>
      </c>
      <c r="S45" s="102"/>
      <c r="T45" s="102"/>
      <c r="U45" s="102"/>
      <c r="V45" s="102"/>
      <c r="W45" s="102"/>
      <c r="X45" s="102"/>
      <c r="Y45" s="102"/>
      <c r="Z45" s="102"/>
      <c r="AA45" s="103"/>
      <c r="AB45" s="114"/>
      <c r="AC45" s="112" t="str">
        <f t="shared" si="19"/>
        <v xml:space="preserve"> </v>
      </c>
      <c r="AD45" s="102"/>
      <c r="AE45" s="102"/>
      <c r="AF45" s="102"/>
      <c r="AG45" s="102"/>
      <c r="AH45" s="102"/>
      <c r="AI45" s="102"/>
      <c r="AJ45" s="102"/>
      <c r="AK45" s="102"/>
      <c r="AL45" s="103"/>
      <c r="AM45" s="114"/>
      <c r="AN45" s="112" t="str">
        <f t="shared" si="20"/>
        <v xml:space="preserve"> </v>
      </c>
      <c r="AO45" s="102"/>
      <c r="AP45" s="102"/>
      <c r="AQ45" s="102"/>
      <c r="AR45" s="102"/>
      <c r="AS45" s="102"/>
      <c r="AT45" s="102"/>
      <c r="AU45" s="102"/>
      <c r="AV45" s="102"/>
      <c r="AW45" s="103"/>
      <c r="AX45" s="114"/>
    </row>
    <row r="46" spans="1:50" ht="15.75" thickTop="1">
      <c r="A46" s="36" t="s">
        <v>105</v>
      </c>
      <c r="B46" s="54">
        <v>273109.8</v>
      </c>
      <c r="C46" s="54">
        <v>252694.56</v>
      </c>
      <c r="D46" s="54">
        <v>270503</v>
      </c>
      <c r="E46" s="125">
        <v>293003</v>
      </c>
      <c r="F46" s="128" t="s">
        <v>152</v>
      </c>
      <c r="G46" s="139">
        <f t="shared" si="7"/>
        <v>273109.8</v>
      </c>
      <c r="H46" s="140">
        <v>30000</v>
      </c>
      <c r="I46" s="140">
        <v>30000</v>
      </c>
      <c r="J46" s="140">
        <v>40000</v>
      </c>
      <c r="K46" s="140">
        <v>110000</v>
      </c>
      <c r="L46" s="140"/>
      <c r="M46" s="140">
        <v>63110</v>
      </c>
      <c r="N46" s="140"/>
      <c r="O46" s="140"/>
      <c r="P46" s="141">
        <f t="shared" ref="P46:P51" si="21">+SUM(H46:N46)</f>
        <v>273110</v>
      </c>
      <c r="Q46" s="113">
        <f t="shared" ref="Q46:Q51" si="22">P46-G46</f>
        <v>0.20000000001164153</v>
      </c>
      <c r="R46" s="115">
        <f t="shared" ref="R46:R51" si="23">C46</f>
        <v>252694.56</v>
      </c>
      <c r="S46" s="105">
        <f t="shared" ref="S46:Y46" si="24">H46/$G$46*$R$46</f>
        <v>27757.468974017043</v>
      </c>
      <c r="T46" s="105">
        <f t="shared" si="24"/>
        <v>27757.468974017043</v>
      </c>
      <c r="U46" s="105">
        <f t="shared" si="24"/>
        <v>37009.958632022732</v>
      </c>
      <c r="V46" s="105">
        <f t="shared" si="24"/>
        <v>101777.38623806249</v>
      </c>
      <c r="W46" s="105">
        <f t="shared" si="24"/>
        <v>0</v>
      </c>
      <c r="X46" s="105">
        <f t="shared" si="24"/>
        <v>58392.462231673861</v>
      </c>
      <c r="Y46" s="105">
        <f t="shared" si="24"/>
        <v>0</v>
      </c>
      <c r="Z46" s="105"/>
      <c r="AA46" s="96">
        <f t="shared" ref="AA46:AA51" si="25">+SUM(S46:Y46)</f>
        <v>252694.74504979316</v>
      </c>
      <c r="AB46" s="113">
        <f t="shared" ref="AB46:AB51" si="26">AA46-R46</f>
        <v>0.18504979315912351</v>
      </c>
      <c r="AC46" s="115">
        <f t="shared" ref="AC46:AC51" si="27">D46</f>
        <v>270503</v>
      </c>
      <c r="AD46" s="105">
        <f>AC46*S46/R46</f>
        <v>29713.653629419376</v>
      </c>
      <c r="AE46" s="105">
        <f t="shared" ref="AE46:AJ46" si="28">$AC$46*T46/$R$46</f>
        <v>29713.653629419376</v>
      </c>
      <c r="AF46" s="105">
        <f t="shared" si="28"/>
        <v>39618.204839225844</v>
      </c>
      <c r="AG46" s="105">
        <f t="shared" si="28"/>
        <v>108950.06330787105</v>
      </c>
      <c r="AH46" s="105">
        <f t="shared" si="28"/>
        <v>0</v>
      </c>
      <c r="AI46" s="105">
        <f t="shared" si="28"/>
        <v>62507.622685088565</v>
      </c>
      <c r="AJ46" s="105">
        <f t="shared" si="28"/>
        <v>0</v>
      </c>
      <c r="AK46" s="105"/>
      <c r="AL46" s="96">
        <f t="shared" ref="AL46:AL51" si="29">+SUM(AD46:AJ46)</f>
        <v>270503.19809102418</v>
      </c>
      <c r="AM46" s="113">
        <f t="shared" ref="AM46:AM51" si="30">AL46-AC46</f>
        <v>0.1980910241836682</v>
      </c>
      <c r="AN46" s="115">
        <f t="shared" ref="AN46:AN51" si="31">E46</f>
        <v>293003</v>
      </c>
      <c r="AO46" s="105">
        <f t="shared" ref="AO46:AU46" si="32">$AN$46/$AC$46*AD46</f>
        <v>32185.18705663436</v>
      </c>
      <c r="AP46" s="105">
        <f t="shared" si="32"/>
        <v>32185.18705663436</v>
      </c>
      <c r="AQ46" s="105">
        <f t="shared" si="32"/>
        <v>42913.582742179162</v>
      </c>
      <c r="AR46" s="105">
        <f t="shared" si="32"/>
        <v>118012.35254099267</v>
      </c>
      <c r="AS46" s="105">
        <f t="shared" si="32"/>
        <v>0</v>
      </c>
      <c r="AT46" s="105">
        <f t="shared" si="32"/>
        <v>67706.905171473161</v>
      </c>
      <c r="AU46" s="105">
        <f t="shared" si="32"/>
        <v>0</v>
      </c>
      <c r="AV46" s="105"/>
      <c r="AW46" s="96">
        <f t="shared" ref="AW46:AW51" si="33">+SUM(AO46:AU46)</f>
        <v>293003.21456791367</v>
      </c>
      <c r="AX46" s="113">
        <f t="shared" ref="AX46:AX51" si="34">AW46-AN46</f>
        <v>0.21456791367381811</v>
      </c>
    </row>
    <row r="47" spans="1:50">
      <c r="A47" s="58" t="s">
        <v>107</v>
      </c>
      <c r="B47" s="59">
        <v>28861</v>
      </c>
      <c r="C47" s="59">
        <v>28228</v>
      </c>
      <c r="D47" s="59">
        <v>44236</v>
      </c>
      <c r="E47" s="126">
        <v>51736</v>
      </c>
      <c r="F47" s="128" t="s">
        <v>152</v>
      </c>
      <c r="G47" s="109">
        <f t="shared" si="7"/>
        <v>28861</v>
      </c>
      <c r="H47" s="105">
        <f>$G$47*H46/$G$46</f>
        <v>3170.2633885711903</v>
      </c>
      <c r="I47" s="105">
        <f>$G$47*I46/$G$46</f>
        <v>3170.2633885711903</v>
      </c>
      <c r="J47" s="105">
        <f>$G$47*J46/$G$46</f>
        <v>4227.0178514282534</v>
      </c>
      <c r="K47" s="105">
        <f>$G$47*K46/$G$46</f>
        <v>11624.299091427698</v>
      </c>
      <c r="L47" s="105"/>
      <c r="M47" s="105">
        <f>$G$47*M46/$G$46</f>
        <v>6669.1774150909268</v>
      </c>
      <c r="N47" s="105"/>
      <c r="O47" s="105"/>
      <c r="P47" s="96">
        <f t="shared" si="21"/>
        <v>28861.021135089257</v>
      </c>
      <c r="Q47" s="113">
        <f t="shared" si="22"/>
        <v>2.1135089256858919E-2</v>
      </c>
      <c r="R47" s="115">
        <f t="shared" si="23"/>
        <v>28228</v>
      </c>
      <c r="S47" s="105">
        <f t="shared" ref="S47:Y47" si="35">H47/$G$47*$R$47</f>
        <v>3100.7309148188751</v>
      </c>
      <c r="T47" s="105">
        <f t="shared" si="35"/>
        <v>3100.7309148188751</v>
      </c>
      <c r="U47" s="105">
        <f t="shared" si="35"/>
        <v>4134.3078864251665</v>
      </c>
      <c r="V47" s="105">
        <f t="shared" si="35"/>
        <v>11369.346687669209</v>
      </c>
      <c r="W47" s="105">
        <f t="shared" si="35"/>
        <v>0</v>
      </c>
      <c r="X47" s="105">
        <f t="shared" si="35"/>
        <v>6522.9042678073074</v>
      </c>
      <c r="Y47" s="105">
        <f t="shared" si="35"/>
        <v>0</v>
      </c>
      <c r="Z47" s="105"/>
      <c r="AA47" s="96">
        <f t="shared" si="25"/>
        <v>28228.020671539438</v>
      </c>
      <c r="AB47" s="113">
        <f t="shared" si="26"/>
        <v>2.06715394378989E-2</v>
      </c>
      <c r="AC47" s="115">
        <f t="shared" si="27"/>
        <v>44236</v>
      </c>
      <c r="AD47" s="105">
        <f t="shared" ref="AD47:AJ47" si="36">$AC$47*S47/$R$47</f>
        <v>4859.144563834765</v>
      </c>
      <c r="AE47" s="105">
        <f t="shared" si="36"/>
        <v>4859.144563834765</v>
      </c>
      <c r="AF47" s="105">
        <f t="shared" si="36"/>
        <v>6478.8594184463527</v>
      </c>
      <c r="AG47" s="105">
        <f t="shared" si="36"/>
        <v>17816.863400727474</v>
      </c>
      <c r="AH47" s="105">
        <f t="shared" si="36"/>
        <v>0</v>
      </c>
      <c r="AI47" s="105">
        <f t="shared" si="36"/>
        <v>10222.020447453737</v>
      </c>
      <c r="AJ47" s="105">
        <f t="shared" si="36"/>
        <v>0</v>
      </c>
      <c r="AK47" s="105"/>
      <c r="AL47" s="96">
        <f t="shared" si="29"/>
        <v>44236.032394297094</v>
      </c>
      <c r="AM47" s="113">
        <f t="shared" si="30"/>
        <v>3.2394297093560454E-2</v>
      </c>
      <c r="AN47" s="115">
        <f t="shared" si="31"/>
        <v>51736</v>
      </c>
      <c r="AO47" s="105">
        <f t="shared" ref="AO47:AU47" si="37">$AN$47/$AC$47*AD47</f>
        <v>5682.9890395730945</v>
      </c>
      <c r="AP47" s="105">
        <f t="shared" si="37"/>
        <v>5682.9890395730945</v>
      </c>
      <c r="AQ47" s="105">
        <f t="shared" si="37"/>
        <v>7577.318719430792</v>
      </c>
      <c r="AR47" s="105">
        <f t="shared" si="37"/>
        <v>20837.626478434682</v>
      </c>
      <c r="AS47" s="105">
        <f t="shared" si="37"/>
        <v>0</v>
      </c>
      <c r="AT47" s="105">
        <f t="shared" si="37"/>
        <v>11955.114609581937</v>
      </c>
      <c r="AU47" s="105">
        <f t="shared" si="37"/>
        <v>0</v>
      </c>
      <c r="AV47" s="105"/>
      <c r="AW47" s="96">
        <f t="shared" si="33"/>
        <v>51736.0378865936</v>
      </c>
      <c r="AX47" s="113">
        <f t="shared" si="34"/>
        <v>3.7886593599978369E-2</v>
      </c>
    </row>
    <row r="48" spans="1:50">
      <c r="A48" s="36" t="s">
        <v>110</v>
      </c>
      <c r="B48" s="54">
        <v>3483</v>
      </c>
      <c r="C48" s="54">
        <v>2917.38</v>
      </c>
      <c r="D48" s="54">
        <v>0</v>
      </c>
      <c r="E48" s="122">
        <v>0</v>
      </c>
      <c r="F48" s="128" t="s">
        <v>152</v>
      </c>
      <c r="G48" s="109">
        <f t="shared" si="7"/>
        <v>3483</v>
      </c>
      <c r="H48" s="105">
        <f>H46/$G$46*$G$48</f>
        <v>382.5933745328802</v>
      </c>
      <c r="I48" s="105">
        <f>I46/$G$46*$G$48</f>
        <v>382.5933745328802</v>
      </c>
      <c r="J48" s="105">
        <f>J46/$G$46*$G$48</f>
        <v>510.12449937717361</v>
      </c>
      <c r="K48" s="105">
        <f>K46/$G$46*$G$48</f>
        <v>1402.8423732872275</v>
      </c>
      <c r="L48" s="105"/>
      <c r="M48" s="105">
        <f>M46/$G$46*$G$48</f>
        <v>804.84892889233561</v>
      </c>
      <c r="N48" s="105"/>
      <c r="O48" s="105"/>
      <c r="P48" s="96">
        <f t="shared" si="21"/>
        <v>3483.002550622497</v>
      </c>
      <c r="Q48" s="113">
        <f t="shared" si="22"/>
        <v>2.5506224969831237E-3</v>
      </c>
      <c r="R48" s="115">
        <f t="shared" si="23"/>
        <v>2917.38</v>
      </c>
      <c r="S48" s="105">
        <f t="shared" ref="S48:Y48" si="38">H48/$G$48*$R$48</f>
        <v>320.46231955059835</v>
      </c>
      <c r="T48" s="105">
        <f t="shared" si="38"/>
        <v>320.46231955059835</v>
      </c>
      <c r="U48" s="105">
        <f t="shared" si="38"/>
        <v>427.28309273413117</v>
      </c>
      <c r="V48" s="105">
        <f t="shared" si="38"/>
        <v>1175.0285050188609</v>
      </c>
      <c r="W48" s="105">
        <f t="shared" si="38"/>
        <v>0</v>
      </c>
      <c r="X48" s="105">
        <f t="shared" si="38"/>
        <v>674.14589956127543</v>
      </c>
      <c r="Y48" s="105">
        <f t="shared" si="38"/>
        <v>0</v>
      </c>
      <c r="Z48" s="105"/>
      <c r="AA48" s="96">
        <f t="shared" si="25"/>
        <v>2917.3821364154646</v>
      </c>
      <c r="AB48" s="113">
        <f t="shared" si="26"/>
        <v>2.1364154645198141E-3</v>
      </c>
      <c r="AC48" s="115">
        <f t="shared" si="27"/>
        <v>0</v>
      </c>
      <c r="AD48" s="105">
        <f t="shared" ref="AD48:AJ48" si="39">$AC$48*S48/$R$48</f>
        <v>0</v>
      </c>
      <c r="AE48" s="105">
        <f t="shared" si="39"/>
        <v>0</v>
      </c>
      <c r="AF48" s="105">
        <f t="shared" si="39"/>
        <v>0</v>
      </c>
      <c r="AG48" s="105">
        <f t="shared" si="39"/>
        <v>0</v>
      </c>
      <c r="AH48" s="105">
        <f t="shared" si="39"/>
        <v>0</v>
      </c>
      <c r="AI48" s="105">
        <f t="shared" si="39"/>
        <v>0</v>
      </c>
      <c r="AJ48" s="105">
        <f t="shared" si="39"/>
        <v>0</v>
      </c>
      <c r="AK48" s="105"/>
      <c r="AL48" s="96">
        <f t="shared" si="29"/>
        <v>0</v>
      </c>
      <c r="AM48" s="113">
        <f t="shared" si="30"/>
        <v>0</v>
      </c>
      <c r="AN48" s="115">
        <f t="shared" si="31"/>
        <v>0</v>
      </c>
      <c r="AO48" s="96">
        <f>AN48</f>
        <v>0</v>
      </c>
      <c r="AP48" s="96">
        <f t="shared" ref="AP48:AU48" si="40">AO48</f>
        <v>0</v>
      </c>
      <c r="AQ48" s="96">
        <f t="shared" si="40"/>
        <v>0</v>
      </c>
      <c r="AR48" s="96">
        <f t="shared" si="40"/>
        <v>0</v>
      </c>
      <c r="AS48" s="96">
        <f t="shared" si="40"/>
        <v>0</v>
      </c>
      <c r="AT48" s="96">
        <f t="shared" si="40"/>
        <v>0</v>
      </c>
      <c r="AU48" s="96">
        <f t="shared" si="40"/>
        <v>0</v>
      </c>
      <c r="AV48" s="96"/>
      <c r="AW48" s="96">
        <f t="shared" si="33"/>
        <v>0</v>
      </c>
      <c r="AX48" s="113">
        <f t="shared" si="34"/>
        <v>0</v>
      </c>
    </row>
    <row r="49" spans="1:50">
      <c r="A49" s="36" t="s">
        <v>111</v>
      </c>
      <c r="B49" s="54">
        <v>104702.21399999998</v>
      </c>
      <c r="C49" s="54">
        <f>C46*'data 1'!E49</f>
        <v>113990.51601599999</v>
      </c>
      <c r="D49" s="54">
        <f>D46*'data 1'!G49</f>
        <v>122023.90330000001</v>
      </c>
      <c r="E49" s="40">
        <v>132173.65330000001</v>
      </c>
      <c r="F49" s="128" t="s">
        <v>152</v>
      </c>
      <c r="G49" s="109">
        <f t="shared" si="7"/>
        <v>104702.21399999998</v>
      </c>
      <c r="H49" s="105">
        <f>$G$49*H46/$G$46</f>
        <v>11501.112080196315</v>
      </c>
      <c r="I49" s="105">
        <f>$G$49*I46/$G$46</f>
        <v>11501.112080196315</v>
      </c>
      <c r="J49" s="105">
        <f>$G$49*J46/$G$46</f>
        <v>15334.81610692842</v>
      </c>
      <c r="K49" s="105">
        <f>$G$49*K46/$G$46</f>
        <v>42170.744294053155</v>
      </c>
      <c r="L49" s="105"/>
      <c r="M49" s="105">
        <f>$G$49*M46/$G$46</f>
        <v>24194.506112706316</v>
      </c>
      <c r="N49" s="105"/>
      <c r="O49" s="105"/>
      <c r="P49" s="96">
        <f t="shared" si="21"/>
        <v>104702.29067408052</v>
      </c>
      <c r="Q49" s="113">
        <f t="shared" si="22"/>
        <v>7.6674080541124567E-2</v>
      </c>
      <c r="R49" s="115">
        <f t="shared" si="23"/>
        <v>113990.51601599999</v>
      </c>
      <c r="S49" s="105">
        <f t="shared" ref="S49:Y49" si="41">H49/$G$49*$R$49</f>
        <v>12521.394254179088</v>
      </c>
      <c r="T49" s="105">
        <f t="shared" si="41"/>
        <v>12521.394254179088</v>
      </c>
      <c r="U49" s="105">
        <f t="shared" si="41"/>
        <v>16695.192338905454</v>
      </c>
      <c r="V49" s="105">
        <f t="shared" si="41"/>
        <v>45911.778931989989</v>
      </c>
      <c r="W49" s="105">
        <f t="shared" si="41"/>
        <v>0</v>
      </c>
      <c r="X49" s="105">
        <f t="shared" si="41"/>
        <v>26340.839712708079</v>
      </c>
      <c r="Y49" s="105">
        <f t="shared" si="41"/>
        <v>0</v>
      </c>
      <c r="Z49" s="105"/>
      <c r="AA49" s="96">
        <f t="shared" si="25"/>
        <v>113990.59949196171</v>
      </c>
      <c r="AB49" s="113">
        <f t="shared" si="26"/>
        <v>8.3475961713702418E-2</v>
      </c>
      <c r="AC49" s="115">
        <f t="shared" si="27"/>
        <v>122023.90330000001</v>
      </c>
      <c r="AD49" s="105">
        <f t="shared" ref="AD49:AJ49" si="42">$AC$49*S49/$R$49</f>
        <v>13403.829152231081</v>
      </c>
      <c r="AE49" s="105">
        <f t="shared" si="42"/>
        <v>13403.829152231081</v>
      </c>
      <c r="AF49" s="105">
        <f t="shared" si="42"/>
        <v>17871.772202974778</v>
      </c>
      <c r="AG49" s="105">
        <f t="shared" si="42"/>
        <v>49147.373558180632</v>
      </c>
      <c r="AH49" s="105">
        <f t="shared" si="42"/>
        <v>0</v>
      </c>
      <c r="AI49" s="105">
        <f t="shared" si="42"/>
        <v>28197.188593243456</v>
      </c>
      <c r="AJ49" s="105">
        <f t="shared" si="42"/>
        <v>0</v>
      </c>
      <c r="AK49" s="105"/>
      <c r="AL49" s="96">
        <f t="shared" si="29"/>
        <v>122023.99265886103</v>
      </c>
      <c r="AM49" s="113">
        <f t="shared" si="30"/>
        <v>8.9358861019718461E-2</v>
      </c>
      <c r="AN49" s="115">
        <f t="shared" si="31"/>
        <v>132173.65330000001</v>
      </c>
      <c r="AO49" s="105">
        <f t="shared" ref="AO49:AU49" si="43">$AN$49/$AC$49*AD49</f>
        <v>14518.737881247762</v>
      </c>
      <c r="AP49" s="105">
        <f t="shared" si="43"/>
        <v>14518.737881247762</v>
      </c>
      <c r="AQ49" s="105">
        <f t="shared" si="43"/>
        <v>19358.317174997021</v>
      </c>
      <c r="AR49" s="105">
        <f t="shared" si="43"/>
        <v>53235.372231241796</v>
      </c>
      <c r="AS49" s="105">
        <f t="shared" si="43"/>
        <v>0</v>
      </c>
      <c r="AT49" s="105">
        <f t="shared" si="43"/>
        <v>30542.584922851547</v>
      </c>
      <c r="AU49" s="105">
        <f t="shared" si="43"/>
        <v>0</v>
      </c>
      <c r="AV49" s="105"/>
      <c r="AW49" s="96">
        <f t="shared" si="33"/>
        <v>132173.75009158588</v>
      </c>
      <c r="AX49" s="113">
        <f t="shared" si="34"/>
        <v>9.6791585878236219E-2</v>
      </c>
    </row>
    <row r="50" spans="1:50">
      <c r="A50" s="58" t="s">
        <v>112</v>
      </c>
      <c r="B50" s="59">
        <v>12246.23</v>
      </c>
      <c r="C50" s="54">
        <f>C47*'data 1'!E50</f>
        <v>12733.650799999999</v>
      </c>
      <c r="D50" s="54">
        <f>D47*'data 1'!G50</f>
        <v>19954.8596</v>
      </c>
      <c r="E50" s="80">
        <v>23338.1096</v>
      </c>
      <c r="F50" s="128" t="s">
        <v>152</v>
      </c>
      <c r="G50" s="109">
        <f t="shared" si="7"/>
        <v>12246.23</v>
      </c>
      <c r="H50" s="105">
        <f>$G$50*H46/$G$46</f>
        <v>1345.198524549467</v>
      </c>
      <c r="I50" s="105">
        <f>$G$50*I46/$G$46</f>
        <v>1345.198524549467</v>
      </c>
      <c r="J50" s="105">
        <f>$G$50*J46/$G$46</f>
        <v>1793.5980327326226</v>
      </c>
      <c r="K50" s="105">
        <f>$G$50*K46/$G$46</f>
        <v>4932.3945900147119</v>
      </c>
      <c r="L50" s="105"/>
      <c r="M50" s="105">
        <f>$G$50*M46/$G$46</f>
        <v>2829.8492961438951</v>
      </c>
      <c r="N50" s="105"/>
      <c r="O50" s="105"/>
      <c r="P50" s="96">
        <f t="shared" si="21"/>
        <v>12246.238967990163</v>
      </c>
      <c r="Q50" s="113">
        <f t="shared" si="22"/>
        <v>8.9679901630006498E-3</v>
      </c>
      <c r="R50" s="115">
        <f t="shared" si="23"/>
        <v>12733.650799999999</v>
      </c>
      <c r="S50" s="105">
        <f t="shared" ref="S50:Y50" si="44">H50/$G$50*$R$50</f>
        <v>1398.7397156747948</v>
      </c>
      <c r="T50" s="105">
        <f t="shared" si="44"/>
        <v>1398.7397156747948</v>
      </c>
      <c r="U50" s="105">
        <f t="shared" si="44"/>
        <v>1864.9862875663928</v>
      </c>
      <c r="V50" s="105">
        <f t="shared" si="44"/>
        <v>5128.7122908075798</v>
      </c>
      <c r="W50" s="105">
        <f t="shared" si="44"/>
        <v>0</v>
      </c>
      <c r="X50" s="105">
        <f t="shared" si="44"/>
        <v>2942.4821152078757</v>
      </c>
      <c r="Y50" s="105">
        <f t="shared" si="44"/>
        <v>0</v>
      </c>
      <c r="Z50" s="105"/>
      <c r="AA50" s="96">
        <f t="shared" si="25"/>
        <v>12733.660124931437</v>
      </c>
      <c r="AB50" s="113">
        <f t="shared" si="26"/>
        <v>9.3249314377317205E-3</v>
      </c>
      <c r="AC50" s="115">
        <f t="shared" si="27"/>
        <v>19954.8596</v>
      </c>
      <c r="AD50" s="105">
        <f t="shared" ref="AD50:AJ50" si="45">$AC$50*S50/$R$50</f>
        <v>2191.9601127458632</v>
      </c>
      <c r="AE50" s="105">
        <f t="shared" si="45"/>
        <v>2191.9601127458632</v>
      </c>
      <c r="AF50" s="105">
        <f t="shared" si="45"/>
        <v>2922.6134836611504</v>
      </c>
      <c r="AG50" s="105">
        <f t="shared" si="45"/>
        <v>8037.1870800681636</v>
      </c>
      <c r="AH50" s="105">
        <f t="shared" si="45"/>
        <v>0</v>
      </c>
      <c r="AI50" s="105">
        <f t="shared" si="45"/>
        <v>4611.1534238463792</v>
      </c>
      <c r="AJ50" s="105">
        <f t="shared" si="45"/>
        <v>0</v>
      </c>
      <c r="AK50" s="105"/>
      <c r="AL50" s="96">
        <f t="shared" si="29"/>
        <v>19954.874213067418</v>
      </c>
      <c r="AM50" s="113">
        <f t="shared" si="30"/>
        <v>1.4613067418395076E-2</v>
      </c>
      <c r="AN50" s="115">
        <f t="shared" si="31"/>
        <v>23338.1096</v>
      </c>
      <c r="AO50" s="105">
        <f t="shared" ref="AO50:AU50" si="46">$AN$50/$AC$50*AD50</f>
        <v>2563.5963557514237</v>
      </c>
      <c r="AP50" s="105">
        <f t="shared" si="46"/>
        <v>2563.5963557514237</v>
      </c>
      <c r="AQ50" s="105">
        <f t="shared" si="46"/>
        <v>3418.1284743352307</v>
      </c>
      <c r="AR50" s="105">
        <f t="shared" si="46"/>
        <v>9399.8533044218857</v>
      </c>
      <c r="AS50" s="105">
        <f t="shared" si="46"/>
        <v>0</v>
      </c>
      <c r="AT50" s="105">
        <f t="shared" si="46"/>
        <v>5392.9522003824095</v>
      </c>
      <c r="AU50" s="105">
        <f t="shared" si="46"/>
        <v>0</v>
      </c>
      <c r="AV50" s="105"/>
      <c r="AW50" s="96">
        <f t="shared" si="33"/>
        <v>23338.126690642373</v>
      </c>
      <c r="AX50" s="113">
        <f t="shared" si="34"/>
        <v>1.7090642373659648E-2</v>
      </c>
    </row>
    <row r="51" spans="1:50" ht="15.75" thickBot="1">
      <c r="A51" s="36" t="s">
        <v>113</v>
      </c>
      <c r="B51" s="54">
        <v>8891</v>
      </c>
      <c r="C51" s="54">
        <f>6723+713.5+91.9</f>
        <v>7528.4</v>
      </c>
      <c r="D51" s="54">
        <v>713.5</v>
      </c>
      <c r="E51" s="122">
        <v>0</v>
      </c>
      <c r="F51" s="128" t="s">
        <v>152</v>
      </c>
      <c r="G51" s="109">
        <f t="shared" si="7"/>
        <v>8891</v>
      </c>
      <c r="H51" s="105">
        <f>$G$51*H46/$G$46</f>
        <v>976.64016450526492</v>
      </c>
      <c r="I51" s="105">
        <f>$G$51*I46/$G$46</f>
        <v>976.64016450526492</v>
      </c>
      <c r="J51" s="105">
        <f>$G$51*J46/$G$46</f>
        <v>1302.1868860070199</v>
      </c>
      <c r="K51" s="105">
        <f>$G$51*K46/$G$46</f>
        <v>3581.0139365193049</v>
      </c>
      <c r="L51" s="105"/>
      <c r="M51" s="105">
        <f>$G$51*M46/$G$46</f>
        <v>2054.5253593975758</v>
      </c>
      <c r="N51" s="105"/>
      <c r="O51" s="105"/>
      <c r="P51" s="96">
        <f t="shared" si="21"/>
        <v>8891.0065109344305</v>
      </c>
      <c r="Q51" s="113">
        <f t="shared" si="22"/>
        <v>6.5109344304801198E-3</v>
      </c>
      <c r="R51" s="115">
        <f t="shared" si="23"/>
        <v>7528.4</v>
      </c>
      <c r="S51" s="105">
        <f t="shared" ref="S51:Y51" si="47">H51/$G$51*$R$51</f>
        <v>826.96410015312517</v>
      </c>
      <c r="T51" s="105">
        <f t="shared" si="47"/>
        <v>826.96410015312517</v>
      </c>
      <c r="U51" s="105">
        <f t="shared" si="47"/>
        <v>1102.6188002041667</v>
      </c>
      <c r="V51" s="105">
        <f t="shared" si="47"/>
        <v>3032.2017005614589</v>
      </c>
      <c r="W51" s="105">
        <f t="shared" si="47"/>
        <v>0</v>
      </c>
      <c r="X51" s="105">
        <f t="shared" si="47"/>
        <v>1739.6568120221245</v>
      </c>
      <c r="Y51" s="105">
        <f t="shared" si="47"/>
        <v>0</v>
      </c>
      <c r="Z51" s="105"/>
      <c r="AA51" s="96">
        <f t="shared" si="25"/>
        <v>7528.4055130940005</v>
      </c>
      <c r="AB51" s="113">
        <f t="shared" si="26"/>
        <v>5.5130940008893958E-3</v>
      </c>
      <c r="AC51" s="115">
        <f t="shared" si="27"/>
        <v>713.5</v>
      </c>
      <c r="AD51" s="105">
        <f t="shared" ref="AD51:AJ51" si="48">$AC$51*S51/$R$51</f>
        <v>78.375071125239742</v>
      </c>
      <c r="AE51" s="105">
        <f t="shared" si="48"/>
        <v>78.375071125239742</v>
      </c>
      <c r="AF51" s="105">
        <f t="shared" si="48"/>
        <v>104.50009483365298</v>
      </c>
      <c r="AG51" s="105">
        <f t="shared" si="48"/>
        <v>287.37526079254565</v>
      </c>
      <c r="AH51" s="105">
        <f t="shared" si="48"/>
        <v>0</v>
      </c>
      <c r="AI51" s="105">
        <f t="shared" si="48"/>
        <v>164.87502462379601</v>
      </c>
      <c r="AJ51" s="105">
        <f t="shared" si="48"/>
        <v>0</v>
      </c>
      <c r="AK51" s="105"/>
      <c r="AL51" s="96">
        <f t="shared" si="29"/>
        <v>713.50052250047406</v>
      </c>
      <c r="AM51" s="113">
        <f t="shared" si="30"/>
        <v>5.2250047406232625E-4</v>
      </c>
      <c r="AN51" s="115">
        <f t="shared" si="31"/>
        <v>0</v>
      </c>
      <c r="AO51" s="105">
        <f t="shared" ref="AO51:AU51" si="49">$AN$51/$AC$51*AD51</f>
        <v>0</v>
      </c>
      <c r="AP51" s="105">
        <f t="shared" si="49"/>
        <v>0</v>
      </c>
      <c r="AQ51" s="105">
        <f t="shared" si="49"/>
        <v>0</v>
      </c>
      <c r="AR51" s="105">
        <f t="shared" si="49"/>
        <v>0</v>
      </c>
      <c r="AS51" s="105">
        <f t="shared" si="49"/>
        <v>0</v>
      </c>
      <c r="AT51" s="105">
        <f t="shared" si="49"/>
        <v>0</v>
      </c>
      <c r="AU51" s="105">
        <f t="shared" si="49"/>
        <v>0</v>
      </c>
      <c r="AV51" s="105"/>
      <c r="AW51" s="96">
        <f t="shared" si="33"/>
        <v>0</v>
      </c>
      <c r="AX51" s="113">
        <f t="shared" si="34"/>
        <v>0</v>
      </c>
    </row>
    <row r="52" spans="1:50" ht="18" thickTop="1" thickBot="1">
      <c r="A52" s="81" t="s">
        <v>114</v>
      </c>
      <c r="B52" s="82">
        <f>SUM(B46:B51)</f>
        <v>431293.24399999995</v>
      </c>
      <c r="C52" s="82">
        <f>SUM(C46:C51)</f>
        <v>418092.50681600004</v>
      </c>
      <c r="D52" s="82">
        <f>SUM(D46:D51)</f>
        <v>457431.26290000003</v>
      </c>
      <c r="E52" s="82">
        <f>SUM(E46:E51)</f>
        <v>500250.76290000003</v>
      </c>
      <c r="F52" s="132"/>
      <c r="G52" s="108" t="str">
        <f t="shared" si="7"/>
        <v xml:space="preserve"> </v>
      </c>
      <c r="H52" s="102"/>
      <c r="I52" s="102"/>
      <c r="J52" s="102"/>
      <c r="K52" s="102"/>
      <c r="L52" s="102"/>
      <c r="M52" s="102"/>
      <c r="N52" s="102"/>
      <c r="O52" s="102"/>
      <c r="P52" s="103"/>
      <c r="Q52" s="114"/>
      <c r="R52" s="112" t="str">
        <f t="shared" ref="R52:R64" si="50">IF(Q52=$G$2,L52," ")</f>
        <v xml:space="preserve"> </v>
      </c>
      <c r="S52" s="102"/>
      <c r="T52" s="102"/>
      <c r="U52" s="102"/>
      <c r="V52" s="102"/>
      <c r="W52" s="102"/>
      <c r="X52" s="102"/>
      <c r="Y52" s="102"/>
      <c r="Z52" s="102"/>
      <c r="AA52" s="103"/>
      <c r="AB52" s="114"/>
      <c r="AC52" s="112" t="str">
        <f t="shared" ref="AC52:AC64" si="51">IF(AB52=$G$2,W52," ")</f>
        <v xml:space="preserve"> </v>
      </c>
      <c r="AD52" s="102"/>
      <c r="AE52" s="102"/>
      <c r="AF52" s="102"/>
      <c r="AG52" s="102"/>
      <c r="AH52" s="102"/>
      <c r="AI52" s="102"/>
      <c r="AJ52" s="102"/>
      <c r="AK52" s="102"/>
      <c r="AL52" s="103"/>
      <c r="AM52" s="114"/>
      <c r="AN52" s="112" t="str">
        <f t="shared" ref="AN52:AN64" si="52">IF(AM52=$G$2,AH52," ")</f>
        <v xml:space="preserve"> </v>
      </c>
      <c r="AO52" s="102"/>
      <c r="AP52" s="102"/>
      <c r="AQ52" s="102"/>
      <c r="AR52" s="102"/>
      <c r="AS52" s="102"/>
      <c r="AT52" s="102"/>
      <c r="AU52" s="102"/>
      <c r="AV52" s="102"/>
      <c r="AW52" s="103"/>
      <c r="AX52" s="114"/>
    </row>
    <row r="53" spans="1:50" ht="15.75" thickTop="1">
      <c r="A53" s="36" t="s">
        <v>115</v>
      </c>
      <c r="B53" s="54">
        <v>2055</v>
      </c>
      <c r="C53" s="54">
        <v>1924</v>
      </c>
      <c r="D53" s="54">
        <f>0.0068*(D46+D47)</f>
        <v>2140.2251999999999</v>
      </c>
      <c r="E53" s="40">
        <v>2344.2251999999999</v>
      </c>
      <c r="F53" s="128" t="s">
        <v>0</v>
      </c>
      <c r="G53" s="108" t="str">
        <f>IF(F53=$G$2,B53," ")</f>
        <v xml:space="preserve"> </v>
      </c>
      <c r="H53" s="102"/>
      <c r="I53" s="102"/>
      <c r="J53" s="102"/>
      <c r="K53" s="102"/>
      <c r="L53" s="102"/>
      <c r="M53" s="102"/>
      <c r="N53" s="102"/>
      <c r="O53" s="102"/>
      <c r="P53" s="103"/>
      <c r="Q53" s="114"/>
      <c r="R53" s="112" t="str">
        <f t="shared" si="50"/>
        <v xml:space="preserve"> </v>
      </c>
      <c r="S53" s="102"/>
      <c r="T53" s="102"/>
      <c r="U53" s="102"/>
      <c r="V53" s="102"/>
      <c r="W53" s="102"/>
      <c r="X53" s="102"/>
      <c r="Y53" s="102"/>
      <c r="Z53" s="102"/>
      <c r="AA53" s="103"/>
      <c r="AB53" s="114"/>
      <c r="AC53" s="112" t="str">
        <f t="shared" si="51"/>
        <v xml:space="preserve"> </v>
      </c>
      <c r="AD53" s="102"/>
      <c r="AE53" s="102"/>
      <c r="AF53" s="102"/>
      <c r="AG53" s="102"/>
      <c r="AH53" s="102"/>
      <c r="AI53" s="102"/>
      <c r="AJ53" s="102"/>
      <c r="AK53" s="102"/>
      <c r="AL53" s="103"/>
      <c r="AM53" s="114"/>
      <c r="AN53" s="112" t="str">
        <f t="shared" si="52"/>
        <v xml:space="preserve"> </v>
      </c>
      <c r="AO53" s="102"/>
      <c r="AP53" s="102"/>
      <c r="AQ53" s="102"/>
      <c r="AR53" s="102"/>
      <c r="AS53" s="102"/>
      <c r="AT53" s="102"/>
      <c r="AU53" s="102"/>
      <c r="AV53" s="102"/>
      <c r="AW53" s="103"/>
      <c r="AX53" s="114"/>
    </row>
    <row r="54" spans="1:50">
      <c r="A54" s="36" t="s">
        <v>116</v>
      </c>
      <c r="B54" s="54">
        <v>1661</v>
      </c>
      <c r="C54" s="54">
        <v>1557</v>
      </c>
      <c r="D54" s="54">
        <f>0.0055*(D46+D47)</f>
        <v>1731.0645</v>
      </c>
      <c r="E54" s="40">
        <v>1896.0645</v>
      </c>
      <c r="F54" s="128" t="s">
        <v>0</v>
      </c>
      <c r="G54" s="108" t="str">
        <f>IF(F54=$G$2,B54," ")</f>
        <v xml:space="preserve"> </v>
      </c>
      <c r="H54" s="102"/>
      <c r="I54" s="102"/>
      <c r="J54" s="102"/>
      <c r="K54" s="102"/>
      <c r="L54" s="102"/>
      <c r="M54" s="102"/>
      <c r="N54" s="102"/>
      <c r="O54" s="102"/>
      <c r="P54" s="103"/>
      <c r="Q54" s="114"/>
      <c r="R54" s="112" t="str">
        <f t="shared" si="50"/>
        <v xml:space="preserve"> </v>
      </c>
      <c r="S54" s="102"/>
      <c r="T54" s="102"/>
      <c r="U54" s="102"/>
      <c r="V54" s="102"/>
      <c r="W54" s="102"/>
      <c r="X54" s="102"/>
      <c r="Y54" s="102"/>
      <c r="Z54" s="102"/>
      <c r="AA54" s="103"/>
      <c r="AB54" s="114"/>
      <c r="AC54" s="112" t="str">
        <f t="shared" si="51"/>
        <v xml:space="preserve"> </v>
      </c>
      <c r="AD54" s="102"/>
      <c r="AE54" s="102"/>
      <c r="AF54" s="102"/>
      <c r="AG54" s="102"/>
      <c r="AH54" s="102"/>
      <c r="AI54" s="102"/>
      <c r="AJ54" s="102"/>
      <c r="AK54" s="102"/>
      <c r="AL54" s="103"/>
      <c r="AM54" s="114"/>
      <c r="AN54" s="112" t="str">
        <f t="shared" si="52"/>
        <v xml:space="preserve"> </v>
      </c>
      <c r="AO54" s="102"/>
      <c r="AP54" s="102"/>
      <c r="AQ54" s="102"/>
      <c r="AR54" s="102"/>
      <c r="AS54" s="102"/>
      <c r="AT54" s="102"/>
      <c r="AU54" s="102"/>
      <c r="AV54" s="102"/>
      <c r="AW54" s="103"/>
      <c r="AX54" s="114"/>
    </row>
    <row r="55" spans="1:50">
      <c r="A55" s="36" t="s">
        <v>117</v>
      </c>
      <c r="B55" s="54">
        <v>1487</v>
      </c>
      <c r="C55" s="54">
        <v>0</v>
      </c>
      <c r="D55" s="54">
        <f>C55</f>
        <v>0</v>
      </c>
      <c r="E55" s="40">
        <v>0</v>
      </c>
      <c r="F55" s="128" t="s">
        <v>0</v>
      </c>
      <c r="G55" s="108" t="str">
        <f>IF(F55=$G$2,B55," ")</f>
        <v xml:space="preserve"> </v>
      </c>
      <c r="H55" s="102"/>
      <c r="I55" s="102"/>
      <c r="J55" s="102"/>
      <c r="K55" s="102"/>
      <c r="L55" s="102"/>
      <c r="M55" s="102"/>
      <c r="N55" s="102"/>
      <c r="O55" s="102"/>
      <c r="P55" s="103"/>
      <c r="Q55" s="114"/>
      <c r="R55" s="112" t="str">
        <f t="shared" si="50"/>
        <v xml:space="preserve"> </v>
      </c>
      <c r="S55" s="102"/>
      <c r="T55" s="102"/>
      <c r="U55" s="102"/>
      <c r="V55" s="102"/>
      <c r="W55" s="102"/>
      <c r="X55" s="102"/>
      <c r="Y55" s="102"/>
      <c r="Z55" s="102"/>
      <c r="AA55" s="103"/>
      <c r="AB55" s="114"/>
      <c r="AC55" s="112" t="str">
        <f t="shared" si="51"/>
        <v xml:space="preserve"> </v>
      </c>
      <c r="AD55" s="102"/>
      <c r="AE55" s="102"/>
      <c r="AF55" s="102"/>
      <c r="AG55" s="102"/>
      <c r="AH55" s="102"/>
      <c r="AI55" s="102"/>
      <c r="AJ55" s="102"/>
      <c r="AK55" s="102"/>
      <c r="AL55" s="103"/>
      <c r="AM55" s="114"/>
      <c r="AN55" s="112" t="str">
        <f t="shared" si="52"/>
        <v xml:space="preserve"> </v>
      </c>
      <c r="AO55" s="102"/>
      <c r="AP55" s="102"/>
      <c r="AQ55" s="102"/>
      <c r="AR55" s="102"/>
      <c r="AS55" s="102"/>
      <c r="AT55" s="102"/>
      <c r="AU55" s="102"/>
      <c r="AV55" s="102"/>
      <c r="AW55" s="103"/>
      <c r="AX55" s="114"/>
    </row>
    <row r="56" spans="1:50">
      <c r="A56" s="36" t="s">
        <v>118</v>
      </c>
      <c r="B56" s="54">
        <v>5443</v>
      </c>
      <c r="C56" s="54">
        <v>3773</v>
      </c>
      <c r="D56" s="54">
        <v>1000</v>
      </c>
      <c r="E56" s="40">
        <v>3773</v>
      </c>
      <c r="F56" s="128" t="s">
        <v>0</v>
      </c>
      <c r="G56" s="108" t="str">
        <f>IF(F56=$G$2,B56," ")</f>
        <v xml:space="preserve"> </v>
      </c>
      <c r="H56" s="102"/>
      <c r="I56" s="102"/>
      <c r="J56" s="102"/>
      <c r="K56" s="102"/>
      <c r="L56" s="102"/>
      <c r="M56" s="102"/>
      <c r="N56" s="102"/>
      <c r="O56" s="102"/>
      <c r="P56" s="103"/>
      <c r="Q56" s="114"/>
      <c r="R56" s="112" t="str">
        <f t="shared" si="50"/>
        <v xml:space="preserve"> </v>
      </c>
      <c r="S56" s="102"/>
      <c r="T56" s="102"/>
      <c r="U56" s="102"/>
      <c r="V56" s="102"/>
      <c r="W56" s="102"/>
      <c r="X56" s="102"/>
      <c r="Y56" s="102"/>
      <c r="Z56" s="102"/>
      <c r="AA56" s="103"/>
      <c r="AB56" s="114"/>
      <c r="AC56" s="112" t="str">
        <f t="shared" si="51"/>
        <v xml:space="preserve"> </v>
      </c>
      <c r="AD56" s="102"/>
      <c r="AE56" s="102"/>
      <c r="AF56" s="102"/>
      <c r="AG56" s="102"/>
      <c r="AH56" s="102"/>
      <c r="AI56" s="102"/>
      <c r="AJ56" s="102"/>
      <c r="AK56" s="102"/>
      <c r="AL56" s="103"/>
      <c r="AM56" s="114"/>
      <c r="AN56" s="112" t="str">
        <f t="shared" si="52"/>
        <v xml:space="preserve"> </v>
      </c>
      <c r="AO56" s="102"/>
      <c r="AP56" s="102"/>
      <c r="AQ56" s="102"/>
      <c r="AR56" s="102"/>
      <c r="AS56" s="102"/>
      <c r="AT56" s="102"/>
      <c r="AU56" s="102"/>
      <c r="AV56" s="102"/>
      <c r="AW56" s="103"/>
      <c r="AX56" s="114"/>
    </row>
    <row r="57" spans="1:50">
      <c r="A57" s="36" t="s">
        <v>119</v>
      </c>
      <c r="B57" s="54">
        <v>15.25</v>
      </c>
      <c r="C57" s="54">
        <v>0</v>
      </c>
      <c r="D57" s="54">
        <f>C57</f>
        <v>0</v>
      </c>
      <c r="E57" s="40">
        <v>0</v>
      </c>
      <c r="F57" s="128" t="s">
        <v>0</v>
      </c>
      <c r="G57" s="108" t="str">
        <f>IF(F57=$G$2,B57," ")</f>
        <v xml:space="preserve"> </v>
      </c>
      <c r="H57" s="102"/>
      <c r="I57" s="102"/>
      <c r="J57" s="102"/>
      <c r="K57" s="102"/>
      <c r="L57" s="102"/>
      <c r="M57" s="102"/>
      <c r="N57" s="102"/>
      <c r="O57" s="102"/>
      <c r="P57" s="103"/>
      <c r="Q57" s="114"/>
      <c r="R57" s="112" t="str">
        <f t="shared" si="50"/>
        <v xml:space="preserve"> </v>
      </c>
      <c r="S57" s="102"/>
      <c r="T57" s="102"/>
      <c r="U57" s="102"/>
      <c r="V57" s="102"/>
      <c r="W57" s="102"/>
      <c r="X57" s="102"/>
      <c r="Y57" s="102"/>
      <c r="Z57" s="102"/>
      <c r="AA57" s="103"/>
      <c r="AB57" s="114"/>
      <c r="AC57" s="112" t="str">
        <f t="shared" si="51"/>
        <v xml:space="preserve"> </v>
      </c>
      <c r="AD57" s="102"/>
      <c r="AE57" s="102"/>
      <c r="AF57" s="102"/>
      <c r="AG57" s="102"/>
      <c r="AH57" s="102"/>
      <c r="AI57" s="102"/>
      <c r="AJ57" s="102"/>
      <c r="AK57" s="102"/>
      <c r="AL57" s="103"/>
      <c r="AM57" s="114"/>
      <c r="AN57" s="112" t="str">
        <f t="shared" si="52"/>
        <v xml:space="preserve"> </v>
      </c>
      <c r="AO57" s="102"/>
      <c r="AP57" s="102"/>
      <c r="AQ57" s="102"/>
      <c r="AR57" s="102"/>
      <c r="AS57" s="102"/>
      <c r="AT57" s="102"/>
      <c r="AU57" s="102"/>
      <c r="AV57" s="102"/>
      <c r="AW57" s="103"/>
      <c r="AX57" s="114"/>
    </row>
    <row r="58" spans="1:50">
      <c r="A58" s="36" t="s">
        <v>120</v>
      </c>
      <c r="B58" s="54">
        <v>2282</v>
      </c>
      <c r="C58" s="54">
        <f>2400-350</f>
        <v>2050</v>
      </c>
      <c r="D58" s="54">
        <f>C58</f>
        <v>2050</v>
      </c>
      <c r="E58" s="40">
        <v>2050</v>
      </c>
      <c r="F58" s="128" t="s">
        <v>0</v>
      </c>
      <c r="G58" s="108" t="str">
        <f t="shared" si="7"/>
        <v xml:space="preserve"> </v>
      </c>
      <c r="H58" s="102"/>
      <c r="I58" s="102"/>
      <c r="J58" s="102"/>
      <c r="K58" s="102"/>
      <c r="L58" s="102"/>
      <c r="M58" s="102"/>
      <c r="N58" s="102"/>
      <c r="O58" s="102"/>
      <c r="P58" s="103"/>
      <c r="Q58" s="114"/>
      <c r="R58" s="112" t="str">
        <f t="shared" si="50"/>
        <v xml:space="preserve"> </v>
      </c>
      <c r="S58" s="102"/>
      <c r="T58" s="102"/>
      <c r="U58" s="102"/>
      <c r="V58" s="102"/>
      <c r="W58" s="102"/>
      <c r="X58" s="102"/>
      <c r="Y58" s="102"/>
      <c r="Z58" s="102"/>
      <c r="AA58" s="103"/>
      <c r="AB58" s="114"/>
      <c r="AC58" s="112" t="str">
        <f t="shared" si="51"/>
        <v xml:space="preserve"> </v>
      </c>
      <c r="AD58" s="102"/>
      <c r="AE58" s="102"/>
      <c r="AF58" s="102"/>
      <c r="AG58" s="102"/>
      <c r="AH58" s="102"/>
      <c r="AI58" s="102"/>
      <c r="AJ58" s="102"/>
      <c r="AK58" s="102"/>
      <c r="AL58" s="103"/>
      <c r="AM58" s="114"/>
      <c r="AN58" s="112" t="str">
        <f t="shared" si="52"/>
        <v xml:space="preserve"> </v>
      </c>
      <c r="AO58" s="102"/>
      <c r="AP58" s="102"/>
      <c r="AQ58" s="102"/>
      <c r="AR58" s="102"/>
      <c r="AS58" s="102"/>
      <c r="AT58" s="102"/>
      <c r="AU58" s="102"/>
      <c r="AV58" s="102"/>
      <c r="AW58" s="103"/>
      <c r="AX58" s="114"/>
    </row>
    <row r="59" spans="1:50">
      <c r="A59" s="36" t="s">
        <v>121</v>
      </c>
      <c r="B59" s="54">
        <v>9209.4599999999991</v>
      </c>
      <c r="C59" s="54">
        <f>1887.55+3971.82</f>
        <v>5859.37</v>
      </c>
      <c r="D59" s="54">
        <f>C59</f>
        <v>5859.37</v>
      </c>
      <c r="E59" s="40">
        <v>5859.37</v>
      </c>
      <c r="F59" s="128" t="s">
        <v>0</v>
      </c>
      <c r="G59" s="108" t="str">
        <f t="shared" si="7"/>
        <v xml:space="preserve"> </v>
      </c>
      <c r="H59" s="102"/>
      <c r="I59" s="102"/>
      <c r="J59" s="102"/>
      <c r="K59" s="102"/>
      <c r="L59" s="102"/>
      <c r="M59" s="102"/>
      <c r="N59" s="102"/>
      <c r="O59" s="102"/>
      <c r="P59" s="103"/>
      <c r="Q59" s="114"/>
      <c r="R59" s="112" t="str">
        <f t="shared" si="50"/>
        <v xml:space="preserve"> </v>
      </c>
      <c r="S59" s="102"/>
      <c r="T59" s="102"/>
      <c r="U59" s="102"/>
      <c r="V59" s="102"/>
      <c r="W59" s="102"/>
      <c r="X59" s="102"/>
      <c r="Y59" s="102"/>
      <c r="Z59" s="102"/>
      <c r="AA59" s="103"/>
      <c r="AB59" s="114"/>
      <c r="AC59" s="112" t="str">
        <f t="shared" si="51"/>
        <v xml:space="preserve"> </v>
      </c>
      <c r="AD59" s="102"/>
      <c r="AE59" s="102"/>
      <c r="AF59" s="102"/>
      <c r="AG59" s="102"/>
      <c r="AH59" s="102"/>
      <c r="AI59" s="102"/>
      <c r="AJ59" s="102"/>
      <c r="AK59" s="102"/>
      <c r="AL59" s="103"/>
      <c r="AM59" s="114"/>
      <c r="AN59" s="112" t="str">
        <f t="shared" si="52"/>
        <v xml:space="preserve"> </v>
      </c>
      <c r="AO59" s="102"/>
      <c r="AP59" s="102"/>
      <c r="AQ59" s="102"/>
      <c r="AR59" s="102"/>
      <c r="AS59" s="102"/>
      <c r="AT59" s="102"/>
      <c r="AU59" s="102"/>
      <c r="AV59" s="102"/>
      <c r="AW59" s="103"/>
      <c r="AX59" s="114"/>
    </row>
    <row r="60" spans="1:50">
      <c r="A60" s="36" t="s">
        <v>122</v>
      </c>
      <c r="B60" s="54">
        <v>3750</v>
      </c>
      <c r="C60" s="54">
        <v>0</v>
      </c>
      <c r="D60" s="54">
        <f>C60</f>
        <v>0</v>
      </c>
      <c r="E60" s="40">
        <v>0</v>
      </c>
      <c r="F60" s="128" t="s">
        <v>0</v>
      </c>
      <c r="G60" s="108" t="str">
        <f t="shared" si="7"/>
        <v xml:space="preserve"> </v>
      </c>
      <c r="H60" s="102"/>
      <c r="I60" s="102"/>
      <c r="J60" s="102"/>
      <c r="K60" s="102"/>
      <c r="L60" s="102"/>
      <c r="M60" s="102"/>
      <c r="N60" s="102"/>
      <c r="O60" s="102"/>
      <c r="P60" s="103"/>
      <c r="Q60" s="114"/>
      <c r="R60" s="112" t="str">
        <f t="shared" si="50"/>
        <v xml:space="preserve"> </v>
      </c>
      <c r="S60" s="102"/>
      <c r="T60" s="102"/>
      <c r="U60" s="102"/>
      <c r="V60" s="102"/>
      <c r="W60" s="102"/>
      <c r="X60" s="102"/>
      <c r="Y60" s="102"/>
      <c r="Z60" s="102"/>
      <c r="AA60" s="103"/>
      <c r="AB60" s="114"/>
      <c r="AC60" s="112" t="str">
        <f t="shared" si="51"/>
        <v xml:space="preserve"> </v>
      </c>
      <c r="AD60" s="102"/>
      <c r="AE60" s="102"/>
      <c r="AF60" s="102"/>
      <c r="AG60" s="102"/>
      <c r="AH60" s="102"/>
      <c r="AI60" s="102"/>
      <c r="AJ60" s="102"/>
      <c r="AK60" s="102"/>
      <c r="AL60" s="103"/>
      <c r="AM60" s="114"/>
      <c r="AN60" s="112" t="str">
        <f t="shared" si="52"/>
        <v xml:space="preserve"> </v>
      </c>
      <c r="AO60" s="102"/>
      <c r="AP60" s="102"/>
      <c r="AQ60" s="102"/>
      <c r="AR60" s="102"/>
      <c r="AS60" s="102"/>
      <c r="AT60" s="102"/>
      <c r="AU60" s="102"/>
      <c r="AV60" s="102"/>
      <c r="AW60" s="103"/>
      <c r="AX60" s="114"/>
    </row>
    <row r="61" spans="1:50">
      <c r="A61" s="36" t="s">
        <v>123</v>
      </c>
      <c r="B61" s="54">
        <v>1</v>
      </c>
      <c r="C61" s="54">
        <v>1818.66</v>
      </c>
      <c r="D61" s="54">
        <v>1200</v>
      </c>
      <c r="E61" s="40">
        <v>1818.66</v>
      </c>
      <c r="F61" s="128" t="s">
        <v>0</v>
      </c>
      <c r="G61" s="108" t="str">
        <f t="shared" si="7"/>
        <v xml:space="preserve"> </v>
      </c>
      <c r="H61" s="102"/>
      <c r="I61" s="102"/>
      <c r="J61" s="102"/>
      <c r="K61" s="102"/>
      <c r="L61" s="102"/>
      <c r="M61" s="102"/>
      <c r="N61" s="102"/>
      <c r="O61" s="102"/>
      <c r="P61" s="103"/>
      <c r="Q61" s="114"/>
      <c r="R61" s="112" t="str">
        <f t="shared" si="50"/>
        <v xml:space="preserve"> </v>
      </c>
      <c r="S61" s="102"/>
      <c r="T61" s="102"/>
      <c r="U61" s="102"/>
      <c r="V61" s="102"/>
      <c r="W61" s="102"/>
      <c r="X61" s="102"/>
      <c r="Y61" s="102"/>
      <c r="Z61" s="102"/>
      <c r="AA61" s="103"/>
      <c r="AB61" s="114"/>
      <c r="AC61" s="112" t="str">
        <f t="shared" si="51"/>
        <v xml:space="preserve"> </v>
      </c>
      <c r="AD61" s="102"/>
      <c r="AE61" s="102"/>
      <c r="AF61" s="102"/>
      <c r="AG61" s="102"/>
      <c r="AH61" s="102"/>
      <c r="AI61" s="102"/>
      <c r="AJ61" s="102"/>
      <c r="AK61" s="102"/>
      <c r="AL61" s="103"/>
      <c r="AM61" s="114"/>
      <c r="AN61" s="112" t="str">
        <f t="shared" si="52"/>
        <v xml:space="preserve"> </v>
      </c>
      <c r="AO61" s="102"/>
      <c r="AP61" s="102"/>
      <c r="AQ61" s="102"/>
      <c r="AR61" s="102"/>
      <c r="AS61" s="102"/>
      <c r="AT61" s="102"/>
      <c r="AU61" s="102"/>
      <c r="AV61" s="102"/>
      <c r="AW61" s="103"/>
      <c r="AX61" s="114"/>
    </row>
    <row r="62" spans="1:50" ht="15.75" thickBot="1">
      <c r="A62" s="36" t="s">
        <v>124</v>
      </c>
      <c r="B62" s="54">
        <v>2516.5455999999999</v>
      </c>
      <c r="C62" s="54">
        <v>2684.8244640000003</v>
      </c>
      <c r="D62" s="54">
        <f>(D3+D4+D6+D7)*0.0016</f>
        <v>3205.2647499522191</v>
      </c>
      <c r="E62" s="40">
        <v>3286.8196596322532</v>
      </c>
      <c r="F62" s="128" t="s">
        <v>0</v>
      </c>
      <c r="G62" s="108" t="str">
        <f t="shared" si="7"/>
        <v xml:space="preserve"> </v>
      </c>
      <c r="H62" s="102"/>
      <c r="I62" s="102"/>
      <c r="J62" s="102"/>
      <c r="K62" s="102"/>
      <c r="L62" s="102"/>
      <c r="M62" s="102"/>
      <c r="N62" s="102"/>
      <c r="O62" s="102"/>
      <c r="P62" s="103"/>
      <c r="Q62" s="114"/>
      <c r="R62" s="112" t="str">
        <f t="shared" si="50"/>
        <v xml:space="preserve"> </v>
      </c>
      <c r="S62" s="102"/>
      <c r="T62" s="102"/>
      <c r="U62" s="102"/>
      <c r="V62" s="102"/>
      <c r="W62" s="102"/>
      <c r="X62" s="102"/>
      <c r="Y62" s="102"/>
      <c r="Z62" s="102"/>
      <c r="AA62" s="103"/>
      <c r="AB62" s="114"/>
      <c r="AC62" s="112" t="str">
        <f t="shared" si="51"/>
        <v xml:space="preserve"> </v>
      </c>
      <c r="AD62" s="102"/>
      <c r="AE62" s="102"/>
      <c r="AF62" s="102"/>
      <c r="AG62" s="102"/>
      <c r="AH62" s="102"/>
      <c r="AI62" s="102"/>
      <c r="AJ62" s="102"/>
      <c r="AK62" s="102"/>
      <c r="AL62" s="103"/>
      <c r="AM62" s="114"/>
      <c r="AN62" s="112" t="str">
        <f t="shared" si="52"/>
        <v xml:space="preserve"> </v>
      </c>
      <c r="AO62" s="102"/>
      <c r="AP62" s="102"/>
      <c r="AQ62" s="102"/>
      <c r="AR62" s="102"/>
      <c r="AS62" s="102"/>
      <c r="AT62" s="102"/>
      <c r="AU62" s="102"/>
      <c r="AV62" s="102"/>
      <c r="AW62" s="103"/>
      <c r="AX62" s="114"/>
    </row>
    <row r="63" spans="1:50" ht="22.5" customHeight="1" thickTop="1" thickBot="1">
      <c r="A63" s="81" t="s">
        <v>125</v>
      </c>
      <c r="B63" s="84">
        <f>SUM(B53:B62)</f>
        <v>28420.2556</v>
      </c>
      <c r="C63" s="84">
        <f>SUM(C53:C62)</f>
        <v>19666.854464</v>
      </c>
      <c r="D63" s="84">
        <f>SUM(D53:D62)</f>
        <v>17185.924449952217</v>
      </c>
      <c r="E63" s="84">
        <f>SUM(E53:E62)</f>
        <v>21028.139359632252</v>
      </c>
      <c r="F63" s="132"/>
      <c r="G63" s="108" t="str">
        <f t="shared" si="7"/>
        <v xml:space="preserve"> </v>
      </c>
      <c r="H63" s="102"/>
      <c r="I63" s="102"/>
      <c r="J63" s="102"/>
      <c r="K63" s="102"/>
      <c r="L63" s="102"/>
      <c r="M63" s="102"/>
      <c r="N63" s="102"/>
      <c r="O63" s="102"/>
      <c r="P63" s="103"/>
      <c r="Q63" s="114"/>
      <c r="R63" s="112" t="str">
        <f t="shared" si="50"/>
        <v xml:space="preserve"> </v>
      </c>
      <c r="S63" s="102"/>
      <c r="T63" s="102"/>
      <c r="U63" s="102"/>
      <c r="V63" s="102"/>
      <c r="W63" s="102"/>
      <c r="X63" s="102"/>
      <c r="Y63" s="102"/>
      <c r="Z63" s="102"/>
      <c r="AA63" s="103"/>
      <c r="AB63" s="114"/>
      <c r="AC63" s="112" t="str">
        <f t="shared" si="51"/>
        <v xml:space="preserve"> </v>
      </c>
      <c r="AD63" s="102"/>
      <c r="AE63" s="102"/>
      <c r="AF63" s="102"/>
      <c r="AG63" s="102"/>
      <c r="AH63" s="102"/>
      <c r="AI63" s="102"/>
      <c r="AJ63" s="102"/>
      <c r="AK63" s="102"/>
      <c r="AL63" s="103"/>
      <c r="AM63" s="114"/>
      <c r="AN63" s="112" t="str">
        <f t="shared" si="52"/>
        <v xml:space="preserve"> </v>
      </c>
      <c r="AO63" s="102"/>
      <c r="AP63" s="102"/>
      <c r="AQ63" s="102"/>
      <c r="AR63" s="102"/>
      <c r="AS63" s="102"/>
      <c r="AT63" s="102"/>
      <c r="AU63" s="102"/>
      <c r="AV63" s="102"/>
      <c r="AW63" s="103"/>
      <c r="AX63" s="114"/>
    </row>
    <row r="64" spans="1:50" ht="21" customHeight="1" thickTop="1" thickBot="1">
      <c r="A64" s="81" t="s">
        <v>126</v>
      </c>
      <c r="B64" s="85">
        <f>B44-B52-B63</f>
        <v>51053.130400000053</v>
      </c>
      <c r="C64" s="147">
        <f>C44-C52-C63</f>
        <v>43660.568719999894</v>
      </c>
      <c r="D64" s="85">
        <f>D44-D52-D63</f>
        <v>112502.12008458881</v>
      </c>
      <c r="E64" s="85">
        <f>E44-E52-E63</f>
        <v>108978.18211573103</v>
      </c>
      <c r="F64" s="132"/>
      <c r="G64" s="108" t="str">
        <f t="shared" si="7"/>
        <v xml:space="preserve"> </v>
      </c>
      <c r="H64" s="102"/>
      <c r="I64" s="102"/>
      <c r="J64" s="102"/>
      <c r="K64" s="102"/>
      <c r="L64" s="102"/>
      <c r="M64" s="102"/>
      <c r="N64" s="102"/>
      <c r="O64" s="102"/>
      <c r="P64" s="103">
        <f>+SUM(H64:N64)</f>
        <v>0</v>
      </c>
      <c r="Q64" s="114"/>
      <c r="R64" s="112" t="str">
        <f t="shared" si="50"/>
        <v xml:space="preserve"> </v>
      </c>
      <c r="S64" s="102"/>
      <c r="T64" s="102"/>
      <c r="U64" s="102"/>
      <c r="V64" s="102"/>
      <c r="W64" s="102"/>
      <c r="X64" s="102"/>
      <c r="Y64" s="102"/>
      <c r="Z64" s="102"/>
      <c r="AA64" s="103">
        <f>+SUM(S64:Y64)</f>
        <v>0</v>
      </c>
      <c r="AB64" s="114"/>
      <c r="AC64" s="112" t="str">
        <f t="shared" si="51"/>
        <v xml:space="preserve"> </v>
      </c>
      <c r="AD64" s="102"/>
      <c r="AE64" s="102"/>
      <c r="AF64" s="102"/>
      <c r="AG64" s="102"/>
      <c r="AH64" s="102"/>
      <c r="AI64" s="102"/>
      <c r="AJ64" s="102"/>
      <c r="AK64" s="102"/>
      <c r="AL64" s="103">
        <f>+SUM(AD64:AJ64)</f>
        <v>0</v>
      </c>
      <c r="AM64" s="114"/>
      <c r="AN64" s="112" t="str">
        <f t="shared" si="52"/>
        <v xml:space="preserve"> </v>
      </c>
      <c r="AO64" s="102"/>
      <c r="AP64" s="102"/>
      <c r="AQ64" s="102"/>
      <c r="AR64" s="102"/>
      <c r="AS64" s="102"/>
      <c r="AT64" s="102"/>
      <c r="AU64" s="102"/>
      <c r="AV64" s="102"/>
      <c r="AW64" s="103">
        <f>+SUM(AO64:AU64)</f>
        <v>0</v>
      </c>
      <c r="AX64" s="114"/>
    </row>
    <row r="65" spans="1:51" ht="18.75" customHeight="1" thickTop="1">
      <c r="A65" s="36" t="s">
        <v>127</v>
      </c>
      <c r="B65" s="54">
        <v>43334</v>
      </c>
      <c r="C65" s="54">
        <f>36548.65+3355-2013</f>
        <v>37890.65</v>
      </c>
      <c r="D65" s="54">
        <f>14707+11600</f>
        <v>26307</v>
      </c>
      <c r="E65" s="40">
        <v>32324</v>
      </c>
      <c r="F65" s="128" t="s">
        <v>164</v>
      </c>
      <c r="G65" s="108"/>
      <c r="H65" s="102"/>
      <c r="I65" s="102"/>
      <c r="J65" s="102"/>
      <c r="K65" s="102"/>
      <c r="L65" s="102"/>
      <c r="M65" s="102"/>
      <c r="N65" s="102"/>
      <c r="O65" s="102"/>
      <c r="P65" s="103"/>
      <c r="Q65" s="114">
        <f>P65-G65</f>
        <v>0</v>
      </c>
      <c r="R65" s="112"/>
      <c r="S65" s="102"/>
      <c r="T65" s="102"/>
      <c r="U65" s="102"/>
      <c r="V65" s="102"/>
      <c r="W65" s="102"/>
      <c r="X65" s="102"/>
      <c r="Y65" s="102"/>
      <c r="Z65" s="102"/>
      <c r="AA65" s="103"/>
      <c r="AB65" s="114"/>
      <c r="AC65" s="112"/>
      <c r="AD65" s="102"/>
      <c r="AE65" s="102"/>
      <c r="AF65" s="102"/>
      <c r="AG65" s="102"/>
      <c r="AH65" s="102"/>
      <c r="AI65" s="102"/>
      <c r="AJ65" s="102"/>
      <c r="AK65" s="102"/>
      <c r="AL65" s="103"/>
      <c r="AM65" s="114"/>
      <c r="AN65" s="112"/>
      <c r="AO65" s="102"/>
      <c r="AP65" s="102"/>
      <c r="AQ65" s="102"/>
      <c r="AR65" s="102"/>
      <c r="AS65" s="102"/>
      <c r="AT65" s="102"/>
      <c r="AU65" s="102"/>
      <c r="AV65" s="102"/>
      <c r="AW65" s="103"/>
      <c r="AX65" s="114"/>
      <c r="AY65" s="98"/>
    </row>
    <row r="66" spans="1:51">
      <c r="A66" s="36" t="s">
        <v>130</v>
      </c>
      <c r="B66" s="54">
        <v>-1509</v>
      </c>
      <c r="C66" s="54">
        <v>0</v>
      </c>
      <c r="D66" s="54">
        <f>C66</f>
        <v>0</v>
      </c>
      <c r="E66" s="40">
        <v>0</v>
      </c>
      <c r="F66" s="128" t="s">
        <v>164</v>
      </c>
      <c r="G66" s="108" t="str">
        <f t="shared" si="7"/>
        <v xml:space="preserve"> </v>
      </c>
      <c r="H66" s="102"/>
      <c r="I66" s="102"/>
      <c r="J66" s="102"/>
      <c r="K66" s="102"/>
      <c r="L66" s="102"/>
      <c r="M66" s="102"/>
      <c r="N66" s="102"/>
      <c r="O66" s="102"/>
      <c r="P66" s="103"/>
      <c r="Q66" s="114"/>
      <c r="R66" s="112" t="str">
        <f>IF(Q66=$G$2,L66," ")</f>
        <v xml:space="preserve"> </v>
      </c>
      <c r="S66" s="102"/>
      <c r="T66" s="102"/>
      <c r="U66" s="102"/>
      <c r="V66" s="102"/>
      <c r="W66" s="102"/>
      <c r="X66" s="102"/>
      <c r="Y66" s="102"/>
      <c r="Z66" s="102"/>
      <c r="AA66" s="103"/>
      <c r="AB66" s="114"/>
      <c r="AC66" s="112" t="str">
        <f>IF(AB66=$G$2,W66," ")</f>
        <v xml:space="preserve"> </v>
      </c>
      <c r="AD66" s="102"/>
      <c r="AE66" s="102"/>
      <c r="AF66" s="102"/>
      <c r="AG66" s="102"/>
      <c r="AH66" s="102"/>
      <c r="AI66" s="102"/>
      <c r="AJ66" s="102"/>
      <c r="AK66" s="102"/>
      <c r="AL66" s="103"/>
      <c r="AM66" s="114"/>
      <c r="AN66" s="112" t="str">
        <f>IF(AM66=$G$2,AH66," ")</f>
        <v xml:space="preserve"> </v>
      </c>
      <c r="AO66" s="102"/>
      <c r="AP66" s="102"/>
      <c r="AQ66" s="102"/>
      <c r="AR66" s="102"/>
      <c r="AS66" s="102"/>
      <c r="AT66" s="102"/>
      <c r="AU66" s="102"/>
      <c r="AV66" s="102"/>
      <c r="AW66" s="103"/>
      <c r="AX66" s="114"/>
    </row>
    <row r="67" spans="1:51" ht="15.75" thickBot="1">
      <c r="A67" s="36" t="s">
        <v>131</v>
      </c>
      <c r="B67" s="54">
        <v>2483</v>
      </c>
      <c r="C67" s="54">
        <f>6684.04-6505.14</f>
        <v>178.89999999999964</v>
      </c>
      <c r="D67" s="54">
        <v>0</v>
      </c>
      <c r="E67" s="40">
        <v>0</v>
      </c>
      <c r="F67" s="128" t="s">
        <v>164</v>
      </c>
      <c r="G67" s="108" t="str">
        <f t="shared" si="7"/>
        <v xml:space="preserve"> </v>
      </c>
      <c r="H67" s="102"/>
      <c r="I67" s="102"/>
      <c r="J67" s="102"/>
      <c r="K67" s="102"/>
      <c r="L67" s="102"/>
      <c r="M67" s="102"/>
      <c r="N67" s="102"/>
      <c r="O67" s="102"/>
      <c r="P67" s="103"/>
      <c r="Q67" s="114"/>
      <c r="R67" s="112" t="str">
        <f>IF(Q67=$G$2,L67," ")</f>
        <v xml:space="preserve"> </v>
      </c>
      <c r="S67" s="102"/>
      <c r="T67" s="102"/>
      <c r="U67" s="102"/>
      <c r="V67" s="102"/>
      <c r="W67" s="102"/>
      <c r="X67" s="102"/>
      <c r="Y67" s="102"/>
      <c r="Z67" s="102"/>
      <c r="AA67" s="103"/>
      <c r="AB67" s="114"/>
      <c r="AC67" s="112" t="str">
        <f>IF(AB67=$G$2,W67," ")</f>
        <v xml:space="preserve"> </v>
      </c>
      <c r="AD67" s="102"/>
      <c r="AE67" s="102"/>
      <c r="AF67" s="102"/>
      <c r="AG67" s="102"/>
      <c r="AH67" s="102"/>
      <c r="AI67" s="102"/>
      <c r="AJ67" s="102"/>
      <c r="AK67" s="102"/>
      <c r="AL67" s="103"/>
      <c r="AM67" s="114"/>
      <c r="AN67" s="112" t="str">
        <f>IF(AM67=$G$2,AH67," ")</f>
        <v xml:space="preserve"> </v>
      </c>
      <c r="AO67" s="102"/>
      <c r="AP67" s="102"/>
      <c r="AQ67" s="102"/>
      <c r="AR67" s="102"/>
      <c r="AS67" s="102"/>
      <c r="AT67" s="102"/>
      <c r="AU67" s="102"/>
      <c r="AV67" s="102"/>
      <c r="AW67" s="103"/>
      <c r="AX67" s="114"/>
    </row>
    <row r="68" spans="1:51" ht="18" thickTop="1" thickBot="1">
      <c r="A68" s="81" t="s">
        <v>132</v>
      </c>
      <c r="B68" s="82">
        <f>B64-B65-B66-B67</f>
        <v>6745.1304000000528</v>
      </c>
      <c r="C68" s="82">
        <f>C64-C65-C66-C67</f>
        <v>5591.0187199998927</v>
      </c>
      <c r="D68" s="82">
        <f>D64-D65-D66-D67</f>
        <v>86195.120084588809</v>
      </c>
      <c r="E68" s="82">
        <f>E64-E65-E66-E67</f>
        <v>76654.182115731033</v>
      </c>
      <c r="F68" s="132"/>
      <c r="G68" s="127" t="str">
        <f>IF(F68=$G$2,B68," ")</f>
        <v xml:space="preserve"> </v>
      </c>
      <c r="H68" s="137"/>
      <c r="I68" s="137"/>
      <c r="J68" s="137"/>
      <c r="K68" s="137"/>
      <c r="L68" s="137"/>
      <c r="M68" s="137"/>
      <c r="N68" s="137"/>
      <c r="O68" s="137"/>
      <c r="P68" s="138"/>
      <c r="Q68" s="119"/>
      <c r="R68" s="116" t="str">
        <f>IF(Q68=$G$2,L68," ")</f>
        <v xml:space="preserve"> </v>
      </c>
      <c r="S68" s="117"/>
      <c r="T68" s="117"/>
      <c r="U68" s="117"/>
      <c r="V68" s="117"/>
      <c r="W68" s="117"/>
      <c r="X68" s="117"/>
      <c r="Y68" s="117"/>
      <c r="Z68" s="117"/>
      <c r="AA68" s="118"/>
      <c r="AB68" s="119"/>
      <c r="AC68" s="116" t="str">
        <f>IF(AB68=$G$2,W68," ")</f>
        <v xml:space="preserve"> </v>
      </c>
      <c r="AD68" s="117"/>
      <c r="AE68" s="117"/>
      <c r="AF68" s="117"/>
      <c r="AG68" s="117"/>
      <c r="AH68" s="117"/>
      <c r="AI68" s="117"/>
      <c r="AJ68" s="117"/>
      <c r="AK68" s="117"/>
      <c r="AL68" s="118"/>
      <c r="AM68" s="119"/>
      <c r="AN68" s="116" t="str">
        <f>IF(AM68=$G$2,AH68," ")</f>
        <v xml:space="preserve"> </v>
      </c>
      <c r="AO68" s="117"/>
      <c r="AP68" s="117"/>
      <c r="AQ68" s="117"/>
      <c r="AR68" s="117"/>
      <c r="AS68" s="117"/>
      <c r="AT68" s="117"/>
      <c r="AU68" s="117"/>
      <c r="AV68" s="117"/>
      <c r="AW68" s="118"/>
      <c r="AX68" s="119"/>
    </row>
    <row r="69" spans="1:51" ht="15.75" thickTop="1">
      <c r="B69" s="136">
        <f>+B3+B4+B6+B7-B68</f>
        <v>1573996.8695999999</v>
      </c>
      <c r="C69" s="136">
        <f>+C3+C4+C6+C7-C68</f>
        <v>1671479.81128</v>
      </c>
      <c r="D69" s="136">
        <f>+D3+D4+D6+D7-D68</f>
        <v>1917095.348635548</v>
      </c>
      <c r="E69" s="136">
        <f>+E3+E4+E6+E7-E68</f>
        <v>2033677.1778842688</v>
      </c>
      <c r="H69" s="96">
        <f>SUM(H3:H68)</f>
        <v>598509.80753235507</v>
      </c>
      <c r="I69" s="96">
        <f t="shared" ref="I69:P69" si="53">SUM(I3:I68)</f>
        <v>135917.8075323551</v>
      </c>
      <c r="J69" s="96">
        <f t="shared" si="53"/>
        <v>218547.2533764735</v>
      </c>
      <c r="K69" s="96">
        <f t="shared" si="53"/>
        <v>192704.35428530208</v>
      </c>
      <c r="L69" s="96">
        <f t="shared" si="53"/>
        <v>28420.2556</v>
      </c>
      <c r="M69" s="96">
        <f t="shared" si="53"/>
        <v>174062.90711223107</v>
      </c>
      <c r="N69" s="96">
        <f t="shared" si="53"/>
        <v>181527.04000000001</v>
      </c>
      <c r="O69" s="96">
        <f t="shared" si="53"/>
        <v>44308</v>
      </c>
      <c r="P69" s="96">
        <f t="shared" si="53"/>
        <v>1573997.425438717</v>
      </c>
      <c r="S69" s="96">
        <f t="shared" ref="S69:AA69" si="54">SUM(S3:S68)</f>
        <v>677721.70763346611</v>
      </c>
      <c r="T69" s="96">
        <f t="shared" si="54"/>
        <v>126073.50478358498</v>
      </c>
      <c r="U69" s="96">
        <f t="shared" si="54"/>
        <v>236369.68632284616</v>
      </c>
      <c r="V69" s="96">
        <f t="shared" si="54"/>
        <v>188041.77363909769</v>
      </c>
      <c r="W69" s="96">
        <f t="shared" si="54"/>
        <v>19666.854464</v>
      </c>
      <c r="X69" s="96">
        <f t="shared" si="54"/>
        <v>171012.49103898052</v>
      </c>
      <c r="Y69" s="96">
        <f t="shared" si="54"/>
        <v>214524.93483648251</v>
      </c>
      <c r="Z69" s="96">
        <f t="shared" si="54"/>
        <v>38069.550000000003</v>
      </c>
      <c r="AA69" s="96">
        <f t="shared" si="54"/>
        <v>1671480.5027184584</v>
      </c>
      <c r="AD69" s="96">
        <f t="shared" ref="AD69:AL69" si="55">SUM(AD3:AD68)</f>
        <v>823747.53124775668</v>
      </c>
      <c r="AE69" s="96">
        <f t="shared" si="55"/>
        <v>148370.35005054349</v>
      </c>
      <c r="AF69" s="96">
        <f t="shared" si="55"/>
        <v>300993.56623366044</v>
      </c>
      <c r="AG69" s="96">
        <f t="shared" si="55"/>
        <v>196442.18351580662</v>
      </c>
      <c r="AH69" s="96">
        <f t="shared" si="55"/>
        <v>17185.924449952217</v>
      </c>
      <c r="AI69" s="96">
        <f t="shared" si="55"/>
        <v>180102.86017425594</v>
      </c>
      <c r="AJ69" s="96">
        <f t="shared" si="55"/>
        <v>223946.65321004586</v>
      </c>
      <c r="AK69" s="96">
        <f t="shared" si="55"/>
        <v>26307</v>
      </c>
      <c r="AL69" s="96">
        <f t="shared" si="55"/>
        <v>1917096.0688820214</v>
      </c>
      <c r="AO69" s="96">
        <f t="shared" ref="AO69:AW69" si="56">SUM(AO3:AO68)</f>
        <v>847805.24096809677</v>
      </c>
      <c r="AP69" s="96">
        <f t="shared" si="56"/>
        <v>157355.92744748245</v>
      </c>
      <c r="AQ69" s="96">
        <f t="shared" si="56"/>
        <v>335920.15775067138</v>
      </c>
      <c r="AR69" s="96">
        <f t="shared" si="56"/>
        <v>213710.55189497583</v>
      </c>
      <c r="AS69" s="96">
        <f t="shared" si="56"/>
        <v>21028.139359632252</v>
      </c>
      <c r="AT69" s="96">
        <f t="shared" si="56"/>
        <v>189997.55690428906</v>
      </c>
      <c r="AU69" s="96">
        <f t="shared" si="56"/>
        <v>235536.3551625796</v>
      </c>
      <c r="AV69" s="96">
        <f t="shared" si="56"/>
        <v>32324</v>
      </c>
      <c r="AW69" s="96">
        <f t="shared" si="56"/>
        <v>2033677.9294877271</v>
      </c>
    </row>
    <row r="71" spans="1:51">
      <c r="C71" s="136"/>
    </row>
    <row r="72" spans="1:51">
      <c r="B72" s="146" t="s">
        <v>165</v>
      </c>
      <c r="C72" s="20">
        <v>66488</v>
      </c>
      <c r="E72" s="20">
        <v>30000</v>
      </c>
    </row>
    <row r="73" spans="1:51">
      <c r="B73" s="146" t="s">
        <v>151</v>
      </c>
      <c r="C73" s="136">
        <f>+C72+C68</f>
        <v>72079.018719999891</v>
      </c>
      <c r="D73" s="136"/>
      <c r="E73" s="136">
        <f>+E72+E68</f>
        <v>106654.18211573103</v>
      </c>
    </row>
  </sheetData>
  <mergeCells count="4">
    <mergeCell ref="R1:AB1"/>
    <mergeCell ref="AC1:AM1"/>
    <mergeCell ref="AN1:AX1"/>
    <mergeCell ref="G1:Q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 alignWithMargins="0">
    <oddFooter>&amp;L&amp;D&amp;C&amp;A&amp;R&amp;F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C8" sqref="C8"/>
    </sheetView>
  </sheetViews>
  <sheetFormatPr baseColWidth="10" defaultColWidth="6.5703125" defaultRowHeight="12.75"/>
  <cols>
    <col min="1" max="1" width="22.42578125" customWidth="1"/>
    <col min="2" max="5" width="6.5703125" customWidth="1"/>
    <col min="6" max="6" width="2" customWidth="1"/>
    <col min="7" max="10" width="6.5703125" customWidth="1"/>
    <col min="11" max="11" width="1.42578125" customWidth="1"/>
  </cols>
  <sheetData>
    <row r="1" spans="1:1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>
      <c r="A2" t="s">
        <v>213</v>
      </c>
    </row>
    <row r="3" spans="1:15">
      <c r="A3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>
      <c r="A4" s="2"/>
      <c r="B4" s="269" t="s">
        <v>214</v>
      </c>
      <c r="C4" s="269"/>
      <c r="D4" s="269"/>
      <c r="E4" s="269"/>
      <c r="G4" s="269" t="s">
        <v>263</v>
      </c>
      <c r="H4" s="269"/>
      <c r="I4" s="269"/>
      <c r="J4" s="269"/>
      <c r="L4" s="269" t="s">
        <v>215</v>
      </c>
      <c r="M4" s="269"/>
      <c r="N4" s="269"/>
      <c r="O4" s="269"/>
    </row>
    <row r="5" spans="1:15">
      <c r="A5" s="2"/>
      <c r="B5" s="2">
        <v>2009</v>
      </c>
      <c r="C5" s="2">
        <v>2010</v>
      </c>
      <c r="D5" s="2">
        <v>2011</v>
      </c>
      <c r="E5" s="2">
        <v>2011</v>
      </c>
      <c r="G5" s="2">
        <v>2009</v>
      </c>
      <c r="H5" s="2">
        <v>2010</v>
      </c>
      <c r="I5" s="2">
        <v>2011</v>
      </c>
      <c r="J5" s="2">
        <v>2011</v>
      </c>
      <c r="L5" s="2">
        <v>2009</v>
      </c>
      <c r="M5" s="2">
        <v>2010</v>
      </c>
      <c r="N5" s="2">
        <v>2011</v>
      </c>
      <c r="O5" s="2">
        <v>2011</v>
      </c>
    </row>
    <row r="6" spans="1:15">
      <c r="A6" s="2" t="s">
        <v>154</v>
      </c>
      <c r="B6" s="185">
        <f>('data 2+ana'!B3+'data 2+ana'!B4+'data 2+ana'!B6+'data 2+ana'!B7)/1000</f>
        <v>1580.742</v>
      </c>
      <c r="C6" s="185">
        <f>('data 2+ana'!C3+'data 2+ana'!C4+'data 2+ana'!C6+'data 2+ana'!C7)/1000</f>
        <v>1677.0708299999999</v>
      </c>
      <c r="D6" s="185">
        <f>('data 2+ana'!D3+'data 2+ana'!D4+'data 2+ana'!D6+'data 2+ana'!D7)/1000</f>
        <v>2003.2904687201369</v>
      </c>
      <c r="E6" s="185">
        <f>('data 2+ana'!E3+'data 2+ana'!E4+'data 2+ana'!E6+'data 2+ana'!E7)/1000</f>
        <v>2110.3313599999997</v>
      </c>
      <c r="G6" s="2">
        <v>0</v>
      </c>
      <c r="H6" s="2">
        <v>0</v>
      </c>
      <c r="I6" s="2"/>
      <c r="J6" s="2"/>
      <c r="L6" s="185">
        <f>B6+G6</f>
        <v>1580.742</v>
      </c>
      <c r="M6" s="185">
        <f>C6+H6</f>
        <v>1677.0708299999999</v>
      </c>
      <c r="N6" s="185">
        <f>D6+I6</f>
        <v>2003.2904687201369</v>
      </c>
      <c r="O6" s="185">
        <f>E6+J6</f>
        <v>2110.3313599999997</v>
      </c>
    </row>
    <row r="7" spans="1:15">
      <c r="A7" s="2" t="s">
        <v>155</v>
      </c>
      <c r="B7" s="2"/>
      <c r="C7" s="2">
        <v>66</v>
      </c>
      <c r="D7" s="2">
        <v>0</v>
      </c>
      <c r="E7" s="2">
        <v>0</v>
      </c>
      <c r="G7" s="2"/>
      <c r="H7" s="2"/>
      <c r="I7" s="2"/>
      <c r="J7" s="2"/>
      <c r="L7" s="185">
        <f t="shared" ref="L7:L24" si="0">B7+G7</f>
        <v>0</v>
      </c>
      <c r="M7" s="185">
        <f t="shared" ref="M7:M24" si="1">C7+H7</f>
        <v>66</v>
      </c>
      <c r="N7" s="185">
        <f t="shared" ref="N7:N24" si="2">D7+I7</f>
        <v>0</v>
      </c>
      <c r="O7" s="185">
        <f t="shared" ref="O7:O24" si="3">E7+J7</f>
        <v>0</v>
      </c>
    </row>
    <row r="8" spans="1:15">
      <c r="A8" s="2" t="s">
        <v>156</v>
      </c>
      <c r="B8" s="185">
        <f>B6+B7</f>
        <v>1580.742</v>
      </c>
      <c r="C8" s="185">
        <f>C6+C7</f>
        <v>1743.0708299999999</v>
      </c>
      <c r="D8" s="185">
        <f>D6+D7</f>
        <v>2003.2904687201369</v>
      </c>
      <c r="E8" s="185">
        <f>E6+E7</f>
        <v>2110.3313599999997</v>
      </c>
      <c r="G8" s="185">
        <f>G6+G7</f>
        <v>0</v>
      </c>
      <c r="H8" s="2">
        <v>0</v>
      </c>
      <c r="I8" s="2">
        <v>0</v>
      </c>
      <c r="J8" s="2">
        <v>0</v>
      </c>
      <c r="L8" s="185">
        <f t="shared" si="0"/>
        <v>1580.742</v>
      </c>
      <c r="M8" s="185">
        <f t="shared" si="1"/>
        <v>1743.0708299999999</v>
      </c>
      <c r="N8" s="185">
        <f t="shared" si="2"/>
        <v>2003.2904687201369</v>
      </c>
      <c r="O8" s="185">
        <f t="shared" si="3"/>
        <v>2110.3313599999997</v>
      </c>
    </row>
    <row r="9" spans="1:15">
      <c r="A9" s="2" t="s">
        <v>145</v>
      </c>
      <c r="B9" s="185">
        <f>'data 2+ana'!H69/1000</f>
        <v>598.50980753235513</v>
      </c>
      <c r="C9" s="2">
        <f>'data 2+ana'!S69/1000</f>
        <v>677.72170763346617</v>
      </c>
      <c r="D9" s="2">
        <f>'data 2+ana'!AD69/1000</f>
        <v>823.74753124775668</v>
      </c>
      <c r="E9" s="2">
        <f>'data 2+ana'!AO69/1000</f>
        <v>847.80524096809677</v>
      </c>
      <c r="G9" s="2">
        <v>0</v>
      </c>
      <c r="H9" s="2">
        <v>0</v>
      </c>
      <c r="I9" s="2"/>
      <c r="J9" s="2"/>
      <c r="L9" s="185">
        <f t="shared" si="0"/>
        <v>598.50980753235513</v>
      </c>
      <c r="M9" s="185">
        <f t="shared" si="1"/>
        <v>677.72170763346617</v>
      </c>
      <c r="N9" s="185">
        <f t="shared" si="2"/>
        <v>823.74753124775668</v>
      </c>
      <c r="O9" s="185">
        <f t="shared" si="3"/>
        <v>847.80524096809677</v>
      </c>
    </row>
    <row r="10" spans="1:15">
      <c r="A10" s="2" t="s">
        <v>17</v>
      </c>
      <c r="B10" s="185">
        <f>B8-B9</f>
        <v>982.23219246764484</v>
      </c>
      <c r="C10" s="185">
        <f>C8-C9</f>
        <v>1065.3491223665337</v>
      </c>
      <c r="D10" s="185">
        <f>D8-D9</f>
        <v>1179.5429374723803</v>
      </c>
      <c r="E10" s="185">
        <f>E8-E9</f>
        <v>1262.5261190319029</v>
      </c>
      <c r="G10" s="185">
        <f>G8+G9</f>
        <v>0</v>
      </c>
      <c r="H10" s="185">
        <f>H8+H9</f>
        <v>0</v>
      </c>
      <c r="I10" s="185">
        <f>I8+I9</f>
        <v>0</v>
      </c>
      <c r="J10" s="185">
        <f>J8+J9</f>
        <v>0</v>
      </c>
      <c r="L10" s="185">
        <f t="shared" si="0"/>
        <v>982.23219246764484</v>
      </c>
      <c r="M10" s="185">
        <f t="shared" si="1"/>
        <v>1065.3491223665337</v>
      </c>
      <c r="N10" s="185">
        <f t="shared" si="2"/>
        <v>1179.5429374723803</v>
      </c>
      <c r="O10" s="185">
        <f t="shared" si="3"/>
        <v>1262.5261190319029</v>
      </c>
    </row>
    <row r="11" spans="1:15">
      <c r="A11" s="2" t="s">
        <v>161</v>
      </c>
      <c r="B11" s="186">
        <f>B10/B6</f>
        <v>0.62137413472131753</v>
      </c>
      <c r="C11" s="186">
        <f>C10/C6</f>
        <v>0.6352439642436174</v>
      </c>
      <c r="D11" s="186">
        <f>D10/D6</f>
        <v>0.5888027502202251</v>
      </c>
      <c r="E11" s="186">
        <f>E10/E6</f>
        <v>0.59825965863100428</v>
      </c>
      <c r="G11" s="2"/>
      <c r="H11" s="2"/>
      <c r="I11" s="2"/>
      <c r="J11" s="2"/>
      <c r="L11" s="186">
        <f t="shared" si="0"/>
        <v>0.62137413472131753</v>
      </c>
      <c r="M11" s="186">
        <f t="shared" si="1"/>
        <v>0.6352439642436174</v>
      </c>
      <c r="N11" s="186">
        <f t="shared" si="2"/>
        <v>0.5888027502202251</v>
      </c>
      <c r="O11" s="186">
        <f t="shared" si="3"/>
        <v>0.59825965863100428</v>
      </c>
    </row>
    <row r="12" spans="1:15">
      <c r="A12" s="2" t="s">
        <v>157</v>
      </c>
      <c r="B12" s="2">
        <f>'data 2+ana'!I69/1000</f>
        <v>135.91780753235511</v>
      </c>
      <c r="C12" s="185">
        <f>'data 2+ana'!T69/1000</f>
        <v>126.07350478358498</v>
      </c>
      <c r="D12" s="185">
        <f>+'data 2+ana'!AE69/1000</f>
        <v>148.37035005054349</v>
      </c>
      <c r="E12" s="185">
        <f>+'data 2+ana'!AP69/1000</f>
        <v>157.35592744748246</v>
      </c>
      <c r="G12" s="2"/>
      <c r="H12" s="2"/>
      <c r="I12" s="2"/>
      <c r="J12" s="2"/>
      <c r="L12" s="185">
        <f t="shared" si="0"/>
        <v>135.91780753235511</v>
      </c>
      <c r="M12" s="185">
        <f t="shared" si="1"/>
        <v>126.07350478358498</v>
      </c>
      <c r="N12" s="185">
        <f t="shared" si="2"/>
        <v>148.37035005054349</v>
      </c>
      <c r="O12" s="185">
        <f t="shared" si="3"/>
        <v>157.35592744748246</v>
      </c>
    </row>
    <row r="13" spans="1:15">
      <c r="A13" s="2" t="s">
        <v>158</v>
      </c>
      <c r="B13" s="2">
        <f>'data 2+ana'!J69/1000</f>
        <v>218.54725337647349</v>
      </c>
      <c r="C13" s="185">
        <f>'data 2+ana'!U69/1000</f>
        <v>236.36968632284615</v>
      </c>
      <c r="D13" s="185">
        <f>+'data 2+ana'!AF69/1000</f>
        <v>300.99356623366043</v>
      </c>
      <c r="E13" s="185">
        <f>+'data 2+ana'!AQ69/1000</f>
        <v>335.92015775067136</v>
      </c>
      <c r="G13" s="2"/>
      <c r="H13" s="2"/>
      <c r="I13" s="2"/>
      <c r="J13" s="2"/>
      <c r="L13" s="185">
        <f t="shared" si="0"/>
        <v>218.54725337647349</v>
      </c>
      <c r="M13" s="185">
        <f t="shared" si="1"/>
        <v>236.36968632284615</v>
      </c>
      <c r="N13" s="185">
        <f t="shared" si="2"/>
        <v>300.99356623366043</v>
      </c>
      <c r="O13" s="185">
        <f t="shared" si="3"/>
        <v>335.92015775067136</v>
      </c>
    </row>
    <row r="14" spans="1:15">
      <c r="A14" s="2" t="s">
        <v>159</v>
      </c>
      <c r="B14" s="2">
        <f>'data 2+ana'!K69/1000</f>
        <v>192.70435428530209</v>
      </c>
      <c r="C14" s="2">
        <f>'data 2+ana'!V69/1000</f>
        <v>188.0417736390977</v>
      </c>
      <c r="D14" s="185">
        <f>+'data 2+ana'!AG69/1000</f>
        <v>196.44218351580662</v>
      </c>
      <c r="E14" s="185">
        <f>+'data 2+ana'!AR69/1000</f>
        <v>213.71055189497582</v>
      </c>
      <c r="G14" s="2"/>
      <c r="H14" s="2"/>
      <c r="I14" s="2"/>
      <c r="J14" s="2"/>
      <c r="L14" s="185">
        <f t="shared" si="0"/>
        <v>192.70435428530209</v>
      </c>
      <c r="M14" s="185">
        <f t="shared" si="1"/>
        <v>188.0417736390977</v>
      </c>
      <c r="N14" s="185">
        <f t="shared" si="2"/>
        <v>196.44218351580662</v>
      </c>
      <c r="O14" s="185">
        <f t="shared" si="3"/>
        <v>213.71055189497582</v>
      </c>
    </row>
    <row r="15" spans="1:15">
      <c r="A15" s="2" t="s">
        <v>149</v>
      </c>
      <c r="B15" s="2">
        <f>'data 2+ana'!M69/1000</f>
        <v>174.06290711223107</v>
      </c>
      <c r="C15" s="2">
        <f>'data 2+ana'!X69/1000</f>
        <v>171.01249103898053</v>
      </c>
      <c r="D15" s="185">
        <f>+'data 2+ana'!AI69/1000</f>
        <v>180.10286017425594</v>
      </c>
      <c r="E15" s="185">
        <f>+'data 2+ana'!AT69/1000</f>
        <v>189.99755690428907</v>
      </c>
      <c r="G15" s="2"/>
      <c r="H15" s="2"/>
      <c r="I15" s="2"/>
      <c r="J15" s="2"/>
      <c r="L15" s="185">
        <f t="shared" si="0"/>
        <v>174.06290711223107</v>
      </c>
      <c r="M15" s="185">
        <f t="shared" si="1"/>
        <v>171.01249103898053</v>
      </c>
      <c r="N15" s="185">
        <f t="shared" si="2"/>
        <v>180.10286017425594</v>
      </c>
      <c r="O15" s="185">
        <f t="shared" si="3"/>
        <v>189.99755690428907</v>
      </c>
    </row>
    <row r="16" spans="1:15">
      <c r="A16" s="2" t="s">
        <v>150</v>
      </c>
      <c r="B16" s="2">
        <f>'data 2+ana'!N69/1000</f>
        <v>181.52704</v>
      </c>
      <c r="C16" s="2">
        <f>'data 2+ana'!Y69/1000</f>
        <v>214.52493483648252</v>
      </c>
      <c r="D16" s="185">
        <f>+'data 2+ana'!AJ69/1000</f>
        <v>223.94665321004587</v>
      </c>
      <c r="E16" s="185">
        <f>+'data 2+ana'!AU69/1000</f>
        <v>235.53635516257958</v>
      </c>
      <c r="G16" s="2">
        <v>32</v>
      </c>
      <c r="H16" s="2">
        <v>12</v>
      </c>
      <c r="I16" s="2">
        <v>15</v>
      </c>
      <c r="J16" s="2">
        <v>15</v>
      </c>
      <c r="L16" s="185">
        <f t="shared" si="0"/>
        <v>213.52704</v>
      </c>
      <c r="M16" s="185">
        <f t="shared" si="1"/>
        <v>226.52493483648252</v>
      </c>
      <c r="N16" s="185">
        <f t="shared" si="2"/>
        <v>238.94665321004587</v>
      </c>
      <c r="O16" s="185">
        <f t="shared" si="3"/>
        <v>250.53635516257958</v>
      </c>
    </row>
    <row r="17" spans="1:15">
      <c r="A17" s="187" t="s">
        <v>160</v>
      </c>
      <c r="B17" s="185">
        <f>'data 2+ana'!O69/1000</f>
        <v>44.308</v>
      </c>
      <c r="C17" s="185">
        <f>'data 2+ana'!Z69/1000</f>
        <v>38.06955</v>
      </c>
      <c r="D17" s="185">
        <f>+'data 2+ana'!AK69/1000</f>
        <v>26.306999999999999</v>
      </c>
      <c r="E17" s="2">
        <f>+'data 2+ana'!AV69/1000</f>
        <v>32.323999999999998</v>
      </c>
      <c r="G17" s="2"/>
      <c r="H17" s="2"/>
      <c r="I17" s="2"/>
      <c r="J17" s="2"/>
      <c r="L17" s="185">
        <f t="shared" si="0"/>
        <v>44.308</v>
      </c>
      <c r="M17" s="185">
        <f t="shared" si="1"/>
        <v>38.06955</v>
      </c>
      <c r="N17" s="185">
        <f t="shared" si="2"/>
        <v>26.306999999999999</v>
      </c>
      <c r="O17" s="185">
        <f t="shared" si="3"/>
        <v>32.323999999999998</v>
      </c>
    </row>
    <row r="18" spans="1:15">
      <c r="A18" s="2" t="s">
        <v>0</v>
      </c>
      <c r="B18" s="185">
        <f>'data 2+ana'!L69/1000</f>
        <v>28.420255600000001</v>
      </c>
      <c r="C18" s="2">
        <f>'data 2+ana'!W69/1000</f>
        <v>19.666854464</v>
      </c>
      <c r="D18" s="185">
        <f>'data 2+ana'!AH69/1000</f>
        <v>17.185924449952218</v>
      </c>
      <c r="E18" s="185">
        <f>'data 2+ana'!AS69/1000</f>
        <v>21.028139359632252</v>
      </c>
      <c r="G18" s="2"/>
      <c r="H18" s="2"/>
      <c r="I18" s="2"/>
      <c r="J18" s="2"/>
      <c r="L18" s="185">
        <f t="shared" si="0"/>
        <v>28.420255600000001</v>
      </c>
      <c r="M18" s="185">
        <f t="shared" si="1"/>
        <v>19.666854464</v>
      </c>
      <c r="N18" s="185">
        <f t="shared" si="2"/>
        <v>17.185924449952218</v>
      </c>
      <c r="O18" s="185">
        <f t="shared" si="3"/>
        <v>21.028139359632252</v>
      </c>
    </row>
    <row r="19" spans="1:15">
      <c r="A19" s="2" t="s">
        <v>180</v>
      </c>
      <c r="B19" s="185"/>
      <c r="C19" s="2"/>
      <c r="D19" s="185"/>
      <c r="E19" s="185"/>
      <c r="G19" s="2"/>
      <c r="H19" s="2"/>
      <c r="I19" s="2"/>
      <c r="J19" s="2"/>
      <c r="L19" s="185">
        <f t="shared" si="0"/>
        <v>0</v>
      </c>
      <c r="M19" s="185">
        <f t="shared" si="1"/>
        <v>0</v>
      </c>
      <c r="N19" s="185">
        <f t="shared" si="2"/>
        <v>0</v>
      </c>
      <c r="O19" s="185">
        <f t="shared" si="3"/>
        <v>0</v>
      </c>
    </row>
    <row r="20" spans="1:15">
      <c r="A20" s="2" t="s">
        <v>162</v>
      </c>
      <c r="B20" s="185">
        <f>B10-SUM(B12:B18)</f>
        <v>6.7445745612831161</v>
      </c>
      <c r="C20" s="185">
        <f>C10-SUM(C12:C18)</f>
        <v>71.590327281541704</v>
      </c>
      <c r="D20" s="185">
        <f>D10-SUM(D12:D18)</f>
        <v>86.194399838115714</v>
      </c>
      <c r="E20" s="185">
        <f>E10-SUM(E12:E18)</f>
        <v>76.65343051227228</v>
      </c>
      <c r="G20" s="185">
        <f>G10-SUM(G12:G18)</f>
        <v>-32</v>
      </c>
      <c r="H20" s="185">
        <f>H10-SUM(H12:H18)</f>
        <v>-12</v>
      </c>
      <c r="I20" s="185">
        <f>I10-SUM(I12:I18)</f>
        <v>-15</v>
      </c>
      <c r="J20" s="185">
        <f>J10-SUM(J12:J18)</f>
        <v>-15</v>
      </c>
      <c r="L20" s="185">
        <f t="shared" si="0"/>
        <v>-25.255425438716884</v>
      </c>
      <c r="M20" s="185">
        <f t="shared" si="1"/>
        <v>59.590327281541704</v>
      </c>
      <c r="N20" s="185">
        <f t="shared" si="2"/>
        <v>71.194399838115714</v>
      </c>
      <c r="O20" s="185">
        <f t="shared" si="3"/>
        <v>61.65343051227228</v>
      </c>
    </row>
    <row r="21" spans="1:15">
      <c r="A21" s="2" t="s">
        <v>163</v>
      </c>
      <c r="B21" s="2"/>
      <c r="C21" s="2"/>
      <c r="D21" s="2"/>
      <c r="E21" s="2"/>
      <c r="G21" s="2">
        <v>-713</v>
      </c>
      <c r="H21" s="2">
        <v>104</v>
      </c>
      <c r="I21" s="2"/>
      <c r="J21" s="2"/>
      <c r="L21" s="185">
        <f t="shared" si="0"/>
        <v>-713</v>
      </c>
      <c r="M21" s="185">
        <f t="shared" si="1"/>
        <v>104</v>
      </c>
      <c r="N21" s="185">
        <f t="shared" si="2"/>
        <v>0</v>
      </c>
      <c r="O21" s="185">
        <f t="shared" si="3"/>
        <v>0</v>
      </c>
    </row>
    <row r="22" spans="1:15">
      <c r="A22" s="2" t="s">
        <v>166</v>
      </c>
      <c r="B22" s="2"/>
      <c r="C22" s="2"/>
      <c r="D22" s="2"/>
      <c r="E22" s="2"/>
      <c r="G22" s="2"/>
      <c r="H22" s="2">
        <v>17</v>
      </c>
      <c r="I22" s="2"/>
      <c r="J22" s="2"/>
      <c r="L22" s="185">
        <f t="shared" si="0"/>
        <v>0</v>
      </c>
      <c r="M22" s="185">
        <f t="shared" si="1"/>
        <v>17</v>
      </c>
      <c r="N22" s="185">
        <f t="shared" si="2"/>
        <v>0</v>
      </c>
      <c r="O22" s="185">
        <f t="shared" si="3"/>
        <v>0</v>
      </c>
    </row>
    <row r="23" spans="1:15">
      <c r="A23" s="2" t="s">
        <v>167</v>
      </c>
      <c r="B23" s="2"/>
      <c r="C23" s="2"/>
      <c r="D23" s="2"/>
      <c r="E23" s="2"/>
      <c r="G23" s="2">
        <v>5</v>
      </c>
      <c r="H23" s="2">
        <v>-1</v>
      </c>
      <c r="I23" s="2"/>
      <c r="J23" s="2"/>
      <c r="L23" s="185">
        <f t="shared" si="0"/>
        <v>5</v>
      </c>
      <c r="M23" s="185">
        <f t="shared" si="1"/>
        <v>-1</v>
      </c>
      <c r="N23" s="185">
        <f t="shared" si="2"/>
        <v>0</v>
      </c>
      <c r="O23" s="185">
        <f t="shared" si="3"/>
        <v>0</v>
      </c>
    </row>
    <row r="24" spans="1:15">
      <c r="A24" s="2" t="s">
        <v>168</v>
      </c>
      <c r="B24" s="185">
        <f>B20+B21+B22+B23</f>
        <v>6.7445745612831161</v>
      </c>
      <c r="C24" s="185">
        <f>C20+C21+C22+C23</f>
        <v>71.590327281541704</v>
      </c>
      <c r="D24" s="185">
        <f>D20+D21+D22+D23</f>
        <v>86.194399838115714</v>
      </c>
      <c r="E24" s="185">
        <f>E20+E21+E22+E23</f>
        <v>76.65343051227228</v>
      </c>
      <c r="G24" s="185">
        <f>G20+G21+G22+G23</f>
        <v>-740</v>
      </c>
      <c r="H24" s="185">
        <f>H20+H21+H22+H23</f>
        <v>108</v>
      </c>
      <c r="I24" s="185">
        <f>I20+I21+I22+I23</f>
        <v>-15</v>
      </c>
      <c r="J24" s="185">
        <f>J20+J21+J22+J23</f>
        <v>-15</v>
      </c>
      <c r="L24" s="185">
        <f t="shared" si="0"/>
        <v>-733.25542543871688</v>
      </c>
      <c r="M24" s="185">
        <f t="shared" si="1"/>
        <v>179.5903272815417</v>
      </c>
      <c r="N24" s="185">
        <f t="shared" si="2"/>
        <v>71.194399838115714</v>
      </c>
      <c r="O24" s="185">
        <f t="shared" si="3"/>
        <v>61.65343051227228</v>
      </c>
    </row>
    <row r="25" spans="1:15">
      <c r="A2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3">
    <mergeCell ref="G4:J4"/>
    <mergeCell ref="B4:E4"/>
    <mergeCell ref="L4:O4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0"/>
  <sheetViews>
    <sheetView zoomScale="120" zoomScaleNormal="120" workbookViewId="0">
      <selection activeCell="F46" sqref="F46"/>
    </sheetView>
  </sheetViews>
  <sheetFormatPr baseColWidth="10" defaultColWidth="8.140625" defaultRowHeight="12.75"/>
  <cols>
    <col min="1" max="1" width="17.5703125" customWidth="1"/>
    <col min="2" max="2" width="9.5703125" bestFit="1" customWidth="1"/>
    <col min="3" max="3" width="9.42578125" customWidth="1"/>
    <col min="4" max="4" width="9.5703125" bestFit="1" customWidth="1"/>
    <col min="5" max="9" width="9.42578125" customWidth="1"/>
    <col min="10" max="10" width="5.28515625" customWidth="1"/>
    <col min="11" max="11" width="7.7109375" customWidth="1"/>
    <col min="12" max="12" width="5.28515625" customWidth="1"/>
    <col min="13" max="13" width="9.42578125" customWidth="1"/>
  </cols>
  <sheetData>
    <row r="1" spans="1:13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3">
      <c r="A2" s="1" t="s">
        <v>169</v>
      </c>
      <c r="I2" t="s">
        <v>170</v>
      </c>
    </row>
    <row r="3" spans="1:1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3">
      <c r="A4" s="3" t="s">
        <v>171</v>
      </c>
      <c r="B4" s="177" t="s">
        <v>34</v>
      </c>
      <c r="C4" s="178" t="s">
        <v>35</v>
      </c>
      <c r="D4" s="179" t="s">
        <v>172</v>
      </c>
      <c r="E4" s="179" t="s">
        <v>173</v>
      </c>
      <c r="F4" s="179" t="s">
        <v>174</v>
      </c>
      <c r="G4" s="179" t="s">
        <v>175</v>
      </c>
      <c r="H4" s="179" t="s">
        <v>176</v>
      </c>
      <c r="I4" s="179" t="s">
        <v>177</v>
      </c>
      <c r="J4" s="270" t="s">
        <v>37</v>
      </c>
      <c r="K4" s="271"/>
      <c r="L4" s="271"/>
      <c r="M4" s="272"/>
    </row>
    <row r="5" spans="1:13">
      <c r="A5" s="2" t="s">
        <v>178</v>
      </c>
      <c r="B5" s="5">
        <f>'cptes ana'!L6</f>
        <v>1580.742</v>
      </c>
      <c r="C5" s="5">
        <f>'cptes ana'!M6</f>
        <v>1677.0708299999999</v>
      </c>
      <c r="D5" s="148">
        <v>1700</v>
      </c>
      <c r="E5" s="148">
        <v>1700</v>
      </c>
      <c r="F5" s="148">
        <v>1700</v>
      </c>
      <c r="G5" s="148">
        <v>1700</v>
      </c>
      <c r="H5" s="148">
        <v>1700</v>
      </c>
      <c r="I5" s="148">
        <v>1700</v>
      </c>
      <c r="J5" s="149" t="s">
        <v>179</v>
      </c>
      <c r="K5" s="150"/>
      <c r="L5" s="150"/>
      <c r="M5" s="151"/>
    </row>
    <row r="6" spans="1:13">
      <c r="A6" s="2" t="s">
        <v>180</v>
      </c>
      <c r="B6" s="5">
        <f>'cptes ana'!L7</f>
        <v>0</v>
      </c>
      <c r="C6" s="5">
        <f>'cptes ana'!M7</f>
        <v>66</v>
      </c>
      <c r="D6" s="152">
        <f t="shared" ref="D6:I6" si="0">C6</f>
        <v>66</v>
      </c>
      <c r="E6" s="5">
        <f t="shared" si="0"/>
        <v>66</v>
      </c>
      <c r="F6" s="5">
        <f t="shared" si="0"/>
        <v>66</v>
      </c>
      <c r="G6" s="5">
        <f t="shared" si="0"/>
        <v>66</v>
      </c>
      <c r="H6" s="5">
        <f t="shared" si="0"/>
        <v>66</v>
      </c>
      <c r="I6" s="5">
        <f t="shared" si="0"/>
        <v>66</v>
      </c>
      <c r="J6" s="149"/>
      <c r="K6" s="150"/>
      <c r="L6" s="150"/>
      <c r="M6" s="151"/>
    </row>
    <row r="7" spans="1:13">
      <c r="A7" s="3" t="s">
        <v>181</v>
      </c>
      <c r="B7" s="5">
        <f>'cptes ana'!L8</f>
        <v>1580.742</v>
      </c>
      <c r="C7" s="5">
        <f>'cptes ana'!M8</f>
        <v>1743.0708299999999</v>
      </c>
      <c r="D7" s="153">
        <v>1677</v>
      </c>
      <c r="E7" s="153">
        <v>1677</v>
      </c>
      <c r="F7" s="153">
        <v>1677</v>
      </c>
      <c r="G7" s="153">
        <v>1677</v>
      </c>
      <c r="H7" s="153">
        <v>1677</v>
      </c>
      <c r="I7" s="153">
        <v>1677</v>
      </c>
      <c r="J7" s="149"/>
      <c r="K7" s="150"/>
      <c r="L7" s="150"/>
      <c r="M7" s="151"/>
    </row>
    <row r="8" spans="1:13">
      <c r="A8" s="2" t="s">
        <v>182</v>
      </c>
      <c r="B8" s="5">
        <f>'cptes ana'!L10</f>
        <v>982.23219246764484</v>
      </c>
      <c r="C8" s="5">
        <f>'cptes ana'!M10</f>
        <v>1065.3491223665337</v>
      </c>
      <c r="D8" s="152">
        <f t="shared" ref="D8:I8" si="1">D7*D9</f>
        <v>1065.3041280365464</v>
      </c>
      <c r="E8" s="5">
        <f t="shared" si="1"/>
        <v>1082.0741280365464</v>
      </c>
      <c r="F8" s="5">
        <f t="shared" si="1"/>
        <v>1098.8441280365464</v>
      </c>
      <c r="G8" s="5">
        <f t="shared" si="1"/>
        <v>1115.6141280365464</v>
      </c>
      <c r="H8" s="5">
        <f t="shared" si="1"/>
        <v>1132.3841280365464</v>
      </c>
      <c r="I8" s="5">
        <f t="shared" si="1"/>
        <v>1149.1541280365464</v>
      </c>
      <c r="J8" s="149"/>
      <c r="K8" s="150"/>
      <c r="L8" s="150"/>
      <c r="M8" s="151"/>
    </row>
    <row r="9" spans="1:13">
      <c r="A9" s="3" t="s">
        <v>183</v>
      </c>
      <c r="B9" s="154">
        <f>B8/B5</f>
        <v>0.62137413472131753</v>
      </c>
      <c r="C9" s="154">
        <f>C8/C5</f>
        <v>0.6352439642436174</v>
      </c>
      <c r="D9" s="155">
        <f>C9</f>
        <v>0.6352439642436174</v>
      </c>
      <c r="E9" s="154">
        <f>D9+1%</f>
        <v>0.64524396424361741</v>
      </c>
      <c r="F9" s="154">
        <f>E9+1%</f>
        <v>0.65524396424361742</v>
      </c>
      <c r="G9" s="154">
        <f>F9+1%</f>
        <v>0.66524396424361742</v>
      </c>
      <c r="H9" s="154">
        <f>G9+1%</f>
        <v>0.67524396424361743</v>
      </c>
      <c r="I9" s="154">
        <f>H9+1%</f>
        <v>0.68524396424361744</v>
      </c>
      <c r="J9" s="149" t="s">
        <v>184</v>
      </c>
      <c r="K9" s="150"/>
      <c r="L9" s="150"/>
      <c r="M9" s="151"/>
    </row>
    <row r="10" spans="1:13">
      <c r="A10" s="2" t="s">
        <v>157</v>
      </c>
      <c r="B10" s="5">
        <f>'cptes ana'!L12</f>
        <v>135.91780753235511</v>
      </c>
      <c r="C10" s="5">
        <f>'cptes ana'!M12</f>
        <v>126.07350478358498</v>
      </c>
      <c r="D10" s="152">
        <f t="shared" ref="D10:I10" si="2">D5*$J$10</f>
        <v>127.797201106941</v>
      </c>
      <c r="E10" s="5">
        <f t="shared" si="2"/>
        <v>127.797201106941</v>
      </c>
      <c r="F10" s="5">
        <f t="shared" si="2"/>
        <v>127.797201106941</v>
      </c>
      <c r="G10" s="5">
        <f t="shared" si="2"/>
        <v>127.797201106941</v>
      </c>
      <c r="H10" s="5">
        <f t="shared" si="2"/>
        <v>127.797201106941</v>
      </c>
      <c r="I10" s="5">
        <f t="shared" si="2"/>
        <v>127.797201106941</v>
      </c>
      <c r="J10" s="149">
        <f>C10/C5</f>
        <v>7.5174824180553532E-2</v>
      </c>
      <c r="K10" s="150" t="s">
        <v>185</v>
      </c>
      <c r="L10" s="150"/>
      <c r="M10" s="151"/>
    </row>
    <row r="11" spans="1:13">
      <c r="A11" s="2" t="s">
        <v>158</v>
      </c>
      <c r="B11" s="5">
        <f>'cptes ana'!L13</f>
        <v>218.54725337647349</v>
      </c>
      <c r="C11" s="5">
        <f>'cptes ana'!M13</f>
        <v>236.36968632284615</v>
      </c>
      <c r="D11" s="152">
        <f t="shared" ref="D11:I17" si="3">C11</f>
        <v>236.36968632284615</v>
      </c>
      <c r="E11" s="5">
        <f t="shared" si="3"/>
        <v>236.36968632284615</v>
      </c>
      <c r="F11" s="5">
        <f t="shared" si="3"/>
        <v>236.36968632284615</v>
      </c>
      <c r="G11" s="5">
        <f t="shared" si="3"/>
        <v>236.36968632284615</v>
      </c>
      <c r="H11" s="5">
        <f t="shared" si="3"/>
        <v>236.36968632284615</v>
      </c>
      <c r="I11" s="5">
        <f t="shared" si="3"/>
        <v>236.36968632284615</v>
      </c>
      <c r="J11" s="149"/>
      <c r="K11" s="150"/>
      <c r="L11" s="150"/>
      <c r="M11" s="151"/>
    </row>
    <row r="12" spans="1:13">
      <c r="A12" s="2" t="s">
        <v>186</v>
      </c>
      <c r="B12" s="5">
        <f>'cptes ana'!L14</f>
        <v>192.70435428530209</v>
      </c>
      <c r="C12" s="5">
        <f>'cptes ana'!M14</f>
        <v>188.0417736390977</v>
      </c>
      <c r="D12" s="152">
        <f t="shared" si="3"/>
        <v>188.0417736390977</v>
      </c>
      <c r="E12" s="5">
        <f t="shared" si="3"/>
        <v>188.0417736390977</v>
      </c>
      <c r="F12" s="5">
        <f t="shared" si="3"/>
        <v>188.0417736390977</v>
      </c>
      <c r="G12" s="5">
        <f t="shared" si="3"/>
        <v>188.0417736390977</v>
      </c>
      <c r="H12" s="5">
        <f t="shared" si="3"/>
        <v>188.0417736390977</v>
      </c>
      <c r="I12" s="5">
        <f t="shared" si="3"/>
        <v>188.0417736390977</v>
      </c>
      <c r="J12" s="149"/>
      <c r="K12" s="150"/>
      <c r="L12" s="150"/>
      <c r="M12" s="151"/>
    </row>
    <row r="13" spans="1:13">
      <c r="A13" s="2" t="s">
        <v>187</v>
      </c>
      <c r="B13" s="5">
        <f>'cptes ana'!L15</f>
        <v>174.06290711223107</v>
      </c>
      <c r="C13" s="5">
        <f>'cptes ana'!M15</f>
        <v>171.01249103898053</v>
      </c>
      <c r="D13" s="152">
        <f t="shared" si="3"/>
        <v>171.01249103898053</v>
      </c>
      <c r="E13" s="5">
        <f t="shared" si="3"/>
        <v>171.01249103898053</v>
      </c>
      <c r="F13" s="5">
        <f t="shared" si="3"/>
        <v>171.01249103898053</v>
      </c>
      <c r="G13" s="5">
        <f t="shared" si="3"/>
        <v>171.01249103898053</v>
      </c>
      <c r="H13" s="5">
        <f t="shared" si="3"/>
        <v>171.01249103898053</v>
      </c>
      <c r="I13" s="5">
        <f t="shared" si="3"/>
        <v>171.01249103898053</v>
      </c>
      <c r="J13" s="149"/>
      <c r="K13" s="150"/>
      <c r="L13" s="150"/>
      <c r="M13" s="151"/>
    </row>
    <row r="14" spans="1:13">
      <c r="A14" s="2" t="s">
        <v>188</v>
      </c>
      <c r="B14" s="5">
        <f>'cptes ana'!L16</f>
        <v>213.52704</v>
      </c>
      <c r="C14" s="5">
        <f>'cptes ana'!M16</f>
        <v>226.52493483648252</v>
      </c>
      <c r="D14" s="152">
        <f t="shared" si="3"/>
        <v>226.52493483648252</v>
      </c>
      <c r="E14" s="5">
        <f t="shared" si="3"/>
        <v>226.52493483648252</v>
      </c>
      <c r="F14" s="5">
        <f t="shared" si="3"/>
        <v>226.52493483648252</v>
      </c>
      <c r="G14" s="5">
        <f t="shared" si="3"/>
        <v>226.52493483648252</v>
      </c>
      <c r="H14" s="5">
        <f t="shared" si="3"/>
        <v>226.52493483648252</v>
      </c>
      <c r="I14" s="5">
        <f t="shared" si="3"/>
        <v>226.52493483648252</v>
      </c>
      <c r="J14" s="149"/>
      <c r="K14" s="150"/>
      <c r="L14" s="150"/>
      <c r="M14" s="151"/>
    </row>
    <row r="15" spans="1:13">
      <c r="A15" s="2" t="s">
        <v>189</v>
      </c>
      <c r="B15" s="5">
        <f>'cptes ana'!L17</f>
        <v>44.308</v>
      </c>
      <c r="C15" s="5">
        <f>'cptes ana'!M17</f>
        <v>38.06955</v>
      </c>
      <c r="D15" s="152">
        <f t="shared" si="3"/>
        <v>38.06955</v>
      </c>
      <c r="E15" s="5">
        <f t="shared" si="3"/>
        <v>38.06955</v>
      </c>
      <c r="F15" s="5">
        <f t="shared" si="3"/>
        <v>38.06955</v>
      </c>
      <c r="G15" s="5">
        <f t="shared" si="3"/>
        <v>38.06955</v>
      </c>
      <c r="H15" s="5">
        <f t="shared" si="3"/>
        <v>38.06955</v>
      </c>
      <c r="I15" s="5">
        <f t="shared" si="3"/>
        <v>38.06955</v>
      </c>
      <c r="J15" s="149"/>
      <c r="K15" s="150"/>
      <c r="L15" s="150"/>
      <c r="M15" s="151"/>
    </row>
    <row r="16" spans="1:13">
      <c r="A16" s="2" t="s">
        <v>0</v>
      </c>
      <c r="B16" s="5">
        <f>'cptes ana'!L18</f>
        <v>28.420255600000001</v>
      </c>
      <c r="C16" s="5">
        <f>'cptes ana'!M18</f>
        <v>19.666854464</v>
      </c>
      <c r="D16" s="152">
        <f t="shared" si="3"/>
        <v>19.666854464</v>
      </c>
      <c r="E16" s="5">
        <f t="shared" si="3"/>
        <v>19.666854464</v>
      </c>
      <c r="F16" s="5">
        <f t="shared" si="3"/>
        <v>19.666854464</v>
      </c>
      <c r="G16" s="5">
        <f t="shared" si="3"/>
        <v>19.666854464</v>
      </c>
      <c r="H16" s="5">
        <f t="shared" si="3"/>
        <v>19.666854464</v>
      </c>
      <c r="I16" s="5">
        <f t="shared" si="3"/>
        <v>19.666854464</v>
      </c>
      <c r="J16" s="149"/>
      <c r="K16" s="150"/>
      <c r="L16" s="150"/>
      <c r="M16" s="151"/>
    </row>
    <row r="17" spans="1:13">
      <c r="A17" s="2" t="s">
        <v>180</v>
      </c>
      <c r="B17" s="5">
        <f>'cptes ana'!L19</f>
        <v>0</v>
      </c>
      <c r="C17" s="5">
        <f>'cptes ana'!M19</f>
        <v>0</v>
      </c>
      <c r="D17" s="152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3"/>
        <v>0</v>
      </c>
      <c r="I17" s="5">
        <f t="shared" si="3"/>
        <v>0</v>
      </c>
      <c r="J17" s="149"/>
      <c r="K17" s="150"/>
      <c r="L17" s="150"/>
      <c r="M17" s="151"/>
    </row>
    <row r="18" spans="1:13">
      <c r="A18" s="3" t="s">
        <v>191</v>
      </c>
      <c r="B18" s="5">
        <f>'cptes ana'!L20</f>
        <v>-25.255425438716884</v>
      </c>
      <c r="C18" s="5">
        <f>'cptes ana'!M20</f>
        <v>59.590327281541704</v>
      </c>
      <c r="D18" s="158">
        <f t="shared" ref="D18:I18" si="4">D8-SUM(D10:D17)</f>
        <v>57.821636628198462</v>
      </c>
      <c r="E18" s="4">
        <f t="shared" si="4"/>
        <v>74.591636628198444</v>
      </c>
      <c r="F18" s="4">
        <f t="shared" si="4"/>
        <v>91.361636628198426</v>
      </c>
      <c r="G18" s="4">
        <f t="shared" si="4"/>
        <v>108.13163662819841</v>
      </c>
      <c r="H18" s="4">
        <f t="shared" si="4"/>
        <v>124.90163662819839</v>
      </c>
      <c r="I18" s="4">
        <f t="shared" si="4"/>
        <v>141.67163662819837</v>
      </c>
      <c r="J18" s="149"/>
      <c r="K18" s="150"/>
      <c r="L18" s="150"/>
      <c r="M18" s="151"/>
    </row>
    <row r="19" spans="1:13">
      <c r="C19" s="159"/>
      <c r="J19" s="149"/>
      <c r="K19" s="150"/>
      <c r="L19" s="150"/>
      <c r="M19" s="151"/>
    </row>
    <row r="20" spans="1:13">
      <c r="A20" s="3" t="s">
        <v>192</v>
      </c>
      <c r="B20" s="180" t="s">
        <v>34</v>
      </c>
      <c r="C20" s="181" t="s">
        <v>35</v>
      </c>
      <c r="D20" s="182" t="s">
        <v>172</v>
      </c>
      <c r="E20" s="182" t="s">
        <v>173</v>
      </c>
      <c r="F20" s="182" t="s">
        <v>174</v>
      </c>
      <c r="G20" s="182" t="s">
        <v>175</v>
      </c>
      <c r="H20" s="182" t="s">
        <v>176</v>
      </c>
      <c r="I20" s="182" t="s">
        <v>177</v>
      </c>
      <c r="J20" s="270" t="str">
        <f>J4</f>
        <v>Commentaires</v>
      </c>
      <c r="K20" s="271"/>
      <c r="L20" s="271"/>
      <c r="M20" s="272"/>
    </row>
    <row r="21" spans="1:13">
      <c r="A21" s="2" t="s">
        <v>178</v>
      </c>
      <c r="B21" s="157"/>
      <c r="C21" s="160"/>
      <c r="D21" s="148">
        <v>150</v>
      </c>
      <c r="E21" s="2">
        <v>500</v>
      </c>
      <c r="F21" s="2">
        <v>750</v>
      </c>
      <c r="G21" s="2">
        <v>1000</v>
      </c>
      <c r="H21" s="2">
        <v>1000</v>
      </c>
      <c r="I21" s="2">
        <v>1000</v>
      </c>
      <c r="J21" s="161">
        <v>3000</v>
      </c>
      <c r="K21" s="150" t="s">
        <v>193</v>
      </c>
      <c r="L21" s="150">
        <v>0.33</v>
      </c>
      <c r="M21" s="151" t="s">
        <v>194</v>
      </c>
    </row>
    <row r="22" spans="1:13">
      <c r="A22" s="2" t="s">
        <v>180</v>
      </c>
      <c r="B22" s="157"/>
      <c r="C22" s="160"/>
      <c r="D22" s="148"/>
      <c r="E22" s="2"/>
      <c r="F22" s="2"/>
      <c r="G22" s="2"/>
      <c r="H22" s="2"/>
      <c r="I22" s="2"/>
      <c r="J22" s="149"/>
      <c r="K22" s="150"/>
      <c r="L22" s="150"/>
      <c r="M22" s="151"/>
    </row>
    <row r="23" spans="1:13">
      <c r="A23" s="3" t="s">
        <v>181</v>
      </c>
      <c r="B23" s="162"/>
      <c r="C23" s="163"/>
      <c r="D23" s="153">
        <f t="shared" ref="D23:I23" si="5">D21+D22</f>
        <v>150</v>
      </c>
      <c r="E23" s="3">
        <f t="shared" si="5"/>
        <v>500</v>
      </c>
      <c r="F23" s="3">
        <f t="shared" si="5"/>
        <v>750</v>
      </c>
      <c r="G23" s="3">
        <f t="shared" si="5"/>
        <v>1000</v>
      </c>
      <c r="H23" s="3">
        <f t="shared" si="5"/>
        <v>1000</v>
      </c>
      <c r="I23" s="3">
        <f t="shared" si="5"/>
        <v>1000</v>
      </c>
      <c r="J23" s="149"/>
      <c r="K23" s="150"/>
      <c r="L23" s="150"/>
      <c r="M23" s="151"/>
    </row>
    <row r="24" spans="1:13">
      <c r="A24" s="2" t="s">
        <v>182</v>
      </c>
      <c r="B24" s="157"/>
      <c r="C24" s="160"/>
      <c r="D24" s="152">
        <f t="shared" ref="D24:I24" si="6">D21*D25</f>
        <v>98.590909090909079</v>
      </c>
      <c r="E24" s="5">
        <f t="shared" si="6"/>
        <v>333.63636363636363</v>
      </c>
      <c r="F24" s="5">
        <f t="shared" si="6"/>
        <v>507.95454545454544</v>
      </c>
      <c r="G24" s="5">
        <f t="shared" si="6"/>
        <v>687.27272727272725</v>
      </c>
      <c r="H24" s="5">
        <f t="shared" si="6"/>
        <v>697.27272727272725</v>
      </c>
      <c r="I24" s="5">
        <f t="shared" si="6"/>
        <v>707.27272727272725</v>
      </c>
      <c r="J24" s="149"/>
      <c r="K24" s="150"/>
      <c r="L24" s="150"/>
      <c r="M24" s="151"/>
    </row>
    <row r="25" spans="1:13">
      <c r="A25" s="2" t="s">
        <v>183</v>
      </c>
      <c r="B25" s="164"/>
      <c r="C25" s="165"/>
      <c r="D25" s="166">
        <f>[1]Prez!G5</f>
        <v>0.65727272727272723</v>
      </c>
      <c r="E25" s="167">
        <f>D25+1%</f>
        <v>0.66727272727272724</v>
      </c>
      <c r="F25" s="167">
        <f>E25+1%</f>
        <v>0.67727272727272725</v>
      </c>
      <c r="G25" s="167">
        <f>F25+1%</f>
        <v>0.68727272727272726</v>
      </c>
      <c r="H25" s="167">
        <f>G25+1%</f>
        <v>0.69727272727272727</v>
      </c>
      <c r="I25" s="167">
        <f>H25+1%</f>
        <v>0.70727272727272728</v>
      </c>
      <c r="J25" s="149"/>
      <c r="K25" s="150"/>
      <c r="L25" s="150"/>
      <c r="M25" s="151"/>
    </row>
    <row r="26" spans="1:13">
      <c r="A26" s="2" t="s">
        <v>157</v>
      </c>
      <c r="B26" s="156"/>
      <c r="C26" s="168"/>
      <c r="D26" s="152">
        <f t="shared" ref="D26:I26" si="7">$J$26*D21</f>
        <v>11.276223627083029</v>
      </c>
      <c r="E26" s="5">
        <f t="shared" si="7"/>
        <v>37.587412090276764</v>
      </c>
      <c r="F26" s="5">
        <f t="shared" si="7"/>
        <v>56.38111813541515</v>
      </c>
      <c r="G26" s="5">
        <f t="shared" si="7"/>
        <v>75.174824180553529</v>
      </c>
      <c r="H26" s="5">
        <f t="shared" si="7"/>
        <v>75.174824180553529</v>
      </c>
      <c r="I26" s="5">
        <f t="shared" si="7"/>
        <v>75.174824180553529</v>
      </c>
      <c r="J26" s="169">
        <f>J10</f>
        <v>7.5174824180553532E-2</v>
      </c>
      <c r="K26" s="170" t="s">
        <v>195</v>
      </c>
      <c r="L26" s="150"/>
      <c r="M26" s="151"/>
    </row>
    <row r="27" spans="1:13">
      <c r="A27" s="2" t="s">
        <v>186</v>
      </c>
      <c r="B27" s="156"/>
      <c r="C27" s="168"/>
      <c r="D27" s="148">
        <v>40</v>
      </c>
      <c r="E27" s="2">
        <v>80</v>
      </c>
      <c r="F27" s="2">
        <v>80</v>
      </c>
      <c r="G27" s="2">
        <v>80</v>
      </c>
      <c r="H27" s="2">
        <v>80</v>
      </c>
      <c r="I27" s="2">
        <v>80</v>
      </c>
      <c r="J27" s="149" t="s">
        <v>43</v>
      </c>
      <c r="K27" s="150"/>
      <c r="L27" s="150"/>
      <c r="M27" s="151"/>
    </row>
    <row r="28" spans="1:13">
      <c r="A28" s="2" t="s">
        <v>158</v>
      </c>
      <c r="B28" s="156"/>
      <c r="C28" s="168"/>
      <c r="D28" s="148">
        <v>50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149" t="s">
        <v>196</v>
      </c>
      <c r="K28" s="150"/>
      <c r="L28" s="150"/>
      <c r="M28" s="151"/>
    </row>
    <row r="29" spans="1:13">
      <c r="A29" s="2" t="s">
        <v>187</v>
      </c>
      <c r="B29" s="156"/>
      <c r="C29" s="168"/>
      <c r="D29" s="148">
        <v>0</v>
      </c>
      <c r="E29" s="2">
        <v>20</v>
      </c>
      <c r="F29" s="2">
        <v>20</v>
      </c>
      <c r="G29" s="2">
        <v>30</v>
      </c>
      <c r="H29" s="2">
        <v>30</v>
      </c>
      <c r="I29" s="2">
        <v>30</v>
      </c>
      <c r="J29" s="149"/>
      <c r="K29" s="150"/>
      <c r="L29" s="150"/>
      <c r="M29" s="151"/>
    </row>
    <row r="30" spans="1:13">
      <c r="A30" s="2" t="s">
        <v>188</v>
      </c>
      <c r="B30" s="156"/>
      <c r="C30" s="160"/>
      <c r="D30" s="148">
        <v>10</v>
      </c>
      <c r="E30" s="2">
        <v>10</v>
      </c>
      <c r="F30" s="2">
        <v>20</v>
      </c>
      <c r="G30" s="2">
        <v>30</v>
      </c>
      <c r="H30" s="2">
        <v>30</v>
      </c>
      <c r="I30" s="2">
        <v>30</v>
      </c>
      <c r="J30" s="149" t="s">
        <v>197</v>
      </c>
      <c r="K30" s="150"/>
      <c r="L30" s="150"/>
      <c r="M30" s="151"/>
    </row>
    <row r="31" spans="1:13">
      <c r="A31" s="2" t="s">
        <v>189</v>
      </c>
      <c r="B31" s="157"/>
      <c r="C31" s="160"/>
      <c r="D31" s="148"/>
      <c r="E31" s="2"/>
      <c r="F31" s="2"/>
      <c r="G31" s="2"/>
      <c r="H31" s="2"/>
      <c r="I31" s="2"/>
      <c r="J31" s="149"/>
      <c r="K31" s="150"/>
      <c r="L31" s="150"/>
      <c r="M31" s="151"/>
    </row>
    <row r="32" spans="1:13">
      <c r="A32" s="2" t="s">
        <v>190</v>
      </c>
      <c r="B32" s="157"/>
      <c r="C32" s="160"/>
      <c r="D32" s="148"/>
      <c r="E32" s="2"/>
      <c r="F32" s="2"/>
      <c r="G32" s="2"/>
      <c r="H32" s="2"/>
      <c r="I32" s="2"/>
      <c r="J32" s="149"/>
      <c r="K32" s="150"/>
      <c r="L32" s="150"/>
      <c r="M32" s="151"/>
    </row>
    <row r="33" spans="1:13">
      <c r="A33" s="2" t="s">
        <v>180</v>
      </c>
      <c r="B33" s="157"/>
      <c r="C33" s="160"/>
      <c r="D33" s="148"/>
      <c r="E33" s="2"/>
      <c r="F33" s="2"/>
      <c r="G33" s="2"/>
      <c r="H33" s="2"/>
      <c r="I33" s="2"/>
      <c r="J33" s="149"/>
      <c r="K33" s="150"/>
      <c r="L33" s="150"/>
      <c r="M33" s="151"/>
    </row>
    <row r="34" spans="1:13">
      <c r="A34" s="3" t="s">
        <v>198</v>
      </c>
      <c r="B34" s="162"/>
      <c r="C34" s="171"/>
      <c r="D34" s="158">
        <f t="shared" ref="D34:I34" si="8">D24-SUM(D26:D33)</f>
        <v>-12.685314536173948</v>
      </c>
      <c r="E34" s="158">
        <f t="shared" si="8"/>
        <v>86.048951546086869</v>
      </c>
      <c r="F34" s="158">
        <f t="shared" si="8"/>
        <v>231.5734273191303</v>
      </c>
      <c r="G34" s="158">
        <f t="shared" si="8"/>
        <v>372.09790309217374</v>
      </c>
      <c r="H34" s="158">
        <f t="shared" si="8"/>
        <v>382.09790309217374</v>
      </c>
      <c r="I34" s="158">
        <f t="shared" si="8"/>
        <v>392.09790309217374</v>
      </c>
      <c r="J34" s="149"/>
      <c r="K34" s="150"/>
      <c r="L34" s="150"/>
      <c r="M34" s="151"/>
    </row>
    <row r="35" spans="1:13">
      <c r="C35" s="159"/>
      <c r="J35" s="149"/>
      <c r="K35" s="150"/>
      <c r="L35" s="150"/>
      <c r="M35" s="151"/>
    </row>
    <row r="36" spans="1:13">
      <c r="A36" s="3" t="s">
        <v>199</v>
      </c>
      <c r="B36" s="177" t="s">
        <v>34</v>
      </c>
      <c r="C36" s="178" t="s">
        <v>35</v>
      </c>
      <c r="D36" s="179" t="s">
        <v>172</v>
      </c>
      <c r="E36" s="179" t="s">
        <v>173</v>
      </c>
      <c r="F36" s="179" t="s">
        <v>174</v>
      </c>
      <c r="G36" s="179" t="s">
        <v>175</v>
      </c>
      <c r="H36" s="179" t="s">
        <v>176</v>
      </c>
      <c r="I36" s="179" t="s">
        <v>177</v>
      </c>
      <c r="J36" s="270" t="str">
        <f>J20</f>
        <v>Commentaires</v>
      </c>
      <c r="K36" s="271"/>
      <c r="L36" s="271"/>
      <c r="M36" s="272"/>
    </row>
    <row r="37" spans="1:13">
      <c r="A37" s="2" t="s">
        <v>200</v>
      </c>
      <c r="B37" s="157"/>
      <c r="C37" s="160"/>
      <c r="D37" s="148">
        <v>50</v>
      </c>
      <c r="E37" s="2">
        <v>150</v>
      </c>
      <c r="F37" s="2">
        <v>300</v>
      </c>
      <c r="G37" s="2">
        <v>300</v>
      </c>
      <c r="H37" s="2">
        <v>300</v>
      </c>
      <c r="I37" s="2">
        <v>300</v>
      </c>
      <c r="J37" s="149">
        <v>130</v>
      </c>
      <c r="K37" s="150" t="s">
        <v>201</v>
      </c>
      <c r="L37" s="150">
        <v>3</v>
      </c>
      <c r="M37" s="151" t="s">
        <v>194</v>
      </c>
    </row>
    <row r="38" spans="1:13">
      <c r="A38" s="2" t="s">
        <v>202</v>
      </c>
      <c r="B38" s="157"/>
      <c r="C38" s="160"/>
      <c r="D38" s="148">
        <v>60</v>
      </c>
      <c r="E38" s="2">
        <v>200</v>
      </c>
      <c r="F38" s="2">
        <v>500</v>
      </c>
      <c r="G38" s="2">
        <v>500</v>
      </c>
      <c r="H38" s="2">
        <v>800</v>
      </c>
      <c r="I38" s="2">
        <v>1000</v>
      </c>
      <c r="J38" s="149">
        <v>150</v>
      </c>
      <c r="K38" s="150" t="s">
        <v>203</v>
      </c>
      <c r="L38" s="150">
        <v>6</v>
      </c>
      <c r="M38" s="151" t="s">
        <v>194</v>
      </c>
    </row>
    <row r="39" spans="1:13">
      <c r="A39" s="2" t="s">
        <v>204</v>
      </c>
      <c r="B39" s="157"/>
      <c r="C39" s="160"/>
      <c r="D39" s="148">
        <f t="shared" ref="D39:I39" si="9">D74</f>
        <v>180</v>
      </c>
      <c r="E39" s="148">
        <f t="shared" si="9"/>
        <v>450</v>
      </c>
      <c r="F39" s="148">
        <f t="shared" si="9"/>
        <v>720</v>
      </c>
      <c r="G39" s="148">
        <f t="shared" si="9"/>
        <v>900</v>
      </c>
      <c r="H39" s="148">
        <f t="shared" si="9"/>
        <v>900</v>
      </c>
      <c r="I39" s="148">
        <f t="shared" si="9"/>
        <v>900</v>
      </c>
      <c r="J39" s="149"/>
      <c r="K39" s="150"/>
      <c r="L39" s="150"/>
      <c r="M39" s="151"/>
    </row>
    <row r="40" spans="1:13">
      <c r="A40" s="3" t="s">
        <v>181</v>
      </c>
      <c r="B40" s="162"/>
      <c r="C40" s="163"/>
      <c r="D40" s="3">
        <f t="shared" ref="D40:I40" si="10">SUM(D37:D39)</f>
        <v>290</v>
      </c>
      <c r="E40" s="3">
        <f t="shared" si="10"/>
        <v>800</v>
      </c>
      <c r="F40" s="3">
        <f t="shared" si="10"/>
        <v>1520</v>
      </c>
      <c r="G40" s="3">
        <f t="shared" si="10"/>
        <v>1700</v>
      </c>
      <c r="H40" s="3">
        <f t="shared" si="10"/>
        <v>2000</v>
      </c>
      <c r="I40" s="3">
        <f t="shared" si="10"/>
        <v>2200</v>
      </c>
      <c r="J40" s="149"/>
      <c r="K40" s="150"/>
      <c r="L40" s="150"/>
      <c r="M40" s="151"/>
    </row>
    <row r="41" spans="1:13">
      <c r="A41" s="2" t="s">
        <v>182</v>
      </c>
      <c r="B41" s="157"/>
      <c r="C41" s="160"/>
      <c r="D41" s="5">
        <f t="shared" ref="D41:I41" si="11">D42*D40</f>
        <v>190.11111111111111</v>
      </c>
      <c r="E41" s="5">
        <f t="shared" si="11"/>
        <v>524.44444444444446</v>
      </c>
      <c r="F41" s="5">
        <f t="shared" si="11"/>
        <v>1011.6444444444445</v>
      </c>
      <c r="G41" s="5">
        <f t="shared" si="11"/>
        <v>1148.4444444444446</v>
      </c>
      <c r="H41" s="5">
        <f t="shared" si="11"/>
        <v>1371.1111111111111</v>
      </c>
      <c r="I41" s="5">
        <f t="shared" si="11"/>
        <v>1530.2222222222224</v>
      </c>
      <c r="J41" s="149"/>
      <c r="K41" s="150"/>
      <c r="L41" s="150"/>
      <c r="M41" s="151"/>
    </row>
    <row r="42" spans="1:13">
      <c r="A42" s="2" t="s">
        <v>183</v>
      </c>
      <c r="B42" s="164"/>
      <c r="C42" s="165"/>
      <c r="D42" s="172">
        <f>[1]Prez!G8</f>
        <v>0.65555555555555556</v>
      </c>
      <c r="E42" s="172">
        <f>[1]Prez!G8</f>
        <v>0.65555555555555556</v>
      </c>
      <c r="F42" s="167">
        <f>E42+1%</f>
        <v>0.66555555555555557</v>
      </c>
      <c r="G42" s="167">
        <f>F42+1%</f>
        <v>0.67555555555555558</v>
      </c>
      <c r="H42" s="167">
        <f>G42+1%</f>
        <v>0.68555555555555558</v>
      </c>
      <c r="I42" s="167">
        <f>H42+1%</f>
        <v>0.69555555555555559</v>
      </c>
      <c r="J42" s="149"/>
      <c r="K42" s="150"/>
      <c r="L42" s="150"/>
      <c r="M42" s="151"/>
    </row>
    <row r="43" spans="1:13">
      <c r="A43" s="2" t="s">
        <v>157</v>
      </c>
      <c r="B43" s="156"/>
      <c r="C43" s="168"/>
      <c r="D43" s="2">
        <f t="shared" ref="D43:I43" si="12">D40*$J$43</f>
        <v>18.27</v>
      </c>
      <c r="E43" s="2">
        <f t="shared" si="12"/>
        <v>50.4</v>
      </c>
      <c r="F43" s="2">
        <f t="shared" si="12"/>
        <v>95.76</v>
      </c>
      <c r="G43" s="2">
        <f t="shared" si="12"/>
        <v>107.1</v>
      </c>
      <c r="H43" s="2">
        <f t="shared" si="12"/>
        <v>126</v>
      </c>
      <c r="I43" s="2">
        <f t="shared" si="12"/>
        <v>138.6</v>
      </c>
      <c r="J43" s="149">
        <v>6.3E-2</v>
      </c>
      <c r="K43" s="150" t="str">
        <f>K26</f>
        <v>CA idem l'activité actuelle</v>
      </c>
      <c r="L43" s="150"/>
      <c r="M43" s="151"/>
    </row>
    <row r="44" spans="1:13">
      <c r="A44" s="2" t="s">
        <v>186</v>
      </c>
      <c r="B44" s="156"/>
      <c r="C44" s="168"/>
      <c r="D44" s="148">
        <f>60+50</f>
        <v>110</v>
      </c>
      <c r="E44" s="2">
        <f>110+60</f>
        <v>170</v>
      </c>
      <c r="F44" s="2">
        <f>170+140</f>
        <v>310</v>
      </c>
      <c r="G44" s="2">
        <f>F44</f>
        <v>310</v>
      </c>
      <c r="H44" s="2">
        <f>G44</f>
        <v>310</v>
      </c>
      <c r="I44" s="2">
        <f>H44</f>
        <v>310</v>
      </c>
      <c r="J44" s="149" t="s">
        <v>43</v>
      </c>
      <c r="K44" s="150"/>
      <c r="L44" s="150"/>
      <c r="M44" s="151"/>
    </row>
    <row r="45" spans="1:13">
      <c r="A45" s="2" t="s">
        <v>158</v>
      </c>
      <c r="B45" s="156"/>
      <c r="C45" s="168"/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149"/>
      <c r="K45" s="150"/>
      <c r="L45" s="150"/>
      <c r="M45" s="151"/>
    </row>
    <row r="46" spans="1:13">
      <c r="A46" s="2" t="s">
        <v>187</v>
      </c>
      <c r="B46" s="156"/>
      <c r="C46" s="168"/>
      <c r="D46" s="2">
        <v>0</v>
      </c>
      <c r="E46" s="2">
        <v>30</v>
      </c>
      <c r="F46" s="2">
        <v>30</v>
      </c>
      <c r="G46" s="2">
        <v>40</v>
      </c>
      <c r="H46" s="2">
        <v>40</v>
      </c>
      <c r="I46" s="2">
        <v>40</v>
      </c>
      <c r="J46" s="149"/>
      <c r="K46" s="150"/>
      <c r="L46" s="150"/>
      <c r="M46" s="151"/>
    </row>
    <row r="47" spans="1:13">
      <c r="A47" s="2" t="s">
        <v>188</v>
      </c>
      <c r="B47" s="156"/>
      <c r="C47" s="160"/>
      <c r="D47" s="2">
        <v>10</v>
      </c>
      <c r="E47" s="2">
        <v>20</v>
      </c>
      <c r="F47" s="2">
        <v>30</v>
      </c>
      <c r="G47" s="2">
        <v>40</v>
      </c>
      <c r="H47" s="2">
        <v>40</v>
      </c>
      <c r="I47" s="2">
        <v>40</v>
      </c>
      <c r="J47" s="149"/>
      <c r="K47" s="150"/>
      <c r="L47" s="150"/>
      <c r="M47" s="151"/>
    </row>
    <row r="48" spans="1:13">
      <c r="A48" s="2" t="s">
        <v>189</v>
      </c>
      <c r="B48" s="157"/>
      <c r="C48" s="160"/>
      <c r="D48" s="148"/>
      <c r="E48" s="2"/>
      <c r="F48" s="2"/>
      <c r="G48" s="2"/>
      <c r="H48" s="2"/>
      <c r="I48" s="2"/>
      <c r="J48" s="149"/>
      <c r="K48" s="150"/>
      <c r="L48" s="150"/>
      <c r="M48" s="151"/>
    </row>
    <row r="49" spans="1:13">
      <c r="A49" s="2" t="s">
        <v>190</v>
      </c>
      <c r="B49" s="157"/>
      <c r="C49" s="160"/>
      <c r="D49" s="2">
        <v>5</v>
      </c>
      <c r="E49" s="2">
        <v>5</v>
      </c>
      <c r="F49" s="2">
        <v>10</v>
      </c>
      <c r="G49" s="2">
        <v>10</v>
      </c>
      <c r="H49" s="2">
        <v>10</v>
      </c>
      <c r="I49" s="2">
        <v>10</v>
      </c>
      <c r="J49" s="149"/>
      <c r="K49" s="150"/>
      <c r="L49" s="150"/>
      <c r="M49" s="151"/>
    </row>
    <row r="50" spans="1:13">
      <c r="A50" s="2" t="s">
        <v>180</v>
      </c>
      <c r="B50" s="157"/>
      <c r="C50" s="160"/>
      <c r="D50" s="148"/>
      <c r="E50" s="2"/>
      <c r="F50" s="2"/>
      <c r="G50" s="2"/>
      <c r="H50" s="2"/>
      <c r="I50" s="2"/>
      <c r="J50" s="149"/>
      <c r="K50" s="150"/>
      <c r="L50" s="150"/>
      <c r="M50" s="151"/>
    </row>
    <row r="51" spans="1:13">
      <c r="A51" s="3" t="s">
        <v>198</v>
      </c>
      <c r="B51" s="162"/>
      <c r="C51" s="171"/>
      <c r="D51" s="4">
        <f t="shared" ref="D51:I51" si="13">D41-SUM(D43:D50)</f>
        <v>-3.158888888888896</v>
      </c>
      <c r="E51" s="4">
        <f t="shared" si="13"/>
        <v>199.04444444444448</v>
      </c>
      <c r="F51" s="4">
        <f t="shared" si="13"/>
        <v>485.88444444444451</v>
      </c>
      <c r="G51" s="4">
        <f t="shared" si="13"/>
        <v>591.34444444444455</v>
      </c>
      <c r="H51" s="4">
        <f t="shared" si="13"/>
        <v>795.11111111111109</v>
      </c>
      <c r="I51" s="4">
        <f t="shared" si="13"/>
        <v>941.62222222222238</v>
      </c>
      <c r="J51" s="149"/>
      <c r="K51" s="150"/>
      <c r="L51" s="150"/>
      <c r="M51" s="151"/>
    </row>
    <row r="52" spans="1:13">
      <c r="C52" s="159"/>
      <c r="J52" s="149"/>
      <c r="K52" s="150"/>
      <c r="L52" s="150"/>
      <c r="M52" s="151"/>
    </row>
    <row r="53" spans="1:13">
      <c r="A53" s="3" t="s">
        <v>205</v>
      </c>
      <c r="B53" s="177" t="s">
        <v>34</v>
      </c>
      <c r="C53" s="178" t="s">
        <v>35</v>
      </c>
      <c r="D53" s="179" t="s">
        <v>172</v>
      </c>
      <c r="E53" s="179" t="s">
        <v>173</v>
      </c>
      <c r="F53" s="179" t="s">
        <v>174</v>
      </c>
      <c r="G53" s="179" t="s">
        <v>175</v>
      </c>
      <c r="H53" s="179" t="s">
        <v>176</v>
      </c>
      <c r="I53" s="179" t="s">
        <v>177</v>
      </c>
      <c r="J53" s="270" t="str">
        <f>J36</f>
        <v>Commentaires</v>
      </c>
      <c r="K53" s="271"/>
      <c r="L53" s="271"/>
      <c r="M53" s="272"/>
    </row>
    <row r="54" spans="1:13">
      <c r="A54" s="2" t="s">
        <v>178</v>
      </c>
      <c r="B54" s="157"/>
      <c r="C54" s="160"/>
      <c r="D54" s="148">
        <v>400</v>
      </c>
      <c r="E54" s="2">
        <v>1600</v>
      </c>
      <c r="F54" s="2">
        <v>2200</v>
      </c>
      <c r="G54" s="2">
        <v>2200</v>
      </c>
      <c r="H54" s="2">
        <v>2200</v>
      </c>
      <c r="I54" s="2">
        <v>2200</v>
      </c>
      <c r="J54" s="149"/>
      <c r="K54" s="150"/>
      <c r="L54" s="150"/>
      <c r="M54" s="151"/>
    </row>
    <row r="55" spans="1:13">
      <c r="A55" s="2" t="s">
        <v>180</v>
      </c>
      <c r="B55" s="157"/>
      <c r="C55" s="160"/>
      <c r="D55" s="148"/>
      <c r="E55" s="2"/>
      <c r="F55" s="2"/>
      <c r="G55" s="2"/>
      <c r="H55" s="2"/>
      <c r="I55" s="2"/>
      <c r="J55" s="149"/>
      <c r="K55" s="150"/>
      <c r="L55" s="150"/>
      <c r="M55" s="151"/>
    </row>
    <row r="56" spans="1:13">
      <c r="A56" s="3" t="s">
        <v>181</v>
      </c>
      <c r="B56" s="162"/>
      <c r="C56" s="163"/>
      <c r="D56" s="153">
        <f t="shared" ref="D56:I56" si="14">D55+D54</f>
        <v>400</v>
      </c>
      <c r="E56" s="3">
        <f t="shared" si="14"/>
        <v>1600</v>
      </c>
      <c r="F56" s="3">
        <f t="shared" si="14"/>
        <v>2200</v>
      </c>
      <c r="G56" s="3">
        <f t="shared" si="14"/>
        <v>2200</v>
      </c>
      <c r="H56" s="3">
        <f t="shared" si="14"/>
        <v>2200</v>
      </c>
      <c r="I56" s="3">
        <f t="shared" si="14"/>
        <v>2200</v>
      </c>
      <c r="J56" s="149"/>
      <c r="K56" s="150"/>
      <c r="L56" s="150"/>
      <c r="M56" s="151"/>
    </row>
    <row r="57" spans="1:13">
      <c r="A57" s="2" t="s">
        <v>182</v>
      </c>
      <c r="B57" s="157"/>
      <c r="C57" s="160"/>
      <c r="D57" s="152">
        <f t="shared" ref="D57:I57" si="15">D56*D58</f>
        <v>289.77777777777777</v>
      </c>
      <c r="E57" s="5">
        <f t="shared" si="15"/>
        <v>1175.1111111111111</v>
      </c>
      <c r="F57" s="5">
        <f t="shared" si="15"/>
        <v>1637.7777777777778</v>
      </c>
      <c r="G57" s="5">
        <f t="shared" si="15"/>
        <v>1659.7777777777778</v>
      </c>
      <c r="H57" s="5">
        <f t="shared" si="15"/>
        <v>1681.7777777777778</v>
      </c>
      <c r="I57" s="5">
        <f t="shared" si="15"/>
        <v>1703.7777777777778</v>
      </c>
      <c r="J57" s="149"/>
      <c r="K57" s="150"/>
      <c r="L57" s="150"/>
      <c r="M57" s="151"/>
    </row>
    <row r="58" spans="1:13">
      <c r="A58" s="2" t="s">
        <v>183</v>
      </c>
      <c r="B58" s="164"/>
      <c r="C58" s="165"/>
      <c r="D58" s="166">
        <f>[1]Prez!G7</f>
        <v>0.72444444444444445</v>
      </c>
      <c r="E58" s="167">
        <f>D58+1%</f>
        <v>0.73444444444444446</v>
      </c>
      <c r="F58" s="167">
        <f>E58+1%</f>
        <v>0.74444444444444446</v>
      </c>
      <c r="G58" s="167">
        <f>F58+1%</f>
        <v>0.75444444444444447</v>
      </c>
      <c r="H58" s="167">
        <f>G58+1%</f>
        <v>0.76444444444444448</v>
      </c>
      <c r="I58" s="167">
        <f>H58+1%</f>
        <v>0.77444444444444449</v>
      </c>
      <c r="J58" s="149"/>
      <c r="K58" s="150"/>
      <c r="L58" s="150"/>
      <c r="M58" s="151"/>
    </row>
    <row r="59" spans="1:13">
      <c r="A59" s="2" t="s">
        <v>157</v>
      </c>
      <c r="B59" s="156"/>
      <c r="C59" s="168"/>
      <c r="D59" s="148">
        <f t="shared" ref="D59:I59" si="16">D56*$J$59</f>
        <v>44</v>
      </c>
      <c r="E59" s="2">
        <f t="shared" si="16"/>
        <v>176</v>
      </c>
      <c r="F59" s="2">
        <f t="shared" si="16"/>
        <v>242</v>
      </c>
      <c r="G59" s="2">
        <f t="shared" si="16"/>
        <v>242</v>
      </c>
      <c r="H59" s="2">
        <f t="shared" si="16"/>
        <v>242</v>
      </c>
      <c r="I59" s="2">
        <f t="shared" si="16"/>
        <v>242</v>
      </c>
      <c r="J59" s="173">
        <v>0.11</v>
      </c>
      <c r="K59" s="170" t="s">
        <v>206</v>
      </c>
      <c r="L59" s="150"/>
      <c r="M59" s="151"/>
    </row>
    <row r="60" spans="1:13">
      <c r="A60" s="2" t="s">
        <v>186</v>
      </c>
      <c r="B60" s="156"/>
      <c r="C60" s="168"/>
      <c r="D60" s="148">
        <v>150</v>
      </c>
      <c r="E60" s="2">
        <v>650</v>
      </c>
      <c r="F60" s="2">
        <v>700</v>
      </c>
      <c r="G60" s="2">
        <v>700</v>
      </c>
      <c r="H60" s="2">
        <v>700</v>
      </c>
      <c r="I60" s="2">
        <v>700</v>
      </c>
      <c r="J60" s="149"/>
      <c r="K60" s="150"/>
      <c r="L60" s="150"/>
      <c r="M60" s="151"/>
    </row>
    <row r="61" spans="1:13">
      <c r="A61" s="2" t="s">
        <v>158</v>
      </c>
      <c r="B61" s="156"/>
      <c r="C61" s="168"/>
      <c r="D61" s="148">
        <v>100</v>
      </c>
      <c r="E61" s="2">
        <v>150</v>
      </c>
      <c r="F61" s="2">
        <v>150</v>
      </c>
      <c r="G61" s="2">
        <v>150</v>
      </c>
      <c r="H61" s="2">
        <v>150</v>
      </c>
      <c r="I61" s="2">
        <v>150</v>
      </c>
      <c r="J61" s="149"/>
      <c r="K61" s="150"/>
      <c r="L61" s="150"/>
      <c r="M61" s="151"/>
    </row>
    <row r="62" spans="1:13">
      <c r="A62" s="2" t="s">
        <v>187</v>
      </c>
      <c r="B62" s="156"/>
      <c r="C62" s="168"/>
      <c r="D62" s="148">
        <v>25</v>
      </c>
      <c r="E62" s="2">
        <v>150</v>
      </c>
      <c r="F62" s="2">
        <v>200</v>
      </c>
      <c r="G62" s="2">
        <v>200</v>
      </c>
      <c r="H62" s="2">
        <v>200</v>
      </c>
      <c r="I62" s="2">
        <v>200</v>
      </c>
      <c r="J62" s="149"/>
      <c r="K62" s="150"/>
      <c r="L62" s="150"/>
      <c r="M62" s="151"/>
    </row>
    <row r="63" spans="1:13">
      <c r="A63" s="2" t="s">
        <v>188</v>
      </c>
      <c r="B63" s="156"/>
      <c r="C63" s="160"/>
      <c r="D63" s="174">
        <v>0</v>
      </c>
      <c r="E63" s="2">
        <v>150</v>
      </c>
      <c r="F63" s="2">
        <v>200</v>
      </c>
      <c r="G63" s="2">
        <v>200</v>
      </c>
      <c r="H63" s="2">
        <v>200</v>
      </c>
      <c r="I63" s="2">
        <v>200</v>
      </c>
      <c r="J63" s="149"/>
      <c r="K63" s="150"/>
      <c r="L63" s="150"/>
      <c r="M63" s="151"/>
    </row>
    <row r="64" spans="1:13">
      <c r="A64" s="2" t="s">
        <v>189</v>
      </c>
      <c r="B64" s="157"/>
      <c r="C64" s="160"/>
      <c r="D64" s="148"/>
      <c r="E64" s="2"/>
      <c r="F64" s="2"/>
      <c r="G64" s="2"/>
      <c r="H64" s="2"/>
      <c r="I64" s="2"/>
      <c r="J64" s="149"/>
      <c r="K64" s="150"/>
      <c r="L64" s="150"/>
      <c r="M64" s="151"/>
    </row>
    <row r="65" spans="1:13">
      <c r="A65" s="2" t="s">
        <v>190</v>
      </c>
      <c r="B65" s="157"/>
      <c r="C65" s="160"/>
      <c r="D65" s="148">
        <v>15</v>
      </c>
      <c r="E65" s="2">
        <v>15</v>
      </c>
      <c r="F65" s="2">
        <v>15</v>
      </c>
      <c r="G65" s="2">
        <v>15</v>
      </c>
      <c r="H65" s="2">
        <v>15</v>
      </c>
      <c r="I65" s="2">
        <v>15</v>
      </c>
      <c r="J65" s="149"/>
      <c r="K65" s="150"/>
      <c r="L65" s="150"/>
      <c r="M65" s="151"/>
    </row>
    <row r="66" spans="1:13">
      <c r="A66" s="2" t="s">
        <v>180</v>
      </c>
      <c r="B66" s="157"/>
      <c r="C66" s="160"/>
      <c r="D66" s="148"/>
      <c r="E66" s="2"/>
      <c r="F66" s="2"/>
      <c r="G66" s="2"/>
      <c r="H66" s="2"/>
      <c r="I66" s="2"/>
      <c r="J66" s="149"/>
      <c r="K66" s="150"/>
      <c r="L66" s="150"/>
      <c r="M66" s="151"/>
    </row>
    <row r="67" spans="1:13">
      <c r="A67" s="3" t="s">
        <v>198</v>
      </c>
      <c r="B67" s="162"/>
      <c r="C67" s="171"/>
      <c r="D67" s="158">
        <f t="shared" ref="D67:I67" si="17">D57-SUM(D59:D66)</f>
        <v>-44.222222222222229</v>
      </c>
      <c r="E67" s="4">
        <f t="shared" si="17"/>
        <v>-115.88888888888891</v>
      </c>
      <c r="F67" s="4">
        <f t="shared" si="17"/>
        <v>130.77777777777783</v>
      </c>
      <c r="G67" s="4">
        <f t="shared" si="17"/>
        <v>152.77777777777783</v>
      </c>
      <c r="H67" s="4">
        <f t="shared" si="17"/>
        <v>174.77777777777783</v>
      </c>
      <c r="I67" s="4">
        <f t="shared" si="17"/>
        <v>196.77777777777783</v>
      </c>
      <c r="J67" s="149"/>
      <c r="K67" s="150"/>
      <c r="L67" s="150"/>
      <c r="M67" s="151"/>
    </row>
    <row r="69" spans="1:13">
      <c r="A69" s="3" t="s">
        <v>207</v>
      </c>
      <c r="B69" s="183"/>
      <c r="C69" s="183"/>
      <c r="D69" s="184" t="s">
        <v>172</v>
      </c>
      <c r="E69" s="184" t="s">
        <v>173</v>
      </c>
      <c r="F69" s="184" t="s">
        <v>174</v>
      </c>
      <c r="G69" s="184" t="s">
        <v>175</v>
      </c>
      <c r="H69" s="184" t="s">
        <v>176</v>
      </c>
      <c r="I69" s="184" t="s">
        <v>177</v>
      </c>
    </row>
    <row r="70" spans="1:13">
      <c r="A70" s="2" t="s">
        <v>208</v>
      </c>
      <c r="B70" s="2"/>
      <c r="C70" s="2"/>
      <c r="D70" s="2">
        <v>100</v>
      </c>
      <c r="E70" s="2">
        <v>250</v>
      </c>
      <c r="F70" s="2">
        <v>400</v>
      </c>
      <c r="G70" s="2">
        <v>500</v>
      </c>
      <c r="H70" s="2">
        <v>500</v>
      </c>
      <c r="I70" s="2">
        <v>500</v>
      </c>
    </row>
    <row r="71" spans="1:13">
      <c r="A71" s="2" t="s">
        <v>209</v>
      </c>
      <c r="B71" s="2"/>
      <c r="C71" s="2"/>
      <c r="D71" s="2">
        <v>150</v>
      </c>
      <c r="E71" s="2">
        <v>150</v>
      </c>
      <c r="F71" s="2">
        <v>150</v>
      </c>
      <c r="G71" s="2">
        <v>150</v>
      </c>
      <c r="H71" s="2">
        <v>150</v>
      </c>
      <c r="I71" s="2">
        <v>150</v>
      </c>
    </row>
    <row r="72" spans="1:13">
      <c r="A72" s="2" t="s">
        <v>210</v>
      </c>
      <c r="B72" s="2"/>
      <c r="C72" s="2"/>
      <c r="D72" s="2">
        <v>12</v>
      </c>
      <c r="E72" s="2">
        <v>12</v>
      </c>
      <c r="F72" s="2">
        <v>12</v>
      </c>
      <c r="G72" s="2">
        <v>12</v>
      </c>
      <c r="H72" s="2">
        <v>12</v>
      </c>
      <c r="I72" s="2">
        <v>12</v>
      </c>
      <c r="J72" s="159"/>
    </row>
    <row r="73" spans="1:13">
      <c r="A73" s="2" t="s">
        <v>211</v>
      </c>
      <c r="B73" s="2"/>
      <c r="C73" s="2"/>
      <c r="D73" s="2">
        <f t="shared" ref="D73:I73" si="18">D71*D72</f>
        <v>1800</v>
      </c>
      <c r="E73" s="2">
        <f t="shared" si="18"/>
        <v>1800</v>
      </c>
      <c r="F73" s="2">
        <f t="shared" si="18"/>
        <v>1800</v>
      </c>
      <c r="G73" s="2">
        <f t="shared" si="18"/>
        <v>1800</v>
      </c>
      <c r="H73" s="2">
        <f t="shared" si="18"/>
        <v>1800</v>
      </c>
      <c r="I73" s="2">
        <f t="shared" si="18"/>
        <v>1800</v>
      </c>
    </row>
    <row r="74" spans="1:13">
      <c r="A74" s="2" t="s">
        <v>212</v>
      </c>
      <c r="B74" s="2"/>
      <c r="C74" s="2"/>
      <c r="D74" s="2">
        <f t="shared" ref="D74:I74" si="19">D70*D73/1000</f>
        <v>180</v>
      </c>
      <c r="E74" s="2">
        <f t="shared" si="19"/>
        <v>450</v>
      </c>
      <c r="F74" s="2">
        <f t="shared" si="19"/>
        <v>720</v>
      </c>
      <c r="G74" s="2">
        <f t="shared" si="19"/>
        <v>900</v>
      </c>
      <c r="H74" s="2">
        <f t="shared" si="19"/>
        <v>900</v>
      </c>
      <c r="I74" s="2">
        <f t="shared" si="19"/>
        <v>900</v>
      </c>
    </row>
    <row r="76" spans="1:13">
      <c r="A76" s="3"/>
      <c r="B76" s="177" t="s">
        <v>34</v>
      </c>
      <c r="C76" s="178" t="s">
        <v>35</v>
      </c>
      <c r="D76" s="179" t="s">
        <v>172</v>
      </c>
      <c r="E76" s="179" t="s">
        <v>173</v>
      </c>
      <c r="F76" s="179" t="s">
        <v>174</v>
      </c>
      <c r="G76" s="179" t="s">
        <v>175</v>
      </c>
      <c r="H76" s="179" t="s">
        <v>176</v>
      </c>
      <c r="I76" s="179" t="s">
        <v>177</v>
      </c>
    </row>
    <row r="77" spans="1:13">
      <c r="A77" s="2" t="s">
        <v>178</v>
      </c>
      <c r="B77" s="157"/>
      <c r="C77" s="160"/>
      <c r="D77" s="148"/>
      <c r="E77" s="2"/>
      <c r="F77" s="2"/>
      <c r="G77" s="2"/>
      <c r="H77" s="2"/>
      <c r="I77" s="2"/>
    </row>
    <row r="78" spans="1:13">
      <c r="A78" s="2" t="s">
        <v>180</v>
      </c>
      <c r="B78" s="157"/>
      <c r="C78" s="160"/>
      <c r="D78" s="148"/>
      <c r="E78" s="2"/>
      <c r="F78" s="2"/>
      <c r="G78" s="2"/>
      <c r="H78" s="2"/>
      <c r="I78" s="2"/>
    </row>
    <row r="79" spans="1:13">
      <c r="A79" s="3" t="s">
        <v>181</v>
      </c>
      <c r="B79" s="162"/>
      <c r="C79" s="163"/>
      <c r="D79" s="153">
        <f t="shared" ref="D79:I79" si="20">D78+D77</f>
        <v>0</v>
      </c>
      <c r="E79" s="3">
        <f t="shared" si="20"/>
        <v>0</v>
      </c>
      <c r="F79" s="3">
        <f t="shared" si="20"/>
        <v>0</v>
      </c>
      <c r="G79" s="3">
        <f t="shared" si="20"/>
        <v>0</v>
      </c>
      <c r="H79" s="3">
        <f t="shared" si="20"/>
        <v>0</v>
      </c>
      <c r="I79" s="3">
        <f t="shared" si="20"/>
        <v>0</v>
      </c>
    </row>
    <row r="80" spans="1:13">
      <c r="A80" s="2" t="s">
        <v>182</v>
      </c>
      <c r="B80" s="157"/>
      <c r="C80" s="160"/>
      <c r="D80" s="152">
        <f t="shared" ref="D80:I80" si="21">D79*D81</f>
        <v>0</v>
      </c>
      <c r="E80" s="5">
        <f t="shared" si="21"/>
        <v>0</v>
      </c>
      <c r="F80" s="5">
        <f t="shared" si="21"/>
        <v>0</v>
      </c>
      <c r="G80" s="5">
        <f t="shared" si="21"/>
        <v>0</v>
      </c>
      <c r="H80" s="5">
        <f t="shared" si="21"/>
        <v>0</v>
      </c>
      <c r="I80" s="5">
        <f t="shared" si="21"/>
        <v>0</v>
      </c>
    </row>
    <row r="81" spans="1:9">
      <c r="A81" s="2" t="s">
        <v>183</v>
      </c>
      <c r="B81" s="164"/>
      <c r="C81" s="165"/>
      <c r="D81" s="166">
        <f>[1]Prez!G30</f>
        <v>0</v>
      </c>
      <c r="E81" s="167">
        <f>D81+1%</f>
        <v>0.01</v>
      </c>
      <c r="F81" s="167">
        <f>E81+1%</f>
        <v>0.02</v>
      </c>
      <c r="G81" s="167">
        <f>F81+1%</f>
        <v>0.03</v>
      </c>
      <c r="H81" s="167">
        <f>G81+1%</f>
        <v>0.04</v>
      </c>
      <c r="I81" s="167">
        <f>H81+1%</f>
        <v>0.05</v>
      </c>
    </row>
    <row r="82" spans="1:9">
      <c r="A82" s="2" t="s">
        <v>157</v>
      </c>
      <c r="B82" s="156"/>
      <c r="C82" s="168"/>
      <c r="D82" s="148">
        <f t="shared" ref="D82:I82" si="22">D79*$J$59</f>
        <v>0</v>
      </c>
      <c r="E82" s="2">
        <f t="shared" si="22"/>
        <v>0</v>
      </c>
      <c r="F82" s="2">
        <f t="shared" si="22"/>
        <v>0</v>
      </c>
      <c r="G82" s="2">
        <f t="shared" si="22"/>
        <v>0</v>
      </c>
      <c r="H82" s="2">
        <f t="shared" si="22"/>
        <v>0</v>
      </c>
      <c r="I82" s="2">
        <f t="shared" si="22"/>
        <v>0</v>
      </c>
    </row>
    <row r="83" spans="1:9">
      <c r="A83" s="2" t="s">
        <v>186</v>
      </c>
      <c r="B83" s="156"/>
      <c r="C83" s="168"/>
      <c r="D83" s="148">
        <v>150</v>
      </c>
      <c r="E83" s="2">
        <v>650</v>
      </c>
      <c r="F83" s="2">
        <v>700</v>
      </c>
      <c r="G83" s="2">
        <v>700</v>
      </c>
      <c r="H83" s="2">
        <v>700</v>
      </c>
      <c r="I83" s="2">
        <v>700</v>
      </c>
    </row>
    <row r="84" spans="1:9">
      <c r="A84" s="2" t="s">
        <v>158</v>
      </c>
      <c r="B84" s="156"/>
      <c r="C84" s="168"/>
      <c r="D84" s="148">
        <v>100</v>
      </c>
      <c r="E84" s="2">
        <v>150</v>
      </c>
      <c r="F84" s="2">
        <v>150</v>
      </c>
      <c r="G84" s="2">
        <v>150</v>
      </c>
      <c r="H84" s="2">
        <v>150</v>
      </c>
      <c r="I84" s="2">
        <v>150</v>
      </c>
    </row>
    <row r="85" spans="1:9">
      <c r="A85" s="2" t="s">
        <v>187</v>
      </c>
      <c r="B85" s="156"/>
      <c r="C85" s="168"/>
      <c r="D85" s="148">
        <v>25</v>
      </c>
      <c r="E85" s="2">
        <v>150</v>
      </c>
      <c r="F85" s="2">
        <v>200</v>
      </c>
      <c r="G85" s="2">
        <v>200</v>
      </c>
      <c r="H85" s="2">
        <v>200</v>
      </c>
      <c r="I85" s="2">
        <v>200</v>
      </c>
    </row>
    <row r="86" spans="1:9">
      <c r="A86" s="2" t="s">
        <v>188</v>
      </c>
      <c r="B86" s="156"/>
      <c r="C86" s="160"/>
      <c r="D86" s="174">
        <v>0</v>
      </c>
      <c r="E86" s="2">
        <v>150</v>
      </c>
      <c r="F86" s="2">
        <v>200</v>
      </c>
      <c r="G86" s="2">
        <v>200</v>
      </c>
      <c r="H86" s="2">
        <v>200</v>
      </c>
      <c r="I86" s="2">
        <v>200</v>
      </c>
    </row>
    <row r="87" spans="1:9">
      <c r="A87" s="2" t="s">
        <v>189</v>
      </c>
      <c r="B87" s="157"/>
      <c r="C87" s="160"/>
      <c r="D87" s="148"/>
      <c r="E87" s="2"/>
      <c r="F87" s="2"/>
      <c r="G87" s="2"/>
      <c r="H87" s="2"/>
      <c r="I87" s="2"/>
    </row>
    <row r="88" spans="1:9">
      <c r="A88" s="2" t="s">
        <v>190</v>
      </c>
      <c r="B88" s="157"/>
      <c r="C88" s="160"/>
      <c r="D88" s="148">
        <v>15</v>
      </c>
      <c r="E88" s="2">
        <v>15</v>
      </c>
      <c r="F88" s="2">
        <v>15</v>
      </c>
      <c r="G88" s="2">
        <v>15</v>
      </c>
      <c r="H88" s="2">
        <v>15</v>
      </c>
      <c r="I88" s="2">
        <v>15</v>
      </c>
    </row>
    <row r="89" spans="1:9">
      <c r="A89" s="2" t="s">
        <v>180</v>
      </c>
      <c r="B89" s="157"/>
      <c r="C89" s="160"/>
      <c r="D89" s="148"/>
      <c r="E89" s="2"/>
      <c r="F89" s="2"/>
      <c r="G89" s="2"/>
      <c r="H89" s="2"/>
      <c r="I89" s="2"/>
    </row>
    <row r="90" spans="1:9">
      <c r="A90" s="3" t="s">
        <v>198</v>
      </c>
      <c r="B90" s="162"/>
      <c r="C90" s="171"/>
      <c r="D90" s="158">
        <f t="shared" ref="D90:I90" si="23">D80-SUM(D82:D89)</f>
        <v>-290</v>
      </c>
      <c r="E90" s="4">
        <f t="shared" si="23"/>
        <v>-1115</v>
      </c>
      <c r="F90" s="4">
        <f t="shared" si="23"/>
        <v>-1265</v>
      </c>
      <c r="G90" s="4">
        <f t="shared" si="23"/>
        <v>-1265</v>
      </c>
      <c r="H90" s="4">
        <f t="shared" si="23"/>
        <v>-1265</v>
      </c>
      <c r="I90" s="4">
        <f t="shared" si="23"/>
        <v>-1265</v>
      </c>
    </row>
  </sheetData>
  <mergeCells count="4">
    <mergeCell ref="J4:M4"/>
    <mergeCell ref="J20:M20"/>
    <mergeCell ref="J36:M36"/>
    <mergeCell ref="J53:M5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72" orientation="portrait" horizontalDpi="300" verticalDpi="300" r:id="rId1"/>
  <headerFooter alignWithMargins="0">
    <oddFooter>&amp;L&amp;F&amp;C&amp;A&amp;R&amp;D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2"/>
  <sheetViews>
    <sheetView workbookViewId="0">
      <selection activeCell="D13" sqref="D13"/>
    </sheetView>
  </sheetViews>
  <sheetFormatPr baseColWidth="10" defaultColWidth="7.5703125" defaultRowHeight="12.75"/>
  <cols>
    <col min="1" max="1" width="18" customWidth="1"/>
    <col min="2" max="2" width="6" customWidth="1"/>
    <col min="3" max="3" width="7.85546875" customWidth="1"/>
  </cols>
  <sheetData>
    <row r="1" spans="1:10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0">
      <c r="A2" s="1" t="s">
        <v>270</v>
      </c>
      <c r="G2" s="1"/>
    </row>
    <row r="3" spans="1:10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>
      <c r="A4" s="3" t="s">
        <v>271</v>
      </c>
      <c r="B4" s="2"/>
      <c r="C4" s="3">
        <v>2011</v>
      </c>
      <c r="D4" s="3">
        <f>C4+1</f>
        <v>2012</v>
      </c>
      <c r="E4" s="3">
        <f>D4+1</f>
        <v>2013</v>
      </c>
      <c r="F4" s="3">
        <f>E4+1</f>
        <v>2014</v>
      </c>
      <c r="G4" s="3">
        <f>F4+1</f>
        <v>2015</v>
      </c>
      <c r="H4" s="3">
        <f>G4+1</f>
        <v>2016</v>
      </c>
      <c r="I4" s="1"/>
      <c r="J4" s="1"/>
    </row>
    <row r="5" spans="1:10">
      <c r="A5" s="3" t="s">
        <v>178</v>
      </c>
      <c r="B5" s="3"/>
      <c r="C5" s="244">
        <f>'[2]Kinegel Prev ventes 1'!N27</f>
        <v>46.8</v>
      </c>
      <c r="D5" s="244">
        <f>'[2]Kinegel Prev ventes 1'!O27</f>
        <v>102.375</v>
      </c>
      <c r="E5" s="244">
        <f>'[2]Kinegel Prev ventes 1'!P27</f>
        <v>177.45000000000002</v>
      </c>
      <c r="F5" s="244">
        <f>'[2]Kinegel Prev ventes 1'!Q27</f>
        <v>235.95</v>
      </c>
      <c r="G5" s="244">
        <f>'[2]Kinegel Prev ventes 1'!R27</f>
        <v>294.45</v>
      </c>
      <c r="H5" s="244">
        <f>'[2]Kinegel Prev ventes 1'!S27</f>
        <v>352.95</v>
      </c>
      <c r="I5" s="1"/>
    </row>
    <row r="6" spans="1:10">
      <c r="A6" s="2" t="s">
        <v>272</v>
      </c>
      <c r="B6" s="2"/>
      <c r="C6" s="245">
        <f>'[2]Kinegel Prev ventes 1'!N28</f>
        <v>14.493600000000001</v>
      </c>
      <c r="D6" s="245">
        <f>'[2]Kinegel Prev ventes 1'!O28</f>
        <v>31.184999999999999</v>
      </c>
      <c r="E6" s="245">
        <f>'[2]Kinegel Prev ventes 1'!P28</f>
        <v>52.552500000000002</v>
      </c>
      <c r="F6" s="245">
        <f>'[2]Kinegel Prev ventes 1'!Q28</f>
        <v>67.881</v>
      </c>
      <c r="G6" s="245">
        <f>'[2]Kinegel Prev ventes 1'!R28</f>
        <v>82.219499999999996</v>
      </c>
      <c r="H6" s="245">
        <f>'[2]Kinegel Prev ventes 1'!S28</f>
        <v>95.567999999999998</v>
      </c>
    </row>
    <row r="7" spans="1:10">
      <c r="A7" s="3" t="s">
        <v>258</v>
      </c>
      <c r="B7" s="3"/>
      <c r="C7" s="244">
        <f>'[2]Kinegel Prev ventes 1'!N29</f>
        <v>32.306399999999996</v>
      </c>
      <c r="D7" s="244">
        <f>'[2]Kinegel Prev ventes 1'!O29</f>
        <v>71.19</v>
      </c>
      <c r="E7" s="244">
        <f>'[2]Kinegel Prev ventes 1'!P29</f>
        <v>124.89750000000001</v>
      </c>
      <c r="F7" s="244">
        <f>'[2]Kinegel Prev ventes 1'!Q29</f>
        <v>168.06899999999999</v>
      </c>
      <c r="G7" s="244">
        <f>'[2]Kinegel Prev ventes 1'!R29</f>
        <v>212.23050000000001</v>
      </c>
      <c r="H7" s="244">
        <f>'[2]Kinegel Prev ventes 1'!S29</f>
        <v>257.38200000000001</v>
      </c>
    </row>
    <row r="8" spans="1:10">
      <c r="A8" s="3" t="s">
        <v>273</v>
      </c>
      <c r="B8" s="3"/>
      <c r="C8" s="246">
        <f>'[2]Kinegel Prev ventes 1'!N30</f>
        <v>0.69030769230769229</v>
      </c>
      <c r="D8" s="246">
        <f>'[2]Kinegel Prev ventes 1'!O30</f>
        <v>0.69538461538461538</v>
      </c>
      <c r="E8" s="246">
        <f>'[2]Kinegel Prev ventes 1'!P30</f>
        <v>0.70384615384615379</v>
      </c>
      <c r="F8" s="246">
        <f>'[2]Kinegel Prev ventes 1'!Q30</f>
        <v>0.71230769230769231</v>
      </c>
      <c r="G8" s="246">
        <f>'[2]Kinegel Prev ventes 1'!R30</f>
        <v>0.72076923076923083</v>
      </c>
      <c r="H8" s="246">
        <f>'[2]Kinegel Prev ventes 1'!S30</f>
        <v>0.72923076923076924</v>
      </c>
    </row>
    <row r="9" spans="1:10">
      <c r="A9" s="2" t="s">
        <v>157</v>
      </c>
      <c r="B9" s="172">
        <v>0.06</v>
      </c>
      <c r="C9" s="247">
        <f t="shared" ref="C9:H9" si="0">$B$9*C5</f>
        <v>2.8079999999999998</v>
      </c>
      <c r="D9" s="247">
        <f t="shared" si="0"/>
        <v>6.1425000000000001</v>
      </c>
      <c r="E9" s="247">
        <f t="shared" si="0"/>
        <v>10.647</v>
      </c>
      <c r="F9" s="247">
        <f t="shared" si="0"/>
        <v>14.156999999999998</v>
      </c>
      <c r="G9" s="247">
        <f t="shared" si="0"/>
        <v>17.666999999999998</v>
      </c>
      <c r="H9" s="247">
        <f t="shared" si="0"/>
        <v>21.177</v>
      </c>
    </row>
    <row r="10" spans="1:10">
      <c r="A10" s="2" t="s">
        <v>274</v>
      </c>
      <c r="B10" s="172">
        <v>0.25</v>
      </c>
      <c r="C10" s="247">
        <f t="shared" ref="C10:H10" si="1">$B$10*C5</f>
        <v>11.7</v>
      </c>
      <c r="D10" s="247">
        <f t="shared" si="1"/>
        <v>25.59375</v>
      </c>
      <c r="E10" s="247">
        <f t="shared" si="1"/>
        <v>44.362500000000004</v>
      </c>
      <c r="F10" s="247">
        <f t="shared" si="1"/>
        <v>58.987499999999997</v>
      </c>
      <c r="G10" s="247">
        <f t="shared" si="1"/>
        <v>73.612499999999997</v>
      </c>
      <c r="H10" s="247">
        <f t="shared" si="1"/>
        <v>88.237499999999997</v>
      </c>
    </row>
    <row r="11" spans="1:10">
      <c r="A11" s="2" t="s">
        <v>275</v>
      </c>
      <c r="B11" s="172"/>
      <c r="C11" s="247"/>
      <c r="D11" s="247"/>
      <c r="E11" s="247"/>
      <c r="F11" s="247"/>
      <c r="G11" s="247"/>
      <c r="H11" s="247"/>
    </row>
    <row r="12" spans="1:10">
      <c r="A12" s="2" t="s">
        <v>158</v>
      </c>
      <c r="B12" s="172">
        <v>0.15</v>
      </c>
      <c r="C12" s="248">
        <v>50</v>
      </c>
      <c r="D12" s="248">
        <v>50</v>
      </c>
      <c r="E12" s="247">
        <f>$B$12*E5</f>
        <v>26.617500000000003</v>
      </c>
      <c r="F12" s="247">
        <f>$B$12*F5</f>
        <v>35.392499999999998</v>
      </c>
      <c r="G12" s="247">
        <f>$B$12*G5</f>
        <v>44.167499999999997</v>
      </c>
      <c r="H12" s="247">
        <f>$B$12*H5</f>
        <v>52.942499999999995</v>
      </c>
    </row>
    <row r="13" spans="1:10">
      <c r="A13" s="2" t="s">
        <v>276</v>
      </c>
      <c r="B13" s="2"/>
      <c r="C13" s="248"/>
      <c r="D13" s="248">
        <v>25</v>
      </c>
      <c r="E13" s="248">
        <v>25</v>
      </c>
      <c r="F13" s="248">
        <v>60</v>
      </c>
      <c r="G13" s="248">
        <v>60</v>
      </c>
      <c r="H13" s="248">
        <v>60</v>
      </c>
    </row>
    <row r="14" spans="1:10">
      <c r="A14" s="2" t="s">
        <v>277</v>
      </c>
      <c r="B14" s="2"/>
      <c r="C14" s="248"/>
      <c r="D14" s="248"/>
      <c r="E14" s="248"/>
      <c r="F14" s="248"/>
      <c r="G14" s="248"/>
      <c r="H14" s="248"/>
    </row>
    <row r="15" spans="1:10">
      <c r="A15" s="2" t="s">
        <v>278</v>
      </c>
      <c r="B15" s="2"/>
      <c r="C15" s="248"/>
      <c r="D15" s="248"/>
      <c r="E15" s="248"/>
      <c r="F15" s="248"/>
      <c r="G15" s="248"/>
      <c r="H15" s="248"/>
    </row>
    <row r="16" spans="1:10">
      <c r="A16" s="2" t="s">
        <v>279</v>
      </c>
      <c r="B16" s="2"/>
      <c r="C16" s="247">
        <v>1</v>
      </c>
      <c r="D16" s="247">
        <v>2</v>
      </c>
      <c r="E16" s="247">
        <v>2</v>
      </c>
      <c r="F16" s="247">
        <v>2</v>
      </c>
      <c r="G16" s="247">
        <v>2</v>
      </c>
      <c r="H16" s="247">
        <v>2</v>
      </c>
    </row>
    <row r="17" spans="1:11">
      <c r="A17" s="2" t="s">
        <v>160</v>
      </c>
      <c r="B17" s="2"/>
      <c r="C17" s="247"/>
      <c r="D17" s="247"/>
      <c r="E17" s="247"/>
      <c r="F17" s="247"/>
      <c r="G17" s="249"/>
      <c r="H17" s="249"/>
    </row>
    <row r="18" spans="1:11">
      <c r="A18" s="2" t="s">
        <v>10</v>
      </c>
      <c r="B18" s="172">
        <v>0.01</v>
      </c>
      <c r="C18" s="247">
        <f t="shared" ref="C18:H18" si="2">$B$18*C5</f>
        <v>0.46799999999999997</v>
      </c>
      <c r="D18" s="247">
        <f t="shared" si="2"/>
        <v>1.0237499999999999</v>
      </c>
      <c r="E18" s="247">
        <f t="shared" si="2"/>
        <v>1.7745000000000002</v>
      </c>
      <c r="F18" s="247">
        <f t="shared" si="2"/>
        <v>2.3595000000000002</v>
      </c>
      <c r="G18" s="247">
        <f t="shared" si="2"/>
        <v>2.9445000000000001</v>
      </c>
      <c r="H18" s="247">
        <f t="shared" si="2"/>
        <v>3.5295000000000001</v>
      </c>
    </row>
    <row r="19" spans="1:11">
      <c r="A19" s="2" t="s">
        <v>280</v>
      </c>
      <c r="B19" s="2"/>
      <c r="C19" s="175"/>
      <c r="D19" s="176"/>
      <c r="E19" s="176"/>
      <c r="F19" s="176"/>
      <c r="G19" s="2"/>
      <c r="H19" s="2"/>
    </row>
    <row r="20" spans="1:11">
      <c r="A20" s="3" t="s">
        <v>281</v>
      </c>
      <c r="B20" s="3"/>
      <c r="C20" s="250">
        <f t="shared" ref="C20:H20" si="3">C7-SUM(C9:C19)</f>
        <v>-33.669600000000003</v>
      </c>
      <c r="D20" s="250">
        <f t="shared" si="3"/>
        <v>-38.570000000000007</v>
      </c>
      <c r="E20" s="250">
        <f t="shared" si="3"/>
        <v>14.495999999999995</v>
      </c>
      <c r="F20" s="250">
        <f t="shared" si="3"/>
        <v>-4.8274999999999864</v>
      </c>
      <c r="G20" s="250">
        <f t="shared" si="3"/>
        <v>11.838999999999999</v>
      </c>
      <c r="H20" s="250">
        <f t="shared" si="3"/>
        <v>29.495499999999993</v>
      </c>
      <c r="I20" s="1"/>
    </row>
    <row r="21" spans="1:11">
      <c r="A21" s="3" t="s">
        <v>282</v>
      </c>
      <c r="B21" s="3"/>
      <c r="C21" s="251" t="s">
        <v>267</v>
      </c>
      <c r="D21" s="251" t="s">
        <v>267</v>
      </c>
      <c r="E21" s="252">
        <f>E20/E5</f>
        <v>8.1690617075232425E-2</v>
      </c>
      <c r="F21" s="252">
        <f>F20/F5</f>
        <v>-2.0459843187115856E-2</v>
      </c>
      <c r="G21" s="252">
        <f>G20/G5</f>
        <v>4.0207165902530137E-2</v>
      </c>
      <c r="H21" s="252">
        <f>H20/H5</f>
        <v>8.3568494120980288E-2</v>
      </c>
      <c r="I21" s="253"/>
    </row>
    <row r="22" spans="1:11">
      <c r="A22" s="2" t="s">
        <v>283</v>
      </c>
      <c r="B22" s="172">
        <v>0</v>
      </c>
      <c r="C22" s="249">
        <f t="shared" ref="C22:H22" si="4">-$B$22*(B51+B53-B48)</f>
        <v>0</v>
      </c>
      <c r="D22" s="249">
        <f t="shared" si="4"/>
        <v>0</v>
      </c>
      <c r="E22" s="249">
        <f t="shared" si="4"/>
        <v>0</v>
      </c>
      <c r="F22" s="249">
        <f t="shared" si="4"/>
        <v>0</v>
      </c>
      <c r="G22" s="249">
        <f t="shared" si="4"/>
        <v>0</v>
      </c>
      <c r="H22" s="249">
        <f t="shared" si="4"/>
        <v>0</v>
      </c>
    </row>
    <row r="23" spans="1:11">
      <c r="A23" s="2" t="s">
        <v>284</v>
      </c>
      <c r="B23" s="2"/>
      <c r="C23" s="2"/>
      <c r="D23" s="5"/>
      <c r="E23" s="5"/>
      <c r="F23" s="5"/>
      <c r="G23" s="2"/>
      <c r="H23" s="2"/>
    </row>
    <row r="24" spans="1:11">
      <c r="A24" s="2" t="s">
        <v>285</v>
      </c>
      <c r="B24" s="172">
        <v>0.3</v>
      </c>
      <c r="C24" s="249"/>
      <c r="D24" s="249"/>
      <c r="E24" s="249">
        <f>-$B$24*(E20+E22+E23)</f>
        <v>-4.348799999999998</v>
      </c>
      <c r="F24" s="249">
        <f>-$B$24*(F20+F22+F23)</f>
        <v>1.4482499999999958</v>
      </c>
      <c r="G24" s="249">
        <f>-$B$24*(G20+G22+G23)</f>
        <v>-3.5516999999999994</v>
      </c>
      <c r="H24" s="249">
        <f>-$B$24*(H20+H22+H23)</f>
        <v>-8.8486499999999975</v>
      </c>
    </row>
    <row r="25" spans="1:11">
      <c r="A25" s="3" t="s">
        <v>286</v>
      </c>
      <c r="B25" s="3"/>
      <c r="C25" s="250">
        <f t="shared" ref="C25:H25" si="5">C20+C22+C23+C24</f>
        <v>-33.669600000000003</v>
      </c>
      <c r="D25" s="250">
        <f t="shared" si="5"/>
        <v>-38.570000000000007</v>
      </c>
      <c r="E25" s="250">
        <f t="shared" si="5"/>
        <v>10.147199999999998</v>
      </c>
      <c r="F25" s="250">
        <f t="shared" si="5"/>
        <v>-3.3792499999999905</v>
      </c>
      <c r="G25" s="250">
        <f t="shared" si="5"/>
        <v>8.2872999999999983</v>
      </c>
      <c r="H25" s="250">
        <f t="shared" si="5"/>
        <v>20.646849999999993</v>
      </c>
      <c r="I25" s="1"/>
    </row>
    <row r="26" spans="1:11">
      <c r="A2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7" spans="1:11">
      <c r="A27" s="3" t="s">
        <v>287</v>
      </c>
      <c r="B27" s="3"/>
      <c r="C27" s="3">
        <f t="shared" ref="C27:H27" si="6">C4</f>
        <v>2011</v>
      </c>
      <c r="D27" s="3">
        <f t="shared" si="6"/>
        <v>2012</v>
      </c>
      <c r="E27" s="3">
        <f t="shared" si="6"/>
        <v>2013</v>
      </c>
      <c r="F27" s="3">
        <f t="shared" si="6"/>
        <v>2014</v>
      </c>
      <c r="G27" s="3">
        <f t="shared" si="6"/>
        <v>2015</v>
      </c>
      <c r="H27" s="3">
        <f t="shared" si="6"/>
        <v>2016</v>
      </c>
      <c r="I27" s="254"/>
      <c r="J27" s="1"/>
      <c r="K27" s="1"/>
    </row>
    <row r="28" spans="1:11">
      <c r="A28" s="2" t="s">
        <v>227</v>
      </c>
      <c r="B28" s="249"/>
      <c r="C28" s="249">
        <f t="shared" ref="C28:H28" si="7">C25+C17</f>
        <v>-33.669600000000003</v>
      </c>
      <c r="D28" s="249">
        <f t="shared" si="7"/>
        <v>-38.570000000000007</v>
      </c>
      <c r="E28" s="249">
        <f t="shared" si="7"/>
        <v>10.147199999999998</v>
      </c>
      <c r="F28" s="249">
        <f t="shared" si="7"/>
        <v>-3.3792499999999905</v>
      </c>
      <c r="G28" s="249">
        <f t="shared" si="7"/>
        <v>8.2872999999999983</v>
      </c>
      <c r="H28" s="249">
        <f t="shared" si="7"/>
        <v>20.646849999999993</v>
      </c>
    </row>
    <row r="29" spans="1:11">
      <c r="A29" s="2" t="s">
        <v>233</v>
      </c>
      <c r="B29" s="249"/>
      <c r="C29" s="249"/>
      <c r="D29" s="249"/>
      <c r="E29" s="249"/>
      <c r="F29" s="249"/>
      <c r="G29" s="249"/>
      <c r="H29" s="249"/>
    </row>
    <row r="30" spans="1:11">
      <c r="A30" s="2" t="s">
        <v>288</v>
      </c>
      <c r="B30" s="249"/>
      <c r="C30" s="249"/>
      <c r="D30" s="249"/>
      <c r="E30" s="249"/>
      <c r="F30" s="249"/>
      <c r="G30" s="249"/>
      <c r="H30" s="249"/>
    </row>
    <row r="31" spans="1:11">
      <c r="A31" s="2" t="s">
        <v>289</v>
      </c>
      <c r="B31" s="249"/>
      <c r="C31" s="249">
        <f t="shared" ref="C31:H31" si="8">C66</f>
        <v>-12.181405808219175</v>
      </c>
      <c r="D31" s="249">
        <f t="shared" si="8"/>
        <v>-14.52351747945206</v>
      </c>
      <c r="E31" s="249">
        <f t="shared" si="8"/>
        <v>-19.751449315068491</v>
      </c>
      <c r="F31" s="249">
        <f t="shared" si="8"/>
        <v>-15.538458082191767</v>
      </c>
      <c r="G31" s="249">
        <f t="shared" si="8"/>
        <v>-15.649121095890415</v>
      </c>
      <c r="H31" s="249">
        <f t="shared" si="8"/>
        <v>-15.759784109589049</v>
      </c>
    </row>
    <row r="32" spans="1:11">
      <c r="A32" s="2" t="s">
        <v>290</v>
      </c>
      <c r="B32" s="249"/>
      <c r="C32" s="249"/>
      <c r="D32" s="249"/>
      <c r="E32" s="249"/>
      <c r="F32" s="249"/>
      <c r="G32" s="249"/>
      <c r="H32" s="249"/>
    </row>
    <row r="33" spans="1:11">
      <c r="A33" s="2" t="s">
        <v>291</v>
      </c>
      <c r="B33" s="249"/>
      <c r="C33" s="249"/>
      <c r="D33" s="249"/>
      <c r="E33" s="249"/>
      <c r="F33" s="249"/>
      <c r="G33" s="249"/>
      <c r="H33" s="249"/>
    </row>
    <row r="34" spans="1:11">
      <c r="A34" s="2" t="s">
        <v>292</v>
      </c>
      <c r="B34" s="249"/>
      <c r="C34" s="249"/>
      <c r="D34" s="249"/>
      <c r="E34" s="249"/>
      <c r="F34" s="249"/>
      <c r="G34" s="249"/>
      <c r="H34" s="249"/>
    </row>
    <row r="35" spans="1:11">
      <c r="A35" s="2" t="s">
        <v>234</v>
      </c>
      <c r="B35" s="249"/>
      <c r="C35" s="249"/>
      <c r="D35" s="249"/>
      <c r="E35" s="249"/>
      <c r="F35" s="249"/>
      <c r="G35" s="249"/>
      <c r="H35" s="249"/>
    </row>
    <row r="36" spans="1:11">
      <c r="A36" s="2" t="s">
        <v>293</v>
      </c>
      <c r="B36" s="249"/>
      <c r="C36" s="249"/>
      <c r="D36" s="249"/>
      <c r="E36" s="249"/>
      <c r="F36" s="249"/>
      <c r="G36" s="249"/>
      <c r="H36" s="249"/>
    </row>
    <row r="37" spans="1:11">
      <c r="A37" s="2" t="s">
        <v>294</v>
      </c>
      <c r="B37" s="249"/>
      <c r="C37" s="249"/>
      <c r="D37" s="249"/>
      <c r="E37" s="249"/>
      <c r="F37" s="249"/>
      <c r="G37" s="249"/>
      <c r="H37" s="249"/>
    </row>
    <row r="38" spans="1:11">
      <c r="A38" s="2" t="s">
        <v>295</v>
      </c>
      <c r="B38" s="249"/>
      <c r="C38" s="249"/>
      <c r="D38" s="249"/>
      <c r="E38" s="249"/>
      <c r="F38" s="249"/>
      <c r="G38" s="249"/>
      <c r="H38" s="249"/>
    </row>
    <row r="39" spans="1:11">
      <c r="A39" s="3" t="s">
        <v>296</v>
      </c>
      <c r="B39" s="250"/>
      <c r="C39" s="250">
        <f>B48</f>
        <v>0</v>
      </c>
      <c r="D39" s="250">
        <f>C40</f>
        <v>-45.851005808219178</v>
      </c>
      <c r="E39" s="250">
        <f>D40</f>
        <v>-98.944523287671245</v>
      </c>
      <c r="F39" s="250">
        <f>E40</f>
        <v>-108.54877260273975</v>
      </c>
      <c r="G39" s="250">
        <f>F40</f>
        <v>-127.4664806849315</v>
      </c>
      <c r="H39" s="250">
        <f>G40</f>
        <v>-134.8283017808219</v>
      </c>
    </row>
    <row r="40" spans="1:11">
      <c r="A40" s="3" t="s">
        <v>297</v>
      </c>
      <c r="B40" s="250"/>
      <c r="C40" s="250">
        <f t="shared" ref="C40:H40" si="9">SUM(C28:C39)</f>
        <v>-45.851005808219178</v>
      </c>
      <c r="D40" s="250">
        <f t="shared" si="9"/>
        <v>-98.944523287671245</v>
      </c>
      <c r="E40" s="250">
        <f t="shared" si="9"/>
        <v>-108.54877260273975</v>
      </c>
      <c r="F40" s="250">
        <f t="shared" si="9"/>
        <v>-127.4664806849315</v>
      </c>
      <c r="G40" s="250">
        <f t="shared" si="9"/>
        <v>-134.8283017808219</v>
      </c>
      <c r="H40" s="250">
        <f t="shared" si="9"/>
        <v>-129.94123589041095</v>
      </c>
    </row>
    <row r="41" spans="1:11">
      <c r="A4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2" spans="1:11">
      <c r="A42" s="3" t="s">
        <v>298</v>
      </c>
      <c r="B42" s="3"/>
      <c r="C42" s="3">
        <f t="shared" ref="C42:I42" si="10">C27</f>
        <v>2011</v>
      </c>
      <c r="D42" s="4">
        <f t="shared" si="10"/>
        <v>2012</v>
      </c>
      <c r="E42" s="4">
        <f t="shared" si="10"/>
        <v>2013</v>
      </c>
      <c r="F42" s="4">
        <f t="shared" si="10"/>
        <v>2014</v>
      </c>
      <c r="G42" s="4">
        <f t="shared" si="10"/>
        <v>2015</v>
      </c>
      <c r="H42" s="4">
        <f t="shared" si="10"/>
        <v>2016</v>
      </c>
      <c r="I42" s="254">
        <f t="shared" si="10"/>
        <v>0</v>
      </c>
      <c r="J42" s="1"/>
      <c r="K42" s="1"/>
    </row>
    <row r="43" spans="1:11">
      <c r="A43" s="2" t="s">
        <v>299</v>
      </c>
      <c r="B43" s="248">
        <v>0</v>
      </c>
      <c r="C43" s="249">
        <f t="shared" ref="C43:H43" si="11">B43</f>
        <v>0</v>
      </c>
      <c r="D43" s="249">
        <f t="shared" si="11"/>
        <v>0</v>
      </c>
      <c r="E43" s="249">
        <f t="shared" si="11"/>
        <v>0</v>
      </c>
      <c r="F43" s="249">
        <f t="shared" si="11"/>
        <v>0</v>
      </c>
      <c r="G43" s="249">
        <f t="shared" si="11"/>
        <v>0</v>
      </c>
      <c r="H43" s="249">
        <f t="shared" si="11"/>
        <v>0</v>
      </c>
    </row>
    <row r="44" spans="1:11" s="192" customFormat="1">
      <c r="A44" s="175" t="s">
        <v>5</v>
      </c>
      <c r="B44" s="247"/>
      <c r="C44" s="247">
        <f t="shared" ref="C44:H45" si="12">C61</f>
        <v>2.3825095890410961</v>
      </c>
      <c r="D44" s="247">
        <f t="shared" si="12"/>
        <v>5.1263013698630129</v>
      </c>
      <c r="E44" s="247">
        <f t="shared" si="12"/>
        <v>8.638767123287673</v>
      </c>
      <c r="F44" s="247">
        <f t="shared" si="12"/>
        <v>11.158520547945205</v>
      </c>
      <c r="G44" s="247">
        <f t="shared" si="12"/>
        <v>13.515534246575342</v>
      </c>
      <c r="H44" s="247">
        <f t="shared" si="12"/>
        <v>15.709808219178083</v>
      </c>
    </row>
    <row r="45" spans="1:11">
      <c r="A45" s="2" t="s">
        <v>6</v>
      </c>
      <c r="B45" s="249"/>
      <c r="C45" s="249">
        <f t="shared" si="12"/>
        <v>13.801512328767121</v>
      </c>
      <c r="D45" s="249">
        <f t="shared" si="12"/>
        <v>30.190808219178081</v>
      </c>
      <c r="E45" s="249">
        <f t="shared" si="12"/>
        <v>52.330734246575346</v>
      </c>
      <c r="F45" s="249">
        <f t="shared" si="12"/>
        <v>69.58262465753424</v>
      </c>
      <c r="G45" s="249">
        <f t="shared" si="12"/>
        <v>86.834515068493147</v>
      </c>
      <c r="H45" s="249">
        <f t="shared" si="12"/>
        <v>104.08640547945205</v>
      </c>
    </row>
    <row r="46" spans="1:11">
      <c r="A46" s="2" t="s">
        <v>300</v>
      </c>
      <c r="B46" s="249"/>
      <c r="C46" s="249">
        <f t="shared" ref="C46:H47" si="13">B46+C33</f>
        <v>0</v>
      </c>
      <c r="D46" s="249">
        <f t="shared" si="13"/>
        <v>0</v>
      </c>
      <c r="E46" s="249">
        <f t="shared" si="13"/>
        <v>0</v>
      </c>
      <c r="F46" s="249">
        <f t="shared" si="13"/>
        <v>0</v>
      </c>
      <c r="G46" s="249">
        <f t="shared" si="13"/>
        <v>0</v>
      </c>
      <c r="H46" s="249">
        <f t="shared" si="13"/>
        <v>0</v>
      </c>
    </row>
    <row r="47" spans="1:11">
      <c r="A47" s="2" t="s">
        <v>7</v>
      </c>
      <c r="B47" s="249"/>
      <c r="C47" s="249">
        <f t="shared" si="13"/>
        <v>0</v>
      </c>
      <c r="D47" s="249">
        <f t="shared" si="13"/>
        <v>0</v>
      </c>
      <c r="E47" s="249">
        <f t="shared" si="13"/>
        <v>0</v>
      </c>
      <c r="F47" s="249">
        <f t="shared" si="13"/>
        <v>0</v>
      </c>
      <c r="G47" s="249">
        <f t="shared" si="13"/>
        <v>0</v>
      </c>
      <c r="H47" s="249">
        <f t="shared" si="13"/>
        <v>0</v>
      </c>
    </row>
    <row r="48" spans="1:11">
      <c r="A48" s="2" t="s">
        <v>8</v>
      </c>
      <c r="B48" s="248">
        <v>0</v>
      </c>
      <c r="C48" s="250">
        <f t="shared" ref="C48:H48" si="14">C40</f>
        <v>-45.851005808219178</v>
      </c>
      <c r="D48" s="250">
        <f t="shared" si="14"/>
        <v>-98.944523287671245</v>
      </c>
      <c r="E48" s="250">
        <f t="shared" si="14"/>
        <v>-108.54877260273975</v>
      </c>
      <c r="F48" s="250">
        <f t="shared" si="14"/>
        <v>-127.4664806849315</v>
      </c>
      <c r="G48" s="250">
        <f t="shared" si="14"/>
        <v>-134.8283017808219</v>
      </c>
      <c r="H48" s="250">
        <f t="shared" si="14"/>
        <v>-129.94123589041095</v>
      </c>
    </row>
    <row r="49" spans="1:9">
      <c r="A49" s="2"/>
      <c r="B49" s="249"/>
      <c r="C49" s="249"/>
      <c r="D49" s="249"/>
      <c r="E49" s="249"/>
      <c r="F49" s="249"/>
      <c r="G49" s="249"/>
      <c r="H49" s="249"/>
    </row>
    <row r="50" spans="1:9">
      <c r="A50" s="3" t="s">
        <v>301</v>
      </c>
      <c r="B50" s="250">
        <v>0</v>
      </c>
      <c r="C50" s="250">
        <f t="shared" ref="C50:H50" si="15">B50+C25+C29</f>
        <v>-33.669600000000003</v>
      </c>
      <c r="D50" s="250">
        <f t="shared" si="15"/>
        <v>-72.23960000000001</v>
      </c>
      <c r="E50" s="250">
        <f t="shared" si="15"/>
        <v>-62.092400000000012</v>
      </c>
      <c r="F50" s="250">
        <f t="shared" si="15"/>
        <v>-65.471649999999997</v>
      </c>
      <c r="G50" s="250">
        <f t="shared" si="15"/>
        <v>-57.184349999999995</v>
      </c>
      <c r="H50" s="250">
        <f t="shared" si="15"/>
        <v>-36.537500000000001</v>
      </c>
    </row>
    <row r="51" spans="1:9">
      <c r="A51" s="2" t="s">
        <v>302</v>
      </c>
      <c r="B51" s="249"/>
      <c r="C51" s="249">
        <f t="shared" ref="C51:H51" si="16">B51+C35</f>
        <v>0</v>
      </c>
      <c r="D51" s="249">
        <f t="shared" si="16"/>
        <v>0</v>
      </c>
      <c r="E51" s="249">
        <f t="shared" si="16"/>
        <v>0</v>
      </c>
      <c r="F51" s="249">
        <f t="shared" si="16"/>
        <v>0</v>
      </c>
      <c r="G51" s="249">
        <f t="shared" si="16"/>
        <v>0</v>
      </c>
      <c r="H51" s="249">
        <f t="shared" si="16"/>
        <v>0</v>
      </c>
    </row>
    <row r="52" spans="1:9">
      <c r="A52" s="2" t="s">
        <v>303</v>
      </c>
      <c r="B52" s="249"/>
      <c r="C52" s="249">
        <f t="shared" ref="C52:H52" si="17">B52+C30</f>
        <v>0</v>
      </c>
      <c r="D52" s="249">
        <f t="shared" si="17"/>
        <v>0</v>
      </c>
      <c r="E52" s="249">
        <f t="shared" si="17"/>
        <v>0</v>
      </c>
      <c r="F52" s="249">
        <f t="shared" si="17"/>
        <v>0</v>
      </c>
      <c r="G52" s="249">
        <f t="shared" si="17"/>
        <v>0</v>
      </c>
      <c r="H52" s="249">
        <f t="shared" si="17"/>
        <v>0</v>
      </c>
    </row>
    <row r="53" spans="1:9">
      <c r="A53" s="2" t="s">
        <v>1</v>
      </c>
      <c r="B53" s="249"/>
      <c r="C53" s="249">
        <f t="shared" ref="C53:H53" si="18">B53+C36</f>
        <v>0</v>
      </c>
      <c r="D53" s="249">
        <f t="shared" si="18"/>
        <v>0</v>
      </c>
      <c r="E53" s="249">
        <f t="shared" si="18"/>
        <v>0</v>
      </c>
      <c r="F53" s="249">
        <f t="shared" si="18"/>
        <v>0</v>
      </c>
      <c r="G53" s="249">
        <f t="shared" si="18"/>
        <v>0</v>
      </c>
      <c r="H53" s="249">
        <f t="shared" si="18"/>
        <v>0</v>
      </c>
    </row>
    <row r="54" spans="1:9">
      <c r="A54" s="2" t="s">
        <v>13</v>
      </c>
      <c r="B54" s="249"/>
      <c r="C54" s="249">
        <f t="shared" ref="C54:H54" si="19">C63</f>
        <v>4.0026161095890416</v>
      </c>
      <c r="D54" s="249">
        <f t="shared" si="19"/>
        <v>8.6121863013698619</v>
      </c>
      <c r="E54" s="249">
        <f t="shared" si="19"/>
        <v>14.513128767123291</v>
      </c>
      <c r="F54" s="249">
        <f t="shared" si="19"/>
        <v>18.746314520547948</v>
      </c>
      <c r="G54" s="249">
        <f t="shared" si="19"/>
        <v>22.706097534246574</v>
      </c>
      <c r="H54" s="249">
        <f t="shared" si="19"/>
        <v>26.392477808219176</v>
      </c>
    </row>
    <row r="55" spans="1:9">
      <c r="A55" s="2" t="s">
        <v>14</v>
      </c>
      <c r="B55" s="249"/>
      <c r="C55" s="249">
        <f t="shared" ref="C55:H56" si="20">B55+C37</f>
        <v>0</v>
      </c>
      <c r="D55" s="249">
        <f t="shared" si="20"/>
        <v>0</v>
      </c>
      <c r="E55" s="249">
        <f t="shared" si="20"/>
        <v>0</v>
      </c>
      <c r="F55" s="249">
        <f t="shared" si="20"/>
        <v>0</v>
      </c>
      <c r="G55" s="249">
        <f t="shared" si="20"/>
        <v>0</v>
      </c>
      <c r="H55" s="249">
        <f t="shared" si="20"/>
        <v>0</v>
      </c>
    </row>
    <row r="56" spans="1:9">
      <c r="A56" s="2" t="s">
        <v>15</v>
      </c>
      <c r="B56" s="249"/>
      <c r="C56" s="249">
        <f t="shared" si="20"/>
        <v>0</v>
      </c>
      <c r="D56" s="249">
        <f t="shared" si="20"/>
        <v>0</v>
      </c>
      <c r="E56" s="249">
        <f t="shared" si="20"/>
        <v>0</v>
      </c>
      <c r="F56" s="249">
        <f t="shared" si="20"/>
        <v>0</v>
      </c>
      <c r="G56" s="249">
        <f t="shared" si="20"/>
        <v>0</v>
      </c>
      <c r="H56" s="249">
        <f t="shared" si="20"/>
        <v>0</v>
      </c>
    </row>
    <row r="57" spans="1:9">
      <c r="A57" s="3" t="s">
        <v>151</v>
      </c>
      <c r="B57" s="250">
        <f t="shared" ref="B57:H57" si="21">SUM(B50:B56)</f>
        <v>0</v>
      </c>
      <c r="C57" s="250">
        <f t="shared" si="21"/>
        <v>-29.666983890410961</v>
      </c>
      <c r="D57" s="250">
        <f t="shared" si="21"/>
        <v>-63.62741369863015</v>
      </c>
      <c r="E57" s="250">
        <f t="shared" si="21"/>
        <v>-47.579271232876721</v>
      </c>
      <c r="F57" s="250">
        <f t="shared" si="21"/>
        <v>-46.725335479452049</v>
      </c>
      <c r="G57" s="250">
        <f t="shared" si="21"/>
        <v>-34.478252465753421</v>
      </c>
      <c r="H57" s="250">
        <f t="shared" si="21"/>
        <v>-10.145022191780825</v>
      </c>
    </row>
    <row r="58" spans="1:9">
      <c r="A58" s="2" t="s">
        <v>153</v>
      </c>
      <c r="B58" s="249">
        <f t="shared" ref="B58:H58" si="22">B57-SUM(B43:B48)</f>
        <v>0</v>
      </c>
      <c r="C58" s="249">
        <f t="shared" si="22"/>
        <v>0</v>
      </c>
      <c r="D58" s="249">
        <f t="shared" si="22"/>
        <v>0</v>
      </c>
      <c r="E58" s="249">
        <f t="shared" si="22"/>
        <v>0</v>
      </c>
      <c r="F58" s="249">
        <f t="shared" si="22"/>
        <v>0</v>
      </c>
      <c r="G58" s="249">
        <f t="shared" si="22"/>
        <v>0</v>
      </c>
      <c r="H58" s="249">
        <f t="shared" si="22"/>
        <v>-1.4210854715202004E-14</v>
      </c>
    </row>
    <row r="59" spans="1:9">
      <c r="A5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0" spans="1:9">
      <c r="A60" s="3" t="s">
        <v>241</v>
      </c>
      <c r="B60" s="9" t="s">
        <v>247</v>
      </c>
      <c r="C60" s="3">
        <f t="shared" ref="C60:H60" si="23">C42</f>
        <v>2011</v>
      </c>
      <c r="D60" s="4">
        <f t="shared" si="23"/>
        <v>2012</v>
      </c>
      <c r="E60" s="4">
        <f t="shared" si="23"/>
        <v>2013</v>
      </c>
      <c r="F60" s="4">
        <f t="shared" si="23"/>
        <v>2014</v>
      </c>
      <c r="G60" s="4">
        <f t="shared" si="23"/>
        <v>2015</v>
      </c>
      <c r="H60" s="4">
        <f t="shared" si="23"/>
        <v>2016</v>
      </c>
      <c r="I60" s="254"/>
    </row>
    <row r="61" spans="1:9">
      <c r="A61" s="2" t="s">
        <v>304</v>
      </c>
      <c r="B61" s="2"/>
      <c r="C61" s="249">
        <f t="shared" ref="C61:H61" si="24">C6/365*C69</f>
        <v>2.3825095890410961</v>
      </c>
      <c r="D61" s="249">
        <f t="shared" si="24"/>
        <v>5.1263013698630129</v>
      </c>
      <c r="E61" s="249">
        <f t="shared" si="24"/>
        <v>8.638767123287673</v>
      </c>
      <c r="F61" s="249">
        <f t="shared" si="24"/>
        <v>11.158520547945205</v>
      </c>
      <c r="G61" s="249">
        <f t="shared" si="24"/>
        <v>13.515534246575342</v>
      </c>
      <c r="H61" s="249">
        <f t="shared" si="24"/>
        <v>15.709808219178083</v>
      </c>
      <c r="I61" s="201"/>
    </row>
    <row r="62" spans="1:9">
      <c r="A62" s="2" t="s">
        <v>305</v>
      </c>
      <c r="B62" s="255">
        <v>0.19600000000000001</v>
      </c>
      <c r="C62" s="249">
        <f t="shared" ref="C62:H62" si="25">C5*(1+$B$62)/365*C70</f>
        <v>13.801512328767121</v>
      </c>
      <c r="D62" s="249">
        <f t="shared" si="25"/>
        <v>30.190808219178081</v>
      </c>
      <c r="E62" s="249">
        <f t="shared" si="25"/>
        <v>52.330734246575346</v>
      </c>
      <c r="F62" s="249">
        <f t="shared" si="25"/>
        <v>69.58262465753424</v>
      </c>
      <c r="G62" s="249">
        <f t="shared" si="25"/>
        <v>86.834515068493147</v>
      </c>
      <c r="H62" s="249">
        <f t="shared" si="25"/>
        <v>104.08640547945205</v>
      </c>
      <c r="I62" s="201"/>
    </row>
    <row r="63" spans="1:9">
      <c r="A63" s="2" t="s">
        <v>306</v>
      </c>
      <c r="B63" s="2"/>
      <c r="C63" s="249">
        <f t="shared" ref="C63:H63" si="26">C6*(1+$B$68)/365*C71</f>
        <v>4.0026161095890416</v>
      </c>
      <c r="D63" s="249">
        <f t="shared" si="26"/>
        <v>8.6121863013698619</v>
      </c>
      <c r="E63" s="249">
        <f t="shared" si="26"/>
        <v>14.513128767123291</v>
      </c>
      <c r="F63" s="249">
        <f t="shared" si="26"/>
        <v>18.746314520547948</v>
      </c>
      <c r="G63" s="249">
        <f t="shared" si="26"/>
        <v>22.706097534246574</v>
      </c>
      <c r="H63" s="249">
        <f t="shared" si="26"/>
        <v>26.392477808219176</v>
      </c>
      <c r="I63" s="201"/>
    </row>
    <row r="64" spans="1:9">
      <c r="A64" s="2" t="s">
        <v>241</v>
      </c>
      <c r="B64" s="2"/>
      <c r="C64" s="249">
        <f t="shared" ref="C64:H64" si="27">C61+C62-C63</f>
        <v>12.181405808219175</v>
      </c>
      <c r="D64" s="5">
        <f t="shared" si="27"/>
        <v>26.704923287671235</v>
      </c>
      <c r="E64" s="5">
        <f t="shared" si="27"/>
        <v>46.456372602739727</v>
      </c>
      <c r="F64" s="5">
        <f t="shared" si="27"/>
        <v>61.994830684931493</v>
      </c>
      <c r="G64" s="5">
        <f t="shared" si="27"/>
        <v>77.643951780821908</v>
      </c>
      <c r="H64" s="5">
        <f t="shared" si="27"/>
        <v>93.403735890410957</v>
      </c>
      <c r="I64" s="201"/>
    </row>
    <row r="65" spans="1:10">
      <c r="A65" s="3" t="s">
        <v>242</v>
      </c>
      <c r="B65" s="3"/>
      <c r="C65" s="199">
        <f t="shared" ref="C65:H65" si="28">C64/C5</f>
        <v>0.26028644889357211</v>
      </c>
      <c r="D65" s="199">
        <f t="shared" si="28"/>
        <v>0.26085395152792418</v>
      </c>
      <c r="E65" s="199">
        <f t="shared" si="28"/>
        <v>0.26179978925184405</v>
      </c>
      <c r="F65" s="199">
        <f t="shared" si="28"/>
        <v>0.26274562697576392</v>
      </c>
      <c r="G65" s="199">
        <f t="shared" si="28"/>
        <v>0.26369146469968385</v>
      </c>
      <c r="H65" s="199">
        <f t="shared" si="28"/>
        <v>0.26463730242360378</v>
      </c>
      <c r="I65" s="256"/>
    </row>
    <row r="66" spans="1:10">
      <c r="A66" s="2" t="s">
        <v>307</v>
      </c>
      <c r="B66" s="2"/>
      <c r="C66" s="249">
        <f t="shared" ref="C66:H66" si="29">B64-C64</f>
        <v>-12.181405808219175</v>
      </c>
      <c r="D66" s="249">
        <f t="shared" si="29"/>
        <v>-14.52351747945206</v>
      </c>
      <c r="E66" s="249">
        <f t="shared" si="29"/>
        <v>-19.751449315068491</v>
      </c>
      <c r="F66" s="249">
        <f t="shared" si="29"/>
        <v>-15.538458082191767</v>
      </c>
      <c r="G66" s="249">
        <f t="shared" si="29"/>
        <v>-15.649121095890415</v>
      </c>
      <c r="H66" s="249">
        <f t="shared" si="29"/>
        <v>-15.759784109589049</v>
      </c>
    </row>
    <row r="67" spans="1:10">
      <c r="A6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8" spans="1:10">
      <c r="A68" s="3" t="s">
        <v>308</v>
      </c>
      <c r="B68" s="167">
        <v>0.12</v>
      </c>
      <c r="C68" s="4">
        <f t="shared" ref="C68:H68" si="30">C60</f>
        <v>2011</v>
      </c>
      <c r="D68" s="4">
        <f t="shared" si="30"/>
        <v>2012</v>
      </c>
      <c r="E68" s="4">
        <f t="shared" si="30"/>
        <v>2013</v>
      </c>
      <c r="F68" s="4">
        <f t="shared" si="30"/>
        <v>2014</v>
      </c>
      <c r="G68" s="4">
        <f t="shared" si="30"/>
        <v>2015</v>
      </c>
      <c r="H68" s="4">
        <f t="shared" si="30"/>
        <v>2016</v>
      </c>
      <c r="I68" s="254"/>
      <c r="J68" s="254"/>
    </row>
    <row r="69" spans="1:10">
      <c r="A69" s="2" t="s">
        <v>244</v>
      </c>
      <c r="B69" s="2"/>
      <c r="C69" s="175">
        <v>60</v>
      </c>
      <c r="D69" s="175">
        <v>60</v>
      </c>
      <c r="E69" s="175">
        <v>60</v>
      </c>
      <c r="F69" s="175">
        <v>60</v>
      </c>
      <c r="G69" s="175">
        <v>60</v>
      </c>
      <c r="H69" s="175">
        <v>60</v>
      </c>
    </row>
    <row r="70" spans="1:10">
      <c r="A70" s="2" t="s">
        <v>245</v>
      </c>
      <c r="B70" s="2"/>
      <c r="C70" s="2">
        <v>90</v>
      </c>
      <c r="D70" s="2">
        <v>90</v>
      </c>
      <c r="E70" s="2">
        <v>90</v>
      </c>
      <c r="F70" s="2">
        <v>90</v>
      </c>
      <c r="G70" s="2">
        <v>90</v>
      </c>
      <c r="H70" s="2">
        <v>90</v>
      </c>
    </row>
    <row r="71" spans="1:10">
      <c r="A71" s="2" t="s">
        <v>246</v>
      </c>
      <c r="B71" s="2"/>
      <c r="C71" s="2">
        <v>90</v>
      </c>
      <c r="D71" s="2">
        <v>90</v>
      </c>
      <c r="E71" s="2">
        <v>90</v>
      </c>
      <c r="F71" s="2">
        <v>90</v>
      </c>
      <c r="G71" s="2">
        <v>90</v>
      </c>
      <c r="H71" s="2">
        <v>90</v>
      </c>
    </row>
    <row r="72" spans="1:10">
      <c r="A7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honeticPr fontId="19" type="noConversion"/>
  <pageMargins left="0.78740157480314965" right="0.78740157480314965" top="0.31496062992125984" bottom="0.59055118110236227" header="0.23622047244094491" footer="0.51181102362204722"/>
  <pageSetup paperSize="9" scale="86" orientation="portrait" horizontalDpi="300" verticalDpi="300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1"/>
  <sheetViews>
    <sheetView tabSelected="1" topLeftCell="A52" zoomScaleNormal="130" workbookViewId="0">
      <selection activeCell="I80" sqref="I80"/>
    </sheetView>
  </sheetViews>
  <sheetFormatPr baseColWidth="10" defaultColWidth="7.140625" defaultRowHeight="12.75"/>
  <cols>
    <col min="1" max="1" width="21.5703125" customWidth="1"/>
    <col min="2" max="2" width="7.28515625" hidden="1" customWidth="1"/>
    <col min="3" max="3" width="7.28515625" style="192" customWidth="1"/>
    <col min="4" max="4" width="2.7109375" style="192" customWidth="1"/>
    <col min="5" max="13" width="7.28515625" customWidth="1"/>
  </cols>
  <sheetData>
    <row r="1" spans="1:17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7">
      <c r="A2" s="1" t="s">
        <v>218</v>
      </c>
      <c r="K2" s="243" t="s">
        <v>269</v>
      </c>
    </row>
    <row r="3" spans="1:17" ht="13.5" thickBot="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7" s="194" customFormat="1" ht="12" thickBot="1">
      <c r="A4" s="237" t="s">
        <v>309</v>
      </c>
      <c r="B4" s="238">
        <v>2009</v>
      </c>
      <c r="C4" s="239">
        <v>2010</v>
      </c>
      <c r="D4" s="240"/>
      <c r="E4" s="241">
        <v>2011</v>
      </c>
      <c r="F4" s="241">
        <f>+E4+1</f>
        <v>2012</v>
      </c>
      <c r="G4" s="241">
        <f>+F4+1</f>
        <v>2013</v>
      </c>
      <c r="H4" s="241">
        <f>+G4+1</f>
        <v>2014</v>
      </c>
      <c r="I4" s="242">
        <f>+H4+1</f>
        <v>2015</v>
      </c>
      <c r="J4" s="274" t="s">
        <v>219</v>
      </c>
      <c r="K4" s="275"/>
      <c r="L4" s="275"/>
      <c r="M4" s="276"/>
    </row>
    <row r="5" spans="1:17">
      <c r="A5" s="234" t="s">
        <v>178</v>
      </c>
      <c r="B5" s="235">
        <f>'cptes ana'!L6</f>
        <v>1580.742</v>
      </c>
      <c r="C5" s="235">
        <f>'cptes ana'!M6</f>
        <v>1677.0708299999999</v>
      </c>
      <c r="D5" s="236"/>
      <c r="E5" s="235">
        <f>'cptes ana'!O6</f>
        <v>2110.3313599999997</v>
      </c>
      <c r="F5" s="235">
        <f>'Plan dvlpmt'!E5+'Plan dvlpmt'!E21+'Plan dvlpmt'!E40+'Kinegel BP1'!C5</f>
        <v>3046.8</v>
      </c>
      <c r="G5" s="235">
        <f>'Plan dvlpmt'!F5+'Plan dvlpmt'!F21+'Plan dvlpmt'!F40+'Kinegel BP1'!D5</f>
        <v>4072.375</v>
      </c>
      <c r="H5" s="235">
        <f>'Plan dvlpmt'!G5+'Plan dvlpmt'!G21+'Plan dvlpmt'!G40+'Kinegel BP1'!E5</f>
        <v>4577.45</v>
      </c>
      <c r="I5" s="235">
        <f>'Plan dvlpmt'!H5+'Plan dvlpmt'!H21+'Plan dvlpmt'!H40+'Kinegel BP1'!F5</f>
        <v>4935.95</v>
      </c>
      <c r="J5" s="215" t="s">
        <v>312</v>
      </c>
      <c r="K5" s="196"/>
      <c r="L5" s="196"/>
      <c r="M5" s="107"/>
    </row>
    <row r="6" spans="1:17">
      <c r="A6" s="2" t="s">
        <v>180</v>
      </c>
      <c r="B6" s="15">
        <f>'cptes ana'!L7</f>
        <v>0</v>
      </c>
      <c r="C6" s="15">
        <f>'cptes ana'!M7</f>
        <v>66</v>
      </c>
      <c r="D6" s="223"/>
      <c r="E6" s="15">
        <f>'cptes ana'!O7</f>
        <v>0</v>
      </c>
      <c r="F6" s="5">
        <v>0</v>
      </c>
      <c r="G6" s="5">
        <v>0</v>
      </c>
      <c r="H6" s="5">
        <v>0</v>
      </c>
      <c r="I6" s="5">
        <v>0</v>
      </c>
      <c r="J6" s="216"/>
      <c r="K6" s="198"/>
      <c r="L6" s="198"/>
      <c r="M6" s="148"/>
    </row>
    <row r="7" spans="1:17">
      <c r="A7" s="3" t="s">
        <v>181</v>
      </c>
      <c r="B7" s="15">
        <f>'cptes ana'!L8</f>
        <v>1580.742</v>
      </c>
      <c r="C7" s="15">
        <f>'cptes ana'!M8</f>
        <v>1743.0708299999999</v>
      </c>
      <c r="D7" s="223"/>
      <c r="E7" s="15">
        <f>'cptes ana'!O8</f>
        <v>2110.3313599999997</v>
      </c>
      <c r="F7" s="15">
        <f>F5</f>
        <v>3046.8</v>
      </c>
      <c r="G7" s="15">
        <f>G5</f>
        <v>4072.375</v>
      </c>
      <c r="H7" s="15">
        <f>H5</f>
        <v>4577.45</v>
      </c>
      <c r="I7" s="15">
        <f>I5</f>
        <v>4935.95</v>
      </c>
      <c r="J7" s="216" t="s">
        <v>220</v>
      </c>
      <c r="K7" s="198"/>
      <c r="L7" s="198"/>
      <c r="M7" s="189">
        <v>340</v>
      </c>
    </row>
    <row r="8" spans="1:17">
      <c r="A8" s="3" t="s">
        <v>258</v>
      </c>
      <c r="B8" s="4">
        <f>+'cptes ana'!L10</f>
        <v>982.23219246764484</v>
      </c>
      <c r="C8" s="4">
        <f>+'cptes ana'!M10</f>
        <v>1065.3491223665337</v>
      </c>
      <c r="D8" s="162"/>
      <c r="E8" s="4">
        <f>+'cptes ana'!O10</f>
        <v>1262.5261190319029</v>
      </c>
      <c r="F8" s="4">
        <f>'Plan dvlpmt'!E8+'Plan dvlpmt'!E24+'Plan dvlpmt'!E41+'Kinegel BP1'!C7</f>
        <v>1972.4613361173542</v>
      </c>
      <c r="G8" s="4">
        <f>'Plan dvlpmt'!F8+'Plan dvlpmt'!F24+'Plan dvlpmt'!F41+'Kinegel BP1'!D7</f>
        <v>2689.6331179355366</v>
      </c>
      <c r="H8" s="4">
        <f>'Plan dvlpmt'!G8+'Plan dvlpmt'!G24+'Plan dvlpmt'!G41+'Kinegel BP1'!E7</f>
        <v>3076.2287997537182</v>
      </c>
      <c r="I8" s="4">
        <f>'Plan dvlpmt'!H8+'Plan dvlpmt'!H24+'Plan dvlpmt'!H41+'Kinegel BP1'!F7</f>
        <v>3368.8369664203847</v>
      </c>
      <c r="J8" s="216"/>
      <c r="K8" s="198"/>
      <c r="L8" s="198"/>
      <c r="M8" s="281">
        <f>M7+E27+F27</f>
        <v>0</v>
      </c>
      <c r="N8" s="205"/>
      <c r="O8" s="205"/>
      <c r="P8" s="205"/>
      <c r="Q8" s="214"/>
    </row>
    <row r="9" spans="1:17">
      <c r="A9" s="3" t="s">
        <v>161</v>
      </c>
      <c r="B9" s="200">
        <f>+B8/B5</f>
        <v>0.62137413472131753</v>
      </c>
      <c r="C9" s="200">
        <f>+(C8-C6)/C5</f>
        <v>0.59588963357411318</v>
      </c>
      <c r="D9" s="224"/>
      <c r="E9" s="200">
        <f>+E8/E5</f>
        <v>0.59825965863100428</v>
      </c>
      <c r="F9" s="199">
        <f>F8/F5</f>
        <v>0.64738786140125837</v>
      </c>
      <c r="G9" s="199">
        <f>G8/G5</f>
        <v>0.66045811545732813</v>
      </c>
      <c r="H9" s="199">
        <f>H8/H5</f>
        <v>0.67203984745955025</v>
      </c>
      <c r="I9" s="199">
        <f>I8/I5</f>
        <v>0.68251035087883483</v>
      </c>
      <c r="J9" s="216" t="s">
        <v>221</v>
      </c>
      <c r="K9" s="198"/>
      <c r="L9" s="198"/>
      <c r="M9" s="148"/>
      <c r="N9" s="205"/>
      <c r="O9" s="205"/>
      <c r="P9" s="205"/>
      <c r="Q9" s="214"/>
    </row>
    <row r="10" spans="1:17">
      <c r="A10" s="2" t="s">
        <v>157</v>
      </c>
      <c r="B10" s="15">
        <f>+'cptes ana'!L12</f>
        <v>135.91780753235511</v>
      </c>
      <c r="C10" s="15">
        <f>+'cptes ana'!M12</f>
        <v>126.07350478358498</v>
      </c>
      <c r="D10" s="223"/>
      <c r="E10" s="15">
        <f>+'cptes ana'!O12</f>
        <v>157.35592744748246</v>
      </c>
      <c r="F10" s="5">
        <f>+'Plan dvlpmt'!E10+'Plan dvlpmt'!E26+'Plan dvlpmt'!E43+'Kinegel BP1'!C9</f>
        <v>218.59261319721776</v>
      </c>
      <c r="G10" s="5">
        <f>+'Plan dvlpmt'!F10+'Plan dvlpmt'!F26+'Plan dvlpmt'!F43+'Kinegel BP1'!D9</f>
        <v>286.08081924235614</v>
      </c>
      <c r="H10" s="5">
        <f>+'Plan dvlpmt'!G10+'Plan dvlpmt'!G26+'Plan dvlpmt'!G43+'Kinegel BP1'!E9</f>
        <v>320.7190252874945</v>
      </c>
      <c r="I10" s="5">
        <f>+'Plan dvlpmt'!H10+'Plan dvlpmt'!H26+'Plan dvlpmt'!H43+'Kinegel BP1'!F9</f>
        <v>343.12902528749453</v>
      </c>
      <c r="J10" s="216"/>
      <c r="K10" s="198"/>
      <c r="L10" s="198"/>
      <c r="M10" s="148"/>
      <c r="N10" s="205"/>
      <c r="O10" s="205"/>
      <c r="P10" s="205"/>
      <c r="Q10" s="214"/>
    </row>
    <row r="11" spans="1:17">
      <c r="A11" s="2" t="s">
        <v>186</v>
      </c>
      <c r="B11" s="15">
        <f>+'cptes ana'!L13</f>
        <v>218.54725337647349</v>
      </c>
      <c r="C11" s="15">
        <f>+'cptes ana'!M13</f>
        <v>236.36968632284615</v>
      </c>
      <c r="D11" s="223"/>
      <c r="E11" s="197">
        <f>+'cptes ana'!O13</f>
        <v>335.92015775067136</v>
      </c>
      <c r="F11" s="5">
        <f>+'Plan dvlpmt'!E12+'Plan dvlpmt'!E27+'Plan dvlpmt'!E44+'Kinegel BP1'!C10</f>
        <v>449.74177363909769</v>
      </c>
      <c r="G11" s="5">
        <f>+'Plan dvlpmt'!F12+'Plan dvlpmt'!F27+'Plan dvlpmt'!F44+'Kinegel BP1'!D10</f>
        <v>603.63552363909776</v>
      </c>
      <c r="H11" s="5">
        <f>+'Plan dvlpmt'!G12+'Plan dvlpmt'!G27+'Plan dvlpmt'!G44+'Kinegel BP1'!E10</f>
        <v>622.40427363909771</v>
      </c>
      <c r="I11" s="5">
        <f>+'Plan dvlpmt'!H12+'Plan dvlpmt'!H27+'Plan dvlpmt'!H44+'Kinegel BP1'!F10</f>
        <v>637.02927363909771</v>
      </c>
      <c r="J11" s="216" t="s">
        <v>222</v>
      </c>
      <c r="K11" s="198"/>
      <c r="L11" s="198"/>
      <c r="M11" s="148"/>
      <c r="N11" s="205"/>
      <c r="O11" s="205"/>
      <c r="P11" s="205"/>
      <c r="Q11" s="214"/>
    </row>
    <row r="12" spans="1:17">
      <c r="A12" s="2" t="s">
        <v>158</v>
      </c>
      <c r="B12" s="15">
        <f>+'cptes ana'!L14</f>
        <v>192.70435428530209</v>
      </c>
      <c r="C12" s="15">
        <f>+'cptes ana'!M14</f>
        <v>188.0417736390977</v>
      </c>
      <c r="D12" s="223"/>
      <c r="E12" s="15">
        <f>+'cptes ana'!O14</f>
        <v>213.71055189497582</v>
      </c>
      <c r="F12" s="5">
        <f>+'Plan dvlpmt'!E11+'Plan dvlpmt'!E28+'Plan dvlpmt'!E45+'Kinegel BP1'!C12</f>
        <v>436.36968632284618</v>
      </c>
      <c r="G12" s="5">
        <f>+'Plan dvlpmt'!F11+'Plan dvlpmt'!F28+'Plan dvlpmt'!F45+'Kinegel BP1'!D12</f>
        <v>436.36968632284618</v>
      </c>
      <c r="H12" s="5">
        <f>+'Plan dvlpmt'!G11+'Plan dvlpmt'!G28+'Plan dvlpmt'!G45+'Kinegel BP1'!E12</f>
        <v>412.98718632284618</v>
      </c>
      <c r="I12" s="5">
        <f>+'Plan dvlpmt'!H11+'Plan dvlpmt'!H28+'Plan dvlpmt'!H45+'Kinegel BP1'!F12</f>
        <v>421.76218632284616</v>
      </c>
      <c r="J12" s="216"/>
      <c r="K12" s="198"/>
      <c r="L12" s="198"/>
      <c r="M12" s="148"/>
      <c r="N12" s="205"/>
      <c r="O12" s="205"/>
      <c r="P12" s="205"/>
      <c r="Q12" s="205"/>
    </row>
    <row r="13" spans="1:17">
      <c r="A13" s="2" t="s">
        <v>187</v>
      </c>
      <c r="B13" s="15">
        <f>+'cptes ana'!L15</f>
        <v>174.06290711223107</v>
      </c>
      <c r="C13" s="15">
        <f>+'cptes ana'!M15</f>
        <v>171.01249103898053</v>
      </c>
      <c r="D13" s="223"/>
      <c r="E13" s="15">
        <f>+'cptes ana'!O15</f>
        <v>189.99755690428907</v>
      </c>
      <c r="F13" s="5">
        <f>+'Plan dvlpmt'!E13+'Plan dvlpmt'!E29+'Plan dvlpmt'!E46+'Kinegel BP1'!C13+50</f>
        <v>271.01249103898056</v>
      </c>
      <c r="G13" s="5">
        <f>+'Plan dvlpmt'!F13+'Plan dvlpmt'!F29+'Plan dvlpmt'!F46+'Kinegel BP1'!D13+150</f>
        <v>396.01249103898056</v>
      </c>
      <c r="H13" s="5">
        <f>+'Plan dvlpmt'!G13+'Plan dvlpmt'!G29+'Plan dvlpmt'!G46+'Kinegel BP1'!E13+150</f>
        <v>416.01249103898056</v>
      </c>
      <c r="I13" s="5">
        <f>+'Plan dvlpmt'!H13+'Plan dvlpmt'!H29+'Plan dvlpmt'!H46+'Kinegel BP1'!F13+150</f>
        <v>451.01249103898056</v>
      </c>
      <c r="J13" s="216" t="s">
        <v>310</v>
      </c>
      <c r="K13" s="198"/>
      <c r="L13" s="198"/>
      <c r="M13" s="148"/>
    </row>
    <row r="14" spans="1:17">
      <c r="A14" s="2" t="s">
        <v>188</v>
      </c>
      <c r="B14" s="15">
        <f>+'cptes ana'!L16</f>
        <v>213.52704</v>
      </c>
      <c r="C14" s="15">
        <f>+'cptes ana'!M16</f>
        <v>226.52493483648252</v>
      </c>
      <c r="D14" s="223"/>
      <c r="E14" s="15">
        <f>+'cptes ana'!O16</f>
        <v>250.53635516257958</v>
      </c>
      <c r="F14" s="5">
        <f>+'Plan dvlpmt'!E14+'Plan dvlpmt'!E30+'Plan dvlpmt'!E47+'Kinegel BP1'!C14+22+25</f>
        <v>303.52493483648254</v>
      </c>
      <c r="G14" s="5">
        <f>+'Plan dvlpmt'!F14+'Plan dvlpmt'!F30+'Plan dvlpmt'!F47+'Kinegel BP1'!D14+22+50</f>
        <v>348.52493483648254</v>
      </c>
      <c r="H14" s="5">
        <f>+'Plan dvlpmt'!G14+'Plan dvlpmt'!G30+'Plan dvlpmt'!G47+'Kinegel BP1'!E14+22+50</f>
        <v>368.52493483648254</v>
      </c>
      <c r="I14" s="5">
        <f>+'Plan dvlpmt'!H14+'Plan dvlpmt'!H30+'Plan dvlpmt'!H47+'Kinegel BP1'!F14+22+50</f>
        <v>368.52493483648254</v>
      </c>
      <c r="J14" s="217" t="s">
        <v>311</v>
      </c>
      <c r="K14" s="198"/>
      <c r="L14" s="198"/>
      <c r="M14" s="148"/>
    </row>
    <row r="15" spans="1:17">
      <c r="A15" s="2" t="s">
        <v>160</v>
      </c>
      <c r="B15" s="15">
        <f>+'cptes ana'!L17</f>
        <v>44.308</v>
      </c>
      <c r="C15" s="15">
        <f>+'cptes ana'!M17</f>
        <v>38.06955</v>
      </c>
      <c r="D15" s="223"/>
      <c r="E15" s="15">
        <f>+'cptes ana'!O17</f>
        <v>32.323999999999998</v>
      </c>
      <c r="F15" s="191">
        <v>51</v>
      </c>
      <c r="G15" s="191">
        <v>51</v>
      </c>
      <c r="H15" s="191">
        <v>51</v>
      </c>
      <c r="I15" s="191">
        <v>51</v>
      </c>
      <c r="J15" s="216" t="s">
        <v>266</v>
      </c>
      <c r="K15" s="198"/>
      <c r="L15" s="198"/>
      <c r="M15" s="148"/>
      <c r="N15" s="201"/>
    </row>
    <row r="16" spans="1:17">
      <c r="A16" s="222" t="s">
        <v>0</v>
      </c>
      <c r="B16" s="15">
        <f>+'cptes ana'!L18</f>
        <v>28.420255600000001</v>
      </c>
      <c r="C16" s="15">
        <f>+'cptes ana'!M18</f>
        <v>19.666854464</v>
      </c>
      <c r="D16" s="223"/>
      <c r="E16" s="15">
        <f>+'cptes ana'!O18</f>
        <v>21.028139359632252</v>
      </c>
      <c r="F16" s="5">
        <f>+'Plan dvlpmt'!E16+'Kinegel BP1'!C16</f>
        <v>20.666854464</v>
      </c>
      <c r="G16" s="5">
        <f>+'Plan dvlpmt'!F16+'Kinegel BP1'!D16</f>
        <v>21.666854464</v>
      </c>
      <c r="H16" s="5">
        <f>+'Plan dvlpmt'!G16+'Kinegel BP1'!E16</f>
        <v>21.666854464</v>
      </c>
      <c r="I16" s="5">
        <f>+'Plan dvlpmt'!H16+'Kinegel BP1'!F16</f>
        <v>21.666854464</v>
      </c>
      <c r="J16" s="216"/>
      <c r="K16" s="198"/>
      <c r="L16" s="198"/>
      <c r="M16" s="148"/>
      <c r="N16" s="201"/>
    </row>
    <row r="17" spans="1:14">
      <c r="A17" s="2" t="s">
        <v>180</v>
      </c>
      <c r="B17" s="15">
        <f>+'cptes ana'!L19</f>
        <v>0</v>
      </c>
      <c r="C17" s="15">
        <f>+'cptes ana'!M19</f>
        <v>0</v>
      </c>
      <c r="D17" s="223"/>
      <c r="E17" s="15">
        <f>+'cptes ana'!O19</f>
        <v>0</v>
      </c>
      <c r="F17" s="5">
        <f>+'Kinegel BP1'!C18</f>
        <v>0.46799999999999997</v>
      </c>
      <c r="G17" s="5">
        <f>+'Kinegel BP1'!D18</f>
        <v>1.0237499999999999</v>
      </c>
      <c r="H17" s="5">
        <f>+'Kinegel BP1'!E18</f>
        <v>1.7745000000000002</v>
      </c>
      <c r="I17" s="5">
        <f>+'Kinegel BP1'!F18</f>
        <v>2.3595000000000002</v>
      </c>
      <c r="J17" s="216"/>
      <c r="K17" s="198"/>
      <c r="L17" s="198"/>
      <c r="M17" s="148"/>
      <c r="N17" s="201"/>
    </row>
    <row r="18" spans="1:14">
      <c r="A18" s="3" t="s">
        <v>191</v>
      </c>
      <c r="B18" s="4">
        <f>+B8-SUM(B10:B17)</f>
        <v>-25.255425438716884</v>
      </c>
      <c r="C18" s="4">
        <f t="shared" ref="C18:I18" si="0">+C8-SUM(C10:C17)</f>
        <v>59.590327281541704</v>
      </c>
      <c r="D18" s="162"/>
      <c r="E18" s="4">
        <f t="shared" si="0"/>
        <v>61.65343051227228</v>
      </c>
      <c r="F18" s="4">
        <f t="shared" si="0"/>
        <v>221.08498261872978</v>
      </c>
      <c r="G18" s="4">
        <f t="shared" si="0"/>
        <v>545.31905839177307</v>
      </c>
      <c r="H18" s="4">
        <f t="shared" si="0"/>
        <v>861.13953416481627</v>
      </c>
      <c r="I18" s="4">
        <f t="shared" si="0"/>
        <v>1072.3527008314832</v>
      </c>
      <c r="J18" s="216"/>
      <c r="K18" s="198"/>
      <c r="L18" s="198"/>
      <c r="M18" s="148"/>
      <c r="N18" s="201"/>
    </row>
    <row r="19" spans="1:14">
      <c r="A19" s="3" t="s">
        <v>223</v>
      </c>
      <c r="B19" s="233">
        <f>B18/B5</f>
        <v>-1.5976943384003767E-2</v>
      </c>
      <c r="C19" s="233">
        <f t="shared" ref="C19:I19" si="1">C18/C5</f>
        <v>3.5532385523360223E-2</v>
      </c>
      <c r="D19" s="225"/>
      <c r="E19" s="233">
        <f t="shared" si="1"/>
        <v>2.9215047305306732E-2</v>
      </c>
      <c r="F19" s="233">
        <f t="shared" si="1"/>
        <v>7.2563011231039046E-2</v>
      </c>
      <c r="G19" s="233">
        <f t="shared" si="1"/>
        <v>0.13390688686375224</v>
      </c>
      <c r="H19" s="233">
        <f t="shared" si="1"/>
        <v>0.18812647525692608</v>
      </c>
      <c r="I19" s="233">
        <f t="shared" si="1"/>
        <v>0.21725355824744644</v>
      </c>
      <c r="J19" s="216"/>
      <c r="K19" s="198"/>
      <c r="L19" s="198"/>
      <c r="M19" s="148"/>
      <c r="N19" s="201"/>
    </row>
    <row r="20" spans="1:14">
      <c r="A20" s="2" t="s">
        <v>224</v>
      </c>
      <c r="B20" s="15">
        <f>'cptes ana'!L21</f>
        <v>-713</v>
      </c>
      <c r="C20" s="15">
        <f>'cptes ana'!M21</f>
        <v>104</v>
      </c>
      <c r="D20" s="157"/>
      <c r="E20" s="5">
        <f>-$J$20*(C49+C50-C45)</f>
        <v>-9.16</v>
      </c>
      <c r="F20" s="5">
        <f>-$J$20*(E49+E50-E45)</f>
        <v>-12.439639588329955</v>
      </c>
      <c r="G20" s="5">
        <f>-$J$20*(F49+F50-F45)</f>
        <v>-18.396685258321192</v>
      </c>
      <c r="H20" s="5">
        <f>-$J$20*(G49+G50-G45)</f>
        <v>-10.081199396982347</v>
      </c>
      <c r="I20" s="5">
        <f>-$J$20*(H49+H50-H45)</f>
        <v>2.6018411206146266</v>
      </c>
      <c r="J20" s="216">
        <v>0.04</v>
      </c>
      <c r="K20" s="198" t="s">
        <v>259</v>
      </c>
      <c r="L20" s="198"/>
      <c r="M20" s="148"/>
      <c r="N20" s="201"/>
    </row>
    <row r="21" spans="1:14">
      <c r="A21" s="2" t="s">
        <v>166</v>
      </c>
      <c r="B21" s="15">
        <f>'cptes ana'!L22</f>
        <v>0</v>
      </c>
      <c r="C21" s="15">
        <f>'cptes ana'!M22</f>
        <v>17</v>
      </c>
      <c r="D21" s="157"/>
      <c r="E21" s="176"/>
      <c r="F21" s="5"/>
      <c r="G21" s="5"/>
      <c r="H21" s="5"/>
      <c r="I21" s="5"/>
      <c r="J21" s="216"/>
      <c r="K21" s="198"/>
      <c r="L21" s="198"/>
      <c r="M21" s="148"/>
    </row>
    <row r="22" spans="1:14">
      <c r="A22" s="2" t="s">
        <v>167</v>
      </c>
      <c r="B22" s="15">
        <f>'cptes ana'!L23</f>
        <v>5</v>
      </c>
      <c r="C22" s="15">
        <f>'cptes ana'!M23</f>
        <v>-1</v>
      </c>
      <c r="D22" s="157"/>
      <c r="E22" s="5">
        <f>-(E18+E20+E21)*$J$22</f>
        <v>-15.748029153681685</v>
      </c>
      <c r="F22" s="5">
        <f>-(F18+F20+F21)*$J$22</f>
        <v>-62.593602909119944</v>
      </c>
      <c r="G22" s="5">
        <f>-(G18+G20+G21)*$J$22</f>
        <v>-158.07671194003555</v>
      </c>
      <c r="H22" s="5">
        <f>-(H18+H20+H21)*$J$22</f>
        <v>-255.31750043035015</v>
      </c>
      <c r="I22" s="5">
        <f>-(I18+I20+I21)*$J$22</f>
        <v>-322.48636258562931</v>
      </c>
      <c r="J22" s="216">
        <v>0.3</v>
      </c>
      <c r="K22" s="198" t="s">
        <v>225</v>
      </c>
      <c r="L22" s="198"/>
      <c r="M22" s="148"/>
      <c r="N22" s="201"/>
    </row>
    <row r="23" spans="1:14">
      <c r="A23" s="3" t="s">
        <v>168</v>
      </c>
      <c r="B23" s="4">
        <f>B18+B20+B21+B22</f>
        <v>-733.25542543871688</v>
      </c>
      <c r="C23" s="4">
        <f t="shared" ref="C23:I23" si="2">C18+C20+C21+C22</f>
        <v>179.5903272815417</v>
      </c>
      <c r="D23" s="157"/>
      <c r="E23" s="4">
        <f t="shared" si="2"/>
        <v>36.745401358590598</v>
      </c>
      <c r="F23" s="4">
        <f t="shared" si="2"/>
        <v>146.05174012127989</v>
      </c>
      <c r="G23" s="4">
        <f t="shared" si="2"/>
        <v>368.84566119341628</v>
      </c>
      <c r="H23" s="4">
        <f t="shared" si="2"/>
        <v>595.74083433748376</v>
      </c>
      <c r="I23" s="4">
        <f t="shared" si="2"/>
        <v>752.46817936646846</v>
      </c>
      <c r="J23" s="216"/>
      <c r="K23" s="198"/>
      <c r="L23" s="198"/>
      <c r="M23" s="148"/>
    </row>
    <row r="24" spans="1:14">
      <c r="A2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01"/>
      <c r="C24" s="202"/>
      <c r="D24" s="226"/>
      <c r="E24" s="201"/>
      <c r="F24" s="201"/>
      <c r="G24" s="201"/>
      <c r="H24" s="201"/>
      <c r="I24" s="201"/>
    </row>
    <row r="25" spans="1:14" s="194" customFormat="1" ht="11.25">
      <c r="A25" s="193" t="s">
        <v>226</v>
      </c>
      <c r="B25" s="203">
        <f>B4</f>
        <v>2009</v>
      </c>
      <c r="C25" s="203">
        <f>C4</f>
        <v>2010</v>
      </c>
      <c r="D25" s="227"/>
      <c r="E25" s="203">
        <f t="shared" ref="E25:J25" si="3">E4</f>
        <v>2011</v>
      </c>
      <c r="F25" s="203">
        <f t="shared" si="3"/>
        <v>2012</v>
      </c>
      <c r="G25" s="203">
        <f t="shared" si="3"/>
        <v>2013</v>
      </c>
      <c r="H25" s="203">
        <f t="shared" si="3"/>
        <v>2014</v>
      </c>
      <c r="I25" s="203">
        <f t="shared" si="3"/>
        <v>2015</v>
      </c>
      <c r="J25" s="277" t="str">
        <f t="shared" si="3"/>
        <v>COMMENTAIRES</v>
      </c>
      <c r="K25" s="278"/>
      <c r="L25" s="278"/>
      <c r="M25" s="279"/>
    </row>
    <row r="26" spans="1:14">
      <c r="A26" s="2" t="s">
        <v>227</v>
      </c>
      <c r="B26" s="157"/>
      <c r="C26" s="191">
        <f>C23+C15-'Conso bilans'!I7</f>
        <v>85.659877281541696</v>
      </c>
      <c r="D26" s="157"/>
      <c r="E26" s="176">
        <f t="shared" ref="E26:I26" si="4">E23+E15</f>
        <v>69.069401358590596</v>
      </c>
      <c r="F26" s="176">
        <f t="shared" si="4"/>
        <v>197.05174012127989</v>
      </c>
      <c r="G26" s="176">
        <f t="shared" si="4"/>
        <v>419.84566119341628</v>
      </c>
      <c r="H26" s="176">
        <f t="shared" si="4"/>
        <v>646.74083433748376</v>
      </c>
      <c r="I26" s="176">
        <f t="shared" si="4"/>
        <v>803.46817936646846</v>
      </c>
      <c r="J26" s="198" t="s">
        <v>268</v>
      </c>
      <c r="K26" s="198"/>
      <c r="L26" s="198"/>
      <c r="M26" s="148"/>
    </row>
    <row r="27" spans="1:14">
      <c r="A27" s="2" t="s">
        <v>228</v>
      </c>
      <c r="B27" s="157"/>
      <c r="C27" s="5">
        <f>B40-C15-C40</f>
        <v>-13.069549999999992</v>
      </c>
      <c r="D27" s="157"/>
      <c r="E27" s="191">
        <v>-140</v>
      </c>
      <c r="F27" s="191">
        <v>-200</v>
      </c>
      <c r="G27" s="191">
        <f>-G15</f>
        <v>-51</v>
      </c>
      <c r="H27" s="191">
        <f>-H15</f>
        <v>-51</v>
      </c>
      <c r="I27" s="191">
        <f>-I15</f>
        <v>-51</v>
      </c>
      <c r="J27" s="198" t="s">
        <v>229</v>
      </c>
      <c r="K27" s="198"/>
      <c r="L27" s="198"/>
      <c r="M27" s="148"/>
    </row>
    <row r="28" spans="1:14">
      <c r="A28" s="2" t="s">
        <v>230</v>
      </c>
      <c r="B28" s="157"/>
      <c r="C28" s="5">
        <f t="shared" ref="C28:I28" si="5">C64</f>
        <v>2</v>
      </c>
      <c r="D28" s="157"/>
      <c r="E28" s="5">
        <f t="shared" si="5"/>
        <v>-109.45223241202586</v>
      </c>
      <c r="F28" s="5">
        <f t="shared" si="5"/>
        <v>-155.47060370201649</v>
      </c>
      <c r="G28" s="5">
        <f t="shared" si="5"/>
        <v>-171.35448284931493</v>
      </c>
      <c r="H28" s="5">
        <f t="shared" si="5"/>
        <v>-83.78462602739728</v>
      </c>
      <c r="I28" s="5">
        <f t="shared" si="5"/>
        <v>-59.140783835616617</v>
      </c>
      <c r="J28" s="198" t="s">
        <v>231</v>
      </c>
      <c r="K28" s="198"/>
      <c r="L28" s="198"/>
      <c r="M28" s="148"/>
    </row>
    <row r="29" spans="1:14">
      <c r="A29" s="2" t="s">
        <v>232</v>
      </c>
      <c r="B29" s="157"/>
      <c r="C29" s="5">
        <f>B44-C44</f>
        <v>11</v>
      </c>
      <c r="D29" s="157"/>
      <c r="E29" s="176">
        <f>-$C$44/$C$5*(E5-C5)</f>
        <v>-21.7008631173914</v>
      </c>
      <c r="F29" s="176">
        <f>-$C$44/$C$5*(F5-E5)</f>
        <v>-46.905213752957621</v>
      </c>
      <c r="G29" s="176">
        <f>-$C$44/$C$5*(G5-F5)</f>
        <v>-51.368313406297808</v>
      </c>
      <c r="H29" s="176">
        <f>-$C$44/$C$5*(H5-G5)</f>
        <v>-25.297858170963469</v>
      </c>
      <c r="I29" s="176">
        <f>-$C$44/$C$5*(I5-H5)</f>
        <v>-17.956307784567453</v>
      </c>
      <c r="J29" s="198"/>
      <c r="K29" s="198"/>
      <c r="L29" s="198"/>
      <c r="M29" s="148"/>
    </row>
    <row r="30" spans="1:14">
      <c r="A30" s="2" t="s">
        <v>233</v>
      </c>
      <c r="B30" s="157"/>
      <c r="C30" s="5">
        <f>-B47-C23+C47</f>
        <v>66.409672718458296</v>
      </c>
      <c r="D30" s="157"/>
      <c r="E30" s="191">
        <v>100</v>
      </c>
      <c r="F30" s="191"/>
      <c r="G30" s="191"/>
      <c r="H30" s="191">
        <v>-200</v>
      </c>
      <c r="I30" s="191">
        <v>-200</v>
      </c>
      <c r="J30" s="198" t="s">
        <v>143</v>
      </c>
      <c r="K30" s="198"/>
      <c r="L30" s="198"/>
      <c r="M30" s="148"/>
    </row>
    <row r="31" spans="1:14">
      <c r="A31" s="2" t="s">
        <v>234</v>
      </c>
      <c r="B31" s="157"/>
      <c r="C31" s="5">
        <f>C49-B49</f>
        <v>-153</v>
      </c>
      <c r="D31" s="157"/>
      <c r="E31" s="191">
        <v>100</v>
      </c>
      <c r="F31" s="191">
        <v>50</v>
      </c>
      <c r="G31" s="191">
        <v>-25</v>
      </c>
      <c r="H31" s="191">
        <v>-25</v>
      </c>
      <c r="I31" s="191">
        <v>-25</v>
      </c>
      <c r="J31" s="198"/>
      <c r="K31" s="198"/>
      <c r="L31" s="198"/>
      <c r="M31" s="148"/>
    </row>
    <row r="32" spans="1:14">
      <c r="A32" s="2" t="s">
        <v>235</v>
      </c>
      <c r="B32" s="157"/>
      <c r="C32" s="5">
        <f>C50-B50</f>
        <v>32</v>
      </c>
      <c r="D32" s="157"/>
      <c r="E32" s="191"/>
      <c r="F32" s="191"/>
      <c r="G32" s="191"/>
      <c r="H32" s="191"/>
      <c r="I32" s="191"/>
      <c r="J32" s="198"/>
      <c r="K32" s="198"/>
      <c r="L32" s="198"/>
      <c r="M32" s="148"/>
    </row>
    <row r="33" spans="1:22">
      <c r="A33" s="2" t="s">
        <v>1</v>
      </c>
      <c r="B33" s="157"/>
      <c r="C33" s="5">
        <f>+C51-B51</f>
        <v>0</v>
      </c>
      <c r="D33" s="157"/>
      <c r="E33" s="191"/>
      <c r="F33" s="191"/>
      <c r="G33" s="191"/>
      <c r="H33" s="191"/>
      <c r="I33" s="191"/>
      <c r="J33" s="198"/>
      <c r="K33" s="198"/>
      <c r="L33" s="198"/>
      <c r="M33" s="148"/>
    </row>
    <row r="34" spans="1:22">
      <c r="A34" s="2" t="s">
        <v>236</v>
      </c>
      <c r="B34" s="157"/>
      <c r="C34" s="5">
        <f>C53-B53</f>
        <v>-10</v>
      </c>
      <c r="D34" s="157"/>
      <c r="E34" s="176">
        <f>$C$53/$C$5*(E5-C5)</f>
        <v>26.092704462577757</v>
      </c>
      <c r="F34" s="176">
        <f>$C$53/$C$5*(F5-E5)</f>
        <v>56.397935583913323</v>
      </c>
      <c r="G34" s="176">
        <f>$C$53/$C$5*(G5-F5)</f>
        <v>61.764281595667597</v>
      </c>
      <c r="H34" s="176">
        <f>$C$53/$C$5*(H5-G5)</f>
        <v>30.417662800801313</v>
      </c>
      <c r="I34" s="176">
        <f>$C$53/$C$5*(I5-H5)</f>
        <v>21.590322455253723</v>
      </c>
      <c r="J34" s="198"/>
      <c r="K34" s="198"/>
      <c r="L34" s="198"/>
      <c r="M34" s="148"/>
    </row>
    <row r="35" spans="1:22">
      <c r="A35" s="2" t="s">
        <v>237</v>
      </c>
      <c r="B35" s="157"/>
      <c r="C35" s="5">
        <f>C54-B54</f>
        <v>0</v>
      </c>
      <c r="D35" s="157"/>
      <c r="E35" s="176"/>
      <c r="F35" s="176"/>
      <c r="G35" s="176"/>
      <c r="H35" s="176"/>
      <c r="I35" s="176"/>
      <c r="J35" s="198"/>
      <c r="K35" s="198"/>
      <c r="L35" s="198"/>
      <c r="M35" s="148"/>
    </row>
    <row r="36" spans="1:22">
      <c r="A36" s="2" t="s">
        <v>238</v>
      </c>
      <c r="B36" s="157"/>
      <c r="C36" s="5">
        <f>B45</f>
        <v>104</v>
      </c>
      <c r="D36" s="157"/>
      <c r="E36" s="5">
        <f>C37</f>
        <v>125</v>
      </c>
      <c r="F36" s="5">
        <f>E45</f>
        <v>149.00901029175108</v>
      </c>
      <c r="G36" s="5">
        <f>F45</f>
        <v>50.082868541970186</v>
      </c>
      <c r="H36" s="5">
        <f>G45</f>
        <v>232.97001507544132</v>
      </c>
      <c r="I36" s="5">
        <f>H45</f>
        <v>525.04602801536566</v>
      </c>
      <c r="J36" s="198"/>
      <c r="K36" s="198"/>
      <c r="L36" s="198"/>
      <c r="M36" s="148"/>
    </row>
    <row r="37" spans="1:22">
      <c r="A37" s="3" t="s">
        <v>239</v>
      </c>
      <c r="B37" s="157"/>
      <c r="C37" s="4">
        <f t="shared" ref="C37:I37" si="6">SUM(C26:C36)</f>
        <v>125</v>
      </c>
      <c r="D37" s="162"/>
      <c r="E37" s="4">
        <f t="shared" si="6"/>
        <v>149.00901029175108</v>
      </c>
      <c r="F37" s="195">
        <f t="shared" si="6"/>
        <v>50.082868541970186</v>
      </c>
      <c r="G37" s="195">
        <f t="shared" si="6"/>
        <v>232.97001507544132</v>
      </c>
      <c r="H37" s="4">
        <f t="shared" si="6"/>
        <v>525.04602801536566</v>
      </c>
      <c r="I37" s="4">
        <f t="shared" si="6"/>
        <v>997.00743821690378</v>
      </c>
      <c r="J37" s="198"/>
      <c r="K37" s="198"/>
      <c r="L37" s="198"/>
      <c r="M37" s="148"/>
    </row>
    <row r="38" spans="1:22">
      <c r="A3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01"/>
      <c r="C38" s="202"/>
      <c r="D38" s="226"/>
      <c r="E38" s="201"/>
      <c r="F38" s="201"/>
      <c r="G38" s="201"/>
      <c r="H38" s="201"/>
      <c r="I38" s="201"/>
      <c r="J38" s="6"/>
      <c r="K38" s="198"/>
      <c r="L38" s="198"/>
      <c r="M38" s="148"/>
      <c r="N38" t="s">
        <v>43</v>
      </c>
      <c r="O38" s="188"/>
      <c r="P38" s="218"/>
      <c r="Q38" s="218"/>
      <c r="R38" s="188"/>
      <c r="S38" s="188"/>
      <c r="T38" s="188"/>
      <c r="U38" s="188"/>
      <c r="V38" s="188"/>
    </row>
    <row r="39" spans="1:22">
      <c r="A39" s="3" t="s">
        <v>3</v>
      </c>
      <c r="B39" s="203">
        <f>B25</f>
        <v>2009</v>
      </c>
      <c r="C39" s="204">
        <f t="shared" ref="C39:J39" si="7">C25</f>
        <v>2010</v>
      </c>
      <c r="D39" s="227"/>
      <c r="E39" s="203">
        <f t="shared" si="7"/>
        <v>2011</v>
      </c>
      <c r="F39" s="203">
        <f t="shared" si="7"/>
        <v>2012</v>
      </c>
      <c r="G39" s="203">
        <f t="shared" si="7"/>
        <v>2013</v>
      </c>
      <c r="H39" s="203">
        <f t="shared" si="7"/>
        <v>2014</v>
      </c>
      <c r="I39" s="203">
        <f t="shared" si="7"/>
        <v>2015</v>
      </c>
      <c r="J39" s="270" t="str">
        <f t="shared" si="7"/>
        <v>COMMENTAIRES</v>
      </c>
      <c r="K39" s="271"/>
      <c r="L39" s="271"/>
      <c r="M39" s="272"/>
      <c r="O39" s="188"/>
      <c r="P39" s="188"/>
      <c r="Q39" s="219"/>
      <c r="R39" s="188"/>
      <c r="S39" s="218"/>
      <c r="T39" s="218"/>
      <c r="U39" s="218"/>
      <c r="V39" s="188"/>
    </row>
    <row r="40" spans="1:22">
      <c r="A40" s="2" t="s">
        <v>4</v>
      </c>
      <c r="B40" s="5">
        <f>'Conso bilans'!I28</f>
        <v>378</v>
      </c>
      <c r="C40" s="176">
        <f>'Conso bilans'!I6</f>
        <v>353</v>
      </c>
      <c r="D40" s="157"/>
      <c r="E40" s="5">
        <f>C40-E15-E27</f>
        <v>460.67599999999999</v>
      </c>
      <c r="F40" s="5">
        <f>E40-F15-F27</f>
        <v>609.67599999999993</v>
      </c>
      <c r="G40" s="5">
        <f>F40-G15-G27</f>
        <v>609.67599999999993</v>
      </c>
      <c r="H40" s="5">
        <f>G40-H15-H27</f>
        <v>609.67599999999993</v>
      </c>
      <c r="I40" s="5">
        <f>H40-I15-I27</f>
        <v>609.67599999999993</v>
      </c>
      <c r="J40" s="6"/>
      <c r="K40" s="198"/>
      <c r="L40" s="198"/>
      <c r="M40" s="148"/>
      <c r="O40" s="188"/>
      <c r="P40" s="188"/>
      <c r="Q40" s="219"/>
      <c r="R40" s="188"/>
      <c r="S40" s="188"/>
      <c r="T40" s="188"/>
      <c r="U40" s="188"/>
      <c r="V40" s="188"/>
    </row>
    <row r="41" spans="1:22">
      <c r="A41" s="2" t="s">
        <v>257</v>
      </c>
      <c r="B41" s="5">
        <f>'Conso bilans'!I29</f>
        <v>0</v>
      </c>
      <c r="C41" s="176">
        <f>'Conso bilans'!I7</f>
        <v>132</v>
      </c>
      <c r="D41" s="157"/>
      <c r="E41" s="5">
        <f>C41</f>
        <v>132</v>
      </c>
      <c r="F41" s="5">
        <f>+E41</f>
        <v>132</v>
      </c>
      <c r="G41" s="5">
        <f>+F41</f>
        <v>132</v>
      </c>
      <c r="H41" s="5">
        <f>+G41</f>
        <v>132</v>
      </c>
      <c r="I41" s="5">
        <f>+H41</f>
        <v>132</v>
      </c>
      <c r="J41" s="6"/>
      <c r="K41" s="198"/>
      <c r="L41" s="198"/>
      <c r="M41" s="148"/>
      <c r="O41" s="188"/>
      <c r="P41" s="188"/>
      <c r="Q41" s="219"/>
      <c r="R41" s="188"/>
      <c r="S41" s="188"/>
      <c r="T41" s="188"/>
      <c r="U41" s="188"/>
      <c r="V41" s="188"/>
    </row>
    <row r="42" spans="1:22">
      <c r="A42" s="2" t="s">
        <v>5</v>
      </c>
      <c r="B42" s="5">
        <f>'Conso bilans'!I30</f>
        <v>370</v>
      </c>
      <c r="C42" s="176">
        <f>'Conso bilans'!I8</f>
        <v>273</v>
      </c>
      <c r="D42" s="157"/>
      <c r="E42" s="5">
        <f t="shared" ref="E42:I43" si="8">E59</f>
        <v>371.64065357505615</v>
      </c>
      <c r="F42" s="5">
        <f t="shared" si="8"/>
        <v>470.94297594855709</v>
      </c>
      <c r="G42" s="5">
        <f t="shared" si="8"/>
        <v>606.13342775428532</v>
      </c>
      <c r="H42" s="5">
        <f t="shared" si="8"/>
        <v>658.06956723124677</v>
      </c>
      <c r="I42" s="5">
        <f t="shared" si="8"/>
        <v>686.95365855544776</v>
      </c>
      <c r="J42" s="6"/>
      <c r="K42" s="198"/>
      <c r="L42" s="198"/>
      <c r="M42" s="148"/>
      <c r="O42" s="188"/>
      <c r="P42" s="188"/>
      <c r="Q42" s="219"/>
      <c r="R42" s="188"/>
      <c r="S42" s="188"/>
      <c r="T42" s="188"/>
      <c r="U42" s="188"/>
      <c r="V42" s="188"/>
    </row>
    <row r="43" spans="1:22">
      <c r="A43" s="2" t="s">
        <v>6</v>
      </c>
      <c r="B43" s="5">
        <f>'Conso bilans'!I31</f>
        <v>301</v>
      </c>
      <c r="C43" s="176">
        <f>'Conso bilans'!I9</f>
        <v>265</v>
      </c>
      <c r="D43" s="157"/>
      <c r="E43" s="5">
        <f t="shared" si="8"/>
        <v>341.12205545205472</v>
      </c>
      <c r="F43" s="5">
        <f t="shared" si="8"/>
        <v>492.49643835616439</v>
      </c>
      <c r="G43" s="5">
        <f t="shared" si="8"/>
        <v>658.27431506849314</v>
      </c>
      <c r="H43" s="5">
        <f t="shared" si="8"/>
        <v>739.91657534246565</v>
      </c>
      <c r="I43" s="5">
        <f t="shared" si="8"/>
        <v>797.86589041095885</v>
      </c>
      <c r="J43" s="6" t="s">
        <v>240</v>
      </c>
      <c r="K43" s="198"/>
      <c r="L43" s="198"/>
      <c r="M43" s="148"/>
      <c r="O43" s="188"/>
      <c r="P43" s="218"/>
      <c r="Q43" s="220"/>
      <c r="R43" s="188"/>
      <c r="S43" s="218"/>
      <c r="T43" s="218"/>
      <c r="U43" s="218"/>
      <c r="V43" s="188"/>
    </row>
    <row r="44" spans="1:22">
      <c r="A44" s="2" t="s">
        <v>7</v>
      </c>
      <c r="B44" s="5">
        <f>'Conso bilans'!I32</f>
        <v>95</v>
      </c>
      <c r="C44" s="176">
        <f>'Conso bilans'!I10</f>
        <v>84</v>
      </c>
      <c r="D44" s="157"/>
      <c r="E44" s="5">
        <f>C44-E29</f>
        <v>105.70086311739141</v>
      </c>
      <c r="F44" s="5">
        <f>E44-F29</f>
        <v>152.60607687034903</v>
      </c>
      <c r="G44" s="5">
        <f>F44-G29</f>
        <v>203.97439027664683</v>
      </c>
      <c r="H44" s="5">
        <f>G44-H29</f>
        <v>229.27224844761031</v>
      </c>
      <c r="I44" s="5">
        <f>H44-I29</f>
        <v>247.22855623217777</v>
      </c>
      <c r="J44" s="6"/>
      <c r="K44" s="198"/>
      <c r="L44" s="198"/>
      <c r="M44" s="148"/>
      <c r="O44" s="188"/>
      <c r="P44" s="188"/>
      <c r="Q44" s="188"/>
      <c r="R44" s="188"/>
      <c r="S44" s="188"/>
      <c r="T44" s="188"/>
      <c r="U44" s="188"/>
      <c r="V44" s="188"/>
    </row>
    <row r="45" spans="1:22">
      <c r="A45" s="3" t="s">
        <v>8</v>
      </c>
      <c r="B45" s="5">
        <f>'Conso bilans'!I33</f>
        <v>104</v>
      </c>
      <c r="C45" s="176">
        <f>'Conso bilans'!I11</f>
        <v>131</v>
      </c>
      <c r="D45" s="157"/>
      <c r="E45" s="4">
        <f>E37</f>
        <v>149.00901029175108</v>
      </c>
      <c r="F45" s="4">
        <f>F37</f>
        <v>50.082868541970186</v>
      </c>
      <c r="G45" s="4">
        <f>G37</f>
        <v>232.97001507544132</v>
      </c>
      <c r="H45" s="4">
        <f>H37</f>
        <v>525.04602801536566</v>
      </c>
      <c r="I45" s="4">
        <f>I37</f>
        <v>997.00743821690378</v>
      </c>
      <c r="J45" s="6"/>
      <c r="K45" s="198"/>
      <c r="L45" s="198"/>
      <c r="M45" s="148"/>
      <c r="O45" s="188"/>
      <c r="P45" s="273"/>
      <c r="Q45" s="273"/>
      <c r="R45" s="273"/>
      <c r="S45" s="273"/>
      <c r="T45" s="273"/>
      <c r="U45" s="273"/>
      <c r="V45" s="273"/>
    </row>
    <row r="46" spans="1:22">
      <c r="A46" s="2"/>
      <c r="B46" s="5"/>
      <c r="C46" s="176"/>
      <c r="D46" s="157"/>
      <c r="E46" s="5"/>
      <c r="F46" s="5"/>
      <c r="G46" s="5"/>
      <c r="H46" s="5"/>
      <c r="I46" s="5"/>
      <c r="J46" s="6"/>
      <c r="K46" s="198"/>
      <c r="L46" s="198"/>
      <c r="M46" s="148"/>
      <c r="O46" s="188"/>
      <c r="P46" s="218"/>
      <c r="Q46" s="218"/>
      <c r="R46" s="218"/>
      <c r="S46" s="218"/>
      <c r="T46" s="218"/>
      <c r="U46" s="218"/>
      <c r="V46" s="218"/>
    </row>
    <row r="47" spans="1:22">
      <c r="A47" s="3" t="s">
        <v>9</v>
      </c>
      <c r="B47" s="4">
        <f>'Conso bilans'!I35</f>
        <v>168</v>
      </c>
      <c r="C47" s="195">
        <f>'Conso bilans'!I13</f>
        <v>414</v>
      </c>
      <c r="D47" s="162"/>
      <c r="E47" s="4">
        <f>C47+E23+E30</f>
        <v>550.74540135859058</v>
      </c>
      <c r="F47" s="4">
        <f>E47+F23+F30</f>
        <v>696.79714147987045</v>
      </c>
      <c r="G47" s="4">
        <f>F47+G23+G30</f>
        <v>1065.6428026732867</v>
      </c>
      <c r="H47" s="4">
        <f>G47+H23+H30</f>
        <v>1461.3836370107706</v>
      </c>
      <c r="I47" s="4">
        <f>H47+I23+I30</f>
        <v>2013.8518163772392</v>
      </c>
      <c r="J47" s="6"/>
      <c r="K47" s="198"/>
      <c r="L47" s="198"/>
      <c r="M47" s="148"/>
      <c r="O47" s="188"/>
      <c r="P47" s="219"/>
      <c r="Q47" s="219"/>
      <c r="R47" s="219"/>
      <c r="S47" s="219"/>
      <c r="T47" s="219"/>
      <c r="U47" s="219"/>
      <c r="V47" s="219"/>
    </row>
    <row r="48" spans="1:22">
      <c r="A48" s="2" t="s">
        <v>10</v>
      </c>
      <c r="B48" s="15">
        <f>'Conso bilans'!I36</f>
        <v>21</v>
      </c>
      <c r="C48" s="197">
        <f>'Conso bilans'!I14</f>
        <v>27</v>
      </c>
      <c r="D48" s="223"/>
      <c r="E48" s="5">
        <f>B48</f>
        <v>21</v>
      </c>
      <c r="F48" s="5">
        <f>E48</f>
        <v>21</v>
      </c>
      <c r="G48" s="5">
        <f>F48</f>
        <v>21</v>
      </c>
      <c r="H48" s="5">
        <f>G48</f>
        <v>21</v>
      </c>
      <c r="I48" s="5">
        <f>H48</f>
        <v>21</v>
      </c>
      <c r="J48" s="6"/>
      <c r="K48" s="198"/>
      <c r="L48" s="198"/>
      <c r="M48" s="148"/>
      <c r="O48" s="188"/>
      <c r="P48" s="188"/>
      <c r="Q48" s="188"/>
      <c r="R48" s="188"/>
      <c r="S48" s="188"/>
      <c r="T48" s="188"/>
      <c r="U48" s="188"/>
      <c r="V48" s="188"/>
    </row>
    <row r="49" spans="1:22">
      <c r="A49" s="2" t="s">
        <v>11</v>
      </c>
      <c r="B49" s="15">
        <f>'Conso bilans'!I37</f>
        <v>392</v>
      </c>
      <c r="C49" s="197">
        <f>'Conso bilans'!I15</f>
        <v>239</v>
      </c>
      <c r="D49" s="223"/>
      <c r="E49" s="5">
        <f>C49+E31</f>
        <v>339</v>
      </c>
      <c r="F49" s="5">
        <f t="shared" ref="F49:I51" si="9">E49+F31</f>
        <v>389</v>
      </c>
      <c r="G49" s="5">
        <f t="shared" si="9"/>
        <v>364</v>
      </c>
      <c r="H49" s="5">
        <f t="shared" si="9"/>
        <v>339</v>
      </c>
      <c r="I49" s="5">
        <f t="shared" si="9"/>
        <v>314</v>
      </c>
      <c r="J49" s="6"/>
      <c r="K49" s="198"/>
      <c r="L49" s="198"/>
      <c r="M49" s="148"/>
      <c r="O49" s="188"/>
      <c r="P49" s="188"/>
      <c r="Q49" s="221"/>
      <c r="R49" s="188"/>
      <c r="S49" s="188"/>
      <c r="T49" s="188"/>
      <c r="U49" s="188"/>
      <c r="V49" s="188"/>
    </row>
    <row r="50" spans="1:22">
      <c r="A50" s="2" t="s">
        <v>12</v>
      </c>
      <c r="B50" s="15">
        <f>'Conso bilans'!I38</f>
        <v>89</v>
      </c>
      <c r="C50" s="197">
        <f>'Conso bilans'!I16</f>
        <v>121</v>
      </c>
      <c r="D50" s="223"/>
      <c r="E50" s="5">
        <f>C50+E32</f>
        <v>121</v>
      </c>
      <c r="F50" s="5">
        <f t="shared" si="9"/>
        <v>121</v>
      </c>
      <c r="G50" s="5">
        <f t="shared" si="9"/>
        <v>121</v>
      </c>
      <c r="H50" s="5">
        <f t="shared" si="9"/>
        <v>121</v>
      </c>
      <c r="I50" s="5">
        <f t="shared" si="9"/>
        <v>121</v>
      </c>
      <c r="J50" s="6"/>
      <c r="K50" s="198"/>
      <c r="L50" s="198"/>
      <c r="M50" s="148"/>
    </row>
    <row r="51" spans="1:22">
      <c r="A51" s="2" t="s">
        <v>1</v>
      </c>
      <c r="B51" s="15">
        <f>'Conso bilans'!I39</f>
        <v>0</v>
      </c>
      <c r="C51" s="197">
        <f>'Conso bilans'!I17</f>
        <v>0</v>
      </c>
      <c r="D51" s="223"/>
      <c r="E51" s="5">
        <f>C51+E33</f>
        <v>0</v>
      </c>
      <c r="F51" s="5">
        <f t="shared" si="9"/>
        <v>0</v>
      </c>
      <c r="G51" s="5">
        <f t="shared" si="9"/>
        <v>0</v>
      </c>
      <c r="H51" s="5">
        <f t="shared" si="9"/>
        <v>0</v>
      </c>
      <c r="I51" s="5">
        <f t="shared" si="9"/>
        <v>0</v>
      </c>
      <c r="J51" s="6"/>
      <c r="K51" s="198"/>
      <c r="L51" s="198"/>
      <c r="M51" s="148"/>
    </row>
    <row r="52" spans="1:22">
      <c r="A52" s="2" t="s">
        <v>13</v>
      </c>
      <c r="B52" s="15">
        <f>'Conso bilans'!I40</f>
        <v>422</v>
      </c>
      <c r="C52" s="197">
        <f>'Conso bilans'!I18</f>
        <v>291</v>
      </c>
      <c r="D52" s="223"/>
      <c r="E52" s="5">
        <f>E61</f>
        <v>356.31047661508501</v>
      </c>
      <c r="F52" s="5">
        <f>F61</f>
        <v>451.51657819067913</v>
      </c>
      <c r="G52" s="5">
        <f>G61</f>
        <v>581.13042385942106</v>
      </c>
      <c r="H52" s="5">
        <f>H61</f>
        <v>630.92419758295785</v>
      </c>
      <c r="I52" s="5">
        <f>I61</f>
        <v>658.61682014003554</v>
      </c>
      <c r="J52" s="6"/>
      <c r="K52" s="198"/>
      <c r="L52" s="198"/>
      <c r="M52" s="148"/>
    </row>
    <row r="53" spans="1:22">
      <c r="A53" s="2" t="s">
        <v>14</v>
      </c>
      <c r="B53" s="15">
        <f>'Conso bilans'!I41</f>
        <v>111</v>
      </c>
      <c r="C53" s="197">
        <f>'Conso bilans'!I19</f>
        <v>101</v>
      </c>
      <c r="D53" s="223"/>
      <c r="E53" s="5">
        <f>C53+E34</f>
        <v>127.09270446257776</v>
      </c>
      <c r="F53" s="5">
        <f t="shared" ref="F53:I54" si="10">E53+F34</f>
        <v>183.49064004649108</v>
      </c>
      <c r="G53" s="5">
        <f t="shared" si="10"/>
        <v>245.25492164215868</v>
      </c>
      <c r="H53" s="5">
        <f t="shared" si="10"/>
        <v>275.67258444295999</v>
      </c>
      <c r="I53" s="5">
        <f t="shared" si="10"/>
        <v>297.26290689821371</v>
      </c>
      <c r="J53" s="6"/>
      <c r="K53" s="198"/>
      <c r="L53" s="198"/>
      <c r="M53" s="148"/>
    </row>
    <row r="54" spans="1:22">
      <c r="A54" s="2" t="s">
        <v>15</v>
      </c>
      <c r="B54" s="15">
        <f>'Conso bilans'!I42</f>
        <v>45</v>
      </c>
      <c r="C54" s="197">
        <f>'Conso bilans'!I20</f>
        <v>45</v>
      </c>
      <c r="D54" s="223"/>
      <c r="E54" s="5">
        <f>C54+E35</f>
        <v>45</v>
      </c>
      <c r="F54" s="5">
        <f t="shared" si="10"/>
        <v>45</v>
      </c>
      <c r="G54" s="5">
        <f t="shared" si="10"/>
        <v>45</v>
      </c>
      <c r="H54" s="5">
        <f t="shared" si="10"/>
        <v>45</v>
      </c>
      <c r="I54" s="5">
        <f t="shared" si="10"/>
        <v>45</v>
      </c>
      <c r="J54" s="6"/>
      <c r="K54" s="198"/>
      <c r="L54" s="198"/>
      <c r="M54" s="148"/>
    </row>
    <row r="55" spans="1:22">
      <c r="A55" s="3" t="s">
        <v>16</v>
      </c>
      <c r="B55" s="4">
        <f>SUM(B47:B54)</f>
        <v>1248</v>
      </c>
      <c r="C55" s="195">
        <f t="shared" ref="C55:I55" si="11">SUM(C47:C54)</f>
        <v>1238</v>
      </c>
      <c r="D55" s="162"/>
      <c r="E55" s="4">
        <f t="shared" si="11"/>
        <v>1560.1485824362535</v>
      </c>
      <c r="F55" s="4">
        <f t="shared" si="11"/>
        <v>1907.8043597170406</v>
      </c>
      <c r="G55" s="4">
        <f t="shared" si="11"/>
        <v>2443.0281481748661</v>
      </c>
      <c r="H55" s="4">
        <f t="shared" si="11"/>
        <v>2893.9804190366885</v>
      </c>
      <c r="I55" s="4">
        <f t="shared" si="11"/>
        <v>3470.7315434154884</v>
      </c>
      <c r="J55" s="6"/>
      <c r="K55" s="198"/>
      <c r="L55" s="198"/>
      <c r="M55" s="148"/>
    </row>
    <row r="56" spans="1:22">
      <c r="A56" s="2" t="s">
        <v>2</v>
      </c>
      <c r="B56" s="5">
        <f>B55-SUM(B40:B45)</f>
        <v>0</v>
      </c>
      <c r="C56" s="5">
        <f t="shared" ref="C56:I56" si="12">C55-SUM(C40:C45)</f>
        <v>0</v>
      </c>
      <c r="D56" s="157"/>
      <c r="E56" s="5">
        <f t="shared" si="12"/>
        <v>0</v>
      </c>
      <c r="F56" s="5">
        <f t="shared" si="12"/>
        <v>0</v>
      </c>
      <c r="G56" s="5">
        <f t="shared" si="12"/>
        <v>0</v>
      </c>
      <c r="H56" s="5">
        <f t="shared" si="12"/>
        <v>0</v>
      </c>
      <c r="I56" s="5">
        <f t="shared" si="12"/>
        <v>0</v>
      </c>
      <c r="J56" s="6"/>
      <c r="K56" s="198"/>
      <c r="L56" s="198"/>
      <c r="M56" s="148"/>
    </row>
    <row r="57" spans="1:22">
      <c r="A57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01"/>
      <c r="C57" s="202"/>
      <c r="D57" s="226"/>
      <c r="E57" s="201"/>
      <c r="F57" s="201"/>
      <c r="G57" s="201"/>
      <c r="H57" s="201"/>
      <c r="I57" s="201"/>
      <c r="J57" s="6"/>
      <c r="K57" s="198"/>
      <c r="L57" s="198"/>
      <c r="M57" s="148"/>
    </row>
    <row r="58" spans="1:22">
      <c r="A58" s="3" t="s">
        <v>241</v>
      </c>
      <c r="B58" s="203">
        <f>B39</f>
        <v>2009</v>
      </c>
      <c r="C58" s="204">
        <f t="shared" ref="C58:J58" si="13">C39</f>
        <v>2010</v>
      </c>
      <c r="D58" s="227"/>
      <c r="E58" s="204">
        <f t="shared" si="13"/>
        <v>2011</v>
      </c>
      <c r="F58" s="204">
        <f t="shared" si="13"/>
        <v>2012</v>
      </c>
      <c r="G58" s="204">
        <f t="shared" si="13"/>
        <v>2013</v>
      </c>
      <c r="H58" s="204">
        <f t="shared" si="13"/>
        <v>2014</v>
      </c>
      <c r="I58" s="204">
        <f t="shared" si="13"/>
        <v>2015</v>
      </c>
      <c r="J58" s="270" t="str">
        <f t="shared" si="13"/>
        <v>COMMENTAIRES</v>
      </c>
      <c r="K58" s="271"/>
      <c r="L58" s="271"/>
      <c r="M58" s="272"/>
    </row>
    <row r="59" spans="1:22">
      <c r="A59" s="2" t="s">
        <v>5</v>
      </c>
      <c r="B59" s="5">
        <f>B42</f>
        <v>370</v>
      </c>
      <c r="C59" s="5">
        <f>C42</f>
        <v>273</v>
      </c>
      <c r="D59" s="157"/>
      <c r="E59" s="5">
        <f>(E7-E8)/365*E65</f>
        <v>371.64065357505615</v>
      </c>
      <c r="F59" s="5">
        <f>(F7-F8)/365*F65</f>
        <v>470.94297594855709</v>
      </c>
      <c r="G59" s="5">
        <f>(G7-G8)/365*G65</f>
        <v>606.13342775428532</v>
      </c>
      <c r="H59" s="5">
        <f>(H7-H8)/365*H65</f>
        <v>658.06956723124677</v>
      </c>
      <c r="I59" s="5">
        <f>(I7-I8)/365*I65</f>
        <v>686.95365855544776</v>
      </c>
      <c r="J59" s="6"/>
      <c r="K59" s="198"/>
      <c r="L59" s="198"/>
      <c r="M59" s="148"/>
    </row>
    <row r="60" spans="1:22">
      <c r="A60" s="2" t="s">
        <v>6</v>
      </c>
      <c r="B60" s="5">
        <f>B43</f>
        <v>301</v>
      </c>
      <c r="C60" s="5">
        <f>C43</f>
        <v>265</v>
      </c>
      <c r="D60" s="157"/>
      <c r="E60" s="5">
        <f>E5*(1+E68)/365*E66</f>
        <v>341.12205545205472</v>
      </c>
      <c r="F60" s="5">
        <f>F5*(1+F68)/365*F66</f>
        <v>492.49643835616439</v>
      </c>
      <c r="G60" s="5">
        <f>G5*(1+G68)/365*G66</f>
        <v>658.27431506849314</v>
      </c>
      <c r="H60" s="5">
        <f>H5*(1+H68)/365*H66</f>
        <v>739.91657534246565</v>
      </c>
      <c r="I60" s="5">
        <f>I5*(1+I68)/365*I66</f>
        <v>797.86589041095885</v>
      </c>
      <c r="J60" s="6"/>
      <c r="K60" s="198"/>
      <c r="L60" s="198"/>
      <c r="M60" s="148"/>
    </row>
    <row r="61" spans="1:22">
      <c r="A61" s="2" t="s">
        <v>13</v>
      </c>
      <c r="B61" s="5">
        <f>B52</f>
        <v>422</v>
      </c>
      <c r="C61" s="5">
        <f>C52</f>
        <v>291</v>
      </c>
      <c r="D61" s="157"/>
      <c r="E61" s="5">
        <f>(E7-E8)*(1+E68)/365*E67</f>
        <v>356.31047661508501</v>
      </c>
      <c r="F61" s="5">
        <f>(F7-F8)*(1+F68)/365*F67</f>
        <v>451.51657819067913</v>
      </c>
      <c r="G61" s="5">
        <f>(G7-G8)*(1+G68)/365*G67</f>
        <v>581.13042385942106</v>
      </c>
      <c r="H61" s="5">
        <f>(H7-H8)*(1+H68)/365*H67</f>
        <v>630.92419758295785</v>
      </c>
      <c r="I61" s="5">
        <f>(I7-I8)*(1+I68)/365*I67</f>
        <v>658.61682014003554</v>
      </c>
      <c r="J61" s="6"/>
      <c r="K61" s="198"/>
      <c r="L61" s="198"/>
      <c r="M61" s="148"/>
    </row>
    <row r="62" spans="1:22">
      <c r="A62" s="2" t="s">
        <v>241</v>
      </c>
      <c r="B62" s="4">
        <f>B59+B60-B61</f>
        <v>249</v>
      </c>
      <c r="C62" s="4">
        <f t="shared" ref="C62:I62" si="14">C59+C60-C61</f>
        <v>247</v>
      </c>
      <c r="D62" s="162"/>
      <c r="E62" s="4">
        <f t="shared" si="14"/>
        <v>356.45223241202586</v>
      </c>
      <c r="F62" s="4">
        <f t="shared" si="14"/>
        <v>511.92283611404235</v>
      </c>
      <c r="G62" s="4">
        <f t="shared" si="14"/>
        <v>683.27731896335729</v>
      </c>
      <c r="H62" s="4">
        <f t="shared" si="14"/>
        <v>767.06194499075457</v>
      </c>
      <c r="I62" s="4">
        <f t="shared" si="14"/>
        <v>826.20272882637119</v>
      </c>
      <c r="J62" s="6"/>
      <c r="K62" s="198"/>
      <c r="L62" s="198"/>
      <c r="M62" s="148"/>
    </row>
    <row r="63" spans="1:22">
      <c r="A63" s="2" t="s">
        <v>242</v>
      </c>
      <c r="B63" s="206">
        <f t="shared" ref="B63:I63" si="15">B62/B5</f>
        <v>0.15752096167496024</v>
      </c>
      <c r="C63" s="206">
        <f t="shared" si="15"/>
        <v>0.1472806011419327</v>
      </c>
      <c r="D63" s="228"/>
      <c r="E63" s="206">
        <f t="shared" si="15"/>
        <v>0.16890818151516543</v>
      </c>
      <c r="F63" s="206">
        <f t="shared" si="15"/>
        <v>0.16801983593082656</v>
      </c>
      <c r="G63" s="206">
        <f t="shared" si="15"/>
        <v>0.16778349709036061</v>
      </c>
      <c r="H63" s="206">
        <f t="shared" si="15"/>
        <v>0.16757407399114235</v>
      </c>
      <c r="I63" s="206">
        <f t="shared" si="15"/>
        <v>0.16738474434027314</v>
      </c>
      <c r="J63" s="6"/>
      <c r="K63" s="198"/>
      <c r="L63" s="198"/>
      <c r="M63" s="148"/>
    </row>
    <row r="64" spans="1:22">
      <c r="A64" s="3" t="s">
        <v>243</v>
      </c>
      <c r="B64" s="208"/>
      <c r="C64" s="207">
        <f t="shared" ref="C64:I64" si="16">B62-C62</f>
        <v>2</v>
      </c>
      <c r="D64" s="208"/>
      <c r="E64" s="207">
        <f>C62-E62</f>
        <v>-109.45223241202586</v>
      </c>
      <c r="F64" s="207">
        <f t="shared" si="16"/>
        <v>-155.47060370201649</v>
      </c>
      <c r="G64" s="207">
        <f t="shared" si="16"/>
        <v>-171.35448284931493</v>
      </c>
      <c r="H64" s="207">
        <f t="shared" si="16"/>
        <v>-83.78462602739728</v>
      </c>
      <c r="I64" s="207">
        <f t="shared" si="16"/>
        <v>-59.140783835616617</v>
      </c>
      <c r="J64" s="6"/>
      <c r="K64" s="198"/>
      <c r="L64" s="198"/>
      <c r="M64" s="148"/>
    </row>
    <row r="65" spans="1:13">
      <c r="A65" s="2" t="s">
        <v>244</v>
      </c>
      <c r="B65" s="176">
        <f>B59/(B5-B8)*365</f>
        <v>225.64375437189349</v>
      </c>
      <c r="C65" s="176">
        <f>C59/(C5-C8)*365</f>
        <v>162.89269901094582</v>
      </c>
      <c r="D65" s="157"/>
      <c r="E65" s="189">
        <v>160</v>
      </c>
      <c r="F65" s="189">
        <v>160</v>
      </c>
      <c r="G65" s="189">
        <v>160</v>
      </c>
      <c r="H65" s="189">
        <v>160</v>
      </c>
      <c r="I65" s="189">
        <v>160</v>
      </c>
      <c r="J65" s="6"/>
      <c r="K65" s="198"/>
      <c r="L65" s="198"/>
      <c r="M65" s="148"/>
    </row>
    <row r="66" spans="1:13">
      <c r="A66" s="2" t="s">
        <v>245</v>
      </c>
      <c r="B66" s="176">
        <f>B60/(1+B68)/B5*365</f>
        <v>58.900144491251474</v>
      </c>
      <c r="C66" s="176">
        <f>C60/(1+C68)/C5*365</f>
        <v>48.877088264096066</v>
      </c>
      <c r="D66" s="157"/>
      <c r="E66" s="189">
        <v>50</v>
      </c>
      <c r="F66" s="189">
        <v>50</v>
      </c>
      <c r="G66" s="189">
        <v>50</v>
      </c>
      <c r="H66" s="189">
        <v>50</v>
      </c>
      <c r="I66" s="189">
        <v>50</v>
      </c>
      <c r="J66" s="6"/>
      <c r="K66" s="198"/>
      <c r="L66" s="198"/>
      <c r="M66" s="148"/>
    </row>
    <row r="67" spans="1:13">
      <c r="A67" s="2" t="s">
        <v>246</v>
      </c>
      <c r="B67" s="176">
        <f>B61/(1+B68)/((1-B9)*B5)*365</f>
        <v>218.0981776109461</v>
      </c>
      <c r="C67" s="176">
        <f>C61/(1+C68)/((1-C9)*C5)*365</f>
        <v>132.8166279028037</v>
      </c>
      <c r="D67" s="157"/>
      <c r="E67" s="189">
        <v>130</v>
      </c>
      <c r="F67" s="189">
        <v>130</v>
      </c>
      <c r="G67" s="189">
        <v>130</v>
      </c>
      <c r="H67" s="189">
        <v>130</v>
      </c>
      <c r="I67" s="189">
        <v>130</v>
      </c>
      <c r="J67" s="6"/>
      <c r="K67" s="198"/>
      <c r="L67" s="198"/>
      <c r="M67" s="148"/>
    </row>
    <row r="68" spans="1:13">
      <c r="A68" s="2" t="s">
        <v>247</v>
      </c>
      <c r="B68" s="209">
        <v>0.18</v>
      </c>
      <c r="C68" s="209">
        <v>0.18</v>
      </c>
      <c r="D68" s="229"/>
      <c r="E68" s="209">
        <v>0.18</v>
      </c>
      <c r="F68" s="209">
        <v>0.18</v>
      </c>
      <c r="G68" s="209">
        <v>0.18</v>
      </c>
      <c r="H68" s="209">
        <v>0.18</v>
      </c>
      <c r="I68" s="209">
        <v>0.18</v>
      </c>
      <c r="J68" s="6" t="s">
        <v>260</v>
      </c>
      <c r="K68" s="198"/>
      <c r="L68" s="198"/>
      <c r="M68" s="148"/>
    </row>
    <row r="69" spans="1:13">
      <c r="A6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0" spans="1:13">
      <c r="A70" s="1" t="s">
        <v>1</v>
      </c>
      <c r="B70" s="1">
        <f>B58</f>
        <v>2009</v>
      </c>
      <c r="C70" s="210"/>
      <c r="D70" s="210"/>
      <c r="E70" s="201"/>
    </row>
    <row r="71" spans="1:13">
      <c r="A71" t="s">
        <v>248</v>
      </c>
      <c r="B71">
        <f>-B20/4%</f>
        <v>17825</v>
      </c>
    </row>
    <row r="72" spans="1:13">
      <c r="A72" t="s">
        <v>249</v>
      </c>
      <c r="B72">
        <f>B49</f>
        <v>392</v>
      </c>
    </row>
    <row r="73" spans="1:13">
      <c r="A73" t="s">
        <v>250</v>
      </c>
      <c r="B73">
        <f>B71-B72</f>
        <v>17433</v>
      </c>
    </row>
    <row r="74" spans="1:13">
      <c r="A7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5" spans="1:13">
      <c r="A75" s="3" t="s">
        <v>251</v>
      </c>
      <c r="B75" s="211">
        <f>B58</f>
        <v>2009</v>
      </c>
      <c r="C75" s="211">
        <f t="shared" ref="C75:I75" si="17">C58</f>
        <v>2010</v>
      </c>
      <c r="D75" s="230"/>
      <c r="E75" s="211">
        <f t="shared" si="17"/>
        <v>2011</v>
      </c>
      <c r="F75" s="211">
        <f t="shared" si="17"/>
        <v>2012</v>
      </c>
      <c r="G75" s="211">
        <f t="shared" si="17"/>
        <v>2013</v>
      </c>
      <c r="H75" s="211">
        <f t="shared" si="17"/>
        <v>2014</v>
      </c>
      <c r="I75" s="211">
        <f t="shared" si="17"/>
        <v>2015</v>
      </c>
      <c r="J75" s="3"/>
      <c r="K75" s="3"/>
    </row>
    <row r="76" spans="1:13">
      <c r="A76" s="2" t="s">
        <v>181</v>
      </c>
      <c r="B76" s="5">
        <f>B7</f>
        <v>1580.742</v>
      </c>
      <c r="C76" s="5">
        <f>C7</f>
        <v>1743.0708299999999</v>
      </c>
      <c r="D76" s="231"/>
      <c r="E76" s="5">
        <f t="shared" ref="E76:I77" si="18">E7</f>
        <v>2110.3313599999997</v>
      </c>
      <c r="F76" s="5">
        <f t="shared" si="18"/>
        <v>3046.8</v>
      </c>
      <c r="G76" s="5">
        <f t="shared" si="18"/>
        <v>4072.375</v>
      </c>
      <c r="H76" s="5">
        <f t="shared" si="18"/>
        <v>4577.45</v>
      </c>
      <c r="I76" s="5">
        <f t="shared" si="18"/>
        <v>4935.95</v>
      </c>
      <c r="J76" s="5"/>
      <c r="K76" s="5"/>
    </row>
    <row r="77" spans="1:13">
      <c r="A77" s="2" t="s">
        <v>17</v>
      </c>
      <c r="B77" s="5">
        <f>B8</f>
        <v>982.23219246764484</v>
      </c>
      <c r="C77" s="5">
        <f>C8</f>
        <v>1065.3491223665337</v>
      </c>
      <c r="D77" s="231"/>
      <c r="E77" s="5">
        <f t="shared" si="18"/>
        <v>1262.5261190319029</v>
      </c>
      <c r="F77" s="5">
        <f t="shared" si="18"/>
        <v>1972.4613361173542</v>
      </c>
      <c r="G77" s="5">
        <f t="shared" si="18"/>
        <v>2689.6331179355366</v>
      </c>
      <c r="H77" s="5">
        <f t="shared" si="18"/>
        <v>3076.2287997537182</v>
      </c>
      <c r="I77" s="5">
        <f t="shared" si="18"/>
        <v>3368.8369664203847</v>
      </c>
      <c r="J77" s="5"/>
      <c r="K77" s="5"/>
    </row>
    <row r="78" spans="1:13">
      <c r="A78" s="2" t="s">
        <v>161</v>
      </c>
      <c r="B78" s="206">
        <f>B77/B76</f>
        <v>0.62137413472131753</v>
      </c>
      <c r="C78" s="206">
        <f>C77/C76</f>
        <v>0.61119095336276941</v>
      </c>
      <c r="D78" s="231"/>
      <c r="E78" s="206">
        <f>E77/E76</f>
        <v>0.59825965863100428</v>
      </c>
      <c r="F78" s="206">
        <f>F77/F76</f>
        <v>0.64738786140125837</v>
      </c>
      <c r="G78" s="206">
        <f>G77/G76</f>
        <v>0.66045811545732813</v>
      </c>
      <c r="H78" s="206">
        <f>H77/H76</f>
        <v>0.67203984745955025</v>
      </c>
      <c r="I78" s="206">
        <f>I77/I76</f>
        <v>0.68251035087883483</v>
      </c>
      <c r="J78" s="206"/>
      <c r="K78" s="206"/>
    </row>
    <row r="79" spans="1:13">
      <c r="A79" s="2" t="s">
        <v>252</v>
      </c>
      <c r="B79" s="5">
        <f>SUM(B10:B16)-B80</f>
        <v>963.17961790636173</v>
      </c>
      <c r="C79" s="5">
        <f>SUM(C10:C16)-C80</f>
        <v>967.68924508499197</v>
      </c>
      <c r="D79" s="231"/>
      <c r="E79" s="5">
        <f>SUM(E10:E16)-E80</f>
        <v>1168.5486885196306</v>
      </c>
      <c r="F79" s="5">
        <f>SUM(F10:F16)-F80</f>
        <v>1699.9083534986244</v>
      </c>
      <c r="G79" s="5">
        <f>SUM(G10:G16)-G80</f>
        <v>2092.2903095437637</v>
      </c>
      <c r="H79" s="5">
        <f>SUM(H10:H16)-H80</f>
        <v>2162.314765588902</v>
      </c>
      <c r="I79" s="5">
        <f>SUM(I10:I16)-I80</f>
        <v>2243.1247655889015</v>
      </c>
      <c r="J79" s="5"/>
      <c r="K79" s="5"/>
    </row>
    <row r="80" spans="1:13">
      <c r="A80" s="2" t="s">
        <v>253</v>
      </c>
      <c r="B80" s="5">
        <f>B15</f>
        <v>44.308</v>
      </c>
      <c r="C80" s="5">
        <f>C15</f>
        <v>38.06955</v>
      </c>
      <c r="D80" s="231"/>
      <c r="E80" s="5">
        <f>E15</f>
        <v>32.323999999999998</v>
      </c>
      <c r="F80" s="5">
        <f>F15</f>
        <v>51</v>
      </c>
      <c r="G80" s="5">
        <f>G15</f>
        <v>51</v>
      </c>
      <c r="H80" s="5">
        <f>H15</f>
        <v>51</v>
      </c>
      <c r="I80" s="5">
        <f>I15</f>
        <v>51</v>
      </c>
      <c r="J80" s="5"/>
      <c r="K80" s="5"/>
    </row>
    <row r="81" spans="1:11">
      <c r="A81" s="2" t="s">
        <v>191</v>
      </c>
      <c r="B81" s="5">
        <f>B77-B79-B80</f>
        <v>-25.255425438716891</v>
      </c>
      <c r="C81" s="5">
        <f>C77-C79-C80</f>
        <v>59.590327281541754</v>
      </c>
      <c r="D81" s="157"/>
      <c r="E81" s="5">
        <f>E77-E79-E80</f>
        <v>61.653430512272351</v>
      </c>
      <c r="F81" s="5">
        <f>F77-F79-F80</f>
        <v>221.55298261872986</v>
      </c>
      <c r="G81" s="5">
        <f>G77-G79-G80</f>
        <v>546.34280839177291</v>
      </c>
      <c r="H81" s="5">
        <f>H77-H79-H80</f>
        <v>862.91403416481626</v>
      </c>
      <c r="I81" s="5">
        <f>I77-I79-I80</f>
        <v>1074.7122008314832</v>
      </c>
      <c r="J81" s="5"/>
      <c r="K81" s="5"/>
    </row>
    <row r="82" spans="1:11">
      <c r="A82" s="2" t="s">
        <v>254</v>
      </c>
      <c r="B82" s="206">
        <f>B81/B76</f>
        <v>-1.5976943384003774E-2</v>
      </c>
      <c r="C82" s="206">
        <f>C81/C76</f>
        <v>3.4186979815124183E-2</v>
      </c>
      <c r="D82" s="228"/>
      <c r="E82" s="206">
        <f>E81/E76</f>
        <v>2.9215047305306763E-2</v>
      </c>
      <c r="F82" s="206">
        <f>F81/F76</f>
        <v>7.2716615012055216E-2</v>
      </c>
      <c r="G82" s="206">
        <f>G81/G76</f>
        <v>0.13415827579527251</v>
      </c>
      <c r="H82" s="206">
        <f>H81/H76</f>
        <v>0.18851413650937013</v>
      </c>
      <c r="I82" s="206">
        <f>I81/I76</f>
        <v>0.21773158172823534</v>
      </c>
      <c r="J82" s="206"/>
      <c r="K82" s="206"/>
    </row>
    <row r="83" spans="1:11">
      <c r="A83" s="2" t="s">
        <v>167</v>
      </c>
      <c r="B83" s="5">
        <f>B22</f>
        <v>5</v>
      </c>
      <c r="C83" s="5">
        <f>C22</f>
        <v>-1</v>
      </c>
      <c r="D83" s="228"/>
      <c r="E83" s="2">
        <f>-E81*$J$83</f>
        <v>-18.496029153681704</v>
      </c>
      <c r="F83" s="2">
        <f>-F81*$J$83</f>
        <v>-66.465894785618957</v>
      </c>
      <c r="G83" s="2">
        <f>-G81*$J$83</f>
        <v>-163.90284251753187</v>
      </c>
      <c r="H83" s="2">
        <f>-H81*$J$83</f>
        <v>-258.87421024944484</v>
      </c>
      <c r="I83" s="2">
        <f>-I81*$J$83</f>
        <v>-322.41366024944494</v>
      </c>
      <c r="J83" s="167">
        <v>0.3</v>
      </c>
      <c r="K83" s="2"/>
    </row>
    <row r="84" spans="1:11">
      <c r="A84" s="2" t="s">
        <v>168</v>
      </c>
      <c r="B84" s="5">
        <f>B81+B83</f>
        <v>-20.255425438716891</v>
      </c>
      <c r="C84" s="5">
        <f>C81+C83</f>
        <v>58.590327281541754</v>
      </c>
      <c r="D84" s="157"/>
      <c r="E84" s="5">
        <f>E81+E83</f>
        <v>43.157401358590647</v>
      </c>
      <c r="F84" s="5">
        <f>F81+F83</f>
        <v>155.0870878331109</v>
      </c>
      <c r="G84" s="5">
        <f>G81+G83</f>
        <v>382.43996587424101</v>
      </c>
      <c r="H84" s="5">
        <f>H81+H83</f>
        <v>604.03982391537147</v>
      </c>
      <c r="I84" s="5">
        <f>I81+I83</f>
        <v>752.29854058203819</v>
      </c>
      <c r="J84" s="5"/>
      <c r="K84" s="5"/>
    </row>
    <row r="85" spans="1:11">
      <c r="A85" s="3" t="s">
        <v>255</v>
      </c>
      <c r="B85" s="4">
        <f>B84+B80</f>
        <v>24.052574561283109</v>
      </c>
      <c r="C85" s="4">
        <f>C84+C80</f>
        <v>96.659877281541753</v>
      </c>
      <c r="D85" s="162"/>
      <c r="E85" s="4">
        <f>E84+E80</f>
        <v>75.481401358590645</v>
      </c>
      <c r="F85" s="4">
        <f>F84+F80</f>
        <v>206.0870878331109</v>
      </c>
      <c r="G85" s="4">
        <f>G84+G80</f>
        <v>433.43996587424101</v>
      </c>
      <c r="H85" s="4">
        <f>H84+H80</f>
        <v>655.03982391537147</v>
      </c>
      <c r="I85" s="4">
        <f>I84+I80</f>
        <v>803.29854058203819</v>
      </c>
      <c r="J85" s="4"/>
      <c r="K85" s="4"/>
    </row>
    <row r="86" spans="1:11">
      <c r="A86" s="2" t="s">
        <v>18</v>
      </c>
      <c r="B86" s="5">
        <f>B27</f>
        <v>0</v>
      </c>
      <c r="C86" s="5">
        <f>C27</f>
        <v>-13.069549999999992</v>
      </c>
      <c r="D86" s="157"/>
      <c r="E86" s="5">
        <f>E27</f>
        <v>-140</v>
      </c>
      <c r="F86" s="5">
        <f>F27</f>
        <v>-200</v>
      </c>
      <c r="G86" s="5">
        <f>G27</f>
        <v>-51</v>
      </c>
      <c r="H86" s="5">
        <f>H27</f>
        <v>-51</v>
      </c>
      <c r="I86" s="5">
        <f>I27</f>
        <v>-51</v>
      </c>
      <c r="J86" s="5"/>
      <c r="K86" s="5"/>
    </row>
    <row r="87" spans="1:11">
      <c r="A87" s="2" t="s">
        <v>243</v>
      </c>
      <c r="B87" s="212">
        <f>+B64</f>
        <v>0</v>
      </c>
      <c r="C87" s="212">
        <f>+C64</f>
        <v>2</v>
      </c>
      <c r="D87" s="157"/>
      <c r="E87" s="212">
        <f>+E64</f>
        <v>-109.45223241202586</v>
      </c>
      <c r="F87" s="212">
        <f>+F64</f>
        <v>-155.47060370201649</v>
      </c>
      <c r="G87" s="212">
        <f>+G64</f>
        <v>-171.35448284931493</v>
      </c>
      <c r="H87" s="212">
        <f>+H64</f>
        <v>-83.78462602739728</v>
      </c>
      <c r="I87" s="212">
        <f>+I64</f>
        <v>-59.140783835616617</v>
      </c>
      <c r="J87" s="5"/>
      <c r="K87" s="5"/>
    </row>
    <row r="88" spans="1:11">
      <c r="A88" s="3" t="s">
        <v>256</v>
      </c>
      <c r="B88" s="4">
        <f>B85+B86+B87</f>
        <v>24.052574561283109</v>
      </c>
      <c r="C88" s="4">
        <f>C85+C86+C87</f>
        <v>85.590327281541761</v>
      </c>
      <c r="D88" s="162"/>
      <c r="E88" s="4">
        <f>E85+E86+E87</f>
        <v>-173.97083105343523</v>
      </c>
      <c r="F88" s="4">
        <f>F85+F86+F87</f>
        <v>-149.38351586890559</v>
      </c>
      <c r="G88" s="4">
        <f>G85+G86+G87</f>
        <v>211.08548302492608</v>
      </c>
      <c r="H88" s="4">
        <f>H85+H86+H87</f>
        <v>520.25519788797419</v>
      </c>
      <c r="I88" s="4">
        <f>I85+I86+I87</f>
        <v>693.15775674642157</v>
      </c>
      <c r="J88" s="4"/>
      <c r="K88" s="4"/>
    </row>
    <row r="89" spans="1:11">
      <c r="A89" s="205"/>
      <c r="B89" s="205"/>
      <c r="C89" s="213"/>
      <c r="D89" s="213"/>
      <c r="E89" s="188"/>
      <c r="F89" s="192"/>
      <c r="G89" s="192"/>
      <c r="H89" s="192"/>
      <c r="I89" s="192"/>
      <c r="J89" s="192"/>
      <c r="K89" s="192"/>
    </row>
    <row r="90" spans="1:11">
      <c r="A90" s="205"/>
      <c r="B90" s="205"/>
      <c r="C90" s="213"/>
      <c r="D90" s="213"/>
      <c r="E90" s="188"/>
      <c r="F90" s="192"/>
      <c r="G90" s="192"/>
      <c r="H90" s="192"/>
      <c r="I90" s="192"/>
      <c r="J90" s="192"/>
      <c r="K90" s="192"/>
    </row>
    <row r="91" spans="1:11">
      <c r="A91" s="205"/>
      <c r="B91" s="205"/>
      <c r="C91" s="188"/>
      <c r="D91" s="188"/>
      <c r="E91" s="205"/>
    </row>
  </sheetData>
  <mergeCells count="5">
    <mergeCell ref="P45:V45"/>
    <mergeCell ref="J58:M58"/>
    <mergeCell ref="J4:M4"/>
    <mergeCell ref="J25:M25"/>
    <mergeCell ref="J39:M39"/>
  </mergeCells>
  <phoneticPr fontId="19" type="noConversion"/>
  <pageMargins left="0.78740157480314965" right="0.78740157480314965" top="0.6692913385826772" bottom="0.82677165354330717" header="0.51181102362204722" footer="0.35433070866141736"/>
  <pageSetup paperSize="9" scale="85" orientation="portrait" horizontalDpi="300" verticalDpi="300" r:id="rId1"/>
  <headerFooter alignWithMargins="0">
    <oddFooter>&amp;L&amp;F&amp;C&amp;A&amp;R&amp;D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Conso bilans</vt:lpstr>
      <vt:lpstr>data 1</vt:lpstr>
      <vt:lpstr>data 2+ana</vt:lpstr>
      <vt:lpstr>cptes ana</vt:lpstr>
      <vt:lpstr>Plan dvlpmt</vt:lpstr>
      <vt:lpstr>Kinegel BP1</vt:lpstr>
      <vt:lpstr>BP 1</vt:lpstr>
      <vt:lpstr>'BP 1'!Zone_d_impression</vt:lpstr>
      <vt:lpstr>'Conso bilans'!Zone_d_impression</vt:lpstr>
      <vt:lpstr>'cptes ana'!Zone_d_impression</vt:lpstr>
      <vt:lpstr>'data 1'!Zone_d_impression</vt:lpstr>
      <vt:lpstr>'data 2+ana'!Zone_d_impression</vt:lpstr>
      <vt:lpstr>'Kinegel BP1'!Zone_d_impression</vt:lpstr>
      <vt:lpstr>'Plan dvlpmt'!Zone_d_impression</vt:lpstr>
    </vt:vector>
  </TitlesOfParts>
  <Company>Physcience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lberlie</cp:lastModifiedBy>
  <cp:lastPrinted>2010-10-13T17:05:22Z</cp:lastPrinted>
  <dcterms:created xsi:type="dcterms:W3CDTF">2003-09-23T12:14:32Z</dcterms:created>
  <dcterms:modified xsi:type="dcterms:W3CDTF">2010-10-14T12:55:02Z</dcterms:modified>
</cp:coreProperties>
</file>