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13-Khépri Santé\EONA RV 20_05-2021\"/>
    </mc:Choice>
  </mc:AlternateContent>
  <bookViews>
    <workbookView xWindow="0" yWindow="0" windowWidth="17490" windowHeight="7185" activeTab="1"/>
  </bookViews>
  <sheets>
    <sheet name="Tarifs formation" sheetId="1" r:id="rId1"/>
    <sheet name="prev ca formation" sheetId="2" r:id="rId2"/>
  </sheets>
  <definedNames>
    <definedName name="AllSeated_Splitty">#REF!</definedName>
    <definedName name="cout_salaire_RO_euros">#REF!</definedName>
    <definedName name="cout_salaire_RO_euros_update_2015_07">#REF!</definedName>
    <definedName name="Dan_Gabi_cout_RO">#REF!</definedName>
    <definedName name="jours_travailles_par_mois">#REF!</definedName>
    <definedName name="param_salaire_RO">#REF!</definedName>
    <definedName name="RONs__Euros">#REF!</definedName>
    <definedName name="somaj_tehnic">#REF!</definedName>
  </definedNames>
  <calcPr calcId="152511"/>
</workbook>
</file>

<file path=xl/calcChain.xml><?xml version="1.0" encoding="utf-8"?>
<calcChain xmlns="http://schemas.openxmlformats.org/spreadsheetml/2006/main">
  <c r="M66" i="2" l="1"/>
  <c r="N66" i="2" s="1"/>
  <c r="Q60" i="2"/>
  <c r="L57" i="2"/>
  <c r="Q57" i="2" s="1"/>
  <c r="Q62" i="2" s="1"/>
  <c r="R62" i="2" s="1"/>
  <c r="N52" i="2"/>
  <c r="M52" i="2"/>
  <c r="L52" i="2"/>
  <c r="E50" i="2"/>
  <c r="D50" i="2"/>
  <c r="D49" i="2"/>
  <c r="E49" i="2" s="1"/>
  <c r="O47" i="2"/>
  <c r="P47" i="2" s="1"/>
  <c r="N47" i="2"/>
  <c r="M47" i="2"/>
  <c r="D46" i="2"/>
  <c r="H46" i="2" s="1"/>
  <c r="H45" i="2"/>
  <c r="I45" i="2" s="1"/>
  <c r="D45" i="2"/>
  <c r="C41" i="2"/>
  <c r="A36" i="2"/>
  <c r="F19" i="2"/>
  <c r="F23" i="2" s="1"/>
  <c r="E19" i="2"/>
  <c r="E23" i="2" s="1"/>
  <c r="D19" i="2"/>
  <c r="D23" i="2" s="1"/>
  <c r="C19" i="2"/>
  <c r="H12" i="2"/>
  <c r="F21" i="2" s="1"/>
  <c r="H11" i="2"/>
  <c r="A3" i="2"/>
  <c r="N43" i="1"/>
  <c r="M43" i="1"/>
  <c r="Q37" i="1"/>
  <c r="L34" i="1"/>
  <c r="Q34" i="1" s="1"/>
  <c r="N29" i="1"/>
  <c r="M29" i="1"/>
  <c r="Q29" i="1" s="1"/>
  <c r="L29" i="1"/>
  <c r="D27" i="1"/>
  <c r="E27" i="1" s="1"/>
  <c r="O24" i="1"/>
  <c r="P24" i="1" s="1"/>
  <c r="N24" i="1"/>
  <c r="M24" i="1"/>
  <c r="H23" i="1"/>
  <c r="K23" i="1" s="1"/>
  <c r="L23" i="1" s="1"/>
  <c r="D23" i="1"/>
  <c r="D22" i="1"/>
  <c r="D26" i="1" s="1"/>
  <c r="E26" i="1" s="1"/>
  <c r="C18" i="1"/>
  <c r="A13" i="1"/>
  <c r="A3" i="1"/>
  <c r="Q52" i="2" l="1"/>
  <c r="R60" i="2"/>
  <c r="C21" i="2"/>
  <c r="Q39" i="1"/>
  <c r="R39" i="1" s="1"/>
  <c r="R37" i="1"/>
  <c r="I46" i="2"/>
  <c r="J46" i="2" s="1"/>
  <c r="K46" i="2"/>
  <c r="L46" i="2" s="1"/>
  <c r="H47" i="2"/>
  <c r="I47" i="2"/>
  <c r="C20" i="2"/>
  <c r="C22" i="2"/>
  <c r="C23" i="2"/>
  <c r="D21" i="2"/>
  <c r="D22" i="2"/>
  <c r="J45" i="2"/>
  <c r="J47" i="2" s="1"/>
  <c r="H22" i="1"/>
  <c r="E20" i="2"/>
  <c r="E25" i="2" s="1"/>
  <c r="E21" i="2"/>
  <c r="E22" i="2"/>
  <c r="K45" i="2"/>
  <c r="I23" i="1"/>
  <c r="J23" i="1" s="1"/>
  <c r="D20" i="2"/>
  <c r="F20" i="2"/>
  <c r="F22" i="2"/>
  <c r="C25" i="2" l="1"/>
  <c r="L45" i="2"/>
  <c r="L47" i="2" s="1"/>
  <c r="K47" i="2"/>
  <c r="I22" i="1"/>
  <c r="H24" i="1"/>
  <c r="K22" i="1"/>
  <c r="F25" i="2"/>
  <c r="Q47" i="2"/>
  <c r="Q54" i="2" s="1"/>
  <c r="R54" i="2" s="1"/>
  <c r="D25" i="2"/>
  <c r="I24" i="1" l="1"/>
  <c r="J22" i="1"/>
  <c r="J24" i="1" s="1"/>
  <c r="K24" i="1"/>
  <c r="L22" i="1"/>
  <c r="L24" i="1" s="1"/>
  <c r="Q24" i="1" l="1"/>
  <c r="Q31" i="1" s="1"/>
  <c r="R31" i="1" s="1"/>
</calcChain>
</file>

<file path=xl/comments1.xml><?xml version="1.0" encoding="utf-8"?>
<comments xmlns="http://schemas.openxmlformats.org/spreadsheetml/2006/main">
  <authors>
    <author/>
  </authors>
  <commentList>
    <comment ref="C15" authorId="0" shapeId="0">
      <text>
        <r>
          <rPr>
            <sz val="11"/>
            <color theme="1"/>
            <rFont val="Arial"/>
          </rPr>
          <t>Grande salle pour  8 personnes.</t>
        </r>
      </text>
    </comment>
    <comment ref="C16" authorId="0" shapeId="0">
      <text>
        <r>
          <rPr>
            <sz val="11"/>
            <color theme="1"/>
            <rFont val="Arial"/>
          </rPr>
          <t>petite salle ou chez l'intervenant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38" authorId="0" shapeId="0">
      <text>
        <r>
          <rPr>
            <sz val="11"/>
            <color theme="1"/>
            <rFont val="Arial"/>
          </rPr>
          <t>Grande salle pour  8 personnes.</t>
        </r>
      </text>
    </comment>
    <comment ref="C39" authorId="0" shapeId="0">
      <text>
        <r>
          <rPr>
            <sz val="11"/>
            <color theme="1"/>
            <rFont val="Arial"/>
          </rPr>
          <t>petite salle ou chez l'intervenant</t>
        </r>
      </text>
    </comment>
  </commentList>
</comments>
</file>

<file path=xl/sharedStrings.xml><?xml version="1.0" encoding="utf-8"?>
<sst xmlns="http://schemas.openxmlformats.org/spreadsheetml/2006/main" count="187" uniqueCount="101">
  <si>
    <t>Objectif 2021 7 mois formation :</t>
  </si>
  <si>
    <t>3000 personnes</t>
  </si>
  <si>
    <t>En présentiel : groupe 6 personnes</t>
  </si>
  <si>
    <t>En digital : groupe de 20 personnes</t>
  </si>
  <si>
    <t>Formation en module sur 10 ateliers</t>
  </si>
  <si>
    <t>Nombre stagiaires</t>
  </si>
  <si>
    <t>Formateur payé à l'heure et non en fonction du nombre de stagiaire</t>
  </si>
  <si>
    <t>Prix de vente de l'heure</t>
  </si>
  <si>
    <t>pv 320/jour</t>
  </si>
  <si>
    <t>nb d'heures en présentiel</t>
  </si>
  <si>
    <t>cout form 245€/jour chargé</t>
  </si>
  <si>
    <t>nb d'heures en télé formation</t>
  </si>
  <si>
    <t>tarif horaire formateur libérale</t>
  </si>
  <si>
    <t>Nb de mois</t>
  </si>
  <si>
    <t>soit 30 semaines (7moisx4,33)</t>
  </si>
  <si>
    <t>salle</t>
  </si>
  <si>
    <t>coût horaire infra structure (présentiel)</t>
  </si>
  <si>
    <t>coût horaire infra structure (télé Formation)</t>
  </si>
  <si>
    <r>
      <rPr>
        <sz val="10"/>
        <rFont val="Arial"/>
      </rPr>
      <t xml:space="preserve">logiciel </t>
    </r>
    <r>
      <rPr>
        <u/>
        <sz val="10"/>
        <color rgb="FF1155CC"/>
        <rFont val="Arial"/>
      </rPr>
      <t>https://www.digiforma.com/prix/</t>
    </r>
  </si>
  <si>
    <t>prix mensuel</t>
  </si>
  <si>
    <t>logiciel</t>
  </si>
  <si>
    <t>prix par stagiaire</t>
  </si>
  <si>
    <t>Admin</t>
  </si>
  <si>
    <t>cout/stagiaire</t>
  </si>
  <si>
    <t>les 2 coups admins s'ajoutent</t>
  </si>
  <si>
    <t>secretariat</t>
  </si>
  <si>
    <t>cout mensuel</t>
  </si>
  <si>
    <t>global</t>
  </si>
  <si>
    <t>par stagiaire</t>
  </si>
  <si>
    <t>nbre d'heures de formation</t>
  </si>
  <si>
    <t>nbre de stagiaires par cession</t>
  </si>
  <si>
    <t>nombre d'animateurs simultanés par cession.</t>
  </si>
  <si>
    <t>taux de remplissage des stages</t>
  </si>
  <si>
    <t>nb d'heures animateur</t>
  </si>
  <si>
    <t>cout global formateur</t>
  </si>
  <si>
    <t>cout formateur par stagiaire</t>
  </si>
  <si>
    <t>cout global infrastructure (salles)</t>
  </si>
  <si>
    <t>cout infrastructure (salle) par stagiaire</t>
  </si>
  <si>
    <t>cout global logiciel gestion et aide formation</t>
  </si>
  <si>
    <t>logiciel gestion et aide formation par stagiaire</t>
  </si>
  <si>
    <t>cout global secrétariat</t>
  </si>
  <si>
    <t>cout secrétariat par stagiaire</t>
  </si>
  <si>
    <t>coût total / stagiaire</t>
  </si>
  <si>
    <t>Présentiel</t>
  </si>
  <si>
    <t>Télé Formation</t>
  </si>
  <si>
    <t>Total Presentiel plus Téléformation</t>
  </si>
  <si>
    <t>Christian</t>
  </si>
  <si>
    <t>au total</t>
  </si>
  <si>
    <t>par mois</t>
  </si>
  <si>
    <t>06 85 10 60 59</t>
  </si>
  <si>
    <t>nb groupes présentiel</t>
  </si>
  <si>
    <t>nb groupes télé Formation</t>
  </si>
  <si>
    <t>grp</t>
  </si>
  <si>
    <t>heure</t>
  </si>
  <si>
    <t>Ateliers collectifs prix de vente 25€/H</t>
  </si>
  <si>
    <t>stagiaires</t>
  </si>
  <si>
    <t xml:space="preserve">heures </t>
  </si>
  <si>
    <t>facturation/heures</t>
  </si>
  <si>
    <t>% marge</t>
  </si>
  <si>
    <t>soit CA</t>
  </si>
  <si>
    <t>Programmes Individ.de remise en santé 60€ /H</t>
  </si>
  <si>
    <t>patients</t>
  </si>
  <si>
    <t>Marge ateliers collectifs</t>
  </si>
  <si>
    <t>heures regroupés en cessions de : (nb heures)</t>
  </si>
  <si>
    <t>heures/programme</t>
  </si>
  <si>
    <t>prix de revient/heures</t>
  </si>
  <si>
    <t>Marge cures</t>
  </si>
  <si>
    <t>Formation SS-traitance 600€/jour</t>
  </si>
  <si>
    <t>prix /jour formation prix de revient</t>
  </si>
  <si>
    <t>marge/ jour formation</t>
  </si>
  <si>
    <t>prix/jour prix de vente</t>
  </si>
  <si>
    <t>nb de jours de travail max par formateur</t>
  </si>
  <si>
    <t>nb de formateurs</t>
  </si>
  <si>
    <t>coût formateur par jour (chargé)</t>
  </si>
  <si>
    <t>Coût salle / jour 175€ ou 25€/H</t>
  </si>
  <si>
    <t xml:space="preserve">coût salle presentiel par jour </t>
  </si>
  <si>
    <t>coût salle teleformation par jour stagiaire</t>
  </si>
  <si>
    <t>% teleform vs presentiel</t>
  </si>
  <si>
    <t>frais salle présentiel par stagiaire par jour</t>
  </si>
  <si>
    <t>frais moyen salle/tef/jourstagiare</t>
  </si>
  <si>
    <t>frais admin /jour/stagiaire</t>
  </si>
  <si>
    <t>taux de rempl moyen des formations</t>
  </si>
  <si>
    <t>212 jours travaillés / an / formateur</t>
  </si>
  <si>
    <t>Taux de vente des formations</t>
  </si>
  <si>
    <t>Nombre de stagiaires par jour de formation</t>
  </si>
  <si>
    <t>nb de jours de formation vendus</t>
  </si>
  <si>
    <t>C.A</t>
  </si>
  <si>
    <t>Total Frais (salle/&amp;teleform)</t>
  </si>
  <si>
    <t>Salaires formateurs</t>
  </si>
  <si>
    <t>Frais admin</t>
  </si>
  <si>
    <t>autres frais</t>
  </si>
  <si>
    <t>Résultat prévisionnel</t>
  </si>
  <si>
    <t>taux de rentabilité</t>
  </si>
  <si>
    <t>Prix vente 320 € /jour</t>
  </si>
  <si>
    <t>coût form 245€/jour chargé</t>
  </si>
  <si>
    <t>salle 175€/jour</t>
  </si>
  <si>
    <t>logiciel digiforma</t>
  </si>
  <si>
    <t>Prévisionnel CA Khépri Formation</t>
  </si>
  <si>
    <t>Paramètres de calcul :</t>
  </si>
  <si>
    <t>nb de stagiaires / formation</t>
  </si>
  <si>
    <t>prix de vente /jour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</si>
</sst>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#&quot; h. &quot;"/>
    <numFmt numFmtId="165" formatCode="#,##0\ [$€-1]"/>
    <numFmt numFmtId="166" formatCode="##\ &quot;mois&quot;"/>
    <numFmt numFmtId="167" formatCode="##\ &quot;€ par mois&quot;"/>
    <numFmt numFmtId="168" formatCode="0.0"/>
    <numFmt numFmtId="169" formatCode="##.0\ &quot;€ par stagiaire&quot;"/>
    <numFmt numFmtId="170" formatCode="##\ &quot;stagiaires&quot;"/>
    <numFmt numFmtId="171" formatCode="##\ &quot;animateurs&quot;"/>
    <numFmt numFmtId="172" formatCode="#,##0.00\ [$€-1]"/>
    <numFmt numFmtId="173" formatCode="#,##0.0\ [$€-1]"/>
  </numFmts>
  <fonts count="16">
    <font>
      <sz val="11"/>
      <color theme="1"/>
      <name val="Arial"/>
    </font>
    <font>
      <sz val="10"/>
      <color theme="1"/>
      <name val="Arial"/>
    </font>
    <font>
      <u/>
      <sz val="10"/>
      <color rgb="FF0000FF"/>
      <name val="Arial"/>
    </font>
    <font>
      <sz val="11"/>
      <name val="Arial"/>
    </font>
    <font>
      <b/>
      <sz val="10"/>
      <color theme="1"/>
      <name val="Arial"/>
    </font>
    <font>
      <sz val="10"/>
      <color rgb="FF000000"/>
      <name val="Arial"/>
    </font>
    <font>
      <b/>
      <sz val="8"/>
      <color theme="1"/>
      <name val="Arial"/>
    </font>
    <font>
      <sz val="11"/>
      <color rgb="FF000000"/>
      <name val="Roboto"/>
    </font>
    <font>
      <sz val="11"/>
      <color rgb="FF000000"/>
      <name val="Calibri"/>
    </font>
    <font>
      <sz val="11"/>
      <color rgb="FF000000"/>
      <name val="Inconsolata"/>
    </font>
    <font>
      <u/>
      <sz val="10"/>
      <color rgb="FF0563C1"/>
      <name val="Arial"/>
    </font>
    <font>
      <sz val="10"/>
      <name val="Arial"/>
    </font>
    <font>
      <u/>
      <sz val="10"/>
      <color rgb="FF1155CC"/>
      <name val="Arial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FFD966"/>
        <bgColor rgb="FFFFD966"/>
      </patternFill>
    </fill>
    <fill>
      <patternFill patternType="solid">
        <fgColor rgb="FFD5A6BD"/>
        <bgColor rgb="FFD5A6BD"/>
      </patternFill>
    </fill>
    <fill>
      <patternFill patternType="solid">
        <fgColor rgb="FFFCE5CD"/>
        <bgColor rgb="FFFCE5CD"/>
      </patternFill>
    </fill>
    <fill>
      <patternFill patternType="solid">
        <fgColor rgb="FFF9CB9C"/>
        <bgColor rgb="FFF9CB9C"/>
      </patternFill>
    </fill>
    <fill>
      <patternFill patternType="solid">
        <fgColor rgb="FFD0E0E3"/>
        <bgColor rgb="FFD0E0E3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1" fontId="1" fillId="0" borderId="0" xfId="0" applyNumberFormat="1" applyFont="1"/>
    <xf numFmtId="1" fontId="1" fillId="0" borderId="1" xfId="0" applyNumberFormat="1" applyFont="1" applyBorder="1"/>
    <xf numFmtId="1" fontId="1" fillId="0" borderId="0" xfId="0" applyNumberFormat="1" applyFont="1" applyAlignment="1">
      <alignment wrapText="1"/>
    </xf>
    <xf numFmtId="1" fontId="1" fillId="2" borderId="2" xfId="0" applyNumberFormat="1" applyFont="1" applyFill="1" applyBorder="1" applyAlignment="1">
      <alignment horizontal="right" wrapText="1"/>
    </xf>
    <xf numFmtId="1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/>
    <xf numFmtId="164" fontId="1" fillId="2" borderId="2" xfId="0" applyNumberFormat="1" applyFont="1" applyFill="1" applyBorder="1" applyAlignment="1">
      <alignment horizontal="right" wrapText="1"/>
    </xf>
    <xf numFmtId="1" fontId="1" fillId="2" borderId="2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165" fontId="1" fillId="2" borderId="2" xfId="0" applyNumberFormat="1" applyFont="1" applyFill="1" applyBorder="1" applyAlignment="1">
      <alignment horizontal="right" wrapText="1"/>
    </xf>
    <xf numFmtId="166" fontId="1" fillId="2" borderId="2" xfId="0" applyNumberFormat="1" applyFont="1" applyFill="1" applyBorder="1" applyAlignment="1">
      <alignment horizontal="right" wrapText="1"/>
    </xf>
    <xf numFmtId="1" fontId="2" fillId="0" borderId="0" xfId="0" applyNumberFormat="1" applyFont="1" applyAlignment="1">
      <alignment wrapText="1"/>
    </xf>
    <xf numFmtId="167" fontId="1" fillId="2" borderId="2" xfId="0" applyNumberFormat="1" applyFont="1" applyFill="1" applyBorder="1" applyAlignment="1">
      <alignment horizontal="right" wrapText="1"/>
    </xf>
    <xf numFmtId="168" fontId="1" fillId="0" borderId="0" xfId="0" applyNumberFormat="1" applyFont="1"/>
    <xf numFmtId="169" fontId="1" fillId="3" borderId="2" xfId="0" applyNumberFormat="1" applyFont="1" applyFill="1" applyBorder="1" applyAlignment="1">
      <alignment horizontal="right" wrapText="1"/>
    </xf>
    <xf numFmtId="1" fontId="1" fillId="4" borderId="2" xfId="0" applyNumberFormat="1" applyFont="1" applyFill="1" applyBorder="1" applyAlignment="1">
      <alignment wrapText="1"/>
    </xf>
    <xf numFmtId="1" fontId="1" fillId="5" borderId="2" xfId="0" applyNumberFormat="1" applyFont="1" applyFill="1" applyBorder="1" applyAlignment="1">
      <alignment wrapText="1"/>
    </xf>
    <xf numFmtId="0" fontId="1" fillId="0" borderId="0" xfId="0" applyFont="1"/>
    <xf numFmtId="1" fontId="1" fillId="6" borderId="2" xfId="0" applyNumberFormat="1" applyFont="1" applyFill="1" applyBorder="1" applyAlignment="1">
      <alignment wrapText="1"/>
    </xf>
    <xf numFmtId="1" fontId="1" fillId="7" borderId="2" xfId="0" applyNumberFormat="1" applyFont="1" applyFill="1" applyBorder="1" applyAlignment="1">
      <alignment wrapText="1"/>
    </xf>
    <xf numFmtId="1" fontId="1" fillId="0" borderId="0" xfId="0" applyNumberFormat="1" applyFont="1" applyAlignment="1">
      <alignment horizontal="right" wrapText="1"/>
    </xf>
    <xf numFmtId="170" fontId="1" fillId="2" borderId="2" xfId="0" applyNumberFormat="1" applyFont="1" applyFill="1" applyBorder="1" applyAlignment="1">
      <alignment horizontal="right" wrapText="1"/>
    </xf>
    <xf numFmtId="171" fontId="1" fillId="2" borderId="2" xfId="0" applyNumberFormat="1" applyFont="1" applyFill="1" applyBorder="1" applyAlignment="1">
      <alignment horizontal="right" wrapText="1"/>
    </xf>
    <xf numFmtId="9" fontId="1" fillId="2" borderId="2" xfId="0" applyNumberFormat="1" applyFont="1" applyFill="1" applyBorder="1" applyAlignment="1">
      <alignment horizontal="right" wrapText="1"/>
    </xf>
    <xf numFmtId="164" fontId="1" fillId="0" borderId="0" xfId="0" applyNumberFormat="1" applyFont="1" applyAlignment="1">
      <alignment horizontal="right" wrapText="1"/>
    </xf>
    <xf numFmtId="165" fontId="1" fillId="0" borderId="0" xfId="0" applyNumberFormat="1" applyFont="1" applyAlignment="1">
      <alignment horizontal="right" wrapText="1"/>
    </xf>
    <xf numFmtId="165" fontId="1" fillId="0" borderId="0" xfId="0" applyNumberFormat="1" applyFont="1" applyAlignment="1">
      <alignment horizontal="right"/>
    </xf>
    <xf numFmtId="172" fontId="1" fillId="0" borderId="0" xfId="0" applyNumberFormat="1" applyFont="1" applyAlignment="1">
      <alignment horizontal="right"/>
    </xf>
    <xf numFmtId="164" fontId="1" fillId="3" borderId="2" xfId="0" applyNumberFormat="1" applyFont="1" applyFill="1" applyBorder="1" applyAlignment="1">
      <alignment horizontal="right" wrapText="1"/>
    </xf>
    <xf numFmtId="165" fontId="1" fillId="3" borderId="2" xfId="0" applyNumberFormat="1" applyFont="1" applyFill="1" applyBorder="1" applyAlignment="1">
      <alignment horizontal="right"/>
    </xf>
    <xf numFmtId="165" fontId="1" fillId="9" borderId="2" xfId="0" applyNumberFormat="1" applyFont="1" applyFill="1" applyBorder="1" applyAlignment="1">
      <alignment horizontal="right"/>
    </xf>
    <xf numFmtId="172" fontId="1" fillId="9" borderId="2" xfId="0" applyNumberFormat="1" applyFont="1" applyFill="1" applyBorder="1" applyAlignment="1">
      <alignment horizontal="right"/>
    </xf>
    <xf numFmtId="1" fontId="1" fillId="3" borderId="2" xfId="0" applyNumberFormat="1" applyFont="1" applyFill="1" applyBorder="1" applyAlignment="1">
      <alignment horizontal="right"/>
    </xf>
    <xf numFmtId="168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4" fillId="0" borderId="1" xfId="0" applyNumberFormat="1" applyFont="1" applyBorder="1"/>
    <xf numFmtId="1" fontId="4" fillId="0" borderId="1" xfId="0" applyNumberFormat="1" applyFont="1" applyBorder="1" applyAlignment="1">
      <alignment horizontal="center"/>
    </xf>
    <xf numFmtId="1" fontId="5" fillId="10" borderId="2" xfId="0" applyNumberFormat="1" applyFont="1" applyFill="1" applyBorder="1"/>
    <xf numFmtId="1" fontId="1" fillId="2" borderId="2" xfId="0" applyNumberFormat="1" applyFont="1" applyFill="1" applyBorder="1" applyAlignment="1">
      <alignment horizontal="right"/>
    </xf>
    <xf numFmtId="1" fontId="1" fillId="2" borderId="2" xfId="0" applyNumberFormat="1" applyFont="1" applyFill="1" applyBorder="1"/>
    <xf numFmtId="2" fontId="1" fillId="0" borderId="1" xfId="0" applyNumberFormat="1" applyFont="1" applyBorder="1"/>
    <xf numFmtId="1" fontId="6" fillId="0" borderId="1" xfId="0" applyNumberFormat="1" applyFont="1" applyBorder="1"/>
    <xf numFmtId="1" fontId="7" fillId="10" borderId="2" xfId="0" applyNumberFormat="1" applyFont="1" applyFill="1" applyBorder="1"/>
    <xf numFmtId="1" fontId="6" fillId="0" borderId="1" xfId="0" applyNumberFormat="1" applyFont="1" applyBorder="1" applyAlignment="1">
      <alignment wrapText="1"/>
    </xf>
    <xf numFmtId="1" fontId="4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" fontId="1" fillId="0" borderId="0" xfId="0" applyNumberFormat="1" applyFont="1" applyAlignment="1">
      <alignment wrapText="1"/>
    </xf>
    <xf numFmtId="3" fontId="1" fillId="2" borderId="0" xfId="0" applyNumberFormat="1" applyFont="1" applyFill="1" applyAlignment="1"/>
    <xf numFmtId="1" fontId="1" fillId="2" borderId="0" xfId="0" applyNumberFormat="1" applyFont="1" applyFill="1" applyAlignment="1"/>
    <xf numFmtId="165" fontId="1" fillId="2" borderId="0" xfId="0" applyNumberFormat="1" applyFont="1" applyFill="1" applyAlignment="1"/>
    <xf numFmtId="10" fontId="1" fillId="0" borderId="0" xfId="0" applyNumberFormat="1" applyFont="1" applyAlignment="1"/>
    <xf numFmtId="9" fontId="1" fillId="2" borderId="0" xfId="0" applyNumberFormat="1" applyFont="1" applyFill="1" applyAlignment="1"/>
    <xf numFmtId="173" fontId="1" fillId="3" borderId="0" xfId="0" applyNumberFormat="1" applyFont="1" applyFill="1"/>
    <xf numFmtId="0" fontId="1" fillId="0" borderId="0" xfId="0" applyFont="1" applyAlignment="1"/>
    <xf numFmtId="165" fontId="1" fillId="2" borderId="0" xfId="0" applyNumberFormat="1" applyFont="1" applyFill="1" applyAlignment="1"/>
    <xf numFmtId="1" fontId="10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0" fillId="0" borderId="0" xfId="0" applyFont="1" applyAlignment="1"/>
    <xf numFmtId="1" fontId="1" fillId="8" borderId="3" xfId="0" applyNumberFormat="1" applyFont="1" applyFill="1" applyBorder="1" applyAlignment="1">
      <alignment horizontal="right"/>
    </xf>
    <xf numFmtId="0" fontId="3" fillId="0" borderId="4" xfId="0" applyFont="1" applyBorder="1"/>
    <xf numFmtId="0" fontId="3" fillId="0" borderId="5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/>
    <xf numFmtId="1" fontId="1" fillId="0" borderId="6" xfId="0" applyNumberFormat="1" applyFont="1" applyBorder="1"/>
    <xf numFmtId="1" fontId="1" fillId="0" borderId="6" xfId="0" applyNumberFormat="1" applyFont="1" applyBorder="1" applyAlignment="1"/>
    <xf numFmtId="10" fontId="5" fillId="0" borderId="6" xfId="0" applyNumberFormat="1" applyFont="1" applyBorder="1" applyAlignment="1"/>
    <xf numFmtId="1" fontId="1" fillId="0" borderId="6" xfId="0" applyNumberFormat="1" applyFont="1" applyBorder="1" applyAlignment="1">
      <alignment wrapText="1"/>
    </xf>
    <xf numFmtId="9" fontId="5" fillId="0" borderId="6" xfId="0" applyNumberFormat="1" applyFont="1" applyBorder="1"/>
    <xf numFmtId="3" fontId="5" fillId="0" borderId="6" xfId="0" applyNumberFormat="1" applyFont="1" applyBorder="1"/>
    <xf numFmtId="3" fontId="8" fillId="0" borderId="6" xfId="0" applyNumberFormat="1" applyFont="1" applyBorder="1"/>
    <xf numFmtId="3" fontId="9" fillId="10" borderId="6" xfId="0" applyNumberFormat="1" applyFont="1" applyFill="1" applyBorder="1" applyAlignment="1">
      <alignment horizontal="right"/>
    </xf>
    <xf numFmtId="3" fontId="5" fillId="0" borderId="6" xfId="0" applyNumberFormat="1" applyFont="1" applyBorder="1" applyAlignment="1"/>
    <xf numFmtId="1" fontId="1" fillId="0" borderId="7" xfId="0" applyNumberFormat="1" applyFont="1" applyBorder="1"/>
    <xf numFmtId="10" fontId="5" fillId="0" borderId="8" xfId="0" applyNumberFormat="1" applyFont="1" applyBorder="1" applyAlignment="1"/>
    <xf numFmtId="10" fontId="5" fillId="0" borderId="9" xfId="0" applyNumberFormat="1" applyFont="1" applyBorder="1" applyAlignment="1"/>
    <xf numFmtId="1" fontId="1" fillId="0" borderId="10" xfId="0" applyNumberFormat="1" applyFont="1" applyBorder="1" applyAlignment="1"/>
    <xf numFmtId="10" fontId="5" fillId="0" borderId="11" xfId="0" applyNumberFormat="1" applyFont="1" applyBorder="1" applyAlignment="1"/>
    <xf numFmtId="1" fontId="1" fillId="0" borderId="10" xfId="0" applyNumberFormat="1" applyFont="1" applyBorder="1" applyAlignment="1">
      <alignment wrapText="1"/>
    </xf>
    <xf numFmtId="9" fontId="5" fillId="0" borderId="11" xfId="0" applyNumberFormat="1" applyFont="1" applyBorder="1"/>
    <xf numFmtId="1" fontId="1" fillId="0" borderId="10" xfId="0" applyNumberFormat="1" applyFont="1" applyBorder="1"/>
    <xf numFmtId="3" fontId="5" fillId="0" borderId="11" xfId="0" applyNumberFormat="1" applyFont="1" applyBorder="1"/>
    <xf numFmtId="3" fontId="8" fillId="0" borderId="11" xfId="0" applyNumberFormat="1" applyFont="1" applyBorder="1"/>
    <xf numFmtId="3" fontId="9" fillId="10" borderId="11" xfId="0" applyNumberFormat="1" applyFont="1" applyFill="1" applyBorder="1" applyAlignment="1">
      <alignment horizontal="right"/>
    </xf>
    <xf numFmtId="3" fontId="5" fillId="0" borderId="11" xfId="0" applyNumberFormat="1" applyFont="1" applyBorder="1" applyAlignment="1"/>
    <xf numFmtId="1" fontId="1" fillId="0" borderId="11" xfId="0" applyNumberFormat="1" applyFont="1" applyBorder="1"/>
    <xf numFmtId="1" fontId="1" fillId="0" borderId="12" xfId="0" applyNumberFormat="1" applyFont="1" applyBorder="1"/>
    <xf numFmtId="1" fontId="1" fillId="0" borderId="13" xfId="0" applyNumberFormat="1" applyFont="1" applyBorder="1" applyAlignment="1">
      <alignment wrapText="1"/>
    </xf>
    <xf numFmtId="1" fontId="1" fillId="0" borderId="13" xfId="0" applyNumberFormat="1" applyFont="1" applyBorder="1"/>
    <xf numFmtId="1" fontId="1" fillId="0" borderId="14" xfId="0" applyNumberFormat="1" applyFont="1" applyBorder="1"/>
    <xf numFmtId="1" fontId="14" fillId="0" borderId="8" xfId="0" applyNumberFormat="1" applyFont="1" applyBorder="1" applyAlignment="1"/>
    <xf numFmtId="1" fontId="1" fillId="0" borderId="5" xfId="0" applyNumberFormat="1" applyFont="1" applyBorder="1"/>
    <xf numFmtId="1" fontId="15" fillId="0" borderId="0" xfId="0" applyNumberFormat="1" applyFont="1" applyAlignment="1">
      <alignment wrapText="1"/>
    </xf>
    <xf numFmtId="1" fontId="14" fillId="0" borderId="0" xfId="0" applyNumberFormat="1" applyFont="1" applyAlignment="1">
      <alignment wrapText="1"/>
    </xf>
    <xf numFmtId="0" fontId="1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www.digiforma.com/prix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igiforma.com/prix/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B1000"/>
  <sheetViews>
    <sheetView zoomScale="70" zoomScaleNormal="70" workbookViewId="0"/>
  </sheetViews>
  <sheetFormatPr baseColWidth="10" defaultColWidth="12.625" defaultRowHeight="15" customHeight="1"/>
  <cols>
    <col min="1" max="1" width="23.125" customWidth="1"/>
    <col min="2" max="2" width="23.875" customWidth="1"/>
    <col min="3" max="3" width="22.875" customWidth="1"/>
    <col min="4" max="4" width="13.125" customWidth="1"/>
    <col min="5" max="6" width="12.625" customWidth="1"/>
  </cols>
  <sheetData>
    <row r="1" spans="1:28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" customHeight="1">
      <c r="A3" s="1">
        <f>70000/212</f>
        <v>330.18867924528303</v>
      </c>
      <c r="B3" s="1"/>
      <c r="C3" s="2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" customHeight="1">
      <c r="A4" s="1"/>
      <c r="B4" s="1"/>
      <c r="C4" s="1" t="s">
        <v>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" customHeight="1">
      <c r="A5" s="1"/>
      <c r="B5" s="1"/>
      <c r="C5" s="2" t="s">
        <v>2</v>
      </c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" customHeight="1">
      <c r="A6" s="1"/>
      <c r="B6" s="1"/>
      <c r="C6" s="2" t="s">
        <v>3</v>
      </c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" customHeight="1">
      <c r="A7" s="1"/>
      <c r="B7" s="1"/>
      <c r="C7" s="2" t="s">
        <v>4</v>
      </c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" customHeight="1">
      <c r="A9" s="1"/>
      <c r="B9" s="3" t="s">
        <v>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" customHeight="1">
      <c r="A10" s="1"/>
      <c r="B10" s="4">
        <v>12</v>
      </c>
      <c r="C10" s="3"/>
      <c r="D10" s="3" t="s">
        <v>6</v>
      </c>
      <c r="E10" s="5" t="s">
        <v>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" customHeight="1">
      <c r="A11" s="6" t="s">
        <v>8</v>
      </c>
      <c r="B11" s="3" t="s">
        <v>9</v>
      </c>
      <c r="C11" s="7">
        <v>300</v>
      </c>
      <c r="D11" s="3"/>
      <c r="E11" s="8">
        <v>25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" customHeight="1">
      <c r="A12" s="6" t="s">
        <v>10</v>
      </c>
      <c r="B12" s="3" t="s">
        <v>11</v>
      </c>
      <c r="C12" s="7">
        <v>0</v>
      </c>
      <c r="D12" s="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" customHeight="1">
      <c r="A13" s="1">
        <f>20*245</f>
        <v>4900</v>
      </c>
      <c r="B13" s="9" t="s">
        <v>12</v>
      </c>
      <c r="C13" s="10">
        <v>50</v>
      </c>
      <c r="D13" s="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" customHeight="1">
      <c r="A14" s="1"/>
      <c r="B14" s="3" t="s">
        <v>13</v>
      </c>
      <c r="C14" s="11">
        <v>7</v>
      </c>
      <c r="D14" s="3" t="s">
        <v>14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" customHeight="1">
      <c r="A15" s="3" t="s">
        <v>15</v>
      </c>
      <c r="B15" s="3" t="s">
        <v>16</v>
      </c>
      <c r="C15" s="10">
        <v>25</v>
      </c>
      <c r="D15" s="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" customHeight="1">
      <c r="A16" s="3" t="s">
        <v>15</v>
      </c>
      <c r="B16" s="3" t="s">
        <v>17</v>
      </c>
      <c r="C16" s="10">
        <v>15</v>
      </c>
      <c r="D16" s="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" customHeight="1">
      <c r="A17" s="12" t="s">
        <v>18</v>
      </c>
      <c r="B17" s="3" t="s">
        <v>19</v>
      </c>
      <c r="C17" s="13">
        <v>200</v>
      </c>
      <c r="D17" s="3"/>
      <c r="E17" s="14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" customHeight="1">
      <c r="A18" s="3" t="s">
        <v>20</v>
      </c>
      <c r="B18" s="3" t="s">
        <v>21</v>
      </c>
      <c r="C18" s="15">
        <f>(C17*C14)/B10</f>
        <v>116.66666666666667</v>
      </c>
      <c r="D18" s="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" customHeight="1">
      <c r="A19" s="3" t="s">
        <v>22</v>
      </c>
      <c r="B19" s="3" t="s">
        <v>23</v>
      </c>
      <c r="C19" s="10">
        <v>15</v>
      </c>
      <c r="D19" s="57" t="s">
        <v>24</v>
      </c>
      <c r="E19" s="5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24.75" customHeight="1">
      <c r="A20" s="3" t="s">
        <v>25</v>
      </c>
      <c r="B20" s="3" t="s">
        <v>26</v>
      </c>
      <c r="C20" s="10">
        <v>100</v>
      </c>
      <c r="D20" s="58"/>
      <c r="E20" s="58"/>
      <c r="F20" s="1"/>
      <c r="G20" s="1"/>
      <c r="H20" s="1"/>
      <c r="I20" s="16" t="s">
        <v>27</v>
      </c>
      <c r="J20" s="17" t="s">
        <v>28</v>
      </c>
      <c r="K20" s="16" t="s">
        <v>27</v>
      </c>
      <c r="L20" s="17" t="s">
        <v>28</v>
      </c>
      <c r="M20" s="16" t="s">
        <v>27</v>
      </c>
      <c r="N20" s="17" t="s">
        <v>28</v>
      </c>
      <c r="O20" s="16" t="s">
        <v>27</v>
      </c>
      <c r="P20" s="17" t="s">
        <v>28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53.25" customHeight="1">
      <c r="A21" s="1"/>
      <c r="B21" s="18"/>
      <c r="C21" s="1"/>
      <c r="D21" s="19" t="s">
        <v>29</v>
      </c>
      <c r="E21" s="19" t="s">
        <v>30</v>
      </c>
      <c r="F21" s="19" t="s">
        <v>31</v>
      </c>
      <c r="G21" s="19" t="s">
        <v>32</v>
      </c>
      <c r="H21" s="19" t="s">
        <v>33</v>
      </c>
      <c r="I21" s="19" t="s">
        <v>34</v>
      </c>
      <c r="J21" s="19" t="s">
        <v>35</v>
      </c>
      <c r="K21" s="19" t="s">
        <v>36</v>
      </c>
      <c r="L21" s="19" t="s">
        <v>37</v>
      </c>
      <c r="M21" s="19" t="s">
        <v>38</v>
      </c>
      <c r="N21" s="19" t="s">
        <v>39</v>
      </c>
      <c r="O21" s="19" t="s">
        <v>40</v>
      </c>
      <c r="P21" s="19" t="s">
        <v>41</v>
      </c>
      <c r="Q21" s="19" t="s">
        <v>42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" customHeight="1">
      <c r="A22" s="1"/>
      <c r="B22" s="1"/>
      <c r="C22" s="20" t="s">
        <v>43</v>
      </c>
      <c r="D22" s="21">
        <f>C11*B10</f>
        <v>3600</v>
      </c>
      <c r="E22" s="22">
        <v>10</v>
      </c>
      <c r="F22" s="23">
        <v>10</v>
      </c>
      <c r="G22" s="24">
        <v>1</v>
      </c>
      <c r="H22" s="25">
        <f t="shared" ref="H22:H23" si="0">((F22*D22)/E22)/G22</f>
        <v>3600</v>
      </c>
      <c r="I22" s="26">
        <f t="shared" ref="I22:I23" si="1">H22*C$13</f>
        <v>180000</v>
      </c>
      <c r="J22" s="27">
        <f t="shared" ref="J22:J23" si="2">I22/B$10</f>
        <v>15000</v>
      </c>
      <c r="K22" s="27">
        <f>C$15*H22/F22</f>
        <v>9000</v>
      </c>
      <c r="L22" s="28">
        <f t="shared" ref="L22:L23" si="3">K22/B$10</f>
        <v>750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" customHeight="1">
      <c r="A23" s="1"/>
      <c r="B23" s="1"/>
      <c r="C23" s="20" t="s">
        <v>44</v>
      </c>
      <c r="D23" s="21">
        <f>B10*C12</f>
        <v>0</v>
      </c>
      <c r="E23" s="22">
        <v>20</v>
      </c>
      <c r="F23" s="23">
        <v>1</v>
      </c>
      <c r="G23" s="24">
        <v>1</v>
      </c>
      <c r="H23" s="25">
        <f t="shared" si="0"/>
        <v>0</v>
      </c>
      <c r="I23" s="26">
        <f t="shared" si="1"/>
        <v>0</v>
      </c>
      <c r="J23" s="27">
        <f t="shared" si="2"/>
        <v>0</v>
      </c>
      <c r="K23" s="27">
        <f>C$16*H23/F23</f>
        <v>0</v>
      </c>
      <c r="L23" s="28">
        <f t="shared" si="3"/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" customHeight="1">
      <c r="A24" s="1"/>
      <c r="B24" s="1"/>
      <c r="C24" s="1"/>
      <c r="D24" s="1"/>
      <c r="E24" s="59" t="s">
        <v>45</v>
      </c>
      <c r="F24" s="60"/>
      <c r="G24" s="61"/>
      <c r="H24" s="29">
        <f t="shared" ref="H24:L24" si="4">SUM(H22:H23)</f>
        <v>3600</v>
      </c>
      <c r="I24" s="30">
        <f t="shared" si="4"/>
        <v>180000</v>
      </c>
      <c r="J24" s="31">
        <f t="shared" si="4"/>
        <v>15000</v>
      </c>
      <c r="K24" s="27">
        <f t="shared" si="4"/>
        <v>9000</v>
      </c>
      <c r="L24" s="31">
        <f t="shared" si="4"/>
        <v>750</v>
      </c>
      <c r="M24" s="28">
        <f>C17*C14</f>
        <v>1400</v>
      </c>
      <c r="N24" s="32">
        <f>M24/B10</f>
        <v>116.66666666666667</v>
      </c>
      <c r="O24" s="28">
        <f>C20*C14</f>
        <v>700</v>
      </c>
      <c r="P24" s="32">
        <f>(O24/B10)+C19</f>
        <v>73.333333333333343</v>
      </c>
      <c r="Q24" s="33">
        <f>J24+L24+N24+P24</f>
        <v>15940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" customHeight="1">
      <c r="A25" s="1" t="s">
        <v>46</v>
      </c>
      <c r="B25" s="1"/>
      <c r="C25" s="1"/>
      <c r="D25" s="1" t="s">
        <v>47</v>
      </c>
      <c r="E25" s="1" t="s">
        <v>48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" customHeight="1">
      <c r="A26" s="1" t="s">
        <v>49</v>
      </c>
      <c r="B26" s="2"/>
      <c r="C26" s="1" t="s">
        <v>50</v>
      </c>
      <c r="D26" s="33">
        <f>(D22*B$10/E22)/G22</f>
        <v>4320</v>
      </c>
      <c r="E26" s="34">
        <f t="shared" ref="E26:E27" si="5">D26/9</f>
        <v>480</v>
      </c>
      <c r="F26" s="1"/>
      <c r="G26" s="35">
        <v>25</v>
      </c>
      <c r="H26" s="35">
        <v>20</v>
      </c>
      <c r="I26" s="35">
        <v>500</v>
      </c>
      <c r="J26" s="35">
        <v>100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" customHeight="1">
      <c r="A27" s="1"/>
      <c r="B27" s="2"/>
      <c r="C27" s="1" t="s">
        <v>51</v>
      </c>
      <c r="D27" s="33">
        <f>(B$10/E23)/G23</f>
        <v>0.6</v>
      </c>
      <c r="E27" s="34">
        <f t="shared" si="5"/>
        <v>6.6666666666666666E-2</v>
      </c>
      <c r="F27" s="1"/>
      <c r="G27" s="1" t="s">
        <v>52</v>
      </c>
      <c r="H27" s="1" t="s">
        <v>53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" customHeight="1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36" t="s">
        <v>55</v>
      </c>
      <c r="M28" s="37" t="s">
        <v>56</v>
      </c>
      <c r="N28" s="36" t="s">
        <v>57</v>
      </c>
      <c r="O28" s="36"/>
      <c r="P28" s="36"/>
      <c r="Q28" s="36"/>
      <c r="R28" s="2" t="s">
        <v>58</v>
      </c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37">
        <f>E22</f>
        <v>10</v>
      </c>
      <c r="M29" s="37">
        <f>C11</f>
        <v>300</v>
      </c>
      <c r="N29" s="36">
        <f>E11</f>
        <v>25</v>
      </c>
      <c r="O29" s="36"/>
      <c r="P29" s="36" t="s">
        <v>59</v>
      </c>
      <c r="Q29" s="36">
        <f>M29*N29*L29</f>
        <v>75000</v>
      </c>
      <c r="R29" s="2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>
      <c r="A30" s="38" t="s">
        <v>60</v>
      </c>
      <c r="B30" s="1"/>
      <c r="C30" s="1"/>
      <c r="D30" s="1">
        <v>2000</v>
      </c>
      <c r="E30" s="39">
        <v>100</v>
      </c>
      <c r="F30" s="40" t="s">
        <v>61</v>
      </c>
      <c r="G30" s="1"/>
      <c r="H30" s="1"/>
      <c r="I30" s="1"/>
      <c r="J30" s="1"/>
      <c r="K30" s="1"/>
      <c r="L30" s="36"/>
      <c r="M30" s="36"/>
      <c r="N30" s="36"/>
      <c r="O30" s="36"/>
      <c r="P30" s="36"/>
      <c r="Q30" s="36"/>
      <c r="R30" s="2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2"/>
      <c r="M31" s="2"/>
      <c r="N31" s="2"/>
      <c r="O31" s="36" t="s">
        <v>62</v>
      </c>
      <c r="P31" s="2"/>
      <c r="Q31" s="36">
        <f>Q29-Q24</f>
        <v>59060</v>
      </c>
      <c r="R31" s="41">
        <f>Q31/Q29*100</f>
        <v>78.74666666666667</v>
      </c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>
      <c r="A32" s="1"/>
      <c r="B32" s="1"/>
      <c r="C32" s="3" t="s">
        <v>63</v>
      </c>
      <c r="D32" s="8">
        <v>4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37" t="s">
        <v>61</v>
      </c>
      <c r="M33" s="42" t="s">
        <v>64</v>
      </c>
      <c r="N33" s="42" t="s">
        <v>57</v>
      </c>
      <c r="O33" s="36"/>
      <c r="P33" s="36"/>
      <c r="Q33" s="36"/>
      <c r="R33" s="2" t="s">
        <v>58</v>
      </c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37">
        <f>E30</f>
        <v>100</v>
      </c>
      <c r="M34" s="37">
        <v>20</v>
      </c>
      <c r="N34" s="37">
        <v>60</v>
      </c>
      <c r="O34" s="37"/>
      <c r="P34" s="36"/>
      <c r="Q34" s="36">
        <f>L34*M34*N34</f>
        <v>120000</v>
      </c>
      <c r="R34" s="2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36"/>
      <c r="M35" s="36"/>
      <c r="N35" s="36"/>
      <c r="O35" s="36"/>
      <c r="P35" s="36"/>
      <c r="Q35" s="36"/>
      <c r="R35" s="2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>
      <c r="A36" s="43"/>
      <c r="B36" s="1"/>
      <c r="C36" s="1"/>
      <c r="D36" s="1"/>
      <c r="E36" s="1"/>
      <c r="F36" s="1"/>
      <c r="G36" s="1"/>
      <c r="H36" s="1"/>
      <c r="I36" s="1"/>
      <c r="J36" s="1"/>
      <c r="K36" s="1"/>
      <c r="L36" s="37" t="s">
        <v>61</v>
      </c>
      <c r="M36" s="42" t="s">
        <v>64</v>
      </c>
      <c r="N36" s="42" t="s">
        <v>65</v>
      </c>
      <c r="O36" s="36"/>
      <c r="P36" s="36"/>
      <c r="Q36" s="36"/>
      <c r="R36" s="2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37">
        <v>100</v>
      </c>
      <c r="M37" s="37">
        <v>20</v>
      </c>
      <c r="N37" s="37">
        <v>50</v>
      </c>
      <c r="O37" s="36"/>
      <c r="P37" s="36"/>
      <c r="Q37" s="36">
        <f>L37*M37*N37</f>
        <v>100000</v>
      </c>
      <c r="R37" s="41">
        <f>Q37/Q34*100</f>
        <v>83.333333333333343</v>
      </c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36"/>
      <c r="M38" s="36"/>
      <c r="N38" s="36"/>
      <c r="O38" s="36"/>
      <c r="P38" s="36"/>
      <c r="Q38" s="36"/>
      <c r="R38" s="2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36"/>
      <c r="M39" s="36"/>
      <c r="N39" s="36"/>
      <c r="O39" s="36" t="s">
        <v>66</v>
      </c>
      <c r="P39" s="36"/>
      <c r="Q39" s="36">
        <f>Q34-Q37</f>
        <v>20000</v>
      </c>
      <c r="R39" s="41">
        <f>Q39/Q34*100</f>
        <v>16.666666666666664</v>
      </c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>
      <c r="A41" s="43" t="s">
        <v>67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44" t="s">
        <v>68</v>
      </c>
      <c r="M41" s="45" t="s">
        <v>69</v>
      </c>
      <c r="N41" s="45" t="s">
        <v>70</v>
      </c>
      <c r="O41" s="36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2"/>
      <c r="M42" s="2"/>
      <c r="N42" s="2"/>
      <c r="O42" s="2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46">
        <v>600</v>
      </c>
      <c r="M43" s="2">
        <f>L43*30%</f>
        <v>180</v>
      </c>
      <c r="N43" s="2">
        <f>L43+M43</f>
        <v>780</v>
      </c>
      <c r="O43" s="2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2"/>
      <c r="M44" s="2"/>
      <c r="N44" s="2"/>
      <c r="O44" s="2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/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D19:E20"/>
    <mergeCell ref="E24:G24"/>
  </mergeCells>
  <hyperlinks>
    <hyperlink ref="A17" r:id="rId1"/>
  </hyperlinks>
  <pageMargins left="0.7" right="0.7" top="0.75" bottom="0.75" header="0" footer="0"/>
  <pageSetup orientation="landscape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B1023"/>
  <sheetViews>
    <sheetView tabSelected="1" workbookViewId="0">
      <selection activeCell="H19" sqref="H19"/>
    </sheetView>
  </sheetViews>
  <sheetFormatPr baseColWidth="10" defaultColWidth="12.625" defaultRowHeight="15" customHeight="1"/>
  <cols>
    <col min="1" max="1" width="28.375" customWidth="1"/>
    <col min="2" max="2" width="27.75" customWidth="1"/>
    <col min="3" max="3" width="22.875" customWidth="1"/>
    <col min="4" max="4" width="13" customWidth="1"/>
    <col min="5" max="5" width="17.125" customWidth="1"/>
    <col min="6" max="6" width="12.625" customWidth="1"/>
  </cols>
  <sheetData>
    <row r="1" spans="1:28" ht="14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>
      <c r="A2" s="1"/>
      <c r="B2" s="1"/>
      <c r="C2" s="1"/>
      <c r="D2" s="1"/>
      <c r="E2" s="1"/>
      <c r="F2" s="94" t="s">
        <v>98</v>
      </c>
      <c r="G2" s="9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31.5" customHeight="1">
      <c r="A3" s="1">
        <f>70000/212</f>
        <v>330.18867924528303</v>
      </c>
      <c r="B3" s="1"/>
      <c r="C3" s="92"/>
      <c r="D3" s="92"/>
      <c r="E3" s="1"/>
      <c r="F3" s="57" t="s">
        <v>71</v>
      </c>
      <c r="G3" s="58"/>
      <c r="H3" s="48">
        <v>212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4.25">
      <c r="A4" s="1"/>
      <c r="B4" s="1"/>
      <c r="C4" s="92"/>
      <c r="D4" s="92"/>
      <c r="E4" s="1"/>
      <c r="F4" s="57" t="s">
        <v>72</v>
      </c>
      <c r="G4" s="58"/>
      <c r="H4" s="49">
        <v>10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4.25">
      <c r="A5" s="1"/>
      <c r="B5" s="1"/>
      <c r="C5" s="92"/>
      <c r="D5" s="92"/>
      <c r="E5" s="1"/>
      <c r="F5" s="93" t="s">
        <v>99</v>
      </c>
      <c r="G5" s="58"/>
      <c r="H5" s="49">
        <v>10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4.25">
      <c r="A6" s="1"/>
      <c r="B6" s="1"/>
      <c r="C6" s="92"/>
      <c r="D6" s="92"/>
      <c r="E6" s="1"/>
      <c r="F6" s="93" t="s">
        <v>100</v>
      </c>
      <c r="G6" s="58"/>
      <c r="H6" s="50">
        <v>320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4.25">
      <c r="A7" s="1"/>
      <c r="B7" s="1"/>
      <c r="C7" s="92"/>
      <c r="D7" s="92"/>
      <c r="E7" s="1"/>
      <c r="F7" s="57" t="s">
        <v>73</v>
      </c>
      <c r="G7" s="58"/>
      <c r="H7" s="50">
        <v>245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4.25">
      <c r="A8" s="1"/>
      <c r="B8" s="6"/>
      <c r="C8" s="51"/>
      <c r="D8" s="1"/>
      <c r="E8" s="6" t="s">
        <v>74</v>
      </c>
      <c r="F8" s="57" t="s">
        <v>75</v>
      </c>
      <c r="G8" s="58"/>
      <c r="H8" s="50">
        <v>175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27.75" customHeight="1">
      <c r="A9" s="1"/>
      <c r="B9" s="6"/>
      <c r="C9" s="51"/>
      <c r="D9" s="51"/>
      <c r="E9" s="51"/>
      <c r="F9" s="57" t="s">
        <v>76</v>
      </c>
      <c r="G9" s="58"/>
      <c r="H9" s="50">
        <v>15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7.25" customHeight="1">
      <c r="A10" s="1"/>
      <c r="B10" s="6"/>
      <c r="C10" s="51"/>
      <c r="D10" s="51"/>
      <c r="E10" s="51"/>
      <c r="F10" s="62" t="s">
        <v>77</v>
      </c>
      <c r="G10" s="58"/>
      <c r="H10" s="52">
        <v>0.75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24.75" customHeight="1">
      <c r="A11" s="1"/>
      <c r="B11" s="6"/>
      <c r="C11" s="51"/>
      <c r="D11" s="51"/>
      <c r="E11" s="51"/>
      <c r="F11" s="63" t="s">
        <v>78</v>
      </c>
      <c r="G11" s="58"/>
      <c r="H11" s="53">
        <f>H8/(H4*H14)</f>
        <v>23.333333333333332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4.25">
      <c r="A12" s="1"/>
      <c r="B12" s="6"/>
      <c r="C12" s="51"/>
      <c r="D12" s="51"/>
      <c r="E12" s="51"/>
      <c r="F12" s="64" t="s">
        <v>79</v>
      </c>
      <c r="G12" s="58"/>
      <c r="H12" s="53">
        <f>H9*H10+H11*(1-H10)</f>
        <v>17.083333333333332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4.25">
      <c r="A13" s="1"/>
      <c r="B13" s="6"/>
      <c r="C13" s="51"/>
      <c r="D13" s="51"/>
      <c r="E13" s="51"/>
      <c r="F13" s="54" t="s">
        <v>80</v>
      </c>
      <c r="G13" s="1"/>
      <c r="H13" s="55">
        <v>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4.25">
      <c r="A14" s="1"/>
      <c r="B14" s="6"/>
      <c r="C14" s="51"/>
      <c r="D14" s="51"/>
      <c r="E14" s="51"/>
      <c r="F14" s="54" t="s">
        <v>81</v>
      </c>
      <c r="G14" s="1"/>
      <c r="H14" s="52">
        <v>0.75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thickBot="1">
      <c r="A15" s="1"/>
      <c r="B15" s="6"/>
      <c r="C15" s="51"/>
      <c r="D15" s="51"/>
      <c r="E15" s="51"/>
      <c r="F15" s="54"/>
      <c r="G15" s="1"/>
      <c r="H15" s="5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4.25">
      <c r="A16" s="74"/>
      <c r="B16" s="91" t="s">
        <v>97</v>
      </c>
      <c r="C16" s="75"/>
      <c r="D16" s="75"/>
      <c r="E16" s="75"/>
      <c r="F16" s="7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4.25">
      <c r="A17" s="77" t="s">
        <v>82</v>
      </c>
      <c r="B17" s="66" t="s">
        <v>83</v>
      </c>
      <c r="C17" s="67">
        <v>1</v>
      </c>
      <c r="D17" s="67">
        <v>0.75</v>
      </c>
      <c r="E17" s="67">
        <v>0.5</v>
      </c>
      <c r="F17" s="78">
        <v>0.25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25.5">
      <c r="A18" s="79" t="s">
        <v>84</v>
      </c>
      <c r="B18" s="68"/>
      <c r="C18" s="69"/>
      <c r="D18" s="69"/>
      <c r="E18" s="69"/>
      <c r="F18" s="80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4.25">
      <c r="A19" s="81"/>
      <c r="B19" s="68" t="s">
        <v>85</v>
      </c>
      <c r="C19" s="70">
        <f>C17*$H3*$H4*$H5*$H14</f>
        <v>15900</v>
      </c>
      <c r="D19" s="70">
        <f>D17*$H3*$H4*$H5*$H14</f>
        <v>11925</v>
      </c>
      <c r="E19" s="70">
        <f>E17*$H3*$H4*$H5*$H14</f>
        <v>7950</v>
      </c>
      <c r="F19" s="82">
        <f>F17*$H3*$H4*$H5*$H14</f>
        <v>3975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4.25">
      <c r="A20" s="81"/>
      <c r="B20" s="68" t="s">
        <v>86</v>
      </c>
      <c r="C20" s="70">
        <f>C$19*$H6</f>
        <v>5088000</v>
      </c>
      <c r="D20" s="70">
        <f>D$19*$H6</f>
        <v>3816000</v>
      </c>
      <c r="E20" s="70">
        <f>E$19*$H6</f>
        <v>2544000</v>
      </c>
      <c r="F20" s="82">
        <f>F$19*$H6</f>
        <v>1272000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>
      <c r="A21" s="81"/>
      <c r="B21" s="68" t="s">
        <v>87</v>
      </c>
      <c r="C21" s="71">
        <f t="shared" ref="C21:F21" si="0">$H12*C19</f>
        <v>271625</v>
      </c>
      <c r="D21" s="71">
        <f t="shared" si="0"/>
        <v>203718.75</v>
      </c>
      <c r="E21" s="71">
        <f t="shared" si="0"/>
        <v>135812.5</v>
      </c>
      <c r="F21" s="83">
        <f t="shared" si="0"/>
        <v>67906.25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4.25">
      <c r="A22" s="81"/>
      <c r="B22" s="68" t="s">
        <v>88</v>
      </c>
      <c r="C22" s="70">
        <f>C$19*$H7</f>
        <v>3895500</v>
      </c>
      <c r="D22" s="70">
        <f>D$19*$H7</f>
        <v>2921625</v>
      </c>
      <c r="E22" s="70">
        <f>E$19*$H7</f>
        <v>1947750</v>
      </c>
      <c r="F22" s="82">
        <f>F$19*$H7</f>
        <v>973875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4.25">
      <c r="A23" s="81"/>
      <c r="B23" s="68" t="s">
        <v>89</v>
      </c>
      <c r="C23" s="72">
        <f t="shared" ref="C23:F23" si="1">C$19*$H13</f>
        <v>31800</v>
      </c>
      <c r="D23" s="72">
        <f t="shared" si="1"/>
        <v>23850</v>
      </c>
      <c r="E23" s="72">
        <f t="shared" si="1"/>
        <v>15900</v>
      </c>
      <c r="F23" s="84">
        <f t="shared" si="1"/>
        <v>7950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4.25">
      <c r="A24" s="81"/>
      <c r="B24" s="68" t="s">
        <v>90</v>
      </c>
      <c r="C24" s="73">
        <v>0</v>
      </c>
      <c r="D24" s="73">
        <v>0</v>
      </c>
      <c r="E24" s="73">
        <v>0</v>
      </c>
      <c r="F24" s="85"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4.25">
      <c r="A25" s="81"/>
      <c r="B25" s="68" t="s">
        <v>91</v>
      </c>
      <c r="C25" s="70">
        <f t="shared" ref="C25:F25" si="2">C20-SUM(C21:C24)</f>
        <v>889075</v>
      </c>
      <c r="D25" s="70">
        <f t="shared" si="2"/>
        <v>666806.25</v>
      </c>
      <c r="E25" s="70">
        <f t="shared" si="2"/>
        <v>444537.5</v>
      </c>
      <c r="F25" s="82">
        <f t="shared" si="2"/>
        <v>222268.75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4.25">
      <c r="A26" s="81"/>
      <c r="B26" s="68" t="s">
        <v>92</v>
      </c>
      <c r="C26" s="65"/>
      <c r="D26" s="65"/>
      <c r="E26" s="65"/>
      <c r="F26" s="8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thickBot="1">
      <c r="A27" s="87"/>
      <c r="B27" s="88"/>
      <c r="C27" s="89"/>
      <c r="D27" s="89"/>
      <c r="E27" s="89"/>
      <c r="F27" s="9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4.25">
      <c r="A28" s="1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4.25">
      <c r="A29" s="1"/>
      <c r="B29" s="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4.25">
      <c r="A30" s="1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4.25">
      <c r="A31" s="1"/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4.25">
      <c r="A32" s="1"/>
      <c r="B32" s="3" t="s">
        <v>5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63.75">
      <c r="A33" s="1"/>
      <c r="B33" s="4">
        <v>12</v>
      </c>
      <c r="C33" s="3"/>
      <c r="D33" s="3" t="s">
        <v>6</v>
      </c>
      <c r="E33" s="5" t="s">
        <v>7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4.25">
      <c r="A34" s="6" t="s">
        <v>93</v>
      </c>
      <c r="B34" s="3" t="s">
        <v>9</v>
      </c>
      <c r="C34" s="7">
        <v>300</v>
      </c>
      <c r="D34" s="3"/>
      <c r="E34" s="8">
        <v>25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4.25">
      <c r="A35" s="6" t="s">
        <v>94</v>
      </c>
      <c r="B35" s="3" t="s">
        <v>11</v>
      </c>
      <c r="C35" s="7">
        <v>0</v>
      </c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4.25">
      <c r="A36" s="1">
        <f>20*245</f>
        <v>4900</v>
      </c>
      <c r="B36" s="9" t="s">
        <v>12</v>
      </c>
      <c r="C36" s="10">
        <v>50</v>
      </c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38.25">
      <c r="A37" s="1"/>
      <c r="B37" s="3" t="s">
        <v>13</v>
      </c>
      <c r="C37" s="11">
        <v>7</v>
      </c>
      <c r="D37" s="3" t="s">
        <v>14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25.5">
      <c r="A38" s="47" t="s">
        <v>95</v>
      </c>
      <c r="B38" s="3" t="s">
        <v>16</v>
      </c>
      <c r="C38" s="10">
        <v>25</v>
      </c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25.5">
      <c r="A39" s="3" t="s">
        <v>15</v>
      </c>
      <c r="B39" s="3" t="s">
        <v>17</v>
      </c>
      <c r="C39" s="10">
        <v>15</v>
      </c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4.25">
      <c r="A40" s="56" t="s">
        <v>96</v>
      </c>
      <c r="B40" s="3" t="s">
        <v>19</v>
      </c>
      <c r="C40" s="13">
        <v>200</v>
      </c>
      <c r="D40" s="3"/>
      <c r="E40" s="14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4.25">
      <c r="A41" s="3" t="s">
        <v>20</v>
      </c>
      <c r="B41" s="3" t="s">
        <v>21</v>
      </c>
      <c r="C41" s="15">
        <f>(C40*C37)/B33</f>
        <v>116.66666666666667</v>
      </c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4.25">
      <c r="A42" s="3" t="s">
        <v>22</v>
      </c>
      <c r="B42" s="3" t="s">
        <v>23</v>
      </c>
      <c r="C42" s="10">
        <v>15</v>
      </c>
      <c r="D42" s="57" t="s">
        <v>24</v>
      </c>
      <c r="E42" s="58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4.25">
      <c r="A43" s="3" t="s">
        <v>25</v>
      </c>
      <c r="B43" s="3" t="s">
        <v>26</v>
      </c>
      <c r="C43" s="10">
        <v>100</v>
      </c>
      <c r="D43" s="58"/>
      <c r="E43" s="58"/>
      <c r="F43" s="1"/>
      <c r="G43" s="1"/>
      <c r="H43" s="1"/>
      <c r="I43" s="16" t="s">
        <v>27</v>
      </c>
      <c r="J43" s="17" t="s">
        <v>28</v>
      </c>
      <c r="K43" s="16" t="s">
        <v>27</v>
      </c>
      <c r="L43" s="17" t="s">
        <v>28</v>
      </c>
      <c r="M43" s="16" t="s">
        <v>27</v>
      </c>
      <c r="N43" s="17" t="s">
        <v>28</v>
      </c>
      <c r="O43" s="16" t="s">
        <v>27</v>
      </c>
      <c r="P43" s="17" t="s">
        <v>28</v>
      </c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51">
      <c r="A44" s="1"/>
      <c r="B44" s="18"/>
      <c r="C44" s="1"/>
      <c r="D44" s="19" t="s">
        <v>29</v>
      </c>
      <c r="E44" s="19" t="s">
        <v>30</v>
      </c>
      <c r="F44" s="19" t="s">
        <v>31</v>
      </c>
      <c r="G44" s="19" t="s">
        <v>32</v>
      </c>
      <c r="H44" s="19" t="s">
        <v>33</v>
      </c>
      <c r="I44" s="19" t="s">
        <v>34</v>
      </c>
      <c r="J44" s="19" t="s">
        <v>35</v>
      </c>
      <c r="K44" s="19" t="s">
        <v>36</v>
      </c>
      <c r="L44" s="19" t="s">
        <v>37</v>
      </c>
      <c r="M44" s="19" t="s">
        <v>38</v>
      </c>
      <c r="N44" s="19" t="s">
        <v>39</v>
      </c>
      <c r="O44" s="19" t="s">
        <v>40</v>
      </c>
      <c r="P44" s="19" t="s">
        <v>41</v>
      </c>
      <c r="Q44" s="19" t="s">
        <v>42</v>
      </c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4.25">
      <c r="A45" s="1"/>
      <c r="B45" s="1"/>
      <c r="C45" s="20" t="s">
        <v>43</v>
      </c>
      <c r="D45" s="21">
        <f>C34*B33</f>
        <v>3600</v>
      </c>
      <c r="E45" s="22">
        <v>10</v>
      </c>
      <c r="F45" s="23">
        <v>10</v>
      </c>
      <c r="G45" s="24">
        <v>1</v>
      </c>
      <c r="H45" s="25">
        <f t="shared" ref="H45:H46" si="3">((F45*D45)/E45)/G45</f>
        <v>3600</v>
      </c>
      <c r="I45" s="26">
        <f t="shared" ref="I45:I46" si="4">H45*C$36</f>
        <v>180000</v>
      </c>
      <c r="J45" s="27">
        <f t="shared" ref="J45:J46" si="5">I45/B$33</f>
        <v>15000</v>
      </c>
      <c r="K45" s="27">
        <f>C$38*H45/F45</f>
        <v>9000</v>
      </c>
      <c r="L45" s="28">
        <f t="shared" ref="L45:L46" si="6">K45/B$33</f>
        <v>750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4.25">
      <c r="A46" s="1"/>
      <c r="B46" s="1"/>
      <c r="C46" s="20" t="s">
        <v>44</v>
      </c>
      <c r="D46" s="21">
        <f>B33*C35</f>
        <v>0</v>
      </c>
      <c r="E46" s="22">
        <v>20</v>
      </c>
      <c r="F46" s="23">
        <v>1</v>
      </c>
      <c r="G46" s="24">
        <v>1</v>
      </c>
      <c r="H46" s="25">
        <f t="shared" si="3"/>
        <v>0</v>
      </c>
      <c r="I46" s="26">
        <f t="shared" si="4"/>
        <v>0</v>
      </c>
      <c r="J46" s="27">
        <f t="shared" si="5"/>
        <v>0</v>
      </c>
      <c r="K46" s="27">
        <f>C$39*H46/F46</f>
        <v>0</v>
      </c>
      <c r="L46" s="28">
        <f t="shared" si="6"/>
        <v>0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4.25">
      <c r="A47" s="1"/>
      <c r="B47" s="1"/>
      <c r="C47" s="1"/>
      <c r="D47" s="1"/>
      <c r="E47" s="59" t="s">
        <v>45</v>
      </c>
      <c r="F47" s="60"/>
      <c r="G47" s="61"/>
      <c r="H47" s="29">
        <f t="shared" ref="H47:L47" si="7">SUM(H45:H46)</f>
        <v>3600</v>
      </c>
      <c r="I47" s="30">
        <f t="shared" si="7"/>
        <v>180000</v>
      </c>
      <c r="J47" s="31">
        <f t="shared" si="7"/>
        <v>15000</v>
      </c>
      <c r="K47" s="27">
        <f t="shared" si="7"/>
        <v>9000</v>
      </c>
      <c r="L47" s="31">
        <f t="shared" si="7"/>
        <v>750</v>
      </c>
      <c r="M47" s="28">
        <f>C40*C37</f>
        <v>1400</v>
      </c>
      <c r="N47" s="32">
        <f>M47/B33</f>
        <v>116.66666666666667</v>
      </c>
      <c r="O47" s="28">
        <f>C43*C37</f>
        <v>700</v>
      </c>
      <c r="P47" s="32">
        <f>(O47/B33)+C42</f>
        <v>73.333333333333343</v>
      </c>
      <c r="Q47" s="33">
        <f>J47+L47+N47+P47</f>
        <v>15940</v>
      </c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4.25">
      <c r="A48" s="1" t="s">
        <v>46</v>
      </c>
      <c r="B48" s="1"/>
      <c r="C48" s="1"/>
      <c r="D48" s="1" t="s">
        <v>47</v>
      </c>
      <c r="E48" s="1" t="s">
        <v>48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4.25">
      <c r="A49" s="1" t="s">
        <v>49</v>
      </c>
      <c r="B49" s="2"/>
      <c r="C49" s="1" t="s">
        <v>50</v>
      </c>
      <c r="D49" s="33">
        <f>(D45*B$33/E45)/G45</f>
        <v>4320</v>
      </c>
      <c r="E49" s="34">
        <f t="shared" ref="E49:E50" si="8">D49/9</f>
        <v>480</v>
      </c>
      <c r="F49" s="1"/>
      <c r="G49" s="35">
        <v>25</v>
      </c>
      <c r="H49" s="35">
        <v>20</v>
      </c>
      <c r="I49" s="35">
        <v>500</v>
      </c>
      <c r="J49" s="35">
        <v>100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4.25">
      <c r="A50" s="1"/>
      <c r="B50" s="2"/>
      <c r="C50" s="1" t="s">
        <v>51</v>
      </c>
      <c r="D50" s="33">
        <f>(B$33/E46)/G46</f>
        <v>0.6</v>
      </c>
      <c r="E50" s="34">
        <f t="shared" si="8"/>
        <v>6.6666666666666666E-2</v>
      </c>
      <c r="F50" s="1"/>
      <c r="G50" s="1" t="s">
        <v>52</v>
      </c>
      <c r="H50" s="1" t="s">
        <v>53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4.25">
      <c r="A51" s="1" t="s">
        <v>54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36" t="s">
        <v>55</v>
      </c>
      <c r="M51" s="37" t="s">
        <v>56</v>
      </c>
      <c r="N51" s="36" t="s">
        <v>57</v>
      </c>
      <c r="O51" s="36"/>
      <c r="P51" s="36"/>
      <c r="Q51" s="36"/>
      <c r="R51" s="2" t="s">
        <v>58</v>
      </c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4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37">
        <f>E45</f>
        <v>10</v>
      </c>
      <c r="M52" s="37">
        <f>C34</f>
        <v>300</v>
      </c>
      <c r="N52" s="36">
        <f>E34</f>
        <v>25</v>
      </c>
      <c r="O52" s="36"/>
      <c r="P52" s="36" t="s">
        <v>59</v>
      </c>
      <c r="Q52" s="36">
        <f>M52*N52*L52</f>
        <v>75000</v>
      </c>
      <c r="R52" s="2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4.25">
      <c r="A53" s="38" t="s">
        <v>60</v>
      </c>
      <c r="B53" s="1"/>
      <c r="C53" s="1"/>
      <c r="D53" s="1">
        <v>2000</v>
      </c>
      <c r="E53" s="39">
        <v>100</v>
      </c>
      <c r="F53" s="40" t="s">
        <v>61</v>
      </c>
      <c r="G53" s="1"/>
      <c r="H53" s="1"/>
      <c r="I53" s="1"/>
      <c r="J53" s="1"/>
      <c r="K53" s="1"/>
      <c r="L53" s="36"/>
      <c r="M53" s="36"/>
      <c r="N53" s="36"/>
      <c r="O53" s="36"/>
      <c r="P53" s="36"/>
      <c r="Q53" s="36"/>
      <c r="R53" s="2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4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2"/>
      <c r="M54" s="2"/>
      <c r="N54" s="2"/>
      <c r="O54" s="36" t="s">
        <v>62</v>
      </c>
      <c r="P54" s="2"/>
      <c r="Q54" s="36">
        <f>Q52-Q47</f>
        <v>59060</v>
      </c>
      <c r="R54" s="41">
        <f>Q54/Q52*100</f>
        <v>78.74666666666667</v>
      </c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25.5">
      <c r="A55" s="1"/>
      <c r="B55" s="1"/>
      <c r="C55" s="3" t="s">
        <v>63</v>
      </c>
      <c r="D55" s="8">
        <v>4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4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37" t="s">
        <v>61</v>
      </c>
      <c r="M56" s="42" t="s">
        <v>64</v>
      </c>
      <c r="N56" s="42" t="s">
        <v>57</v>
      </c>
      <c r="O56" s="36"/>
      <c r="P56" s="36"/>
      <c r="Q56" s="36"/>
      <c r="R56" s="2" t="s">
        <v>58</v>
      </c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4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37">
        <f>E53</f>
        <v>100</v>
      </c>
      <c r="M57" s="37">
        <v>20</v>
      </c>
      <c r="N57" s="37">
        <v>60</v>
      </c>
      <c r="O57" s="37"/>
      <c r="P57" s="36"/>
      <c r="Q57" s="36">
        <f>L57*M57*N57</f>
        <v>120000</v>
      </c>
      <c r="R57" s="2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4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36"/>
      <c r="M58" s="36"/>
      <c r="N58" s="36"/>
      <c r="O58" s="36"/>
      <c r="P58" s="36"/>
      <c r="Q58" s="36"/>
      <c r="R58" s="2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4.25">
      <c r="A59" s="43"/>
      <c r="B59" s="1"/>
      <c r="C59" s="1"/>
      <c r="D59" s="1"/>
      <c r="E59" s="1"/>
      <c r="F59" s="1"/>
      <c r="G59" s="1"/>
      <c r="H59" s="1"/>
      <c r="I59" s="1"/>
      <c r="J59" s="1"/>
      <c r="K59" s="1"/>
      <c r="L59" s="37" t="s">
        <v>61</v>
      </c>
      <c r="M59" s="42" t="s">
        <v>64</v>
      </c>
      <c r="N59" s="42" t="s">
        <v>65</v>
      </c>
      <c r="O59" s="36"/>
      <c r="P59" s="36"/>
      <c r="Q59" s="36"/>
      <c r="R59" s="2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4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37">
        <v>100</v>
      </c>
      <c r="M60" s="37">
        <v>20</v>
      </c>
      <c r="N60" s="37">
        <v>50</v>
      </c>
      <c r="O60" s="36"/>
      <c r="P60" s="36"/>
      <c r="Q60" s="36">
        <f>L60*M60*N60</f>
        <v>100000</v>
      </c>
      <c r="R60" s="41">
        <f>Q60/Q57*100</f>
        <v>83.333333333333343</v>
      </c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4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36"/>
      <c r="M61" s="36"/>
      <c r="N61" s="36"/>
      <c r="O61" s="36"/>
      <c r="P61" s="36"/>
      <c r="Q61" s="36"/>
      <c r="R61" s="2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4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36"/>
      <c r="M62" s="36"/>
      <c r="N62" s="36"/>
      <c r="O62" s="36" t="s">
        <v>66</v>
      </c>
      <c r="P62" s="36"/>
      <c r="Q62" s="36">
        <f>Q57-Q60</f>
        <v>20000</v>
      </c>
      <c r="R62" s="41">
        <f>Q62/Q57*100</f>
        <v>16.666666666666664</v>
      </c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4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33.75">
      <c r="A64" s="43" t="s">
        <v>67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44" t="s">
        <v>68</v>
      </c>
      <c r="M64" s="45" t="s">
        <v>69</v>
      </c>
      <c r="N64" s="45" t="s">
        <v>70</v>
      </c>
      <c r="O64" s="36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4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  <c r="M65" s="2"/>
      <c r="N65" s="2"/>
      <c r="O65" s="2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4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46">
        <v>600</v>
      </c>
      <c r="M66" s="2">
        <f>L66*30%</f>
        <v>180</v>
      </c>
      <c r="N66" s="2">
        <f>L66+M66</f>
        <v>780</v>
      </c>
      <c r="O66" s="2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2"/>
      <c r="M67" s="2"/>
      <c r="N67" s="2"/>
      <c r="O67" s="2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/>
    <row r="268" spans="1:28" ht="15.75" customHeight="1"/>
    <row r="269" spans="1:28" ht="15.75" customHeight="1"/>
    <row r="270" spans="1:28" ht="15.75" customHeight="1"/>
    <row r="271" spans="1:28" ht="15.75" customHeight="1"/>
    <row r="272" spans="1:28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</sheetData>
  <mergeCells count="13">
    <mergeCell ref="F11:G11"/>
    <mergeCell ref="D42:E43"/>
    <mergeCell ref="E47:G47"/>
    <mergeCell ref="F2:G2"/>
    <mergeCell ref="F3:G3"/>
    <mergeCell ref="F4:G4"/>
    <mergeCell ref="F5:G5"/>
    <mergeCell ref="F6:G6"/>
    <mergeCell ref="F12:G12"/>
    <mergeCell ref="F7:G7"/>
    <mergeCell ref="F8:G8"/>
    <mergeCell ref="F9:G9"/>
    <mergeCell ref="F10:G10"/>
  </mergeCells>
  <hyperlinks>
    <hyperlink ref="A40" r:id="rId1"/>
  </hyperlinks>
  <pageMargins left="0.7" right="0.7" top="0.75" bottom="0.75" header="0" footer="0"/>
  <pageSetup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Tarifs formation</vt:lpstr>
      <vt:lpstr>prev ca formation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Utilisateur Windows</cp:lastModifiedBy>
  <dcterms:created xsi:type="dcterms:W3CDTF">2021-10-03T10:52:18Z</dcterms:created>
  <dcterms:modified xsi:type="dcterms:W3CDTF">2021-10-03T10:52:18Z</dcterms:modified>
</cp:coreProperties>
</file>