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13-Khépri Santé\EONA RV 20_05-2021\Envoi doc Laurent\"/>
    </mc:Choice>
  </mc:AlternateContent>
  <bookViews>
    <workbookView xWindow="-105" yWindow="-105" windowWidth="23250" windowHeight="12570" tabRatio="777" activeTab="6"/>
  </bookViews>
  <sheets>
    <sheet name="INDEX" sheetId="18" r:id="rId1"/>
    <sheet name="TdF Equilibré" sheetId="15" r:id="rId2"/>
    <sheet name="TdF Besoins" sheetId="20" r:id="rId3"/>
    <sheet name="Résultat par entité" sheetId="2" r:id="rId4"/>
    <sheet name="CA estimé 2021" sheetId="19" r:id="rId5"/>
    <sheet name="BM 1 Co-working" sheetId="11" r:id="rId6"/>
    <sheet name="BM 2 Franchise" sheetId="9" r:id="rId7"/>
    <sheet name="BM 3 Formation" sheetId="12" r:id="rId8"/>
    <sheet name="BM 4 QVT" sheetId="13" r:id="rId9"/>
    <sheet name="CHARGES FIXES" sheetId="17" r:id="rId10"/>
    <sheet name="MKT" sheetId="16" r:id="rId11"/>
    <sheet name="Loyers et TF" sheetId="6" r:id="rId12"/>
    <sheet name="Tréso &amp; Emprunts" sheetId="7" r:id="rId13"/>
    <sheet name="Cptes Intercos" sheetId="5" r:id="rId1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5" l="1"/>
  <c r="J19" i="15"/>
  <c r="E68" i="9"/>
  <c r="H54" i="12"/>
  <c r="G54" i="12"/>
  <c r="F54" i="12"/>
  <c r="L12" i="20"/>
  <c r="D45" i="20"/>
  <c r="O39" i="20"/>
  <c r="N39" i="20"/>
  <c r="M39" i="20"/>
  <c r="J37" i="20"/>
  <c r="J34" i="20"/>
  <c r="P33" i="20"/>
  <c r="L33" i="20" s="1"/>
  <c r="L39" i="20" s="1"/>
  <c r="J33" i="20"/>
  <c r="G32" i="20"/>
  <c r="P19" i="20"/>
  <c r="P24" i="20" s="1"/>
  <c r="H18" i="20"/>
  <c r="G18" i="20"/>
  <c r="F18" i="20"/>
  <c r="E18" i="20"/>
  <c r="D18" i="20"/>
  <c r="K18" i="20" s="1"/>
  <c r="J18" i="20" s="1"/>
  <c r="O17" i="20"/>
  <c r="O19" i="20" s="1"/>
  <c r="O24" i="20" s="1"/>
  <c r="F30" i="15"/>
  <c r="L28" i="7"/>
  <c r="K28" i="7"/>
  <c r="H32" i="20" s="1"/>
  <c r="H39" i="20" s="1"/>
  <c r="J28" i="7"/>
  <c r="G30" i="15" s="1"/>
  <c r="I28" i="7"/>
  <c r="F32" i="20" s="1"/>
  <c r="H28" i="7"/>
  <c r="E32" i="20" s="1"/>
  <c r="G28" i="7"/>
  <c r="D32" i="20" s="1"/>
  <c r="J32" i="20" s="1"/>
  <c r="F28" i="7"/>
  <c r="D12" i="2"/>
  <c r="E12" i="2"/>
  <c r="E10" i="2"/>
  <c r="D10" i="2" s="1"/>
  <c r="F13" i="19"/>
  <c r="F12" i="19"/>
  <c r="F11" i="19"/>
  <c r="F10" i="19"/>
  <c r="F9" i="19"/>
  <c r="F8" i="19"/>
  <c r="F7" i="19"/>
  <c r="E14" i="19"/>
  <c r="F14" i="19" s="1"/>
  <c r="D14" i="19"/>
  <c r="C14" i="19"/>
  <c r="H30" i="15" l="1"/>
  <c r="H37" i="15" s="1"/>
  <c r="D30" i="15"/>
  <c r="E30" i="15"/>
  <c r="O41" i="20"/>
  <c r="O43" i="20" s="1"/>
  <c r="K32" i="20"/>
  <c r="P39" i="20"/>
  <c r="P41" i="20" s="1"/>
  <c r="P43" i="20" s="1"/>
  <c r="AA59" i="2"/>
  <c r="Z59" i="2"/>
  <c r="AA54" i="2"/>
  <c r="Z54" i="2"/>
  <c r="AA45" i="2"/>
  <c r="Z45" i="2"/>
  <c r="AA37" i="2"/>
  <c r="Z37" i="2"/>
  <c r="X57" i="2"/>
  <c r="S57" i="2"/>
  <c r="V59" i="2"/>
  <c r="U59" i="2"/>
  <c r="V54" i="2"/>
  <c r="U54" i="2"/>
  <c r="V45" i="2"/>
  <c r="U45" i="2"/>
  <c r="V37" i="2"/>
  <c r="U37" i="2"/>
  <c r="T43" i="2"/>
  <c r="Y43" i="2" s="1"/>
  <c r="T39" i="2"/>
  <c r="Y39" i="2" s="1"/>
  <c r="Q59" i="2"/>
  <c r="P59" i="2"/>
  <c r="Q54" i="2"/>
  <c r="P54" i="2"/>
  <c r="Q45" i="2"/>
  <c r="P45" i="2"/>
  <c r="Q37" i="2"/>
  <c r="P37" i="2"/>
  <c r="O57" i="2"/>
  <c r="N57" i="2" s="1"/>
  <c r="O52" i="2"/>
  <c r="N52" i="2" s="1"/>
  <c r="O47" i="2"/>
  <c r="T47" i="2" s="1"/>
  <c r="O43" i="2"/>
  <c r="N43" i="2" s="1"/>
  <c r="O42" i="2"/>
  <c r="T42" i="2" s="1"/>
  <c r="O39" i="2"/>
  <c r="N39" i="2" s="1"/>
  <c r="O35" i="2"/>
  <c r="N35" i="2" s="1"/>
  <c r="L54" i="2"/>
  <c r="K54" i="2"/>
  <c r="I39" i="2"/>
  <c r="I35" i="2"/>
  <c r="L59" i="2"/>
  <c r="K59" i="2"/>
  <c r="L45" i="2"/>
  <c r="K45" i="2"/>
  <c r="L37" i="2"/>
  <c r="K37" i="2"/>
  <c r="J43" i="2"/>
  <c r="I43" i="2" s="1"/>
  <c r="J39" i="2"/>
  <c r="J35" i="2"/>
  <c r="K48" i="2"/>
  <c r="D52" i="2"/>
  <c r="G59" i="2"/>
  <c r="F59" i="2"/>
  <c r="G54" i="2"/>
  <c r="F54" i="2"/>
  <c r="F50" i="2"/>
  <c r="E50" i="2"/>
  <c r="G45" i="2"/>
  <c r="F45" i="2"/>
  <c r="G37" i="2"/>
  <c r="F37" i="2"/>
  <c r="E57" i="2"/>
  <c r="D57" i="2" s="1"/>
  <c r="E52" i="2"/>
  <c r="E54" i="2" s="1"/>
  <c r="E39" i="2"/>
  <c r="D39" i="2" s="1"/>
  <c r="E41" i="2"/>
  <c r="D41" i="2" s="1"/>
  <c r="E35" i="2"/>
  <c r="D35" i="2" s="1"/>
  <c r="AA43" i="17"/>
  <c r="R43" i="17"/>
  <c r="J57" i="2" s="1"/>
  <c r="I57" i="2" s="1"/>
  <c r="H43" i="17"/>
  <c r="AA39" i="17"/>
  <c r="AA38" i="17" s="1"/>
  <c r="R39" i="17"/>
  <c r="R38" i="17" s="1"/>
  <c r="H39" i="17"/>
  <c r="H38" i="17" s="1"/>
  <c r="AA36" i="17"/>
  <c r="O40" i="2" s="1"/>
  <c r="R36" i="17"/>
  <c r="J40" i="2" s="1"/>
  <c r="I40" i="2" s="1"/>
  <c r="H36" i="17"/>
  <c r="E40" i="2" s="1"/>
  <c r="D40" i="2" s="1"/>
  <c r="AA35" i="17"/>
  <c r="R35" i="17"/>
  <c r="H35" i="17"/>
  <c r="E43" i="2" s="1"/>
  <c r="D43" i="2" s="1"/>
  <c r="AA34" i="17"/>
  <c r="R34" i="17"/>
  <c r="H34" i="17"/>
  <c r="AA33" i="17"/>
  <c r="R33" i="17"/>
  <c r="J42" i="2" s="1"/>
  <c r="I42" i="2" s="1"/>
  <c r="H33" i="17"/>
  <c r="H31" i="17" s="1"/>
  <c r="AA32" i="17"/>
  <c r="AA31" i="17" s="1"/>
  <c r="R32" i="17"/>
  <c r="R31" i="17" s="1"/>
  <c r="H32" i="17"/>
  <c r="AA29" i="17"/>
  <c r="R29" i="17"/>
  <c r="H29" i="17"/>
  <c r="AA28" i="17"/>
  <c r="AA27" i="17" s="1"/>
  <c r="R28" i="17"/>
  <c r="R27" i="17" s="1"/>
  <c r="H28" i="17"/>
  <c r="H27" i="17" s="1"/>
  <c r="X25" i="17"/>
  <c r="O25" i="17"/>
  <c r="H25" i="17"/>
  <c r="X24" i="17"/>
  <c r="O24" i="17"/>
  <c r="H24" i="17"/>
  <c r="X23" i="17"/>
  <c r="Q23" i="17"/>
  <c r="R23" i="17" s="1"/>
  <c r="O23" i="17"/>
  <c r="E23" i="17"/>
  <c r="X22" i="17"/>
  <c r="O22" i="17"/>
  <c r="G22" i="17"/>
  <c r="H22" i="17" s="1"/>
  <c r="E22" i="17"/>
  <c r="X21" i="17"/>
  <c r="O21" i="17"/>
  <c r="G21" i="17"/>
  <c r="H21" i="17" s="1"/>
  <c r="E21" i="17"/>
  <c r="Z20" i="17"/>
  <c r="AA20" i="17" s="1"/>
  <c r="Q48" i="2" s="1"/>
  <c r="V48" i="2" s="1"/>
  <c r="AA48" i="2" s="1"/>
  <c r="X20" i="17"/>
  <c r="O20" i="17"/>
  <c r="E20" i="17"/>
  <c r="AA16" i="17"/>
  <c r="Z25" i="17" s="1"/>
  <c r="AA25" i="17" s="1"/>
  <c r="R16" i="17"/>
  <c r="Q25" i="17" s="1"/>
  <c r="R25" i="17" s="1"/>
  <c r="AA15" i="17"/>
  <c r="Z24" i="17" s="1"/>
  <c r="AA24" i="17" s="1"/>
  <c r="R15" i="17"/>
  <c r="Q24" i="17" s="1"/>
  <c r="R24" i="17" s="1"/>
  <c r="H15" i="17"/>
  <c r="G23" i="17" s="1"/>
  <c r="H23" i="17" s="1"/>
  <c r="AA14" i="17"/>
  <c r="Z23" i="17" s="1"/>
  <c r="AA23" i="17" s="1"/>
  <c r="R14" i="17"/>
  <c r="AA13" i="17"/>
  <c r="Z22" i="17" s="1"/>
  <c r="AA22" i="17" s="1"/>
  <c r="P48" i="2" s="1"/>
  <c r="U48" i="2" s="1"/>
  <c r="Z48" i="2" s="1"/>
  <c r="R13" i="17"/>
  <c r="Q22" i="17" s="1"/>
  <c r="R22" i="17" s="1"/>
  <c r="AA12" i="17"/>
  <c r="Z21" i="17" s="1"/>
  <c r="AA21" i="17" s="1"/>
  <c r="O48" i="2" s="1"/>
  <c r="R12" i="17"/>
  <c r="Q21" i="17" s="1"/>
  <c r="R21" i="17" s="1"/>
  <c r="J48" i="2" s="1"/>
  <c r="AA11" i="17"/>
  <c r="R11" i="17"/>
  <c r="R10" i="17" s="1"/>
  <c r="H11" i="17"/>
  <c r="H10" i="17" s="1"/>
  <c r="Y47" i="2" l="1"/>
  <c r="T50" i="2"/>
  <c r="N48" i="2"/>
  <c r="T48" i="2"/>
  <c r="Y42" i="2"/>
  <c r="S42" i="2"/>
  <c r="N40" i="2"/>
  <c r="T40" i="2"/>
  <c r="S43" i="2"/>
  <c r="E42" i="2"/>
  <c r="D42" i="2" s="1"/>
  <c r="O54" i="2"/>
  <c r="AA10" i="17"/>
  <c r="J52" i="2"/>
  <c r="Q47" i="2"/>
  <c r="O34" i="2"/>
  <c r="T52" i="2"/>
  <c r="L47" i="2"/>
  <c r="P47" i="2"/>
  <c r="G47" i="2"/>
  <c r="J47" i="2"/>
  <c r="O50" i="2"/>
  <c r="S39" i="2"/>
  <c r="N42" i="2"/>
  <c r="J34" i="2"/>
  <c r="K47" i="2"/>
  <c r="K50" i="2" s="1"/>
  <c r="J41" i="2"/>
  <c r="I41" i="2" s="1"/>
  <c r="E34" i="2"/>
  <c r="D34" i="2" s="1"/>
  <c r="O41" i="2"/>
  <c r="E37" i="2"/>
  <c r="E45" i="2"/>
  <c r="AA19" i="17"/>
  <c r="G20" i="17"/>
  <c r="H20" i="17" s="1"/>
  <c r="Q20" i="17"/>
  <c r="R20" i="17" s="1"/>
  <c r="N41" i="2" l="1"/>
  <c r="T41" i="2"/>
  <c r="O37" i="2"/>
  <c r="N34" i="2"/>
  <c r="T34" i="2"/>
  <c r="V47" i="2"/>
  <c r="Q50" i="2"/>
  <c r="Q62" i="2" s="1"/>
  <c r="Q64" i="2" s="1"/>
  <c r="Q68" i="2" s="1"/>
  <c r="Y48" i="2"/>
  <c r="Y50" i="2" s="1"/>
  <c r="S48" i="2"/>
  <c r="J54" i="2"/>
  <c r="I52" i="2"/>
  <c r="Y52" i="2"/>
  <c r="Y54" i="2" s="1"/>
  <c r="S52" i="2"/>
  <c r="T54" i="2"/>
  <c r="I47" i="2"/>
  <c r="J50" i="2"/>
  <c r="R19" i="17"/>
  <c r="L48" i="2"/>
  <c r="I48" i="2" s="1"/>
  <c r="D47" i="2"/>
  <c r="H19" i="17"/>
  <c r="G48" i="2"/>
  <c r="D48" i="2" s="1"/>
  <c r="U47" i="2"/>
  <c r="P50" i="2"/>
  <c r="N47" i="2"/>
  <c r="O45" i="2"/>
  <c r="Y40" i="2"/>
  <c r="S40" i="2"/>
  <c r="J37" i="2"/>
  <c r="I34" i="2"/>
  <c r="L50" i="2"/>
  <c r="L62" i="2" s="1"/>
  <c r="L64" i="2" s="1"/>
  <c r="L66" i="2" s="1"/>
  <c r="L68" i="2" s="1"/>
  <c r="J45" i="2"/>
  <c r="E65" i="9"/>
  <c r="E62" i="9"/>
  <c r="T32" i="2"/>
  <c r="Y32" i="2"/>
  <c r="O32" i="2"/>
  <c r="J32" i="2"/>
  <c r="I30" i="2"/>
  <c r="AA30" i="2"/>
  <c r="X30" i="2" s="1"/>
  <c r="V30" i="2"/>
  <c r="V32" i="2" s="1"/>
  <c r="Q30" i="2"/>
  <c r="Q32" i="2" s="1"/>
  <c r="L30" i="2"/>
  <c r="L32" i="2" s="1"/>
  <c r="G30" i="2"/>
  <c r="G14" i="16"/>
  <c r="F14" i="16"/>
  <c r="E14" i="16"/>
  <c r="D14" i="16"/>
  <c r="C14" i="16"/>
  <c r="Y45" i="2" l="1"/>
  <c r="AA47" i="2"/>
  <c r="AA50" i="2" s="1"/>
  <c r="AA62" i="2" s="1"/>
  <c r="AA64" i="2" s="1"/>
  <c r="AA68" i="2" s="1"/>
  <c r="V50" i="2"/>
  <c r="V62" i="2" s="1"/>
  <c r="V64" i="2" s="1"/>
  <c r="V68" i="2" s="1"/>
  <c r="G50" i="2"/>
  <c r="S34" i="2"/>
  <c r="T37" i="2"/>
  <c r="Y34" i="2"/>
  <c r="Y37" i="2" s="1"/>
  <c r="Y41" i="2"/>
  <c r="S41" i="2"/>
  <c r="T45" i="2"/>
  <c r="Z47" i="2"/>
  <c r="Z50" i="2" s="1"/>
  <c r="U50" i="2"/>
  <c r="S47" i="2"/>
  <c r="N30" i="2"/>
  <c r="S30" i="2"/>
  <c r="AA32" i="2"/>
  <c r="D20" i="15"/>
  <c r="D13" i="2"/>
  <c r="G12" i="13"/>
  <c r="J12" i="13" s="1"/>
  <c r="K12" i="13" s="1"/>
  <c r="E14" i="13"/>
  <c r="G14" i="13" s="1"/>
  <c r="J14" i="13" s="1"/>
  <c r="K14" i="13" s="1"/>
  <c r="E13" i="13"/>
  <c r="G13" i="13" s="1"/>
  <c r="J13" i="13" s="1"/>
  <c r="K13" i="13" s="1"/>
  <c r="E12" i="13"/>
  <c r="U13" i="2" l="1"/>
  <c r="S13" i="2" s="1"/>
  <c r="Z13" i="2"/>
  <c r="X13" i="2" s="1"/>
  <c r="P13" i="2"/>
  <c r="N13" i="2" s="1"/>
  <c r="K13" i="2"/>
  <c r="I13" i="2" s="1"/>
  <c r="H39" i="7" l="1"/>
  <c r="G39" i="7"/>
  <c r="D17" i="7"/>
  <c r="V15" i="7"/>
  <c r="U15" i="7"/>
  <c r="T15" i="7"/>
  <c r="S15" i="7"/>
  <c r="S14" i="7"/>
  <c r="T14" i="7"/>
  <c r="U14" i="7"/>
  <c r="S12" i="7"/>
  <c r="W11" i="7"/>
  <c r="W17" i="7" s="1"/>
  <c r="V11" i="7"/>
  <c r="U11" i="7"/>
  <c r="T11" i="7"/>
  <c r="S11" i="7"/>
  <c r="S10" i="7"/>
  <c r="D10" i="15" l="1"/>
  <c r="D12" i="20"/>
  <c r="H16" i="15"/>
  <c r="G16" i="15"/>
  <c r="F16" i="15"/>
  <c r="E16" i="15"/>
  <c r="D16" i="15"/>
  <c r="D54" i="12"/>
  <c r="E29" i="2" s="1"/>
  <c r="E54" i="12"/>
  <c r="K29" i="2" s="1"/>
  <c r="I29" i="2" s="1"/>
  <c r="Z29" i="2"/>
  <c r="X29" i="2" s="1"/>
  <c r="U29" i="2"/>
  <c r="S29" i="2" s="1"/>
  <c r="P29" i="2"/>
  <c r="N29" i="2" s="1"/>
  <c r="J73" i="9"/>
  <c r="Z28" i="2" s="1"/>
  <c r="I73" i="9"/>
  <c r="U28" i="2" s="1"/>
  <c r="H73" i="9"/>
  <c r="P28" i="2" s="1"/>
  <c r="G73" i="9"/>
  <c r="K28" i="2" s="1"/>
  <c r="I28" i="2" s="1"/>
  <c r="F71" i="9"/>
  <c r="E73" i="9"/>
  <c r="K12" i="20" l="1"/>
  <c r="J12" i="20" s="1"/>
  <c r="U32" i="2"/>
  <c r="U62" i="2" s="1"/>
  <c r="S28" i="2"/>
  <c r="Z32" i="2"/>
  <c r="Z62" i="2" s="1"/>
  <c r="X28" i="2"/>
  <c r="P32" i="2"/>
  <c r="P62" i="2" s="1"/>
  <c r="N28" i="2"/>
  <c r="K32" i="2"/>
  <c r="K62" i="2" s="1"/>
  <c r="F73" i="9"/>
  <c r="F28" i="2" s="1"/>
  <c r="X32" i="2" l="1"/>
  <c r="AA26" i="2"/>
  <c r="Z26" i="2"/>
  <c r="X21" i="2"/>
  <c r="X23" i="2"/>
  <c r="X24" i="2"/>
  <c r="X20" i="2"/>
  <c r="S32" i="2"/>
  <c r="V26" i="2"/>
  <c r="U26" i="2"/>
  <c r="Q26" i="2"/>
  <c r="P26" i="2"/>
  <c r="L26" i="2"/>
  <c r="K26" i="2"/>
  <c r="I23" i="2"/>
  <c r="I24" i="2"/>
  <c r="G32" i="2"/>
  <c r="F32" i="2"/>
  <c r="E32" i="2"/>
  <c r="D30" i="2"/>
  <c r="D29" i="2"/>
  <c r="N17" i="20" s="1"/>
  <c r="N19" i="20" s="1"/>
  <c r="N24" i="20" s="1"/>
  <c r="N41" i="20" s="1"/>
  <c r="N43" i="20" s="1"/>
  <c r="D21" i="2"/>
  <c r="D28" i="2"/>
  <c r="M17" i="20" s="1"/>
  <c r="D23" i="2"/>
  <c r="D24" i="2"/>
  <c r="F26" i="2"/>
  <c r="G26" i="2"/>
  <c r="AA15" i="2"/>
  <c r="V15" i="2"/>
  <c r="Q15" i="2"/>
  <c r="L15" i="2"/>
  <c r="G15" i="2"/>
  <c r="I38" i="12"/>
  <c r="I17" i="12"/>
  <c r="O12" i="2" s="1"/>
  <c r="O22" i="2" s="1"/>
  <c r="O26" i="2" s="1"/>
  <c r="K17" i="12"/>
  <c r="Y12" i="2" s="1"/>
  <c r="Y22" i="2" s="1"/>
  <c r="X22" i="2" s="1"/>
  <c r="M19" i="20" l="1"/>
  <c r="M24" i="20" s="1"/>
  <c r="M41" i="20" s="1"/>
  <c r="M43" i="20" s="1"/>
  <c r="L17" i="20"/>
  <c r="L19" i="20" s="1"/>
  <c r="L24" i="20" s="1"/>
  <c r="L41" i="20" s="1"/>
  <c r="L43" i="20" s="1"/>
  <c r="F62" i="2"/>
  <c r="G62" i="2"/>
  <c r="G64" i="2"/>
  <c r="G68" i="2" s="1"/>
  <c r="N32" i="2"/>
  <c r="X26" i="2"/>
  <c r="I32" i="2"/>
  <c r="Y26" i="2"/>
  <c r="N22" i="2"/>
  <c r="N26" i="2" s="1"/>
  <c r="D32" i="2"/>
  <c r="J17" i="12" l="1"/>
  <c r="T12" i="2" s="1"/>
  <c r="T22" i="2" s="1"/>
  <c r="H17" i="12"/>
  <c r="J12" i="2" s="1"/>
  <c r="J22" i="2" s="1"/>
  <c r="G15" i="12"/>
  <c r="G14" i="12"/>
  <c r="G12" i="12"/>
  <c r="G11" i="12"/>
  <c r="D52" i="9"/>
  <c r="E52" i="9"/>
  <c r="C52" i="9"/>
  <c r="I42" i="12"/>
  <c r="I40" i="12"/>
  <c r="I39" i="12"/>
  <c r="H39" i="12"/>
  <c r="H38" i="12"/>
  <c r="G38" i="12"/>
  <c r="D44" i="12"/>
  <c r="I41" i="12"/>
  <c r="H41" i="12"/>
  <c r="H40" i="12"/>
  <c r="G40" i="12"/>
  <c r="G39" i="12"/>
  <c r="F39" i="12"/>
  <c r="F38" i="12"/>
  <c r="E38" i="12"/>
  <c r="E37" i="12"/>
  <c r="D26" i="11"/>
  <c r="I24" i="11"/>
  <c r="H24" i="11"/>
  <c r="I23" i="11"/>
  <c r="H23" i="11"/>
  <c r="G23" i="11"/>
  <c r="I22" i="11"/>
  <c r="H22" i="11"/>
  <c r="G22" i="11"/>
  <c r="F22" i="11"/>
  <c r="I21" i="11"/>
  <c r="H21" i="11"/>
  <c r="G21" i="11"/>
  <c r="F21" i="11"/>
  <c r="E21" i="11"/>
  <c r="E20" i="11"/>
  <c r="F20" i="11" s="1"/>
  <c r="D56" i="9" l="1"/>
  <c r="D20" i="9"/>
  <c r="E28" i="9" s="1"/>
  <c r="E29" i="9" s="1"/>
  <c r="C56" i="9"/>
  <c r="C20" i="9"/>
  <c r="D28" i="9" s="1"/>
  <c r="D29" i="9" s="1"/>
  <c r="E56" i="9"/>
  <c r="E20" i="9"/>
  <c r="F28" i="9" s="1"/>
  <c r="F29" i="9" s="1"/>
  <c r="E34" i="9"/>
  <c r="S22" i="2"/>
  <c r="S26" i="2" s="1"/>
  <c r="T26" i="2"/>
  <c r="J26" i="2"/>
  <c r="I22" i="2"/>
  <c r="I26" i="2" s="1"/>
  <c r="E44" i="12"/>
  <c r="I44" i="12"/>
  <c r="F37" i="12"/>
  <c r="G37" i="12" s="1"/>
  <c r="H37" i="12" s="1"/>
  <c r="F26" i="11"/>
  <c r="G20" i="11"/>
  <c r="E26" i="11"/>
  <c r="F35" i="9" l="1"/>
  <c r="I38" i="9"/>
  <c r="G36" i="9"/>
  <c r="H37" i="9"/>
  <c r="G44" i="12"/>
  <c r="F44" i="12"/>
  <c r="I37" i="12"/>
  <c r="H44" i="12"/>
  <c r="H20" i="11"/>
  <c r="G26" i="11"/>
  <c r="I20" i="11" l="1"/>
  <c r="I26" i="11" s="1"/>
  <c r="H26" i="11"/>
  <c r="X10" i="2" l="1"/>
  <c r="S10" i="2"/>
  <c r="X12" i="2"/>
  <c r="S12" i="2"/>
  <c r="N12" i="2"/>
  <c r="N10" i="2"/>
  <c r="I35" i="9"/>
  <c r="I34" i="9"/>
  <c r="H35" i="9"/>
  <c r="H34" i="9"/>
  <c r="D40" i="9"/>
  <c r="F11" i="2" s="1"/>
  <c r="F15" i="2" s="1"/>
  <c r="F64" i="2" s="1"/>
  <c r="F68" i="2" s="1"/>
  <c r="I37" i="9"/>
  <c r="I36" i="9"/>
  <c r="H36" i="9"/>
  <c r="F34" i="9"/>
  <c r="G35" i="9"/>
  <c r="G34" i="9"/>
  <c r="E33" i="9"/>
  <c r="F33" i="9" s="1"/>
  <c r="X52" i="2"/>
  <c r="X48" i="2"/>
  <c r="X47" i="2"/>
  <c r="X43" i="2"/>
  <c r="X42" i="2"/>
  <c r="X41" i="2"/>
  <c r="X40" i="2"/>
  <c r="X39" i="2"/>
  <c r="X34" i="2"/>
  <c r="E40" i="9" l="1"/>
  <c r="K11" i="2" s="1"/>
  <c r="I11" i="2" s="1"/>
  <c r="G33" i="9"/>
  <c r="F40" i="9"/>
  <c r="P11" i="2" s="1"/>
  <c r="N11" i="2" s="1"/>
  <c r="N15" i="2" s="1"/>
  <c r="E17" i="7"/>
  <c r="V17" i="7"/>
  <c r="Y56" i="2" s="1"/>
  <c r="U17" i="7"/>
  <c r="T56" i="2" s="1"/>
  <c r="T17" i="7"/>
  <c r="AA42" i="17" s="1"/>
  <c r="S17" i="7"/>
  <c r="R42" i="17" s="1"/>
  <c r="R17" i="7"/>
  <c r="H42" i="17" s="1"/>
  <c r="P17" i="7"/>
  <c r="K17" i="7"/>
  <c r="L18" i="7" s="1"/>
  <c r="J17" i="7"/>
  <c r="I17" i="7"/>
  <c r="H17" i="7"/>
  <c r="G17" i="7"/>
  <c r="F17" i="7"/>
  <c r="E58" i="6"/>
  <c r="H58" i="6" s="1"/>
  <c r="E57" i="6"/>
  <c r="H57" i="6" s="1"/>
  <c r="H54" i="6"/>
  <c r="H53" i="6"/>
  <c r="H50" i="6"/>
  <c r="H49" i="6"/>
  <c r="H46" i="6"/>
  <c r="H45" i="6"/>
  <c r="H47" i="6" s="1"/>
  <c r="I38" i="6"/>
  <c r="H35" i="6"/>
  <c r="H36" i="6" s="1"/>
  <c r="J36" i="6" s="1"/>
  <c r="H34" i="6"/>
  <c r="H31" i="6"/>
  <c r="H30" i="6"/>
  <c r="H32" i="6" s="1"/>
  <c r="J32" i="6" s="1"/>
  <c r="H27" i="6"/>
  <c r="H28" i="6" s="1"/>
  <c r="J28" i="6" s="1"/>
  <c r="H26" i="6"/>
  <c r="I22" i="6"/>
  <c r="H19" i="6"/>
  <c r="H18" i="6"/>
  <c r="H20" i="6" s="1"/>
  <c r="J20" i="6" s="1"/>
  <c r="H15" i="6"/>
  <c r="H14" i="6"/>
  <c r="H11" i="6"/>
  <c r="H10" i="6"/>
  <c r="D17" i="5"/>
  <c r="D19" i="5" s="1"/>
  <c r="C11" i="5"/>
  <c r="X54" i="2"/>
  <c r="X50" i="2"/>
  <c r="X45" i="2"/>
  <c r="X37" i="2"/>
  <c r="Y15" i="2"/>
  <c r="S54" i="2"/>
  <c r="S50" i="2"/>
  <c r="S45" i="2"/>
  <c r="S37" i="2"/>
  <c r="F43" i="15" l="1"/>
  <c r="F45" i="20"/>
  <c r="O56" i="2"/>
  <c r="AA41" i="17"/>
  <c r="AA9" i="17" s="1"/>
  <c r="S56" i="2"/>
  <c r="S59" i="2" s="1"/>
  <c r="T59" i="2"/>
  <c r="T62" i="2" s="1"/>
  <c r="Y59" i="2"/>
  <c r="Y62" i="2" s="1"/>
  <c r="Y64" i="2" s="1"/>
  <c r="Y68" i="2" s="1"/>
  <c r="X56" i="2"/>
  <c r="X59" i="2" s="1"/>
  <c r="X62" i="2" s="1"/>
  <c r="J56" i="2"/>
  <c r="R41" i="17"/>
  <c r="R9" i="17" s="1"/>
  <c r="E56" i="2"/>
  <c r="H41" i="17"/>
  <c r="H9" i="17" s="1"/>
  <c r="J18" i="7"/>
  <c r="G18" i="7"/>
  <c r="S62" i="2"/>
  <c r="H16" i="6"/>
  <c r="J16" i="6" s="1"/>
  <c r="H55" i="6"/>
  <c r="K18" i="7"/>
  <c r="F18" i="7"/>
  <c r="H18" i="7"/>
  <c r="H12" i="6"/>
  <c r="J12" i="6" s="1"/>
  <c r="J22" i="6" s="1"/>
  <c r="J38" i="6"/>
  <c r="H51" i="6"/>
  <c r="I18" i="7"/>
  <c r="H33" i="9"/>
  <c r="G40" i="9"/>
  <c r="U11" i="2" s="1"/>
  <c r="K57" i="6"/>
  <c r="K59" i="6" s="1"/>
  <c r="H59" i="6"/>
  <c r="J58" i="6"/>
  <c r="J59" i="6" s="1"/>
  <c r="I58" i="6"/>
  <c r="I59" i="6" s="1"/>
  <c r="E22" i="2"/>
  <c r="K15" i="2"/>
  <c r="K64" i="2" s="1"/>
  <c r="K66" i="2" s="1"/>
  <c r="K68" i="2" s="1"/>
  <c r="P15" i="2"/>
  <c r="P64" i="2" s="1"/>
  <c r="P68" i="2" s="1"/>
  <c r="I10" i="2"/>
  <c r="F29" i="15" l="1"/>
  <c r="F37" i="15" s="1"/>
  <c r="F31" i="20"/>
  <c r="F39" i="20" s="1"/>
  <c r="D29" i="15"/>
  <c r="D37" i="15" s="1"/>
  <c r="D31" i="20"/>
  <c r="E29" i="15"/>
  <c r="E37" i="15" s="1"/>
  <c r="E31" i="20"/>
  <c r="E39" i="20" s="1"/>
  <c r="G29" i="15"/>
  <c r="G37" i="15" s="1"/>
  <c r="G31" i="20"/>
  <c r="G39" i="20" s="1"/>
  <c r="I56" i="2"/>
  <c r="I59" i="2" s="1"/>
  <c r="J59" i="2"/>
  <c r="J62" i="2" s="1"/>
  <c r="D56" i="2"/>
  <c r="D59" i="2" s="1"/>
  <c r="E59" i="2"/>
  <c r="O59" i="2"/>
  <c r="O62" i="2" s="1"/>
  <c r="N56" i="2"/>
  <c r="N59" i="2" s="1"/>
  <c r="L59" i="6"/>
  <c r="D22" i="2"/>
  <c r="D26" i="2" s="1"/>
  <c r="E26" i="2"/>
  <c r="S11" i="2"/>
  <c r="U15" i="2"/>
  <c r="U64" i="2" s="1"/>
  <c r="U68" i="2" s="1"/>
  <c r="I33" i="9"/>
  <c r="I40" i="9" s="1"/>
  <c r="H40" i="9"/>
  <c r="Z11" i="2" s="1"/>
  <c r="E15" i="2"/>
  <c r="N54" i="2"/>
  <c r="I54" i="2"/>
  <c r="D54" i="2"/>
  <c r="N50" i="2"/>
  <c r="I50" i="2"/>
  <c r="D50" i="2"/>
  <c r="N45" i="2"/>
  <c r="I45" i="2"/>
  <c r="D45" i="2"/>
  <c r="N37" i="2"/>
  <c r="I37" i="2"/>
  <c r="D37" i="2"/>
  <c r="D15" i="2"/>
  <c r="D43" i="15" s="1"/>
  <c r="K31" i="20" l="1"/>
  <c r="D39" i="20"/>
  <c r="J39" i="20" s="1"/>
  <c r="E62" i="2"/>
  <c r="E64" i="2" s="1"/>
  <c r="E68" i="2" s="1"/>
  <c r="I62" i="2"/>
  <c r="N62" i="2"/>
  <c r="D62" i="2"/>
  <c r="D64" i="2" s="1"/>
  <c r="X11" i="2"/>
  <c r="X15" i="2" s="1"/>
  <c r="H45" i="20" s="1"/>
  <c r="Z15" i="2"/>
  <c r="Z64" i="2" s="1"/>
  <c r="Z68" i="2" s="1"/>
  <c r="J31" i="20" l="1"/>
  <c r="K39" i="20"/>
  <c r="X64" i="2"/>
  <c r="X68" i="2" s="1"/>
  <c r="H17" i="20" s="1"/>
  <c r="H19" i="20" s="1"/>
  <c r="H24" i="20" s="1"/>
  <c r="H41" i="20" s="1"/>
  <c r="H43" i="15"/>
  <c r="D66" i="2"/>
  <c r="D68" i="2" s="1"/>
  <c r="K17" i="20" l="1"/>
  <c r="J17" i="20" s="1"/>
  <c r="J19" i="20" s="1"/>
  <c r="J24" i="20" s="1"/>
  <c r="D17" i="20"/>
  <c r="D19" i="20" s="1"/>
  <c r="D24" i="20" s="1"/>
  <c r="D41" i="20" s="1"/>
  <c r="D15" i="15"/>
  <c r="D17" i="15" s="1"/>
  <c r="D22" i="15" s="1"/>
  <c r="D39" i="15" s="1"/>
  <c r="D70" i="2"/>
  <c r="H15" i="15"/>
  <c r="H17" i="15" s="1"/>
  <c r="H22" i="15" s="1"/>
  <c r="H39" i="15" s="1"/>
  <c r="X70" i="2"/>
  <c r="I12" i="2"/>
  <c r="I15" i="2" s="1"/>
  <c r="E45" i="20" s="1"/>
  <c r="J15" i="2"/>
  <c r="J64" i="2" s="1"/>
  <c r="J66" i="2" s="1"/>
  <c r="J68" i="2" s="1"/>
  <c r="E46" i="20" l="1"/>
  <c r="F46" i="20"/>
  <c r="J41" i="20"/>
  <c r="D43" i="20"/>
  <c r="D41" i="15"/>
  <c r="I64" i="2"/>
  <c r="I66" i="2" s="1"/>
  <c r="I68" i="2" s="1"/>
  <c r="E17" i="20" s="1"/>
  <c r="E19" i="20" s="1"/>
  <c r="E24" i="20" s="1"/>
  <c r="E41" i="20" s="1"/>
  <c r="E43" i="15"/>
  <c r="N64" i="2"/>
  <c r="N68" i="2" s="1"/>
  <c r="F17" i="20" s="1"/>
  <c r="F19" i="20" s="1"/>
  <c r="F24" i="20" s="1"/>
  <c r="F41" i="20" s="1"/>
  <c r="O15" i="2"/>
  <c r="O64" i="2" s="1"/>
  <c r="O68" i="2" s="1"/>
  <c r="S15" i="2"/>
  <c r="G45" i="20" s="1"/>
  <c r="T15" i="2"/>
  <c r="T64" i="2" s="1"/>
  <c r="T68" i="2" s="1"/>
  <c r="G46" i="20" l="1"/>
  <c r="H46" i="20"/>
  <c r="J43" i="20"/>
  <c r="E12" i="20"/>
  <c r="E43" i="20" s="1"/>
  <c r="F12" i="20" s="1"/>
  <c r="F43" i="20" s="1"/>
  <c r="G12" i="20" s="1"/>
  <c r="E10" i="15"/>
  <c r="F15" i="15"/>
  <c r="F17" i="15" s="1"/>
  <c r="F22" i="15" s="1"/>
  <c r="F39" i="15" s="1"/>
  <c r="N70" i="2"/>
  <c r="E15" i="15"/>
  <c r="E17" i="15" s="1"/>
  <c r="E22" i="15" s="1"/>
  <c r="E39" i="15" s="1"/>
  <c r="I70" i="2"/>
  <c r="S64" i="2"/>
  <c r="S68" i="2" s="1"/>
  <c r="G17" i="20" s="1"/>
  <c r="G19" i="20" s="1"/>
  <c r="G24" i="20" s="1"/>
  <c r="G41" i="20" s="1"/>
  <c r="G43" i="15"/>
  <c r="E44" i="15"/>
  <c r="F44" i="15"/>
  <c r="G43" i="20" l="1"/>
  <c r="H12" i="20" s="1"/>
  <c r="H43" i="20" s="1"/>
  <c r="E41" i="15"/>
  <c r="F10" i="15" s="1"/>
  <c r="F41" i="15" s="1"/>
  <c r="G10" i="15" s="1"/>
  <c r="G15" i="15"/>
  <c r="G17" i="15" s="1"/>
  <c r="G22" i="15" s="1"/>
  <c r="G39" i="15" s="1"/>
  <c r="S70" i="2"/>
  <c r="G44" i="15"/>
  <c r="H44" i="15"/>
  <c r="G41" i="15" l="1"/>
  <c r="H10" i="15" s="1"/>
  <c r="H41" i="15" s="1"/>
  <c r="K19" i="20"/>
  <c r="K24" i="20" s="1"/>
  <c r="K41" i="20" s="1"/>
  <c r="K43" i="20" s="1"/>
</calcChain>
</file>

<file path=xl/comments1.xml><?xml version="1.0" encoding="utf-8"?>
<comments xmlns="http://schemas.openxmlformats.org/spreadsheetml/2006/main">
  <authors>
    <author>Auteur</author>
  </authors>
  <commentList>
    <comment ref="S12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AB12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I13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I21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S21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AB21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</commentList>
</comments>
</file>

<file path=xl/comments2.xml><?xml version="1.0" encoding="utf-8"?>
<comments xmlns="http://schemas.openxmlformats.org/spreadsheetml/2006/main">
  <authors>
    <author>franck delaunoy</author>
  </authors>
  <commentList>
    <comment ref="P11" authorId="0" shapeId="0">
      <text>
        <r>
          <rPr>
            <sz val="9"/>
            <color indexed="81"/>
            <rFont val="Tahoma"/>
            <family val="2"/>
          </rPr>
          <t xml:space="preserve">45,94 € jusqu'au 12/05/2022, puis 965,95 € jusqu'à la maturité
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 xml:space="preserve">Premières échéances non payées capitalisées
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 xml:space="preserve">Premières échéances non payées capitalisées
</t>
        </r>
      </text>
    </comment>
  </commentList>
</comments>
</file>

<file path=xl/sharedStrings.xml><?xml version="1.0" encoding="utf-8"?>
<sst xmlns="http://schemas.openxmlformats.org/spreadsheetml/2006/main" count="879" uniqueCount="373">
  <si>
    <t xml:space="preserve">COMPTE DE RESULTAT PREVISIONNEL </t>
  </si>
  <si>
    <t>PRODUITS</t>
  </si>
  <si>
    <t xml:space="preserve">Chiffre d'affaires HT </t>
  </si>
  <si>
    <t>CHARGES</t>
  </si>
  <si>
    <t>total achats  ( charges variables)</t>
  </si>
  <si>
    <t>Eau gaz électricité</t>
  </si>
  <si>
    <t>Loyer et charges locatives</t>
  </si>
  <si>
    <t>Assurances</t>
  </si>
  <si>
    <t>Honoraires</t>
  </si>
  <si>
    <t>Frais postaux téléphone internet</t>
  </si>
  <si>
    <t>total charges externes</t>
  </si>
  <si>
    <t>Charges sur salaires</t>
  </si>
  <si>
    <t>total masse salariale</t>
  </si>
  <si>
    <t>total impots et taxes</t>
  </si>
  <si>
    <t>total achats de fournitures</t>
  </si>
  <si>
    <t>Intèrêts sur emprunts</t>
  </si>
  <si>
    <t>Dotations aux amortissements</t>
  </si>
  <si>
    <t>total  charges  financières</t>
  </si>
  <si>
    <t>TOTAL CHARGES</t>
  </si>
  <si>
    <t>RESULTAT AVANT IS</t>
  </si>
  <si>
    <t>Impôts sur les bénéfices</t>
  </si>
  <si>
    <t>BENEFICE</t>
  </si>
  <si>
    <t xml:space="preserve">      6-3</t>
  </si>
  <si>
    <t>FRANCHISEUR KHEPRI SANTE</t>
  </si>
  <si>
    <t>16 MOIS</t>
  </si>
  <si>
    <t>12 MOIS</t>
  </si>
  <si>
    <t>Salaires brut du personnel</t>
  </si>
  <si>
    <t>Impots (CFE/ CVAE)</t>
  </si>
  <si>
    <t>Consommables ( fourn bureau/ hygiène et nettoyage…)</t>
  </si>
  <si>
    <t>Autres charges (sous-traitance et maintenance)</t>
  </si>
  <si>
    <t>KHEPRI FORMATION</t>
  </si>
  <si>
    <t>KHEPRI SANTE</t>
  </si>
  <si>
    <t>KHEPRI INVEST</t>
  </si>
  <si>
    <t>TOTAL</t>
  </si>
  <si>
    <t>Business model</t>
  </si>
  <si>
    <t>Donner le détail du calcul dans un onglet séparé</t>
  </si>
  <si>
    <t>Location de salles</t>
  </si>
  <si>
    <t>RESSOURCES</t>
  </si>
  <si>
    <t>BESOIN EN FONDS DE ROULEMENT</t>
  </si>
  <si>
    <t>GROUPE KHEPRI</t>
  </si>
  <si>
    <t>Comptes intermédiaires au 30 06 2021</t>
  </si>
  <si>
    <t>Montants exprimés en euros</t>
  </si>
  <si>
    <t>Actif</t>
  </si>
  <si>
    <t>Passif</t>
  </si>
  <si>
    <t>C/c VISIAPY dans les cptes de KHEPRI FORMATION</t>
  </si>
  <si>
    <t xml:space="preserve"> </t>
  </si>
  <si>
    <t>Opération : Achat matériel HEALY financé par KHEPRI Formation</t>
  </si>
  <si>
    <t>Pas de TVA</t>
  </si>
  <si>
    <t>Total : 30/06/2021</t>
  </si>
  <si>
    <t>OK Acofi</t>
  </si>
  <si>
    <t>C/c KHEPRI INVEST dans les cptes de KHEPRI FORMATION</t>
  </si>
  <si>
    <t>31/08/2020</t>
  </si>
  <si>
    <t>Avance KHEPRI FORMATION du 03 12 2020</t>
  </si>
  <si>
    <t>Total au 31/12/2020</t>
  </si>
  <si>
    <t>Opération du 1er semestre 2021</t>
  </si>
  <si>
    <t>Total au 30/06/2021</t>
  </si>
  <si>
    <t>OK Cptes intermédiaires établis par Acofi</t>
  </si>
  <si>
    <t>LOYERS ET TAXES FONCIERES</t>
  </si>
  <si>
    <t>Coût annuel normé</t>
  </si>
  <si>
    <t>Comptes de KHEPRI FORMATION AU 31/08/2020 :</t>
  </si>
  <si>
    <t>Coût</t>
  </si>
  <si>
    <t>Exercice de 12 mois clos le 31/08/2020</t>
  </si>
  <si>
    <t>F/S KHEPRI FORMATION</t>
  </si>
  <si>
    <t>Ecart</t>
  </si>
  <si>
    <t>Loyers :</t>
  </si>
  <si>
    <t>4ème étage FONCIA - Anne Carole</t>
  </si>
  <si>
    <t>mois</t>
  </si>
  <si>
    <t>2ème étage ALKOR</t>
  </si>
  <si>
    <t>trimestre</t>
  </si>
  <si>
    <t>Charges locatives :</t>
  </si>
  <si>
    <t>Taxes foncières :</t>
  </si>
  <si>
    <t>Surcoût lié à 2018 (régularisation)</t>
  </si>
  <si>
    <t>Comptes de KHEPRI FORMATION AU 30/06/2021 :</t>
  </si>
  <si>
    <t>A expliquer avec le grand-livre de KHEPRI FORMATION mardi 10 août. Appeler Acofi si rien reçu à 12h suite à notre mail.</t>
  </si>
  <si>
    <t>VENTILATION DES COUTS FIXES</t>
  </si>
  <si>
    <t>PSPPE</t>
  </si>
  <si>
    <t>Contrôle</t>
  </si>
  <si>
    <t>Pour Business Plan :</t>
  </si>
  <si>
    <t>2ième étage</t>
  </si>
  <si>
    <t>4ième étage</t>
  </si>
  <si>
    <t>TOTAL par étage</t>
  </si>
  <si>
    <t>mensualités</t>
  </si>
  <si>
    <t xml:space="preserve">intèrets </t>
  </si>
  <si>
    <t>au 30/06/21</t>
  </si>
  <si>
    <t>au 31/12/22</t>
  </si>
  <si>
    <t>au 31/12/23</t>
  </si>
  <si>
    <t>au 31/12/24</t>
  </si>
  <si>
    <t>au 31/12/25</t>
  </si>
  <si>
    <t>annuels</t>
  </si>
  <si>
    <t>2021 - ANNEE 1</t>
  </si>
  <si>
    <t>2022 - ANNEE 2</t>
  </si>
  <si>
    <t>2023 - ANNEE 3</t>
  </si>
  <si>
    <t>2024 - ANNEE 4</t>
  </si>
  <si>
    <t>2025 - ANNEE 5</t>
  </si>
  <si>
    <t>Au 31/08/2020</t>
  </si>
  <si>
    <t>Remboursements annuels :</t>
  </si>
  <si>
    <t>16 mois</t>
  </si>
  <si>
    <t>12 mois</t>
  </si>
  <si>
    <t>4% du CA pour redevance de fonctionnement</t>
  </si>
  <si>
    <t>4% du CA global du franchisé</t>
  </si>
  <si>
    <t>2% du CA pour redevance enseigne et publicité</t>
  </si>
  <si>
    <t>Démarrage</t>
  </si>
  <si>
    <t>Redevance globale sur CA = 10%</t>
  </si>
  <si>
    <t>An 1</t>
  </si>
  <si>
    <t>An 2</t>
  </si>
  <si>
    <t>Redevance payée au franchiseur</t>
  </si>
  <si>
    <t>Nbre de créations</t>
  </si>
  <si>
    <t>année création</t>
  </si>
  <si>
    <t>total redevance par an</t>
  </si>
  <si>
    <t>Réponse : l'écart correspond à un rattrage exceptionnel sur l'antériorité ; non reconductible donc.</t>
  </si>
  <si>
    <t>Modèle</t>
  </si>
  <si>
    <t>Redevance du franchisé : 10% du CAHT</t>
  </si>
  <si>
    <t>An 3 et suiv.</t>
  </si>
  <si>
    <t xml:space="preserve">Total  CA du franchisé /an </t>
  </si>
  <si>
    <t>Estimation de CA (en enros) sur taux de remplissage des salles des franchisés</t>
  </si>
  <si>
    <t xml:space="preserve">Evolution du CA </t>
  </si>
  <si>
    <t>PPRS - Programme personnalisé de remise en santé ( cures)</t>
  </si>
  <si>
    <t>Abonnement soins clients</t>
  </si>
  <si>
    <t>Ateliers collectifs</t>
  </si>
  <si>
    <t>Ventes de Produits Tarae</t>
  </si>
  <si>
    <t>QVT - Accompagnement collaborateurs</t>
  </si>
  <si>
    <t>Logiciel  de réservation de salles (cf. présentation Khépri santé)</t>
  </si>
  <si>
    <t>Logiciel de calcul visiapy (cf. présentation Khépri santé)</t>
  </si>
  <si>
    <t>Logiciel de remise en santé (cf. présentation Khépri santé)</t>
  </si>
  <si>
    <t>Formation et conseil aux entreprises  - Santé au travail</t>
  </si>
  <si>
    <t xml:space="preserve">Activité </t>
  </si>
  <si>
    <t>obligatoire</t>
  </si>
  <si>
    <t>facultative</t>
  </si>
  <si>
    <t>Montant des formations facturées</t>
  </si>
  <si>
    <t>An 2 et suiv.</t>
  </si>
  <si>
    <t>Total CA Formations franchisés</t>
  </si>
  <si>
    <t>Année création</t>
  </si>
  <si>
    <t>Sous total CA - Activités obligatoires</t>
  </si>
  <si>
    <t>Estimation de CA (en euros) / Activités obligatoires</t>
  </si>
  <si>
    <t xml:space="preserve"> ==&gt; SE REPORTER AUX STATISTIQUES DU LOGICIEL DE RESERVATION DE SALLES</t>
  </si>
  <si>
    <t xml:space="preserve">    ==&gt;  Co Working Siège  (reste dans le prévisionnel de KHEPRI FORMATION SAS pour l'instant)</t>
  </si>
  <si>
    <t xml:space="preserve">Redevance payée au franchiseur (ces calculs sont incorporés dans le prévisionnel de KHEPRI SANTE SAS) </t>
  </si>
  <si>
    <t>Prévision de CA pour l'accompagnement individuel des collaborateurs d'entreprises</t>
  </si>
  <si>
    <t>Clients</t>
  </si>
  <si>
    <t>CA</t>
  </si>
  <si>
    <t>Entreprise 1</t>
  </si>
  <si>
    <t>Entreprise 2</t>
  </si>
  <si>
    <t>Particuliers</t>
  </si>
  <si>
    <t>Formation sur mesure / personne ==&gt; formation / 1 jour : 2132 €</t>
  </si>
  <si>
    <t>Bilan de compétence ==&gt; 4 jours ==&gt; 530 € X 4 jours ==&gt; 2120 €</t>
  </si>
  <si>
    <t>Journée formation /module ==&gt; 1 jour ==&gt; 320 €</t>
  </si>
  <si>
    <t xml:space="preserve">Formation des Franchisés </t>
  </si>
  <si>
    <t>Commentaires</t>
  </si>
  <si>
    <t>CA 2019 = 175 k€</t>
  </si>
  <si>
    <t>CA 2020 = 113 k€</t>
  </si>
  <si>
    <t>Structure du CA Co Working Siège</t>
  </si>
  <si>
    <t xml:space="preserve">   ==&gt; Avant Covid  ==&gt; taux de remplissage 70%</t>
  </si>
  <si>
    <t xml:space="preserve">  ==&gt; Confinement Covid ==&gt; baisse du CA de 32%  ==&gt; taux de remplissage 45,20%</t>
  </si>
  <si>
    <t>CA 2023 = 180 k€</t>
  </si>
  <si>
    <r>
      <rPr>
        <b/>
        <sz val="11"/>
        <color theme="1"/>
        <rFont val="Calibri"/>
        <family val="2"/>
        <scheme val="minor"/>
      </rPr>
      <t>CA 2021 = 157 k€ sur 16 mois car clôture au 31/12 2021</t>
    </r>
    <r>
      <rPr>
        <sz val="11"/>
        <color theme="1"/>
        <rFont val="Calibri"/>
        <family val="2"/>
        <scheme val="minor"/>
      </rPr>
      <t xml:space="preserve">, soit un CA de 116 k€ sur 12 mois. </t>
    </r>
  </si>
  <si>
    <t xml:space="preserve">  ==&gt; taux de remplissage 47,20%  ==&gt; reprise lente ==&gt; Covid : confinement partiel et couvre feu</t>
  </si>
  <si>
    <t xml:space="preserve">  ==&gt; taux de remplissage 72% ==&gt;  avec un salaire  brut de 1800 €, l'unique activité de Co working permet d'atteindre le point mort</t>
  </si>
  <si>
    <t>CA 2024 = 190 k€</t>
  </si>
  <si>
    <t>CA 2025 = 200  k€</t>
  </si>
  <si>
    <t xml:space="preserve">  ==&gt; taux de remplissage 80 % </t>
  </si>
  <si>
    <t>CA 2022 = 170 k€</t>
  </si>
  <si>
    <t xml:space="preserve">  ==&gt; taux de remplissage 76%</t>
  </si>
  <si>
    <t xml:space="preserve"> ==&gt; dans cette période le tarif horaire est passé de 18 € ttc à 14,50 €</t>
  </si>
  <si>
    <t xml:space="preserve"> ==&gt; le tarif horaire actuel est de 16,50 € </t>
  </si>
  <si>
    <t xml:space="preserve">  ==&gt; taux de remplissage 68% ==&gt; le tarif horaire à compter du 01 janvier 2022 sera de 17 € ttc</t>
  </si>
  <si>
    <t>30 % marge sur toutes les formations :</t>
  </si>
  <si>
    <t>Px R formateur : 245€/jr</t>
  </si>
  <si>
    <t>Px vente : 320€/jr</t>
  </si>
  <si>
    <t>Px R coaching ou formation ou bilan compétence : 1640€/jr</t>
  </si>
  <si>
    <t>Px Vente : 2132€/jr</t>
  </si>
  <si>
    <t>(1)</t>
  </si>
  <si>
    <t xml:space="preserve">RECAPITULATIF CA FORMATION SIEGE </t>
  </si>
  <si>
    <t xml:space="preserve">DESIGNATION </t>
  </si>
  <si>
    <t>Formation aux entreprises</t>
  </si>
  <si>
    <t xml:space="preserve">Total Formation Siège </t>
  </si>
  <si>
    <t>Formation Webinaire/conférences</t>
  </si>
  <si>
    <t xml:space="preserve"> ==&gt; arrivée des médecins en 2022 </t>
  </si>
  <si>
    <t>BUSINESS MODEL DU CO WORKING</t>
  </si>
  <si>
    <t>BUSINESS MODEL QUALITE DE VIE AU TRAVAIL (QVT)</t>
  </si>
  <si>
    <t>BUSINESS MODEL FORMATION</t>
  </si>
  <si>
    <t>Estimation de CA du Franchisé</t>
  </si>
  <si>
    <t>BUSINESS MODEL REDEVANCE FRANCHISE</t>
  </si>
  <si>
    <t>Redevance</t>
  </si>
  <si>
    <t>Activité de réservation de salle Nogent</t>
  </si>
  <si>
    <t>Modèle existant - Nogent :</t>
  </si>
  <si>
    <t>Business model existant Nogent décliné aux Franchisés pour détermination du Business Model 2 :</t>
  </si>
  <si>
    <t>BM 1 - NOGENT - Activité Co-working - Activité KHEPRI FORMATION - Activité existante</t>
  </si>
  <si>
    <t>KHEPRI                             SANTE</t>
  </si>
  <si>
    <t>KHEPRI        INVEST</t>
  </si>
  <si>
    <t>Formation</t>
  </si>
  <si>
    <t>Franchise</t>
  </si>
  <si>
    <t>Holding</t>
  </si>
  <si>
    <t>Activités</t>
  </si>
  <si>
    <t>BM 2 - FRANCHISES - Co-working + autres activités</t>
  </si>
  <si>
    <t>FOCUS CA Formation dispensée aux franchisés :</t>
  </si>
  <si>
    <t>Début au 2nd semestre 2022</t>
  </si>
  <si>
    <t>BM 3 / Formation</t>
  </si>
  <si>
    <t>Cf. Focus ci-dessous</t>
  </si>
  <si>
    <t>Nb consultations par client</t>
  </si>
  <si>
    <t>Population cible estimée</t>
  </si>
  <si>
    <t>%</t>
  </si>
  <si>
    <t>Taux de transformation      (part de marché  KHEPRI estimée)</t>
  </si>
  <si>
    <t>Nb</t>
  </si>
  <si>
    <t>Nb total de consultations</t>
  </si>
  <si>
    <t>Quote-part d'honoraires acquise à KHEPRI SANTE</t>
  </si>
  <si>
    <t>(i)</t>
  </si>
  <si>
    <t>(ii)</t>
  </si>
  <si>
    <t>BM 3 - Formation</t>
  </si>
  <si>
    <t>BM 4 - Qualité de Vie au Travail</t>
  </si>
  <si>
    <t>Nb de mois</t>
  </si>
  <si>
    <t>Honoraires de formation</t>
  </si>
  <si>
    <t>Honoraires de consultation</t>
  </si>
  <si>
    <t>CHARGES :</t>
  </si>
  <si>
    <t>PRODUITS :</t>
  </si>
  <si>
    <t>total achats  ( charges de sous-traitance)</t>
  </si>
  <si>
    <t>Diagnostic franchiseur (Axe Réseau)</t>
  </si>
  <si>
    <t>BM 3 - Formation (sous traitance Formateur 30% du CA)</t>
  </si>
  <si>
    <t>Certification Qualiopi</t>
  </si>
  <si>
    <t>SITE WEB</t>
  </si>
  <si>
    <t>BM 3 - Formation (site Web) ET Qualiopi</t>
  </si>
  <si>
    <t>Site Web Khépri Santé</t>
  </si>
  <si>
    <t>BM 2 - FRANCHISES -Logiciels et honoraires Réseau</t>
  </si>
  <si>
    <t>BM 4 - Qualité de Vie au Travail - Evelyne</t>
  </si>
  <si>
    <t>Logiciel de remise en santé (Khépri santé)</t>
  </si>
  <si>
    <t>Honoraires (Khépri Santé)</t>
  </si>
  <si>
    <t>EMPLOIS</t>
  </si>
  <si>
    <t>Effectif de l'Entreprise cliente</t>
  </si>
  <si>
    <t>Capacité d'Auto-Financement :</t>
  </si>
  <si>
    <t>- Résultats comptables</t>
  </si>
  <si>
    <t>- Amortissements des immobilisations</t>
  </si>
  <si>
    <t>Trésorerie de début de période</t>
  </si>
  <si>
    <t>C.A.F.</t>
  </si>
  <si>
    <t>Total des ressources</t>
  </si>
  <si>
    <t>Augmentation du BFR</t>
  </si>
  <si>
    <t>Total des emplois</t>
  </si>
  <si>
    <t>Solde Ressources - Emplois</t>
  </si>
  <si>
    <t>(i) - (ii)</t>
  </si>
  <si>
    <t>Trésorerie de fin de période</t>
  </si>
  <si>
    <t>TRESORERIE GROUPE</t>
  </si>
  <si>
    <t>31/12/2020</t>
  </si>
  <si>
    <t>30/06/2021</t>
  </si>
  <si>
    <t>Total</t>
  </si>
  <si>
    <t>Capitaux empruntés :</t>
  </si>
  <si>
    <t>Niveau d'activité - Chiffre d'affaires</t>
  </si>
  <si>
    <t>Augmentation du chiffre d'affaires</t>
  </si>
  <si>
    <t>Montant au capital restant dû en fin de période :</t>
  </si>
  <si>
    <t>BNP</t>
  </si>
  <si>
    <t>12/05/2026</t>
  </si>
  <si>
    <t>Échéance</t>
  </si>
  <si>
    <t>Totaux</t>
  </si>
  <si>
    <t>Montant initial</t>
  </si>
  <si>
    <t>Cadrage du tableau avec la situation intermédiaire de KHEPRI Formation au 30/06/2021 :</t>
  </si>
  <si>
    <t>EMPRUNTS KHEPRI FORMATION</t>
  </si>
  <si>
    <t>Service de la dette : intérêts et assurances</t>
  </si>
  <si>
    <t>Les intérets dans la situation au 30/06/2021 ne sont pas passés d'où la difference entre 104 k€ et 103 k€.</t>
  </si>
  <si>
    <t>au 31/12/21</t>
  </si>
  <si>
    <t>2021 (16 mois)</t>
  </si>
  <si>
    <t>Co-working/remplissage de salles</t>
  </si>
  <si>
    <t>CA estimé pris en compte dans le business plan</t>
  </si>
  <si>
    <t>FOCUS SUR LA COMPOSITION DU CA DES FRANCHISES :</t>
  </si>
  <si>
    <t>Droits d'entrée</t>
  </si>
  <si>
    <t>Droit d'entrée du Franchisé</t>
  </si>
  <si>
    <t>Trésorerie de départ du Franchisé</t>
  </si>
  <si>
    <t>MODELE :</t>
  </si>
  <si>
    <t>TOTAL :</t>
  </si>
  <si>
    <t>Fonds d'amorçage en c/c Investisseur</t>
  </si>
  <si>
    <t>Apport Investisseur contre cession 70% du capital</t>
  </si>
  <si>
    <t>Total droits d'entrée et redevances annuelles</t>
  </si>
  <si>
    <t>(iii)</t>
  </si>
  <si>
    <t>(v) = (ii) x (iv)</t>
  </si>
  <si>
    <t>(iv) = (i) x (iii)</t>
  </si>
  <si>
    <t>€</t>
  </si>
  <si>
    <t>Redevance sur CA et Droits d'entrée</t>
  </si>
  <si>
    <t>CHARGES VARIABLES</t>
  </si>
  <si>
    <t>PPRS - Programme personnalisé de remise en santé ( cures) :</t>
  </si>
  <si>
    <t>MKT - Dépenses Corporate : marketing et publicité 2 000 € par mois</t>
  </si>
  <si>
    <t>MARKETING Marque</t>
  </si>
  <si>
    <t>Coût mensuel :</t>
  </si>
  <si>
    <t>Nombre de mois de développement</t>
  </si>
  <si>
    <t>Oct. --&gt; Déc.</t>
  </si>
  <si>
    <t>Janv. --&gt; Déc.</t>
  </si>
  <si>
    <t>Période</t>
  </si>
  <si>
    <t>Coût Marketing Marque (€)</t>
  </si>
  <si>
    <t>Chiffrage du projet  EONA  / Khepri Santé</t>
  </si>
  <si>
    <t>Adresse : 188 Grande rue Charles de Gaulle 94130 Nogent sur Marne</t>
  </si>
  <si>
    <t>COUTS DE STRUCTURE pour l'exercice 2021 (toutes structures confondues)</t>
  </si>
  <si>
    <t>COUTS DE STRUCTURE pour un mois en 2022 (toutes structures confondues)</t>
  </si>
  <si>
    <t>ANNUEL</t>
  </si>
  <si>
    <t>Affectation</t>
  </si>
  <si>
    <t>CHARGES FIXES POUR L'EXERCICE 2021</t>
  </si>
  <si>
    <t>CHARGES FIXES POUR UN MOIS</t>
  </si>
  <si>
    <t>Personnel</t>
  </si>
  <si>
    <t>Salaire directrice générale</t>
  </si>
  <si>
    <t>Salaire assistante administrative (Valérie Grelat)</t>
  </si>
  <si>
    <t>Salaire chargée de communication (Carole Fournaise)</t>
  </si>
  <si>
    <t>Salaire chargé marketing digital (temps partiel : 60 h/mois)</t>
  </si>
  <si>
    <t>Salaire business développeur (temps partiel : 60 h/mois)</t>
  </si>
  <si>
    <t>Salaire secretaire comptable (tps partiel : 75h/mois)</t>
  </si>
  <si>
    <t>Salaire assistante administrative (aide sylae) (Valérie Grelat)</t>
  </si>
  <si>
    <t>Salaires Informaticien (tps partiel : 60h/mois)</t>
  </si>
  <si>
    <t>Salaire chargée de communication (aide sylae) (Carole Fournaise)</t>
  </si>
  <si>
    <t>Charges sociales</t>
  </si>
  <si>
    <t>Salaire marketing digital (temps partiel : 60 h/mois)</t>
  </si>
  <si>
    <t>Salaire secretaire comptable (temps partiel : 75h/mois)</t>
  </si>
  <si>
    <t>Salaire assistante de direction (temps partiel : 75h/mois)</t>
  </si>
  <si>
    <t>Achats / Founitures diverses</t>
  </si>
  <si>
    <t>Energie (électricité….)</t>
  </si>
  <si>
    <t>excercice de 16 mois</t>
  </si>
  <si>
    <t>Consommables ( f. bureau  Hygiène &amp; nettoyage …)</t>
  </si>
  <si>
    <t>Consommables ( fourn.de bureau et fourn. Hygiène nettoyage …)</t>
  </si>
  <si>
    <t xml:space="preserve">Services extérieurs et autres charges </t>
  </si>
  <si>
    <t xml:space="preserve">Assurances </t>
  </si>
  <si>
    <t>Honoraires juridiques et comptables</t>
  </si>
  <si>
    <t>Honoraires comptables</t>
  </si>
  <si>
    <t>Locations immobiliéres (charges comprises)</t>
  </si>
  <si>
    <t>Locations immobilières 2 et 4e étages (charges comprises)</t>
  </si>
  <si>
    <t>Téléphone / internet</t>
  </si>
  <si>
    <t>Autres charges (sous traitance et maintenance)</t>
  </si>
  <si>
    <t>Impôts</t>
  </si>
  <si>
    <t>CFE / CVAE</t>
  </si>
  <si>
    <t>Autres Frais géneraux</t>
  </si>
  <si>
    <t xml:space="preserve">Dotations Amortissements </t>
  </si>
  <si>
    <t>Intérêts sur emprunts</t>
  </si>
  <si>
    <t>Intérets sur emprunts</t>
  </si>
  <si>
    <t>Contrôle :</t>
  </si>
  <si>
    <t>Résultat par entité</t>
  </si>
  <si>
    <t>Charges Fixes</t>
  </si>
  <si>
    <t>BM 2 - Franchise</t>
  </si>
  <si>
    <t>BM 1 - Co-working</t>
  </si>
  <si>
    <t>MKT - Dépenses de Marketing Marque</t>
  </si>
  <si>
    <t>Loyers et Taxe Foncière</t>
  </si>
  <si>
    <t>Trésorerie &amp; Emprunts</t>
  </si>
  <si>
    <t>Comptes Intragroupes</t>
  </si>
  <si>
    <t>Charges</t>
  </si>
  <si>
    <t>Trésorerie</t>
  </si>
  <si>
    <t>Résultat</t>
  </si>
  <si>
    <t>Besoins de financement</t>
  </si>
  <si>
    <t>INDEX des tableaux</t>
  </si>
  <si>
    <t>CA estimé 2021</t>
  </si>
  <si>
    <t>Co-working</t>
  </si>
  <si>
    <t>De Septembre 2020 à Juin 2021</t>
  </si>
  <si>
    <t>Remboursement de c/c - Dividendes</t>
  </si>
  <si>
    <t>PRÊT D'HONNEUR</t>
  </si>
  <si>
    <t>10/03/2024</t>
  </si>
  <si>
    <t>France Active 94</t>
  </si>
  <si>
    <t>Remboursement des emprunts bancaires (KHEPRI Formation)</t>
  </si>
  <si>
    <t>Remboursement des BSA "Air" (KHEPRI Invest)</t>
  </si>
  <si>
    <t>Remboursement d'un prêt d'honneur (KHEPRI Formation)</t>
  </si>
  <si>
    <t>Remboursement c/c Evelyne Révellat (KHEPRI Invest)</t>
  </si>
  <si>
    <t>Amorçage</t>
  </si>
  <si>
    <t>BM2 - Franchise</t>
  </si>
  <si>
    <t>BM3 - Formation - Site Web et Caliopi</t>
  </si>
  <si>
    <t>MKT -Investissement Marketing Marque</t>
  </si>
  <si>
    <t>FOCUS PREMIERE ANNEE 2021</t>
  </si>
  <si>
    <t>Désintéresse-ment des  porteurs de BSA</t>
  </si>
  <si>
    <t>Récurrent Pro Forma</t>
  </si>
  <si>
    <t>TOTAL           16 mois</t>
  </si>
  <si>
    <t>TOTAL              4 T 2021</t>
  </si>
  <si>
    <t>Tableau de financement Equilibré</t>
  </si>
  <si>
    <t>Tableau de financement Besoins</t>
  </si>
  <si>
    <t>Dividendes</t>
  </si>
  <si>
    <t>TABLEAU DE FINANCEMENT - BESOINS</t>
  </si>
  <si>
    <t>TABLEAU DE FINANCEMENT EQUILIBRE</t>
  </si>
  <si>
    <t>CA ESTIME 2021</t>
  </si>
  <si>
    <t>Chiffre d'affaires</t>
  </si>
  <si>
    <t>Logiciel de calcul QVT (Khépri santé)</t>
  </si>
  <si>
    <t>OK GL vu</t>
  </si>
  <si>
    <t xml:space="preserve">31/08/2020 </t>
  </si>
  <si>
    <t>08/09/2020 - Il s'agirait d'un deuxième achat de matériel HEALY au premier semestre 2021 --&gt; Confirmé avec Evelyne</t>
  </si>
  <si>
    <t>Cf. Logiciel QVT en BM2 - Franchise</t>
  </si>
  <si>
    <t>Montant du CA estimé (1 client Entreprise catégorie 1) :</t>
  </si>
  <si>
    <t>19 K€ par an retenu</t>
  </si>
  <si>
    <t>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</si>
</sst>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\ _€_-;\-* #,##0\ _€_-;_-* &quot;-&quot;\ _€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#,##0.00\ _€"/>
    <numFmt numFmtId="166" formatCode="#,##0.00\ [$€-1]"/>
    <numFmt numFmtId="167" formatCode="#,##0\ _€"/>
    <numFmt numFmtId="168" formatCode="#,##0\ &quot;€&quot;"/>
    <numFmt numFmtId="169" formatCode="#,##0.00&quot; €&quot;"/>
    <numFmt numFmtId="170" formatCode="#,##0&quot; €&quot;"/>
    <numFmt numFmtId="171" formatCode="_-* #,##0\ _€_-;\-* #,##0\ _€_-;_-* &quot;-&quot;??\ _€_-;_-@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9"/>
      <color theme="1"/>
      <name val="Calibri"/>
      <family val="2"/>
      <scheme val="minor"/>
    </font>
    <font>
      <b/>
      <i/>
      <u/>
      <sz val="10"/>
      <color theme="1"/>
      <name val="Arial Narrow"/>
      <family val="2"/>
    </font>
    <font>
      <b/>
      <u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10"/>
      <color theme="1"/>
      <name val="Arial Narrow"/>
      <family val="2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theme="1"/>
      <name val="Arial Narrow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theme="1"/>
      <name val="Verdana"/>
      <family val="2"/>
    </font>
    <font>
      <sz val="9"/>
      <name val="Arial"/>
      <family val="2"/>
    </font>
    <font>
      <b/>
      <sz val="10"/>
      <color theme="1"/>
      <name val="Verdana"/>
      <family val="2"/>
    </font>
    <font>
      <b/>
      <sz val="18"/>
      <color theme="1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9"/>
      <color rgb="FFFFFFFF"/>
      <name val="Verdana"/>
      <family val="2"/>
    </font>
    <font>
      <sz val="10"/>
      <color rgb="FFFFFFFF"/>
      <name val="Verdana"/>
      <family val="2"/>
    </font>
    <font>
      <b/>
      <sz val="10"/>
      <color rgb="FFFFFFFF"/>
      <name val="Verdana"/>
      <family val="2"/>
    </font>
    <font>
      <b/>
      <sz val="8"/>
      <color theme="1"/>
      <name val="Verdana"/>
      <family val="2"/>
    </font>
    <font>
      <sz val="8"/>
      <color rgb="FFFFFFFF"/>
      <name val="Verdana"/>
      <family val="2"/>
    </font>
    <font>
      <sz val="7"/>
      <color rgb="FF000000"/>
      <name val="Verdana"/>
      <family val="2"/>
    </font>
    <font>
      <sz val="8"/>
      <color rgb="FF000000"/>
      <name val="Verdana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12"/>
      <color rgb="FFDD0806"/>
      <name val="Calibri"/>
      <family val="2"/>
    </font>
    <font>
      <sz val="6"/>
      <color rgb="FF000000"/>
      <name val="Verdana"/>
      <family val="2"/>
    </font>
    <font>
      <sz val="8"/>
      <color rgb="FFFF0000"/>
      <name val="Arial"/>
      <family val="2"/>
    </font>
    <font>
      <sz val="8"/>
      <color theme="1"/>
      <name val="Verdana"/>
      <family val="2"/>
    </font>
    <font>
      <sz val="7"/>
      <color theme="1"/>
      <name val="Verdana"/>
      <family val="2"/>
    </font>
    <font>
      <b/>
      <sz val="7"/>
      <color theme="1"/>
      <name val="Verdana"/>
      <family val="2"/>
    </font>
    <font>
      <sz val="6"/>
      <color theme="1"/>
      <name val="Calibri"/>
      <family val="2"/>
      <scheme val="minor"/>
    </font>
    <font>
      <i/>
      <sz val="7"/>
      <color rgb="FF0000FF"/>
      <name val="Arial"/>
      <family val="2"/>
    </font>
    <font>
      <i/>
      <sz val="8"/>
      <color rgb="FF0000FF"/>
      <name val="Verdana"/>
      <family val="2"/>
    </font>
    <font>
      <i/>
      <sz val="8"/>
      <color rgb="FF0000FF"/>
      <name val="Arial"/>
      <family val="2"/>
    </font>
    <font>
      <b/>
      <sz val="8"/>
      <color rgb="FF000000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0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rgb="FFFFC0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A58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A58D"/>
      </bottom>
      <diagonal/>
    </border>
    <border>
      <left style="thin">
        <color indexed="64"/>
      </left>
      <right/>
      <top style="thin">
        <color indexed="64"/>
      </top>
      <bottom style="thin">
        <color rgb="FF00A58D"/>
      </bottom>
      <diagonal/>
    </border>
    <border>
      <left/>
      <right/>
      <top style="thin">
        <color indexed="64"/>
      </top>
      <bottom style="thin">
        <color rgb="FF00A58D"/>
      </bottom>
      <diagonal/>
    </border>
    <border>
      <left style="thin">
        <color indexed="64"/>
      </left>
      <right/>
      <top style="thin">
        <color rgb="FF00A58D"/>
      </top>
      <bottom style="thin">
        <color rgb="FF00A58D"/>
      </bottom>
      <diagonal/>
    </border>
    <border>
      <left style="thin">
        <color indexed="64"/>
      </left>
      <right/>
      <top style="thin">
        <color rgb="FF00A58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0" fillId="2" borderId="0" xfId="0" applyFill="1"/>
    <xf numFmtId="164" fontId="0" fillId="0" borderId="0" xfId="1" applyNumberFormat="1" applyFont="1"/>
    <xf numFmtId="164" fontId="0" fillId="0" borderId="0" xfId="0" applyNumberFormat="1"/>
    <xf numFmtId="164" fontId="0" fillId="3" borderId="0" xfId="0" applyNumberFormat="1" applyFill="1"/>
    <xf numFmtId="164" fontId="0" fillId="3" borderId="0" xfId="1" applyNumberFormat="1" applyFont="1" applyFill="1"/>
    <xf numFmtId="0" fontId="0" fillId="3" borderId="0" xfId="0" applyFill="1" applyAlignment="1">
      <alignment horizontal="right"/>
    </xf>
    <xf numFmtId="0" fontId="2" fillId="3" borderId="0" xfId="0" applyFont="1" applyFill="1"/>
    <xf numFmtId="164" fontId="2" fillId="3" borderId="0" xfId="0" applyNumberFormat="1" applyFont="1" applyFill="1"/>
    <xf numFmtId="0" fontId="2" fillId="0" borderId="1" xfId="0" applyFont="1" applyBorder="1" applyAlignment="1">
      <alignment horizontal="center"/>
    </xf>
    <xf numFmtId="0" fontId="0" fillId="0" borderId="0" xfId="0" applyFill="1"/>
    <xf numFmtId="164" fontId="0" fillId="0" borderId="0" xfId="1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Fill="1"/>
    <xf numFmtId="164" fontId="0" fillId="0" borderId="0" xfId="0" applyNumberFormat="1" applyFill="1"/>
    <xf numFmtId="164" fontId="2" fillId="0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Border="1"/>
    <xf numFmtId="0" fontId="0" fillId="0" borderId="4" xfId="0" applyBorder="1"/>
    <xf numFmtId="164" fontId="0" fillId="0" borderId="0" xfId="0" applyNumberFormat="1" applyBorder="1"/>
    <xf numFmtId="164" fontId="2" fillId="3" borderId="0" xfId="0" applyNumberFormat="1" applyFont="1" applyFill="1" applyBorder="1"/>
    <xf numFmtId="164" fontId="0" fillId="3" borderId="0" xfId="0" applyNumberFormat="1" applyFill="1" applyBorder="1"/>
    <xf numFmtId="164" fontId="0" fillId="0" borderId="0" xfId="1" applyNumberFormat="1" applyFont="1" applyBorder="1"/>
    <xf numFmtId="164" fontId="0" fillId="3" borderId="0" xfId="1" applyNumberFormat="1" applyFont="1" applyFill="1" applyBorder="1"/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0" fillId="0" borderId="8" xfId="0" applyBorder="1"/>
    <xf numFmtId="164" fontId="0" fillId="0" borderId="8" xfId="0" applyNumberFormat="1" applyBorder="1"/>
    <xf numFmtId="164" fontId="2" fillId="3" borderId="8" xfId="0" applyNumberFormat="1" applyFont="1" applyFill="1" applyBorder="1"/>
    <xf numFmtId="164" fontId="0" fillId="3" borderId="8" xfId="0" applyNumberFormat="1" applyFill="1" applyBorder="1"/>
    <xf numFmtId="164" fontId="0" fillId="0" borderId="8" xfId="1" applyNumberFormat="1" applyFont="1" applyBorder="1"/>
    <xf numFmtId="164" fontId="0" fillId="3" borderId="8" xfId="1" applyNumberFormat="1" applyFont="1" applyFill="1" applyBorder="1"/>
    <xf numFmtId="0" fontId="0" fillId="0" borderId="9" xfId="0" applyBorder="1"/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164" fontId="0" fillId="0" borderId="16" xfId="0" applyNumberFormat="1" applyBorder="1"/>
    <xf numFmtId="164" fontId="2" fillId="3" borderId="16" xfId="0" applyNumberFormat="1" applyFont="1" applyFill="1" applyBorder="1"/>
    <xf numFmtId="164" fontId="0" fillId="3" borderId="16" xfId="0" applyNumberFormat="1" applyFill="1" applyBorder="1"/>
    <xf numFmtId="164" fontId="0" fillId="0" borderId="16" xfId="1" applyNumberFormat="1" applyFont="1" applyBorder="1"/>
    <xf numFmtId="164" fontId="0" fillId="3" borderId="16" xfId="1" applyNumberFormat="1" applyFont="1" applyFill="1" applyBorder="1"/>
    <xf numFmtId="0" fontId="0" fillId="0" borderId="17" xfId="0" applyBorder="1"/>
    <xf numFmtId="0" fontId="2" fillId="5" borderId="0" xfId="0" applyFont="1" applyFill="1" applyAlignment="1">
      <alignment horizontal="right"/>
    </xf>
    <xf numFmtId="164" fontId="2" fillId="5" borderId="8" xfId="0" applyNumberFormat="1" applyFont="1" applyFill="1" applyBorder="1"/>
    <xf numFmtId="164" fontId="2" fillId="5" borderId="0" xfId="0" applyNumberFormat="1" applyFont="1" applyFill="1" applyBorder="1"/>
    <xf numFmtId="16" fontId="7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2" fillId="3" borderId="0" xfId="0" applyFont="1" applyFill="1" applyAlignment="1">
      <alignment horizontal="right"/>
    </xf>
    <xf numFmtId="0" fontId="2" fillId="0" borderId="0" xfId="0" applyFont="1" applyBorder="1"/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right"/>
    </xf>
    <xf numFmtId="165" fontId="0" fillId="0" borderId="0" xfId="0" applyNumberFormat="1"/>
    <xf numFmtId="0" fontId="0" fillId="0" borderId="0" xfId="0" applyAlignment="1">
      <alignment horizontal="right"/>
    </xf>
    <xf numFmtId="165" fontId="2" fillId="0" borderId="0" xfId="0" applyNumberFormat="1" applyFo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0" fillId="0" borderId="0" xfId="0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20" xfId="0" applyNumberFormat="1" applyBorder="1"/>
    <xf numFmtId="165" fontId="2" fillId="0" borderId="16" xfId="0" applyNumberFormat="1" applyFont="1" applyBorder="1"/>
    <xf numFmtId="165" fontId="2" fillId="0" borderId="20" xfId="0" applyNumberFormat="1" applyFont="1" applyBorder="1"/>
    <xf numFmtId="2" fontId="0" fillId="0" borderId="0" xfId="0" applyNumberFormat="1" applyAlignment="1">
      <alignment horizontal="center"/>
    </xf>
    <xf numFmtId="165" fontId="0" fillId="0" borderId="10" xfId="0" applyNumberFormat="1" applyBorder="1"/>
    <xf numFmtId="165" fontId="2" fillId="0" borderId="11" xfId="0" applyNumberFormat="1" applyFont="1" applyBorder="1"/>
    <xf numFmtId="165" fontId="2" fillId="0" borderId="12" xfId="0" applyNumberFormat="1" applyFont="1" applyBorder="1"/>
    <xf numFmtId="165" fontId="2" fillId="0" borderId="13" xfId="0" applyNumberFormat="1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/>
    </xf>
    <xf numFmtId="165" fontId="0" fillId="0" borderId="16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4" borderId="16" xfId="0" applyNumberFormat="1" applyFill="1" applyBorder="1"/>
    <xf numFmtId="165" fontId="0" fillId="4" borderId="0" xfId="0" applyNumberFormat="1" applyFill="1"/>
    <xf numFmtId="165" fontId="0" fillId="4" borderId="20" xfId="0" applyNumberFormat="1" applyFill="1" applyBorder="1"/>
    <xf numFmtId="2" fontId="0" fillId="0" borderId="0" xfId="0" applyNumberFormat="1"/>
    <xf numFmtId="0" fontId="0" fillId="0" borderId="18" xfId="0" applyBorder="1"/>
    <xf numFmtId="0" fontId="2" fillId="0" borderId="13" xfId="0" applyFont="1" applyBorder="1"/>
    <xf numFmtId="0" fontId="0" fillId="0" borderId="14" xfId="0" applyBorder="1"/>
    <xf numFmtId="165" fontId="0" fillId="0" borderId="18" xfId="0" applyNumberFormat="1" applyBorder="1"/>
    <xf numFmtId="165" fontId="2" fillId="0" borderId="18" xfId="0" applyNumberFormat="1" applyFont="1" applyBorder="1"/>
    <xf numFmtId="165" fontId="2" fillId="0" borderId="10" xfId="0" applyNumberFormat="1" applyFont="1" applyBorder="1"/>
    <xf numFmtId="165" fontId="2" fillId="0" borderId="1" xfId="0" applyNumberFormat="1" applyFont="1" applyBorder="1"/>
    <xf numFmtId="165" fontId="11" fillId="0" borderId="12" xfId="0" applyNumberFormat="1" applyFont="1" applyBorder="1"/>
    <xf numFmtId="10" fontId="12" fillId="0" borderId="1" xfId="0" applyNumberFormat="1" applyFont="1" applyBorder="1"/>
    <xf numFmtId="10" fontId="0" fillId="0" borderId="19" xfId="0" applyNumberFormat="1" applyBorder="1"/>
    <xf numFmtId="10" fontId="0" fillId="0" borderId="0" xfId="0" applyNumberFormat="1"/>
    <xf numFmtId="0" fontId="2" fillId="5" borderId="13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0" fillId="0" borderId="20" xfId="0" applyBorder="1"/>
    <xf numFmtId="164" fontId="0" fillId="0" borderId="20" xfId="0" applyNumberFormat="1" applyBorder="1"/>
    <xf numFmtId="164" fontId="2" fillId="3" borderId="20" xfId="0" applyNumberFormat="1" applyFont="1" applyFill="1" applyBorder="1"/>
    <xf numFmtId="164" fontId="0" fillId="3" borderId="20" xfId="0" applyNumberFormat="1" applyFill="1" applyBorder="1"/>
    <xf numFmtId="164" fontId="0" fillId="0" borderId="20" xfId="1" applyNumberFormat="1" applyFont="1" applyBorder="1"/>
    <xf numFmtId="164" fontId="0" fillId="3" borderId="20" xfId="1" applyNumberFormat="1" applyFont="1" applyFill="1" applyBorder="1"/>
    <xf numFmtId="164" fontId="2" fillId="5" borderId="16" xfId="0" applyNumberFormat="1" applyFont="1" applyFill="1" applyBorder="1"/>
    <xf numFmtId="164" fontId="2" fillId="5" borderId="20" xfId="0" applyNumberFormat="1" applyFont="1" applyFill="1" applyBorder="1"/>
    <xf numFmtId="0" fontId="0" fillId="0" borderId="19" xfId="0" applyBorder="1"/>
    <xf numFmtId="0" fontId="8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22" fillId="0" borderId="5" xfId="0" applyFont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6" fontId="26" fillId="0" borderId="0" xfId="0" applyNumberFormat="1" applyFont="1" applyBorder="1" applyAlignment="1">
      <alignment horizontal="center"/>
    </xf>
    <xf numFmtId="166" fontId="28" fillId="0" borderId="0" xfId="0" applyNumberFormat="1" applyFont="1" applyBorder="1" applyAlignment="1">
      <alignment horizontal="center"/>
    </xf>
    <xf numFmtId="0" fontId="29" fillId="0" borderId="0" xfId="0" applyFont="1" applyFill="1" applyAlignment="1">
      <alignment horizontal="left" vertical="center"/>
    </xf>
    <xf numFmtId="166" fontId="28" fillId="0" borderId="0" xfId="0" applyNumberFormat="1" applyFont="1" applyFill="1" applyBorder="1" applyAlignment="1">
      <alignment horizontal="center"/>
    </xf>
    <xf numFmtId="0" fontId="26" fillId="0" borderId="0" xfId="0" applyFont="1" applyBorder="1" applyAlignment="1">
      <alignment horizontal="left" wrapText="1"/>
    </xf>
    <xf numFmtId="0" fontId="25" fillId="0" borderId="0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left" vertical="center"/>
    </xf>
    <xf numFmtId="0" fontId="30" fillId="0" borderId="0" xfId="0" applyFont="1" applyAlignment="1">
      <alignment wrapText="1"/>
    </xf>
    <xf numFmtId="0" fontId="31" fillId="7" borderId="0" xfId="0" applyFont="1" applyFill="1" applyBorder="1" applyAlignment="1">
      <alignment vertical="center"/>
    </xf>
    <xf numFmtId="0" fontId="33" fillId="0" borderId="0" xfId="0" applyFont="1"/>
    <xf numFmtId="0" fontId="8" fillId="0" borderId="0" xfId="0" applyFont="1"/>
    <xf numFmtId="0" fontId="30" fillId="0" borderId="0" xfId="0" applyFont="1" applyAlignment="1">
      <alignment horizontal="center" wrapText="1"/>
    </xf>
    <xf numFmtId="164" fontId="4" fillId="0" borderId="0" xfId="0" applyNumberFormat="1" applyFont="1"/>
    <xf numFmtId="0" fontId="0" fillId="10" borderId="0" xfId="0" applyFill="1"/>
    <xf numFmtId="0" fontId="4" fillId="10" borderId="0" xfId="0" applyFont="1" applyFill="1"/>
    <xf numFmtId="0" fontId="0" fillId="0" borderId="26" xfId="0" applyBorder="1"/>
    <xf numFmtId="0" fontId="19" fillId="11" borderId="23" xfId="0" applyFont="1" applyFill="1" applyBorder="1" applyAlignment="1">
      <alignment vertical="center"/>
    </xf>
    <xf numFmtId="0" fontId="20" fillId="11" borderId="2" xfId="0" applyFont="1" applyFill="1" applyBorder="1" applyAlignment="1">
      <alignment vertical="center"/>
    </xf>
    <xf numFmtId="0" fontId="20" fillId="11" borderId="3" xfId="0" applyFont="1" applyFill="1" applyBorder="1" applyAlignment="1">
      <alignment vertical="center"/>
    </xf>
    <xf numFmtId="0" fontId="19" fillId="11" borderId="28" xfId="0" applyFont="1" applyFill="1" applyBorder="1" applyAlignment="1">
      <alignment vertical="center"/>
    </xf>
    <xf numFmtId="0" fontId="20" fillId="11" borderId="0" xfId="0" applyFont="1" applyFill="1" applyBorder="1" applyAlignment="1">
      <alignment vertical="center"/>
    </xf>
    <xf numFmtId="0" fontId="20" fillId="11" borderId="4" xfId="0" applyFont="1" applyFill="1" applyBorder="1" applyAlignment="1">
      <alignment vertical="center"/>
    </xf>
    <xf numFmtId="0" fontId="19" fillId="11" borderId="24" xfId="0" applyFont="1" applyFill="1" applyBorder="1" applyAlignment="1">
      <alignment vertical="center"/>
    </xf>
    <xf numFmtId="0" fontId="20" fillId="11" borderId="5" xfId="0" applyFont="1" applyFill="1" applyBorder="1" applyAlignment="1">
      <alignment vertical="center"/>
    </xf>
    <xf numFmtId="0" fontId="20" fillId="11" borderId="6" xfId="0" applyFont="1" applyFill="1" applyBorder="1" applyAlignment="1">
      <alignment vertical="center"/>
    </xf>
    <xf numFmtId="165" fontId="0" fillId="5" borderId="0" xfId="0" applyNumberFormat="1" applyFill="1"/>
    <xf numFmtId="0" fontId="0" fillId="5" borderId="0" xfId="0" applyFill="1"/>
    <xf numFmtId="164" fontId="0" fillId="0" borderId="0" xfId="1" applyNumberFormat="1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vertical="top"/>
    </xf>
    <xf numFmtId="0" fontId="33" fillId="0" borderId="0" xfId="0" applyFont="1" applyAlignment="1">
      <alignment vertical="top"/>
    </xf>
    <xf numFmtId="0" fontId="32" fillId="0" borderId="0" xfId="0" applyFont="1" applyAlignment="1">
      <alignment vertical="top" wrapText="1"/>
    </xf>
    <xf numFmtId="0" fontId="19" fillId="7" borderId="22" xfId="0" applyFont="1" applyFill="1" applyBorder="1" applyAlignment="1">
      <alignment horizontal="center" vertical="center"/>
    </xf>
    <xf numFmtId="0" fontId="0" fillId="0" borderId="22" xfId="0" applyBorder="1"/>
    <xf numFmtId="0" fontId="24" fillId="0" borderId="0" xfId="0" applyFont="1" applyFill="1" applyBorder="1" applyAlignment="1">
      <alignment vertical="center" wrapText="1"/>
    </xf>
    <xf numFmtId="166" fontId="24" fillId="0" borderId="0" xfId="0" applyNumberFormat="1" applyFont="1" applyFill="1" applyBorder="1" applyAlignment="1">
      <alignment vertical="center" wrapText="1"/>
    </xf>
    <xf numFmtId="0" fontId="22" fillId="0" borderId="0" xfId="0" applyFont="1" applyAlignment="1"/>
    <xf numFmtId="0" fontId="16" fillId="0" borderId="25" xfId="0" applyFont="1" applyBorder="1"/>
    <xf numFmtId="164" fontId="0" fillId="0" borderId="26" xfId="0" applyNumberFormat="1" applyBorder="1"/>
    <xf numFmtId="164" fontId="0" fillId="0" borderId="27" xfId="0" applyNumberFormat="1" applyBorder="1"/>
    <xf numFmtId="164" fontId="34" fillId="7" borderId="22" xfId="1" applyNumberFormat="1" applyFont="1" applyFill="1" applyBorder="1" applyAlignment="1">
      <alignment vertical="center"/>
    </xf>
    <xf numFmtId="0" fontId="30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32" fillId="0" borderId="22" xfId="0" applyFont="1" applyBorder="1" applyAlignment="1">
      <alignment vertical="top" wrapText="1"/>
    </xf>
    <xf numFmtId="164" fontId="0" fillId="0" borderId="22" xfId="1" applyNumberFormat="1" applyFont="1" applyBorder="1" applyAlignment="1">
      <alignment horizontal="center" vertical="center"/>
    </xf>
    <xf numFmtId="0" fontId="0" fillId="0" borderId="8" xfId="0" applyFill="1" applyBorder="1"/>
    <xf numFmtId="0" fontId="0" fillId="0" borderId="0" xfId="0" applyFill="1" applyBorder="1"/>
    <xf numFmtId="0" fontId="31" fillId="7" borderId="22" xfId="0" applyFont="1" applyFill="1" applyBorder="1" applyAlignment="1">
      <alignment vertical="center" wrapText="1"/>
    </xf>
    <xf numFmtId="0" fontId="36" fillId="0" borderId="22" xfId="0" applyFont="1" applyBorder="1"/>
    <xf numFmtId="0" fontId="10" fillId="0" borderId="22" xfId="0" applyFont="1" applyBorder="1"/>
    <xf numFmtId="0" fontId="16" fillId="0" borderId="22" xfId="0" applyFont="1" applyBorder="1"/>
    <xf numFmtId="0" fontId="36" fillId="0" borderId="22" xfId="0" applyFont="1" applyBorder="1" applyAlignment="1">
      <alignment wrapText="1"/>
    </xf>
    <xf numFmtId="0" fontId="7" fillId="10" borderId="22" xfId="0" applyFont="1" applyFill="1" applyBorder="1"/>
    <xf numFmtId="164" fontId="34" fillId="11" borderId="22" xfId="1" applyNumberFormat="1" applyFont="1" applyFill="1" applyBorder="1" applyAlignment="1">
      <alignment vertical="center"/>
    </xf>
    <xf numFmtId="0" fontId="16" fillId="0" borderId="0" xfId="0" applyFont="1"/>
    <xf numFmtId="164" fontId="0" fillId="0" borderId="0" xfId="1" applyNumberFormat="1" applyFont="1" applyBorder="1" applyAlignment="1">
      <alignment horizontal="center" vertical="center"/>
    </xf>
    <xf numFmtId="0" fontId="32" fillId="0" borderId="0" xfId="0" applyFont="1" applyBorder="1" applyAlignment="1">
      <alignment vertical="top" wrapText="1"/>
    </xf>
    <xf numFmtId="0" fontId="7" fillId="10" borderId="25" xfId="0" applyFont="1" applyFill="1" applyBorder="1" applyAlignment="1">
      <alignment wrapText="1"/>
    </xf>
    <xf numFmtId="0" fontId="0" fillId="10" borderId="26" xfId="0" applyFill="1" applyBorder="1"/>
    <xf numFmtId="164" fontId="2" fillId="10" borderId="26" xfId="0" applyNumberFormat="1" applyFont="1" applyFill="1" applyBorder="1"/>
    <xf numFmtId="164" fontId="2" fillId="10" borderId="27" xfId="0" applyNumberFormat="1" applyFont="1" applyFill="1" applyBorder="1"/>
    <xf numFmtId="0" fontId="32" fillId="10" borderId="22" xfId="0" applyFont="1" applyFill="1" applyBorder="1" applyAlignment="1">
      <alignment vertical="top" wrapText="1"/>
    </xf>
    <xf numFmtId="0" fontId="37" fillId="7" borderId="0" xfId="0" applyFont="1" applyFill="1" applyBorder="1" applyAlignment="1">
      <alignment vertical="center"/>
    </xf>
    <xf numFmtId="0" fontId="36" fillId="10" borderId="22" xfId="0" applyFont="1" applyFill="1" applyBorder="1" applyAlignment="1">
      <alignment wrapText="1"/>
    </xf>
    <xf numFmtId="0" fontId="0" fillId="0" borderId="13" xfId="0" applyBorder="1"/>
    <xf numFmtId="0" fontId="0" fillId="0" borderId="15" xfId="0" applyBorder="1"/>
    <xf numFmtId="0" fontId="7" fillId="0" borderId="16" xfId="0" applyFont="1" applyBorder="1"/>
    <xf numFmtId="0" fontId="7" fillId="0" borderId="0" xfId="0" applyFont="1" applyBorder="1"/>
    <xf numFmtId="3" fontId="0" fillId="0" borderId="22" xfId="0" applyNumberFormat="1" applyBorder="1" applyAlignment="1">
      <alignment horizontal="center"/>
    </xf>
    <xf numFmtId="9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18" fillId="7" borderId="21" xfId="0" applyFont="1" applyFill="1" applyBorder="1" applyAlignment="1">
      <alignment vertical="center"/>
    </xf>
    <xf numFmtId="0" fontId="17" fillId="7" borderId="21" xfId="0" applyFont="1" applyFill="1" applyBorder="1" applyAlignment="1">
      <alignment vertical="center"/>
    </xf>
    <xf numFmtId="0" fontId="17" fillId="7" borderId="22" xfId="0" applyFont="1" applyFill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/>
    </xf>
    <xf numFmtId="0" fontId="39" fillId="0" borderId="0" xfId="0" applyFont="1"/>
    <xf numFmtId="0" fontId="0" fillId="0" borderId="0" xfId="0" applyAlignment="1"/>
    <xf numFmtId="0" fontId="18" fillId="0" borderId="21" xfId="0" applyFont="1" applyFill="1" applyBorder="1" applyAlignment="1">
      <alignment vertical="center"/>
    </xf>
    <xf numFmtId="0" fontId="17" fillId="0" borderId="21" xfId="0" applyFont="1" applyFill="1" applyBorder="1" applyAlignment="1">
      <alignment vertical="center"/>
    </xf>
    <xf numFmtId="0" fontId="5" fillId="0" borderId="23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28" xfId="0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24" xfId="0" applyFont="1" applyBorder="1"/>
    <xf numFmtId="0" fontId="5" fillId="0" borderId="5" xfId="0" applyFont="1" applyBorder="1"/>
    <xf numFmtId="0" fontId="5" fillId="0" borderId="6" xfId="0" applyFont="1" applyBorder="1"/>
    <xf numFmtId="0" fontId="20" fillId="0" borderId="30" xfId="0" applyFont="1" applyBorder="1" applyAlignment="1">
      <alignment horizontal="left" vertical="center" wrapText="1"/>
    </xf>
    <xf numFmtId="0" fontId="18" fillId="7" borderId="31" xfId="0" applyFont="1" applyFill="1" applyBorder="1" applyAlignment="1">
      <alignment vertical="center"/>
    </xf>
    <xf numFmtId="0" fontId="17" fillId="7" borderId="31" xfId="0" applyFont="1" applyFill="1" applyBorder="1" applyAlignment="1">
      <alignment vertical="center"/>
    </xf>
    <xf numFmtId="0" fontId="20" fillId="0" borderId="32" xfId="0" applyFont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3" fontId="40" fillId="0" borderId="0" xfId="0" quotePrefix="1" applyNumberFormat="1" applyFont="1" applyFill="1" applyBorder="1" applyAlignment="1">
      <alignment horizontal="right" vertical="center"/>
    </xf>
    <xf numFmtId="0" fontId="2" fillId="0" borderId="0" xfId="0" quotePrefix="1" applyFont="1"/>
    <xf numFmtId="0" fontId="20" fillId="0" borderId="33" xfId="0" applyFont="1" applyBorder="1" applyAlignment="1">
      <alignment horizontal="left" vertical="center" wrapText="1"/>
    </xf>
    <xf numFmtId="0" fontId="18" fillId="7" borderId="0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/>
    </xf>
    <xf numFmtId="0" fontId="17" fillId="7" borderId="34" xfId="0" applyFont="1" applyFill="1" applyBorder="1" applyAlignment="1">
      <alignment vertical="center"/>
    </xf>
    <xf numFmtId="3" fontId="17" fillId="0" borderId="35" xfId="0" applyNumberFormat="1" applyFont="1" applyBorder="1" applyAlignment="1">
      <alignment horizontal="right" vertical="center"/>
    </xf>
    <xf numFmtId="0" fontId="0" fillId="10" borderId="23" xfId="0" applyFill="1" applyBorder="1"/>
    <xf numFmtId="0" fontId="0" fillId="10" borderId="2" xfId="0" applyFill="1" applyBorder="1"/>
    <xf numFmtId="0" fontId="0" fillId="10" borderId="3" xfId="0" applyFill="1" applyBorder="1"/>
    <xf numFmtId="0" fontId="0" fillId="10" borderId="28" xfId="0" applyFill="1" applyBorder="1"/>
    <xf numFmtId="0" fontId="0" fillId="10" borderId="0" xfId="0" applyFill="1" applyBorder="1"/>
    <xf numFmtId="3" fontId="0" fillId="10" borderId="0" xfId="0" applyNumberFormat="1" applyFill="1" applyBorder="1"/>
    <xf numFmtId="3" fontId="0" fillId="10" borderId="4" xfId="0" applyNumberFormat="1" applyFill="1" applyBorder="1"/>
    <xf numFmtId="0" fontId="0" fillId="10" borderId="24" xfId="0" applyFill="1" applyBorder="1"/>
    <xf numFmtId="0" fontId="0" fillId="10" borderId="5" xfId="0" applyFill="1" applyBorder="1"/>
    <xf numFmtId="0" fontId="0" fillId="10" borderId="6" xfId="0" applyFill="1" applyBorder="1"/>
    <xf numFmtId="0" fontId="9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1" fillId="10" borderId="22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/>
    <xf numFmtId="0" fontId="2" fillId="12" borderId="0" xfId="0" applyFont="1" applyFill="1"/>
    <xf numFmtId="0" fontId="0" fillId="12" borderId="0" xfId="0" applyFill="1"/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22" xfId="0" applyFont="1" applyBorder="1"/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2" xfId="0" quotePrefix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wrapText="1"/>
    </xf>
    <xf numFmtId="0" fontId="30" fillId="0" borderId="0" xfId="0" applyFont="1" applyBorder="1" applyAlignment="1">
      <alignment wrapText="1"/>
    </xf>
    <xf numFmtId="0" fontId="3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164" fontId="4" fillId="0" borderId="0" xfId="0" applyNumberFormat="1" applyFont="1" applyBorder="1"/>
    <xf numFmtId="164" fontId="4" fillId="0" borderId="4" xfId="0" applyNumberFormat="1" applyFont="1" applyBorder="1"/>
    <xf numFmtId="0" fontId="4" fillId="10" borderId="0" xfId="0" applyFont="1" applyFill="1" applyBorder="1"/>
    <xf numFmtId="0" fontId="33" fillId="0" borderId="23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1" fillId="0" borderId="0" xfId="0" applyFont="1"/>
    <xf numFmtId="0" fontId="42" fillId="0" borderId="0" xfId="0" applyFont="1"/>
    <xf numFmtId="0" fontId="0" fillId="0" borderId="0" xfId="0" applyFill="1" applyAlignment="1">
      <alignment horizontal="right"/>
    </xf>
    <xf numFmtId="164" fontId="0" fillId="0" borderId="8" xfId="0" applyNumberFormat="1" applyFill="1" applyBorder="1"/>
    <xf numFmtId="164" fontId="0" fillId="0" borderId="16" xfId="0" applyNumberFormat="1" applyFill="1" applyBorder="1"/>
    <xf numFmtId="164" fontId="0" fillId="0" borderId="0" xfId="0" applyNumberFormat="1" applyFill="1" applyBorder="1"/>
    <xf numFmtId="164" fontId="0" fillId="0" borderId="20" xfId="0" applyNumberFormat="1" applyFill="1" applyBorder="1"/>
    <xf numFmtId="0" fontId="36" fillId="0" borderId="0" xfId="0" applyFont="1"/>
    <xf numFmtId="0" fontId="2" fillId="5" borderId="37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0" fillId="0" borderId="20" xfId="0" applyFill="1" applyBorder="1"/>
    <xf numFmtId="0" fontId="4" fillId="0" borderId="0" xfId="0" applyFont="1" applyFill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164" fontId="2" fillId="0" borderId="25" xfId="0" applyNumberFormat="1" applyFont="1" applyBorder="1"/>
    <xf numFmtId="164" fontId="2" fillId="0" borderId="26" xfId="0" applyNumberFormat="1" applyFont="1" applyBorder="1"/>
    <xf numFmtId="164" fontId="2" fillId="0" borderId="27" xfId="0" applyNumberFormat="1" applyFont="1" applyBorder="1"/>
    <xf numFmtId="0" fontId="0" fillId="0" borderId="0" xfId="0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3" fillId="0" borderId="22" xfId="0" applyFont="1" applyBorder="1" applyAlignment="1">
      <alignment horizontal="left" vertical="center" wrapText="1"/>
    </xf>
    <xf numFmtId="0" fontId="0" fillId="0" borderId="28" xfId="0" applyBorder="1"/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6" fillId="0" borderId="28" xfId="0" applyFont="1" applyBorder="1"/>
    <xf numFmtId="164" fontId="36" fillId="0" borderId="0" xfId="1" applyNumberFormat="1" applyFont="1" applyBorder="1"/>
    <xf numFmtId="0" fontId="0" fillId="4" borderId="0" xfId="0" applyFill="1" applyBorder="1"/>
    <xf numFmtId="0" fontId="0" fillId="4" borderId="4" xfId="0" applyFill="1" applyBorder="1"/>
    <xf numFmtId="0" fontId="16" fillId="0" borderId="28" xfId="0" applyFont="1" applyBorder="1" applyAlignment="1">
      <alignment horizontal="left" vertical="center"/>
    </xf>
    <xf numFmtId="164" fontId="0" fillId="4" borderId="0" xfId="0" applyNumberFormat="1" applyFill="1" applyBorder="1"/>
    <xf numFmtId="164" fontId="0" fillId="4" borderId="4" xfId="0" applyNumberFormat="1" applyFill="1" applyBorder="1"/>
    <xf numFmtId="0" fontId="0" fillId="0" borderId="28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5" xfId="0" applyBorder="1"/>
    <xf numFmtId="0" fontId="0" fillId="0" borderId="25" xfId="0" applyBorder="1"/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67" fontId="0" fillId="0" borderId="0" xfId="0" applyNumberFormat="1"/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0" fontId="44" fillId="0" borderId="0" xfId="0" applyFont="1"/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3" fillId="5" borderId="0" xfId="0" applyFont="1" applyFill="1" applyAlignment="1">
      <alignment horizontal="center" vertical="center"/>
    </xf>
    <xf numFmtId="167" fontId="44" fillId="0" borderId="0" xfId="0" applyNumberFormat="1" applyFont="1"/>
    <xf numFmtId="0" fontId="44" fillId="0" borderId="0" xfId="0" quotePrefix="1" applyFont="1"/>
    <xf numFmtId="0" fontId="3" fillId="5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44" fillId="0" borderId="0" xfId="0" applyFont="1" applyFill="1"/>
    <xf numFmtId="0" fontId="3" fillId="6" borderId="0" xfId="0" applyFont="1" applyFill="1" applyAlignment="1">
      <alignment horizontal="right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8" fillId="5" borderId="0" xfId="0" quotePrefix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6" borderId="0" xfId="0" quotePrefix="1" applyFont="1" applyFill="1" applyAlignment="1">
      <alignment horizontal="center"/>
    </xf>
    <xf numFmtId="0" fontId="8" fillId="13" borderId="0" xfId="0" quotePrefix="1" applyFont="1" applyFill="1" applyAlignment="1">
      <alignment horizontal="center"/>
    </xf>
    <xf numFmtId="0" fontId="42" fillId="0" borderId="10" xfId="0" applyFont="1" applyBorder="1"/>
    <xf numFmtId="167" fontId="42" fillId="0" borderId="11" xfId="0" applyNumberFormat="1" applyFont="1" applyBorder="1"/>
    <xf numFmtId="167" fontId="42" fillId="0" borderId="12" xfId="0" applyNumberFormat="1" applyFont="1" applyBorder="1"/>
    <xf numFmtId="0" fontId="3" fillId="13" borderId="0" xfId="0" applyFont="1" applyFill="1" applyAlignment="1">
      <alignment horizontal="right"/>
    </xf>
    <xf numFmtId="0" fontId="3" fillId="14" borderId="10" xfId="0" applyFont="1" applyFill="1" applyBorder="1" applyAlignment="1">
      <alignment vertical="center"/>
    </xf>
    <xf numFmtId="0" fontId="8" fillId="14" borderId="11" xfId="0" applyFont="1" applyFill="1" applyBorder="1" applyAlignment="1">
      <alignment horizontal="center" vertical="center"/>
    </xf>
    <xf numFmtId="0" fontId="9" fillId="14" borderId="34" xfId="0" applyFont="1" applyFill="1" applyBorder="1" applyAlignment="1">
      <alignment horizontal="center" vertical="center"/>
    </xf>
    <xf numFmtId="14" fontId="8" fillId="14" borderId="38" xfId="0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167" fontId="3" fillId="14" borderId="39" xfId="0" applyNumberFormat="1" applyFont="1" applyFill="1" applyBorder="1" applyAlignment="1">
      <alignment vertical="center"/>
    </xf>
    <xf numFmtId="167" fontId="44" fillId="0" borderId="38" xfId="0" applyNumberFormat="1" applyFont="1" applyBorder="1" applyAlignment="1">
      <alignment vertical="center"/>
    </xf>
    <xf numFmtId="0" fontId="3" fillId="5" borderId="38" xfId="0" applyFont="1" applyFill="1" applyBorder="1" applyAlignment="1">
      <alignment horizontal="center" vertical="center"/>
    </xf>
    <xf numFmtId="167" fontId="44" fillId="0" borderId="38" xfId="0" applyNumberFormat="1" applyFont="1" applyBorder="1"/>
    <xf numFmtId="167" fontId="44" fillId="0" borderId="38" xfId="1" applyNumberFormat="1" applyFont="1" applyBorder="1"/>
    <xf numFmtId="167" fontId="3" fillId="0" borderId="38" xfId="1" applyNumberFormat="1" applyFont="1" applyBorder="1"/>
    <xf numFmtId="167" fontId="3" fillId="5" borderId="38" xfId="1" applyNumberFormat="1" applyFont="1" applyFill="1" applyBorder="1"/>
    <xf numFmtId="0" fontId="3" fillId="6" borderId="38" xfId="0" applyFont="1" applyFill="1" applyBorder="1" applyAlignment="1">
      <alignment horizontal="center" vertical="center"/>
    </xf>
    <xf numFmtId="167" fontId="44" fillId="0" borderId="38" xfId="1" applyNumberFormat="1" applyFont="1" applyFill="1" applyBorder="1"/>
    <xf numFmtId="167" fontId="3" fillId="6" borderId="38" xfId="1" applyNumberFormat="1" applyFont="1" applyFill="1" applyBorder="1"/>
    <xf numFmtId="167" fontId="3" fillId="13" borderId="38" xfId="0" applyNumberFormat="1" applyFont="1" applyFill="1" applyBorder="1"/>
    <xf numFmtId="167" fontId="3" fillId="0" borderId="38" xfId="0" applyNumberFormat="1" applyFont="1" applyBorder="1"/>
    <xf numFmtId="0" fontId="2" fillId="0" borderId="23" xfId="0" applyFont="1" applyBorder="1"/>
    <xf numFmtId="0" fontId="8" fillId="0" borderId="2" xfId="0" applyFont="1" applyBorder="1" applyAlignment="1">
      <alignment horizontal="center"/>
    </xf>
    <xf numFmtId="167" fontId="2" fillId="0" borderId="2" xfId="0" applyNumberFormat="1" applyFont="1" applyBorder="1"/>
    <xf numFmtId="167" fontId="2" fillId="0" borderId="3" xfId="0" applyNumberFormat="1" applyFont="1" applyBorder="1"/>
    <xf numFmtId="0" fontId="0" fillId="0" borderId="24" xfId="0" applyBorder="1"/>
    <xf numFmtId="0" fontId="5" fillId="0" borderId="5" xfId="0" applyFont="1" applyBorder="1" applyAlignment="1">
      <alignment horizontal="center"/>
    </xf>
    <xf numFmtId="167" fontId="0" fillId="0" borderId="5" xfId="0" applyNumberFormat="1" applyBorder="1"/>
    <xf numFmtId="10" fontId="0" fillId="0" borderId="5" xfId="0" applyNumberFormat="1" applyBorder="1"/>
    <xf numFmtId="10" fontId="0" fillId="0" borderId="6" xfId="0" applyNumberFormat="1" applyBorder="1"/>
    <xf numFmtId="0" fontId="8" fillId="14" borderId="40" xfId="0" applyFont="1" applyFill="1" applyBorder="1" applyAlignment="1">
      <alignment horizontal="center" vertical="center"/>
    </xf>
    <xf numFmtId="167" fontId="0" fillId="0" borderId="1" xfId="0" applyNumberFormat="1" applyBorder="1"/>
    <xf numFmtId="167" fontId="0" fillId="4" borderId="10" xfId="0" applyNumberFormat="1" applyFill="1" applyBorder="1"/>
    <xf numFmtId="167" fontId="0" fillId="4" borderId="11" xfId="0" applyNumberFormat="1" applyFill="1" applyBorder="1"/>
    <xf numFmtId="167" fontId="0" fillId="4" borderId="12" xfId="0" applyNumberFormat="1" applyFill="1" applyBorder="1"/>
    <xf numFmtId="41" fontId="2" fillId="4" borderId="11" xfId="0" applyNumberFormat="1" applyFont="1" applyFill="1" applyBorder="1"/>
    <xf numFmtId="41" fontId="2" fillId="4" borderId="11" xfId="1" applyNumberFormat="1" applyFont="1" applyFill="1" applyBorder="1"/>
    <xf numFmtId="164" fontId="0" fillId="4" borderId="12" xfId="1" applyNumberFormat="1" applyFont="1" applyFill="1" applyBorder="1"/>
    <xf numFmtId="0" fontId="2" fillId="4" borderId="10" xfId="0" applyFont="1" applyFill="1" applyBorder="1" applyAlignment="1">
      <alignment horizontal="right"/>
    </xf>
    <xf numFmtId="167" fontId="2" fillId="4" borderId="11" xfId="0" applyNumberFormat="1" applyFont="1" applyFill="1" applyBorder="1" applyAlignment="1">
      <alignment horizontal="center"/>
    </xf>
    <xf numFmtId="0" fontId="0" fillId="0" borderId="11" xfId="0" applyBorder="1"/>
    <xf numFmtId="0" fontId="13" fillId="0" borderId="0" xfId="0" applyFont="1" applyBorder="1"/>
    <xf numFmtId="0" fontId="5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14" fontId="8" fillId="4" borderId="0" xfId="0" applyNumberFormat="1" applyFont="1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167" fontId="0" fillId="0" borderId="0" xfId="0" applyNumberFormat="1" applyBorder="1" applyAlignment="1">
      <alignment horizontal="right"/>
    </xf>
    <xf numFmtId="167" fontId="0" fillId="0" borderId="0" xfId="0" applyNumberFormat="1" applyBorder="1"/>
    <xf numFmtId="0" fontId="5" fillId="4" borderId="0" xfId="0" applyNumberFormat="1" applyFont="1" applyFill="1" applyBorder="1" applyAlignment="1">
      <alignment horizontal="center"/>
    </xf>
    <xf numFmtId="167" fontId="0" fillId="0" borderId="0" xfId="0" applyNumberFormat="1" applyFont="1" applyBorder="1" applyAlignment="1">
      <alignment horizontal="center"/>
    </xf>
    <xf numFmtId="41" fontId="0" fillId="0" borderId="0" xfId="1" applyNumberFormat="1" applyFont="1" applyBorder="1"/>
    <xf numFmtId="0" fontId="0" fillId="0" borderId="0" xfId="0" applyBorder="1" applyAlignment="1">
      <alignment horizontal="left" vertical="center" wrapText="1"/>
    </xf>
    <xf numFmtId="167" fontId="0" fillId="0" borderId="0" xfId="0" applyNumberFormat="1" applyFont="1" applyFill="1" applyBorder="1" applyAlignment="1">
      <alignment horizontal="center" vertical="center"/>
    </xf>
    <xf numFmtId="164" fontId="0" fillId="0" borderId="0" xfId="1" applyNumberFormat="1" applyFont="1" applyBorder="1" applyAlignment="1">
      <alignment horizontal="left" vertical="center"/>
    </xf>
    <xf numFmtId="164" fontId="0" fillId="0" borderId="0" xfId="1" applyNumberFormat="1" applyFont="1" applyFill="1" applyBorder="1" applyAlignment="1">
      <alignment horizontal="left" vertical="center"/>
    </xf>
    <xf numFmtId="164" fontId="1" fillId="0" borderId="0" xfId="1" applyNumberFormat="1" applyFont="1" applyFill="1" applyBorder="1" applyAlignment="1">
      <alignment horizontal="left" vertical="center"/>
    </xf>
    <xf numFmtId="14" fontId="0" fillId="0" borderId="0" xfId="0" quotePrefix="1" applyNumberFormat="1" applyBorder="1" applyAlignment="1">
      <alignment horizontal="center"/>
    </xf>
    <xf numFmtId="0" fontId="15" fillId="0" borderId="0" xfId="0" applyFont="1" applyBorder="1" applyAlignment="1">
      <alignment wrapText="1"/>
    </xf>
    <xf numFmtId="167" fontId="0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42" fillId="0" borderId="13" xfId="0" applyFont="1" applyBorder="1"/>
    <xf numFmtId="0" fontId="47" fillId="0" borderId="14" xfId="0" applyFont="1" applyBorder="1"/>
    <xf numFmtId="0" fontId="42" fillId="0" borderId="14" xfId="0" applyFon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167" fontId="0" fillId="0" borderId="20" xfId="0" applyNumberFormat="1" applyBorder="1"/>
    <xf numFmtId="0" fontId="0" fillId="0" borderId="16" xfId="0" applyBorder="1" applyAlignment="1">
      <alignment horizontal="center" vertical="center"/>
    </xf>
    <xf numFmtId="0" fontId="42" fillId="0" borderId="0" xfId="0" quotePrefix="1" applyFont="1" applyBorder="1" applyAlignment="1">
      <alignment horizontal="center"/>
    </xf>
    <xf numFmtId="0" fontId="42" fillId="0" borderId="0" xfId="0" applyFont="1" applyBorder="1"/>
    <xf numFmtId="167" fontId="38" fillId="0" borderId="0" xfId="0" applyNumberFormat="1" applyFont="1" applyBorder="1" applyAlignment="1">
      <alignment horizontal="right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6" fillId="0" borderId="0" xfId="0" applyFont="1" applyBorder="1"/>
    <xf numFmtId="0" fontId="30" fillId="0" borderId="22" xfId="0" applyFont="1" applyBorder="1" applyAlignment="1">
      <alignment vertical="top" wrapText="1"/>
    </xf>
    <xf numFmtId="0" fontId="2" fillId="0" borderId="22" xfId="0" applyFont="1" applyBorder="1"/>
    <xf numFmtId="164" fontId="2" fillId="0" borderId="22" xfId="1" applyNumberFormat="1" applyFont="1" applyBorder="1" applyAlignment="1">
      <alignment horizontal="center" vertical="center"/>
    </xf>
    <xf numFmtId="167" fontId="0" fillId="0" borderId="22" xfId="2" applyNumberFormat="1" applyFont="1" applyBorder="1" applyAlignment="1">
      <alignment horizontal="center"/>
    </xf>
    <xf numFmtId="167" fontId="0" fillId="0" borderId="22" xfId="0" applyNumberFormat="1" applyBorder="1" applyAlignment="1">
      <alignment horizontal="center"/>
    </xf>
    <xf numFmtId="164" fontId="0" fillId="0" borderId="8" xfId="1" applyNumberFormat="1" applyFont="1" applyFill="1" applyBorder="1" applyAlignment="1">
      <alignment horizontal="center" vertical="center"/>
    </xf>
    <xf numFmtId="164" fontId="0" fillId="0" borderId="16" xfId="1" applyNumberFormat="1" applyFont="1" applyFill="1" applyBorder="1" applyAlignment="1">
      <alignment horizontal="center" vertical="center"/>
    </xf>
    <xf numFmtId="164" fontId="0" fillId="4" borderId="0" xfId="1" applyNumberFormat="1" applyFont="1" applyFill="1" applyBorder="1" applyAlignment="1">
      <alignment horizontal="center" vertical="center"/>
    </xf>
    <xf numFmtId="164" fontId="0" fillId="4" borderId="2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164" fontId="0" fillId="4" borderId="16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164" fontId="35" fillId="0" borderId="0" xfId="1" applyNumberFormat="1" applyFon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left" vertical="center"/>
    </xf>
    <xf numFmtId="168" fontId="0" fillId="0" borderId="0" xfId="0" applyNumberFormat="1"/>
    <xf numFmtId="0" fontId="8" fillId="0" borderId="24" xfId="0" applyFont="1" applyBorder="1" applyAlignment="1">
      <alignment horizontal="left" vertical="center"/>
    </xf>
    <xf numFmtId="0" fontId="33" fillId="0" borderId="22" xfId="0" applyFont="1" applyBorder="1" applyAlignment="1">
      <alignment horizontal="center" vertical="center"/>
    </xf>
    <xf numFmtId="0" fontId="0" fillId="0" borderId="4" xfId="0" applyFill="1" applyBorder="1"/>
    <xf numFmtId="167" fontId="2" fillId="0" borderId="2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right"/>
    </xf>
    <xf numFmtId="0" fontId="5" fillId="0" borderId="28" xfId="0" applyFont="1" applyBorder="1" applyAlignment="1">
      <alignment horizontal="left" vertical="center"/>
    </xf>
    <xf numFmtId="0" fontId="0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23" xfId="0" applyBorder="1" applyAlignment="1">
      <alignment horizontal="left" vertical="center"/>
    </xf>
    <xf numFmtId="0" fontId="0" fillId="0" borderId="2" xfId="0" applyBorder="1"/>
    <xf numFmtId="0" fontId="2" fillId="0" borderId="25" xfId="0" applyFont="1" applyBorder="1" applyAlignment="1">
      <alignment horizontal="left" vertical="center"/>
    </xf>
    <xf numFmtId="0" fontId="0" fillId="0" borderId="34" xfId="0" applyBorder="1"/>
    <xf numFmtId="164" fontId="0" fillId="0" borderId="38" xfId="1" applyNumberFormat="1" applyFont="1" applyBorder="1"/>
    <xf numFmtId="0" fontId="0" fillId="0" borderId="38" xfId="0" applyBorder="1"/>
    <xf numFmtId="164" fontId="2" fillId="0" borderId="22" xfId="0" applyNumberFormat="1" applyFont="1" applyBorder="1"/>
    <xf numFmtId="0" fontId="48" fillId="0" borderId="0" xfId="0" applyFont="1"/>
    <xf numFmtId="0" fontId="49" fillId="0" borderId="0" xfId="0" applyFont="1"/>
    <xf numFmtId="0" fontId="0" fillId="15" borderId="0" xfId="0" applyFill="1"/>
    <xf numFmtId="0" fontId="26" fillId="0" borderId="0" xfId="0" applyFont="1"/>
    <xf numFmtId="0" fontId="52" fillId="0" borderId="0" xfId="0" applyFont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169" fontId="55" fillId="0" borderId="0" xfId="0" applyNumberFormat="1" applyFont="1" applyAlignment="1">
      <alignment vertical="center"/>
    </xf>
    <xf numFmtId="0" fontId="56" fillId="16" borderId="43" xfId="0" applyFont="1" applyFill="1" applyBorder="1" applyAlignment="1">
      <alignment vertical="center"/>
    </xf>
    <xf numFmtId="0" fontId="57" fillId="16" borderId="44" xfId="0" applyFont="1" applyFill="1" applyBorder="1" applyAlignment="1">
      <alignment horizontal="center" vertical="center"/>
    </xf>
    <xf numFmtId="169" fontId="57" fillId="16" borderId="36" xfId="0" applyNumberFormat="1" applyFont="1" applyFill="1" applyBorder="1" applyAlignment="1">
      <alignment vertical="center"/>
    </xf>
    <xf numFmtId="170" fontId="58" fillId="16" borderId="45" xfId="0" applyNumberFormat="1" applyFont="1" applyFill="1" applyBorder="1" applyAlignment="1">
      <alignment vertical="center"/>
    </xf>
    <xf numFmtId="170" fontId="58" fillId="16" borderId="0" xfId="0" applyNumberFormat="1" applyFont="1" applyFill="1" applyAlignment="1">
      <alignment horizontal="center" vertical="center"/>
    </xf>
    <xf numFmtId="170" fontId="56" fillId="16" borderId="45" xfId="0" applyNumberFormat="1" applyFont="1" applyFill="1" applyBorder="1" applyAlignment="1">
      <alignment vertical="center"/>
    </xf>
    <xf numFmtId="0" fontId="59" fillId="17" borderId="43" xfId="0" applyFont="1" applyFill="1" applyBorder="1" applyAlignment="1">
      <alignment vertical="center"/>
    </xf>
    <xf numFmtId="0" fontId="60" fillId="17" borderId="43" xfId="0" applyFont="1" applyFill="1" applyBorder="1" applyAlignment="1">
      <alignment horizontal="center" vertical="center"/>
    </xf>
    <xf numFmtId="0" fontId="60" fillId="17" borderId="46" xfId="0" applyFont="1" applyFill="1" applyBorder="1" applyAlignment="1">
      <alignment horizontal="center" vertical="center"/>
    </xf>
    <xf numFmtId="0" fontId="60" fillId="17" borderId="47" xfId="0" applyFont="1" applyFill="1" applyBorder="1" applyAlignment="1">
      <alignment horizontal="center" vertical="center"/>
    </xf>
    <xf numFmtId="169" fontId="60" fillId="17" borderId="46" xfId="0" applyNumberFormat="1" applyFont="1" applyFill="1" applyBorder="1" applyAlignment="1">
      <alignment vertical="center"/>
    </xf>
    <xf numFmtId="3" fontId="59" fillId="17" borderId="36" xfId="0" applyNumberFormat="1" applyFont="1" applyFill="1" applyBorder="1" applyAlignment="1">
      <alignment vertical="center"/>
    </xf>
    <xf numFmtId="3" fontId="59" fillId="17" borderId="0" xfId="0" applyNumberFormat="1" applyFont="1" applyFill="1" applyAlignment="1">
      <alignment horizontal="center" vertical="center"/>
    </xf>
    <xf numFmtId="0" fontId="48" fillId="7" borderId="0" xfId="0" applyFont="1" applyFill="1"/>
    <xf numFmtId="0" fontId="61" fillId="7" borderId="36" xfId="0" applyFont="1" applyFill="1" applyBorder="1" applyAlignment="1">
      <alignment vertical="center"/>
    </xf>
    <xf numFmtId="0" fontId="61" fillId="7" borderId="48" xfId="0" applyFont="1" applyFill="1" applyBorder="1" applyAlignment="1">
      <alignment horizontal="center" vertical="center"/>
    </xf>
    <xf numFmtId="0" fontId="62" fillId="7" borderId="48" xfId="0" applyFont="1" applyFill="1" applyBorder="1" applyAlignment="1">
      <alignment horizontal="center" vertical="center"/>
    </xf>
    <xf numFmtId="171" fontId="63" fillId="7" borderId="43" xfId="0" applyNumberFormat="1" applyFont="1" applyFill="1" applyBorder="1" applyAlignment="1">
      <alignment vertical="center"/>
    </xf>
    <xf numFmtId="171" fontId="63" fillId="7" borderId="48" xfId="0" applyNumberFormat="1" applyFont="1" applyFill="1" applyBorder="1" applyAlignment="1">
      <alignment vertical="center"/>
    </xf>
    <xf numFmtId="171" fontId="64" fillId="0" borderId="0" xfId="0" applyNumberFormat="1" applyFont="1" applyAlignment="1">
      <alignment horizontal="center" vertical="center"/>
    </xf>
    <xf numFmtId="0" fontId="61" fillId="7" borderId="36" xfId="0" applyFont="1" applyFill="1" applyBorder="1" applyAlignment="1">
      <alignment horizontal="center" vertical="center"/>
    </xf>
    <xf numFmtId="0" fontId="62" fillId="7" borderId="36" xfId="0" applyFont="1" applyFill="1" applyBorder="1" applyAlignment="1">
      <alignment horizontal="center" vertical="center"/>
    </xf>
    <xf numFmtId="171" fontId="64" fillId="7" borderId="0" xfId="0" applyNumberFormat="1" applyFont="1" applyFill="1" applyAlignment="1">
      <alignment horizontal="center" vertical="center"/>
    </xf>
    <xf numFmtId="0" fontId="65" fillId="7" borderId="0" xfId="0" applyFont="1" applyFill="1"/>
    <xf numFmtId="0" fontId="61" fillId="18" borderId="36" xfId="0" applyFont="1" applyFill="1" applyBorder="1" applyAlignment="1">
      <alignment vertical="center"/>
    </xf>
    <xf numFmtId="0" fontId="61" fillId="18" borderId="36" xfId="0" applyFont="1" applyFill="1" applyBorder="1" applyAlignment="1">
      <alignment horizontal="center" vertical="center"/>
    </xf>
    <xf numFmtId="0" fontId="62" fillId="18" borderId="36" xfId="0" applyFont="1" applyFill="1" applyBorder="1" applyAlignment="1">
      <alignment horizontal="center" vertical="center"/>
    </xf>
    <xf numFmtId="0" fontId="62" fillId="18" borderId="48" xfId="0" applyFont="1" applyFill="1" applyBorder="1" applyAlignment="1">
      <alignment horizontal="center" vertical="center"/>
    </xf>
    <xf numFmtId="171" fontId="63" fillId="18" borderId="43" xfId="0" applyNumberFormat="1" applyFont="1" applyFill="1" applyBorder="1" applyAlignment="1">
      <alignment vertical="center"/>
    </xf>
    <xf numFmtId="171" fontId="63" fillId="18" borderId="48" xfId="0" applyNumberFormat="1" applyFont="1" applyFill="1" applyBorder="1" applyAlignment="1">
      <alignment vertical="center"/>
    </xf>
    <xf numFmtId="171" fontId="64" fillId="18" borderId="0" xfId="0" applyNumberFormat="1" applyFont="1" applyFill="1" applyAlignment="1">
      <alignment horizontal="center" vertical="center"/>
    </xf>
    <xf numFmtId="0" fontId="65" fillId="0" borderId="0" xfId="0" applyFont="1"/>
    <xf numFmtId="0" fontId="61" fillId="18" borderId="48" xfId="0" applyFont="1" applyFill="1" applyBorder="1" applyAlignment="1">
      <alignment horizontal="center" vertical="center"/>
    </xf>
    <xf numFmtId="171" fontId="64" fillId="19" borderId="0" xfId="0" applyNumberFormat="1" applyFont="1" applyFill="1" applyAlignment="1">
      <alignment horizontal="center" vertical="center"/>
    </xf>
    <xf numFmtId="0" fontId="66" fillId="7" borderId="36" xfId="0" applyFont="1" applyFill="1" applyBorder="1" applyAlignment="1">
      <alignment vertical="center"/>
    </xf>
    <xf numFmtId="0" fontId="61" fillId="7" borderId="36" xfId="0" applyFont="1" applyFill="1" applyBorder="1" applyAlignment="1">
      <alignment vertical="center" wrapText="1"/>
    </xf>
    <xf numFmtId="0" fontId="61" fillId="0" borderId="36" xfId="0" applyFont="1" applyBorder="1" applyAlignment="1">
      <alignment vertical="center"/>
    </xf>
    <xf numFmtId="0" fontId="62" fillId="0" borderId="36" xfId="0" applyFont="1" applyBorder="1" applyAlignment="1">
      <alignment horizontal="center" vertical="center"/>
    </xf>
    <xf numFmtId="171" fontId="63" fillId="0" borderId="43" xfId="0" applyNumberFormat="1" applyFont="1" applyBorder="1" applyAlignment="1">
      <alignment vertical="center"/>
    </xf>
    <xf numFmtId="171" fontId="67" fillId="18" borderId="48" xfId="0" applyNumberFormat="1" applyFont="1" applyFill="1" applyBorder="1" applyAlignment="1">
      <alignment vertical="center"/>
    </xf>
    <xf numFmtId="0" fontId="66" fillId="0" borderId="36" xfId="0" applyFont="1" applyBorder="1" applyAlignment="1">
      <alignment vertical="center"/>
    </xf>
    <xf numFmtId="0" fontId="61" fillId="0" borderId="36" xfId="0" applyFont="1" applyBorder="1" applyAlignment="1">
      <alignment horizontal="center"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horizontal="center" vertical="center"/>
    </xf>
    <xf numFmtId="169" fontId="68" fillId="0" borderId="0" xfId="0" applyNumberFormat="1" applyFont="1" applyAlignment="1">
      <alignment vertical="center"/>
    </xf>
    <xf numFmtId="169" fontId="69" fillId="0" borderId="0" xfId="0" applyNumberFormat="1" applyFont="1" applyAlignment="1">
      <alignment horizontal="center" vertical="center"/>
    </xf>
    <xf numFmtId="0" fontId="68" fillId="17" borderId="43" xfId="0" applyFont="1" applyFill="1" applyBorder="1" applyAlignment="1">
      <alignment horizontal="center" vertical="center"/>
    </xf>
    <xf numFmtId="0" fontId="68" fillId="17" borderId="46" xfId="0" applyFont="1" applyFill="1" applyBorder="1" applyAlignment="1">
      <alignment horizontal="center" vertical="center"/>
    </xf>
    <xf numFmtId="0" fontId="68" fillId="17" borderId="47" xfId="0" applyFont="1" applyFill="1" applyBorder="1" applyAlignment="1">
      <alignment horizontal="center" vertical="center"/>
    </xf>
    <xf numFmtId="169" fontId="68" fillId="17" borderId="46" xfId="0" applyNumberFormat="1" applyFont="1" applyFill="1" applyBorder="1" applyAlignment="1">
      <alignment vertical="center"/>
    </xf>
    <xf numFmtId="3" fontId="70" fillId="17" borderId="0" xfId="0" applyNumberFormat="1" applyFont="1" applyFill="1" applyAlignment="1">
      <alignment horizontal="center" vertical="center"/>
    </xf>
    <xf numFmtId="9" fontId="68" fillId="7" borderId="48" xfId="0" applyNumberFormat="1" applyFont="1" applyFill="1" applyBorder="1" applyAlignment="1">
      <alignment horizontal="center" vertical="center"/>
    </xf>
    <xf numFmtId="0" fontId="68" fillId="7" borderId="48" xfId="0" applyFont="1" applyFill="1" applyBorder="1" applyAlignment="1">
      <alignment horizontal="center" vertical="center"/>
    </xf>
    <xf numFmtId="0" fontId="61" fillId="18" borderId="36" xfId="0" applyFont="1" applyFill="1" applyBorder="1" applyAlignment="1">
      <alignment vertical="center" wrapText="1"/>
    </xf>
    <xf numFmtId="9" fontId="68" fillId="18" borderId="48" xfId="0" applyNumberFormat="1" applyFont="1" applyFill="1" applyBorder="1" applyAlignment="1">
      <alignment horizontal="center" vertical="center"/>
    </xf>
    <xf numFmtId="9" fontId="68" fillId="19" borderId="36" xfId="0" applyNumberFormat="1" applyFont="1" applyFill="1" applyBorder="1" applyAlignment="1">
      <alignment horizontal="center" vertical="center"/>
    </xf>
    <xf numFmtId="0" fontId="68" fillId="18" borderId="48" xfId="0" applyFont="1" applyFill="1" applyBorder="1" applyAlignment="1">
      <alignment horizontal="center" vertical="center"/>
    </xf>
    <xf numFmtId="171" fontId="63" fillId="19" borderId="43" xfId="0" applyNumberFormat="1" applyFont="1" applyFill="1" applyBorder="1" applyAlignment="1">
      <alignment vertical="center"/>
    </xf>
    <xf numFmtId="171" fontId="63" fillId="19" borderId="36" xfId="0" applyNumberFormat="1" applyFont="1" applyFill="1" applyBorder="1" applyAlignment="1">
      <alignment vertical="center"/>
    </xf>
    <xf numFmtId="9" fontId="68" fillId="0" borderId="36" xfId="0" applyNumberFormat="1" applyFont="1" applyBorder="1" applyAlignment="1">
      <alignment horizontal="center" vertical="center"/>
    </xf>
    <xf numFmtId="0" fontId="68" fillId="0" borderId="36" xfId="0" applyFont="1" applyBorder="1" applyAlignment="1">
      <alignment horizontal="center" vertical="center"/>
    </xf>
    <xf numFmtId="171" fontId="63" fillId="0" borderId="36" xfId="0" applyNumberFormat="1" applyFont="1" applyBorder="1" applyAlignment="1">
      <alignment vertical="center"/>
    </xf>
    <xf numFmtId="0" fontId="66" fillId="7" borderId="36" xfId="0" applyFont="1" applyFill="1" applyBorder="1" applyAlignment="1">
      <alignment vertical="center" wrapText="1"/>
    </xf>
    <xf numFmtId="0" fontId="62" fillId="0" borderId="36" xfId="0" applyFont="1" applyBorder="1" applyAlignment="1">
      <alignment vertical="center"/>
    </xf>
    <xf numFmtId="0" fontId="61" fillId="0" borderId="36" xfId="0" applyFont="1" applyBorder="1" applyAlignment="1">
      <alignment vertical="center" wrapText="1"/>
    </xf>
    <xf numFmtId="0" fontId="0" fillId="15" borderId="0" xfId="0" applyFill="1" applyAlignment="1">
      <alignment vertical="center"/>
    </xf>
    <xf numFmtId="0" fontId="66" fillId="0" borderId="36" xfId="0" applyFont="1" applyBorder="1" applyAlignment="1">
      <alignment vertical="center" wrapText="1"/>
    </xf>
    <xf numFmtId="9" fontId="68" fillId="0" borderId="0" xfId="0" applyNumberFormat="1" applyFont="1" applyAlignment="1">
      <alignment horizontal="center" vertical="center"/>
    </xf>
    <xf numFmtId="0" fontId="59" fillId="17" borderId="45" xfId="0" applyFont="1" applyFill="1" applyBorder="1" applyAlignment="1">
      <alignment vertical="center"/>
    </xf>
    <xf numFmtId="169" fontId="68" fillId="17" borderId="44" xfId="0" applyNumberFormat="1" applyFont="1" applyFill="1" applyBorder="1" applyAlignment="1">
      <alignment vertical="center"/>
    </xf>
    <xf numFmtId="0" fontId="62" fillId="0" borderId="48" xfId="0" applyFont="1" applyBorder="1" applyAlignment="1">
      <alignment horizontal="center" vertical="center"/>
    </xf>
    <xf numFmtId="169" fontId="62" fillId="0" borderId="36" xfId="0" applyNumberFormat="1" applyFont="1" applyBorder="1" applyAlignment="1">
      <alignment horizontal="center" vertical="center"/>
    </xf>
    <xf numFmtId="171" fontId="63" fillId="0" borderId="48" xfId="0" applyNumberFormat="1" applyFont="1" applyBorder="1" applyAlignment="1">
      <alignment vertical="center"/>
    </xf>
    <xf numFmtId="171" fontId="64" fillId="20" borderId="0" xfId="0" applyNumberFormat="1" applyFont="1" applyFill="1" applyAlignment="1">
      <alignment horizontal="center" vertical="center"/>
    </xf>
    <xf numFmtId="0" fontId="71" fillId="0" borderId="0" xfId="0" applyFont="1" applyAlignment="1">
      <alignment vertical="center"/>
    </xf>
    <xf numFmtId="0" fontId="71" fillId="15" borderId="0" xfId="0" applyFont="1" applyFill="1" applyAlignment="1">
      <alignment vertical="center"/>
    </xf>
    <xf numFmtId="1" fontId="68" fillId="0" borderId="0" xfId="0" applyNumberFormat="1" applyFont="1" applyAlignment="1">
      <alignment horizontal="center" vertical="center"/>
    </xf>
    <xf numFmtId="169" fontId="68" fillId="17" borderId="47" xfId="0" applyNumberFormat="1" applyFont="1" applyFill="1" applyBorder="1" applyAlignment="1">
      <alignment vertical="center"/>
    </xf>
    <xf numFmtId="0" fontId="62" fillId="0" borderId="49" xfId="0" applyFont="1" applyBorder="1" applyAlignment="1">
      <alignment horizontal="center" vertical="center"/>
    </xf>
    <xf numFmtId="0" fontId="62" fillId="0" borderId="35" xfId="0" applyFont="1" applyBorder="1" applyAlignment="1">
      <alignment horizontal="center" vertical="center"/>
    </xf>
    <xf numFmtId="0" fontId="62" fillId="0" borderId="50" xfId="0" applyFont="1" applyBorder="1" applyAlignment="1">
      <alignment horizontal="center" vertical="center"/>
    </xf>
    <xf numFmtId="0" fontId="62" fillId="0" borderId="46" xfId="0" applyFont="1" applyBorder="1" applyAlignment="1">
      <alignment horizontal="center" vertical="center"/>
    </xf>
    <xf numFmtId="0" fontId="61" fillId="0" borderId="51" xfId="0" applyFont="1" applyBorder="1" applyAlignment="1">
      <alignment vertical="center"/>
    </xf>
    <xf numFmtId="0" fontId="62" fillId="0" borderId="0" xfId="0" applyFont="1" applyAlignment="1">
      <alignment vertical="center"/>
    </xf>
    <xf numFmtId="0" fontId="62" fillId="0" borderId="0" xfId="0" applyFont="1" applyAlignment="1">
      <alignment horizontal="center" vertical="center"/>
    </xf>
    <xf numFmtId="169" fontId="62" fillId="0" borderId="0" xfId="0" applyNumberFormat="1" applyFont="1" applyAlignment="1">
      <alignment horizontal="center" vertical="center"/>
    </xf>
    <xf numFmtId="171" fontId="63" fillId="0" borderId="0" xfId="0" applyNumberFormat="1" applyFont="1" applyAlignment="1">
      <alignment horizontal="center" vertical="center"/>
    </xf>
    <xf numFmtId="171" fontId="72" fillId="0" borderId="0" xfId="0" applyNumberFormat="1" applyFont="1" applyAlignment="1">
      <alignment horizontal="center" vertical="center"/>
    </xf>
    <xf numFmtId="0" fontId="73" fillId="0" borderId="0" xfId="0" applyFont="1" applyAlignment="1">
      <alignment vertical="center"/>
    </xf>
    <xf numFmtId="0" fontId="73" fillId="0" borderId="0" xfId="0" applyFont="1" applyAlignment="1">
      <alignment horizontal="center" vertical="center"/>
    </xf>
    <xf numFmtId="169" fontId="73" fillId="0" borderId="0" xfId="0" applyNumberFormat="1" applyFont="1" applyAlignment="1">
      <alignment horizontal="center" vertical="center"/>
    </xf>
    <xf numFmtId="171" fontId="74" fillId="0" borderId="0" xfId="0" applyNumberFormat="1" applyFont="1" applyAlignment="1">
      <alignment horizontal="center" vertical="center"/>
    </xf>
    <xf numFmtId="0" fontId="75" fillId="17" borderId="45" xfId="0" applyFont="1" applyFill="1" applyBorder="1" applyAlignment="1">
      <alignment horizontal="left" vertical="center"/>
    </xf>
    <xf numFmtId="0" fontId="61" fillId="0" borderId="22" xfId="0" applyFont="1" applyBorder="1" applyAlignment="1">
      <alignment vertical="center"/>
    </xf>
    <xf numFmtId="0" fontId="61" fillId="0" borderId="52" xfId="0" applyFont="1" applyBorder="1" applyAlignment="1">
      <alignment vertical="center"/>
    </xf>
    <xf numFmtId="0" fontId="62" fillId="0" borderId="53" xfId="0" applyFont="1" applyBorder="1" applyAlignment="1">
      <alignment horizontal="center" vertical="center"/>
    </xf>
    <xf numFmtId="0" fontId="62" fillId="0" borderId="54" xfId="0" applyFont="1" applyBorder="1" applyAlignment="1">
      <alignment horizontal="center" vertical="center"/>
    </xf>
    <xf numFmtId="169" fontId="62" fillId="0" borderId="47" xfId="0" applyNumberFormat="1" applyFont="1" applyBorder="1" applyAlignment="1">
      <alignment horizontal="center" vertical="center"/>
    </xf>
    <xf numFmtId="0" fontId="75" fillId="17" borderId="43" xfId="0" applyFont="1" applyFill="1" applyBorder="1" applyAlignment="1">
      <alignment horizontal="left" vertical="center"/>
    </xf>
    <xf numFmtId="0" fontId="62" fillId="0" borderId="55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164" fontId="11" fillId="0" borderId="0" xfId="0" applyNumberFormat="1" applyFont="1"/>
    <xf numFmtId="37" fontId="11" fillId="0" borderId="0" xfId="0" applyNumberFormat="1" applyFont="1"/>
    <xf numFmtId="0" fontId="2" fillId="0" borderId="14" xfId="0" applyFont="1" applyBorder="1" applyAlignment="1">
      <alignment horizontal="center"/>
    </xf>
    <xf numFmtId="167" fontId="0" fillId="0" borderId="0" xfId="0" applyNumberFormat="1" applyAlignment="1">
      <alignment vertical="center"/>
    </xf>
    <xf numFmtId="0" fontId="16" fillId="0" borderId="0" xfId="0" applyFont="1" applyAlignment="1">
      <alignment horizontal="center"/>
    </xf>
    <xf numFmtId="17" fontId="0" fillId="0" borderId="0" xfId="0" applyNumberFormat="1"/>
    <xf numFmtId="0" fontId="2" fillId="0" borderId="10" xfId="0" applyFont="1" applyBorder="1" applyAlignment="1">
      <alignment horizontal="right"/>
    </xf>
    <xf numFmtId="0" fontId="2" fillId="0" borderId="11" xfId="0" applyFont="1" applyBorder="1"/>
    <xf numFmtId="167" fontId="2" fillId="0" borderId="11" xfId="0" applyNumberFormat="1" applyFont="1" applyBorder="1"/>
    <xf numFmtId="167" fontId="2" fillId="0" borderId="12" xfId="0" applyNumberFormat="1" applyFont="1" applyBorder="1"/>
    <xf numFmtId="0" fontId="2" fillId="4" borderId="10" xfId="0" applyFont="1" applyFill="1" applyBorder="1"/>
    <xf numFmtId="167" fontId="2" fillId="4" borderId="11" xfId="0" applyNumberFormat="1" applyFont="1" applyFill="1" applyBorder="1"/>
    <xf numFmtId="41" fontId="2" fillId="4" borderId="12" xfId="0" applyNumberFormat="1" applyFont="1" applyFill="1" applyBorder="1"/>
    <xf numFmtId="0" fontId="4" fillId="0" borderId="26" xfId="0" applyFont="1" applyBorder="1" applyAlignment="1">
      <alignment horizontal="center" vertical="center" wrapText="1"/>
    </xf>
    <xf numFmtId="167" fontId="3" fillId="14" borderId="56" xfId="0" applyNumberFormat="1" applyFont="1" applyFill="1" applyBorder="1" applyAlignment="1">
      <alignment vertical="center"/>
    </xf>
    <xf numFmtId="0" fontId="0" fillId="5" borderId="38" xfId="0" applyFill="1" applyBorder="1" applyAlignment="1">
      <alignment vertical="center"/>
    </xf>
    <xf numFmtId="167" fontId="0" fillId="0" borderId="38" xfId="0" applyNumberFormat="1" applyBorder="1" applyAlignment="1">
      <alignment vertical="center"/>
    </xf>
    <xf numFmtId="167" fontId="44" fillId="0" borderId="40" xfId="0" applyNumberFormat="1" applyFont="1" applyBorder="1"/>
    <xf numFmtId="167" fontId="0" fillId="0" borderId="38" xfId="0" applyNumberFormat="1" applyBorder="1"/>
    <xf numFmtId="0" fontId="0" fillId="0" borderId="38" xfId="0" applyBorder="1" applyAlignment="1">
      <alignment vertical="center"/>
    </xf>
    <xf numFmtId="167" fontId="3" fillId="14" borderId="57" xfId="0" applyNumberFormat="1" applyFont="1" applyFill="1" applyBorder="1" applyAlignment="1">
      <alignment vertical="center"/>
    </xf>
    <xf numFmtId="167" fontId="3" fillId="14" borderId="58" xfId="0" applyNumberFormat="1" applyFont="1" applyFill="1" applyBorder="1" applyAlignment="1">
      <alignment vertical="center"/>
    </xf>
    <xf numFmtId="167" fontId="2" fillId="0" borderId="0" xfId="0" applyNumberFormat="1" applyFont="1" applyBorder="1"/>
    <xf numFmtId="0" fontId="4" fillId="0" borderId="22" xfId="0" applyFont="1" applyBorder="1" applyAlignment="1">
      <alignment horizontal="center" vertical="center" wrapText="1"/>
    </xf>
    <xf numFmtId="167" fontId="44" fillId="6" borderId="38" xfId="0" applyNumberFormat="1" applyFont="1" applyFill="1" applyBorder="1"/>
    <xf numFmtId="0" fontId="8" fillId="0" borderId="38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0" fillId="0" borderId="59" xfId="0" applyBorder="1" applyAlignment="1">
      <alignment vertical="center"/>
    </xf>
    <xf numFmtId="167" fontId="3" fillId="14" borderId="60" xfId="0" applyNumberFormat="1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5" borderId="28" xfId="0" applyFill="1" applyBorder="1" applyAlignment="1">
      <alignment vertical="center"/>
    </xf>
    <xf numFmtId="167" fontId="0" fillId="0" borderId="28" xfId="0" applyNumberFormat="1" applyBorder="1" applyAlignment="1">
      <alignment vertical="center"/>
    </xf>
    <xf numFmtId="167" fontId="44" fillId="0" borderId="28" xfId="0" applyNumberFormat="1" applyFont="1" applyBorder="1" applyAlignment="1">
      <alignment vertical="center"/>
    </xf>
    <xf numFmtId="167" fontId="3" fillId="0" borderId="28" xfId="1" applyNumberFormat="1" applyFont="1" applyBorder="1"/>
    <xf numFmtId="167" fontId="3" fillId="5" borderId="28" xfId="1" applyNumberFormat="1" applyFont="1" applyFill="1" applyBorder="1"/>
    <xf numFmtId="167" fontId="44" fillId="0" borderId="28" xfId="0" applyNumberFormat="1" applyFont="1" applyBorder="1"/>
    <xf numFmtId="0" fontId="3" fillId="6" borderId="28" xfId="0" applyFont="1" applyFill="1" applyBorder="1" applyAlignment="1">
      <alignment horizontal="center" vertical="center"/>
    </xf>
    <xf numFmtId="167" fontId="44" fillId="0" borderId="28" xfId="1" applyNumberFormat="1" applyFont="1" applyBorder="1"/>
    <xf numFmtId="167" fontId="44" fillId="0" borderId="28" xfId="1" applyNumberFormat="1" applyFont="1" applyFill="1" applyBorder="1"/>
    <xf numFmtId="167" fontId="3" fillId="6" borderId="28" xfId="1" applyNumberFormat="1" applyFont="1" applyFill="1" applyBorder="1"/>
    <xf numFmtId="167" fontId="3" fillId="13" borderId="28" xfId="0" applyNumberFormat="1" applyFont="1" applyFill="1" applyBorder="1"/>
    <xf numFmtId="167" fontId="3" fillId="14" borderId="11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5" borderId="0" xfId="0" applyFill="1" applyBorder="1" applyAlignment="1">
      <alignment vertical="center"/>
    </xf>
    <xf numFmtId="167" fontId="0" fillId="0" borderId="0" xfId="0" applyNumberFormat="1" applyBorder="1" applyAlignment="1">
      <alignment vertical="center"/>
    </xf>
    <xf numFmtId="167" fontId="44" fillId="0" borderId="0" xfId="0" applyNumberFormat="1" applyFont="1" applyBorder="1" applyAlignment="1">
      <alignment vertical="center"/>
    </xf>
    <xf numFmtId="167" fontId="3" fillId="0" borderId="0" xfId="1" applyNumberFormat="1" applyFont="1" applyBorder="1"/>
    <xf numFmtId="167" fontId="3" fillId="5" borderId="0" xfId="1" applyNumberFormat="1" applyFont="1" applyFill="1" applyBorder="1"/>
    <xf numFmtId="167" fontId="44" fillId="0" borderId="0" xfId="0" applyNumberFormat="1" applyFont="1" applyBorder="1"/>
    <xf numFmtId="167" fontId="44" fillId="6" borderId="0" xfId="0" applyNumberFormat="1" applyFont="1" applyFill="1" applyBorder="1"/>
    <xf numFmtId="167" fontId="3" fillId="6" borderId="0" xfId="1" applyNumberFormat="1" applyFont="1" applyFill="1" applyBorder="1"/>
    <xf numFmtId="167" fontId="3" fillId="13" borderId="0" xfId="0" applyNumberFormat="1" applyFont="1" applyFill="1" applyBorder="1"/>
    <xf numFmtId="167" fontId="3" fillId="14" borderId="61" xfId="0" applyNumberFormat="1" applyFont="1" applyFill="1" applyBorder="1" applyAlignment="1">
      <alignment vertical="center"/>
    </xf>
    <xf numFmtId="0" fontId="9" fillId="21" borderId="34" xfId="0" applyFont="1" applyFill="1" applyBorder="1" applyAlignment="1">
      <alignment horizontal="center" vertical="center"/>
    </xf>
    <xf numFmtId="14" fontId="8" fillId="21" borderId="38" xfId="0" applyNumberFormat="1" applyFont="1" applyFill="1" applyBorder="1" applyAlignment="1">
      <alignment horizontal="center" vertical="center"/>
    </xf>
    <xf numFmtId="0" fontId="8" fillId="21" borderId="40" xfId="0" applyFont="1" applyFill="1" applyBorder="1" applyAlignment="1">
      <alignment horizontal="center" vertical="center"/>
    </xf>
    <xf numFmtId="0" fontId="2" fillId="21" borderId="2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" fontId="7" fillId="0" borderId="0" xfId="0" applyNumberFormat="1" applyFont="1" applyBorder="1" applyAlignment="1">
      <alignment horizontal="center"/>
    </xf>
    <xf numFmtId="0" fontId="42" fillId="0" borderId="16" xfId="0" applyFont="1" applyBorder="1"/>
    <xf numFmtId="0" fontId="5" fillId="0" borderId="20" xfId="0" applyFont="1" applyBorder="1" applyAlignment="1">
      <alignment horizontal="center"/>
    </xf>
    <xf numFmtId="167" fontId="0" fillId="0" borderId="0" xfId="0" quotePrefix="1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7" fontId="0" fillId="0" borderId="18" xfId="0" applyNumberFormat="1" applyBorder="1"/>
    <xf numFmtId="167" fontId="0" fillId="0" borderId="18" xfId="0" applyNumberFormat="1" applyBorder="1" applyAlignment="1">
      <alignment horizontal="center"/>
    </xf>
    <xf numFmtId="167" fontId="0" fillId="0" borderId="19" xfId="0" applyNumberFormat="1" applyBorder="1"/>
    <xf numFmtId="167" fontId="42" fillId="0" borderId="0" xfId="0" applyNumberFormat="1" applyFont="1" applyBorder="1"/>
    <xf numFmtId="167" fontId="0" fillId="0" borderId="0" xfId="0" applyNumberFormat="1" applyFill="1"/>
    <xf numFmtId="165" fontId="0" fillId="0" borderId="0" xfId="0" applyNumberFormat="1" applyFill="1"/>
    <xf numFmtId="165" fontId="0" fillId="0" borderId="0" xfId="0" quotePrefix="1" applyNumberFormat="1"/>
    <xf numFmtId="0" fontId="0" fillId="0" borderId="0" xfId="0" applyFill="1" applyAlignment="1">
      <alignment horizontal="center"/>
    </xf>
    <xf numFmtId="0" fontId="41" fillId="0" borderId="0" xfId="0" applyFont="1" applyFill="1"/>
    <xf numFmtId="0" fontId="0" fillId="8" borderId="0" xfId="0" quotePrefix="1" applyFill="1"/>
    <xf numFmtId="0" fontId="0" fillId="8" borderId="0" xfId="0" applyFill="1"/>
    <xf numFmtId="0" fontId="2" fillId="21" borderId="34" xfId="0" applyFont="1" applyFill="1" applyBorder="1" applyAlignment="1">
      <alignment horizontal="center" vertical="center" wrapText="1"/>
    </xf>
    <xf numFmtId="0" fontId="2" fillId="21" borderId="40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9" fillId="21" borderId="25" xfId="0" applyFont="1" applyFill="1" applyBorder="1" applyAlignment="1">
      <alignment horizontal="center" vertical="center"/>
    </xf>
    <xf numFmtId="0" fontId="9" fillId="21" borderId="26" xfId="0" applyFont="1" applyFill="1" applyBorder="1" applyAlignment="1">
      <alignment horizontal="center" vertical="center"/>
    </xf>
    <xf numFmtId="0" fontId="9" fillId="21" borderId="27" xfId="0" applyFont="1" applyFill="1" applyBorder="1" applyAlignment="1">
      <alignment horizontal="center" vertical="center"/>
    </xf>
    <xf numFmtId="0" fontId="2" fillId="21" borderId="26" xfId="0" applyFont="1" applyFill="1" applyBorder="1" applyAlignment="1">
      <alignment horizontal="center" vertical="center"/>
    </xf>
    <xf numFmtId="0" fontId="2" fillId="21" borderId="2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4" fillId="9" borderId="22" xfId="0" applyFont="1" applyFill="1" applyBorder="1" applyAlignment="1">
      <alignment horizontal="left" wrapText="1"/>
    </xf>
    <xf numFmtId="0" fontId="0" fillId="0" borderId="22" xfId="0" applyBorder="1" applyAlignment="1">
      <alignment horizontal="left" wrapText="1"/>
    </xf>
    <xf numFmtId="43" fontId="23" fillId="0" borderId="22" xfId="1" applyFont="1" applyFill="1" applyBorder="1" applyAlignment="1">
      <alignment horizontal="center"/>
    </xf>
    <xf numFmtId="43" fontId="25" fillId="0" borderId="22" xfId="1" applyFont="1" applyFill="1" applyBorder="1" applyAlignment="1">
      <alignment horizontal="center"/>
    </xf>
    <xf numFmtId="0" fontId="27" fillId="9" borderId="22" xfId="0" applyFont="1" applyFill="1" applyBorder="1" applyAlignment="1">
      <alignment horizontal="left" wrapText="1"/>
    </xf>
    <xf numFmtId="166" fontId="25" fillId="0" borderId="22" xfId="0" applyNumberFormat="1" applyFont="1" applyFill="1" applyBorder="1" applyAlignment="1">
      <alignment horizontal="center"/>
    </xf>
    <xf numFmtId="0" fontId="25" fillId="0" borderId="22" xfId="0" applyFont="1" applyFill="1" applyBorder="1" applyAlignment="1">
      <alignment horizontal="center"/>
    </xf>
    <xf numFmtId="166" fontId="28" fillId="10" borderId="25" xfId="0" applyNumberFormat="1" applyFont="1" applyFill="1" applyBorder="1" applyAlignment="1">
      <alignment horizontal="center"/>
    </xf>
    <xf numFmtId="166" fontId="28" fillId="10" borderId="26" xfId="0" applyNumberFormat="1" applyFont="1" applyFill="1" applyBorder="1" applyAlignment="1">
      <alignment horizontal="center"/>
    </xf>
    <xf numFmtId="166" fontId="28" fillId="10" borderId="27" xfId="0" applyNumberFormat="1" applyFont="1" applyFill="1" applyBorder="1" applyAlignment="1">
      <alignment horizontal="center"/>
    </xf>
    <xf numFmtId="0" fontId="24" fillId="9" borderId="25" xfId="0" applyFont="1" applyFill="1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23" fillId="0" borderId="22" xfId="0" applyFont="1" applyFill="1" applyBorder="1" applyAlignment="1">
      <alignment horizontal="center"/>
    </xf>
    <xf numFmtId="0" fontId="23" fillId="9" borderId="25" xfId="0" applyFont="1" applyFill="1" applyBorder="1" applyAlignment="1">
      <alignment horizontal="center"/>
    </xf>
    <xf numFmtId="0" fontId="23" fillId="9" borderId="27" xfId="0" applyFont="1" applyFill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/>
    </xf>
    <xf numFmtId="0" fontId="51" fillId="0" borderId="11" xfId="0" applyFont="1" applyBorder="1"/>
    <xf numFmtId="0" fontId="51" fillId="0" borderId="12" xfId="0" applyFont="1" applyBorder="1"/>
    <xf numFmtId="0" fontId="50" fillId="0" borderId="41" xfId="0" applyFont="1" applyBorder="1" applyAlignment="1">
      <alignment horizontal="center" vertical="center"/>
    </xf>
    <xf numFmtId="0" fontId="51" fillId="0" borderId="41" xfId="0" applyFont="1" applyBorder="1"/>
    <xf numFmtId="0" fontId="51" fillId="0" borderId="42" xfId="0" applyFont="1" applyBorder="1"/>
    <xf numFmtId="0" fontId="54" fillId="0" borderId="11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64" xfId="0" applyFont="1" applyBorder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443865</xdr:colOff>
      <xdr:row>0</xdr:row>
      <xdr:rowOff>152401</xdr:rowOff>
    </xdr:from>
    <xdr:to>
      <xdr:col>12</xdr:col>
      <xdr:colOff>514350</xdr:colOff>
      <xdr:row>4</xdr:row>
      <xdr:rowOff>95250</xdr:rowOff>
    </xdr:to>
    <xdr:sp macro="" textlink="">
      <xdr:nvSpPr>
        <xdr:cNvPr id="3" name="Flèche : courbe vers le bas 2">
          <a:extLst>
            <a:ext uri="{FF2B5EF4-FFF2-40B4-BE49-F238E27FC236}">
              <a16:creationId xmlns="" xmlns:a16="http://schemas.microsoft.com/office/drawing/2014/main" id="{B9E70E8F-FA54-4675-82A8-E3FB1FCC135C}"/>
            </a:ext>
          </a:extLst>
        </xdr:cNvPr>
        <xdr:cNvSpPr/>
      </xdr:nvSpPr>
      <xdr:spPr>
        <a:xfrm>
          <a:off x="5377815" y="152401"/>
          <a:ext cx="6785610" cy="714374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7"/>
  <sheetViews>
    <sheetView workbookViewId="0">
      <selection activeCell="B18" sqref="B18"/>
    </sheetView>
  </sheetViews>
  <sheetFormatPr baseColWidth="10" defaultRowHeight="15" x14ac:dyDescent="0.25"/>
  <cols>
    <col min="1" max="1" width="7.85546875" customWidth="1"/>
    <col min="2" max="2" width="7.5703125" customWidth="1"/>
  </cols>
  <sheetData>
    <row r="3" spans="2:6" ht="15.75" x14ac:dyDescent="0.25">
      <c r="C3" s="2" t="s">
        <v>337</v>
      </c>
    </row>
    <row r="5" spans="2:6" x14ac:dyDescent="0.25">
      <c r="B5" s="20">
        <v>1</v>
      </c>
      <c r="C5" t="s">
        <v>358</v>
      </c>
      <c r="F5" s="568" t="s">
        <v>336</v>
      </c>
    </row>
    <row r="6" spans="2:6" x14ac:dyDescent="0.25">
      <c r="B6" s="20">
        <v>2</v>
      </c>
      <c r="C6" t="s">
        <v>359</v>
      </c>
      <c r="F6" s="568" t="s">
        <v>336</v>
      </c>
    </row>
    <row r="7" spans="2:6" x14ac:dyDescent="0.25">
      <c r="B7" s="20">
        <v>3</v>
      </c>
      <c r="C7" t="s">
        <v>338</v>
      </c>
      <c r="F7" s="568" t="s">
        <v>364</v>
      </c>
    </row>
    <row r="8" spans="2:6" x14ac:dyDescent="0.25">
      <c r="B8" s="20">
        <v>4</v>
      </c>
      <c r="C8" t="s">
        <v>325</v>
      </c>
      <c r="F8" s="568" t="s">
        <v>335</v>
      </c>
    </row>
    <row r="9" spans="2:6" x14ac:dyDescent="0.25">
      <c r="B9" s="20">
        <v>5</v>
      </c>
      <c r="C9" t="s">
        <v>328</v>
      </c>
      <c r="F9" s="568" t="s">
        <v>364</v>
      </c>
    </row>
    <row r="10" spans="2:6" x14ac:dyDescent="0.25">
      <c r="B10" s="20">
        <v>6</v>
      </c>
      <c r="C10" t="s">
        <v>327</v>
      </c>
      <c r="F10" s="568" t="s">
        <v>364</v>
      </c>
    </row>
    <row r="11" spans="2:6" x14ac:dyDescent="0.25">
      <c r="B11" s="20">
        <v>7</v>
      </c>
      <c r="C11" t="s">
        <v>207</v>
      </c>
      <c r="F11" s="568" t="s">
        <v>364</v>
      </c>
    </row>
    <row r="12" spans="2:6" x14ac:dyDescent="0.25">
      <c r="B12" s="20">
        <v>8</v>
      </c>
      <c r="C12" t="s">
        <v>208</v>
      </c>
      <c r="F12" s="568" t="s">
        <v>364</v>
      </c>
    </row>
    <row r="13" spans="2:6" x14ac:dyDescent="0.25">
      <c r="B13" s="20">
        <v>9</v>
      </c>
      <c r="C13" t="s">
        <v>326</v>
      </c>
      <c r="F13" s="568" t="s">
        <v>333</v>
      </c>
    </row>
    <row r="14" spans="2:6" x14ac:dyDescent="0.25">
      <c r="B14" s="20">
        <v>10</v>
      </c>
      <c r="C14" t="s">
        <v>329</v>
      </c>
      <c r="F14" s="568" t="s">
        <v>333</v>
      </c>
    </row>
    <row r="15" spans="2:6" x14ac:dyDescent="0.25">
      <c r="B15" s="20">
        <v>11</v>
      </c>
      <c r="C15" t="s">
        <v>330</v>
      </c>
      <c r="F15" s="568" t="s">
        <v>333</v>
      </c>
    </row>
    <row r="16" spans="2:6" x14ac:dyDescent="0.25">
      <c r="B16" s="20">
        <v>12</v>
      </c>
      <c r="C16" t="s">
        <v>331</v>
      </c>
      <c r="F16" s="568" t="s">
        <v>334</v>
      </c>
    </row>
    <row r="17" spans="2:6" x14ac:dyDescent="0.25">
      <c r="B17" s="20">
        <v>13</v>
      </c>
      <c r="C17" t="s">
        <v>332</v>
      </c>
      <c r="F17" s="568" t="s">
        <v>334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5"/>
  <sheetViews>
    <sheetView topLeftCell="A7" workbookViewId="0">
      <pane xSplit="2" ySplit="1" topLeftCell="C24" activePane="bottomRight" state="frozen"/>
      <selection activeCell="A7" sqref="A7"/>
      <selection pane="topRight" activeCell="C7" sqref="C7"/>
      <selection pane="bottomLeft" activeCell="A8" sqref="A8"/>
      <selection pane="bottomRight" activeCell="R34" sqref="R34"/>
    </sheetView>
  </sheetViews>
  <sheetFormatPr baseColWidth="10" defaultRowHeight="15" x14ac:dyDescent="0.25"/>
  <cols>
    <col min="1" max="1" width="2.5703125" customWidth="1"/>
    <col min="2" max="2" width="21.140625" customWidth="1"/>
    <col min="3" max="3" width="6" bestFit="1" customWidth="1"/>
    <col min="4" max="4" width="7.28515625" customWidth="1"/>
    <col min="5" max="5" width="9.28515625" customWidth="1"/>
    <col min="6" max="6" width="9" customWidth="1"/>
    <col min="8" max="8" width="13.28515625" customWidth="1"/>
    <col min="9" max="9" width="18.85546875" customWidth="1"/>
    <col min="10" max="10" width="12.28515625" customWidth="1"/>
    <col min="11" max="11" width="1" customWidth="1"/>
    <col min="12" max="12" width="23.7109375" customWidth="1"/>
    <col min="13" max="13" width="7.28515625" customWidth="1"/>
    <col min="14" max="14" width="8.28515625" customWidth="1"/>
    <col min="15" max="15" width="8.140625" customWidth="1"/>
    <col min="16" max="16" width="9.42578125" customWidth="1"/>
    <col min="19" max="19" width="15.42578125" customWidth="1"/>
    <col min="20" max="20" width="1.140625" customWidth="1"/>
    <col min="21" max="21" width="23.7109375" customWidth="1"/>
    <col min="22" max="22" width="7.28515625" customWidth="1"/>
    <col min="23" max="23" width="8.28515625" customWidth="1"/>
    <col min="24" max="24" width="8.140625" customWidth="1"/>
    <col min="25" max="25" width="9.42578125" customWidth="1"/>
    <col min="28" max="28" width="15.42578125" customWidth="1"/>
  </cols>
  <sheetData>
    <row r="1" spans="1:28" ht="15.75" x14ac:dyDescent="0.25">
      <c r="A1" s="453"/>
      <c r="B1" s="454" t="s">
        <v>283</v>
      </c>
      <c r="C1" s="453"/>
      <c r="D1" s="453"/>
      <c r="E1" s="453"/>
      <c r="F1" s="453"/>
      <c r="G1" s="453"/>
      <c r="H1" s="453"/>
      <c r="K1" s="455"/>
      <c r="L1" s="454" t="s">
        <v>283</v>
      </c>
      <c r="M1" s="453"/>
      <c r="N1" s="453"/>
      <c r="O1" s="453"/>
      <c r="P1" s="453"/>
      <c r="Q1" s="453"/>
      <c r="R1" s="453"/>
      <c r="S1" s="453"/>
      <c r="T1" s="455"/>
      <c r="U1" s="454" t="s">
        <v>283</v>
      </c>
      <c r="V1" s="453"/>
      <c r="W1" s="453"/>
      <c r="X1" s="453"/>
      <c r="Y1" s="453"/>
      <c r="Z1" s="453"/>
      <c r="AA1" s="453"/>
      <c r="AB1" s="453"/>
    </row>
    <row r="2" spans="1:28" ht="15.75" x14ac:dyDescent="0.25">
      <c r="A2" s="453"/>
      <c r="B2" s="454" t="s">
        <v>284</v>
      </c>
      <c r="C2" s="453"/>
      <c r="D2" s="453"/>
      <c r="E2" s="453"/>
      <c r="F2" s="453"/>
      <c r="G2" s="453"/>
      <c r="H2" s="453"/>
      <c r="K2" s="455"/>
      <c r="L2" s="454" t="s">
        <v>284</v>
      </c>
      <c r="M2" s="453"/>
      <c r="N2" s="453"/>
      <c r="O2" s="453"/>
      <c r="P2" s="453"/>
      <c r="Q2" s="453"/>
      <c r="R2" s="453"/>
      <c r="S2" s="453"/>
      <c r="T2" s="455"/>
      <c r="U2" s="454" t="s">
        <v>284</v>
      </c>
      <c r="V2" s="453"/>
      <c r="W2" s="453"/>
      <c r="X2" s="453"/>
      <c r="Y2" s="453"/>
      <c r="Z2" s="453"/>
      <c r="AA2" s="453"/>
      <c r="AB2" s="453"/>
    </row>
    <row r="3" spans="1:28" ht="15.75" x14ac:dyDescent="0.25">
      <c r="A3" s="453"/>
      <c r="B3" s="453"/>
      <c r="C3" s="453"/>
      <c r="D3" s="453"/>
      <c r="E3" s="453"/>
      <c r="F3" s="453"/>
      <c r="G3" s="453"/>
      <c r="H3" s="453"/>
      <c r="K3" s="455"/>
      <c r="L3" s="453"/>
      <c r="M3" s="453"/>
      <c r="N3" s="453"/>
      <c r="O3" s="453"/>
      <c r="P3" s="453"/>
      <c r="Q3" s="453"/>
      <c r="R3" s="453"/>
      <c r="S3" s="453"/>
      <c r="T3" s="455"/>
      <c r="U3" s="453"/>
      <c r="V3" s="453"/>
      <c r="W3" s="453"/>
      <c r="X3" s="453"/>
      <c r="Y3" s="453"/>
      <c r="Z3" s="453"/>
      <c r="AA3" s="453"/>
      <c r="AB3" s="453"/>
    </row>
    <row r="4" spans="1:28" ht="16.5" thickBot="1" x14ac:dyDescent="0.3">
      <c r="A4" s="453"/>
      <c r="B4" s="453"/>
      <c r="C4" s="453"/>
      <c r="D4" s="453"/>
      <c r="E4" s="453"/>
      <c r="F4" s="453"/>
      <c r="G4" s="453"/>
      <c r="H4" s="453"/>
      <c r="K4" s="455"/>
      <c r="L4" s="453"/>
      <c r="M4" s="453"/>
      <c r="N4" s="453"/>
      <c r="O4" s="453"/>
      <c r="P4" s="453"/>
      <c r="Q4" s="453"/>
      <c r="R4" s="453"/>
      <c r="S4" s="453"/>
      <c r="T4" s="455"/>
      <c r="U4" s="453"/>
      <c r="V4" s="453"/>
      <c r="W4" s="453"/>
      <c r="X4" s="453"/>
      <c r="Y4" s="453"/>
      <c r="Z4" s="453"/>
      <c r="AA4" s="453"/>
      <c r="AB4" s="453"/>
    </row>
    <row r="5" spans="1:28" ht="16.5" thickBot="1" x14ac:dyDescent="0.3">
      <c r="A5" s="453"/>
      <c r="B5" s="678" t="s">
        <v>285</v>
      </c>
      <c r="C5" s="679"/>
      <c r="D5" s="679"/>
      <c r="E5" s="679"/>
      <c r="F5" s="679"/>
      <c r="G5" s="679"/>
      <c r="H5" s="680"/>
      <c r="K5" s="455"/>
      <c r="L5" s="681" t="s">
        <v>286</v>
      </c>
      <c r="M5" s="682"/>
      <c r="N5" s="682"/>
      <c r="O5" s="682"/>
      <c r="P5" s="682"/>
      <c r="Q5" s="682"/>
      <c r="R5" s="683"/>
      <c r="S5" s="456"/>
      <c r="T5" s="455"/>
      <c r="U5" s="681" t="s">
        <v>286</v>
      </c>
      <c r="V5" s="682"/>
      <c r="W5" s="682"/>
      <c r="X5" s="682"/>
      <c r="Y5" s="682"/>
      <c r="Z5" s="682"/>
      <c r="AA5" s="683"/>
      <c r="AB5" s="456"/>
    </row>
    <row r="6" spans="1:28" ht="16.5" thickBot="1" x14ac:dyDescent="0.3">
      <c r="A6" s="453"/>
      <c r="B6" s="457"/>
      <c r="C6" s="457"/>
      <c r="D6" s="457"/>
      <c r="E6" s="457"/>
      <c r="F6" s="457"/>
      <c r="G6" s="457"/>
      <c r="H6" s="457"/>
      <c r="K6" s="455"/>
      <c r="L6" s="457"/>
      <c r="M6" s="457"/>
      <c r="N6" s="457"/>
      <c r="O6" s="457"/>
      <c r="P6" s="457"/>
      <c r="Q6" s="457"/>
      <c r="R6" s="457"/>
      <c r="S6" s="457"/>
      <c r="T6" s="455"/>
      <c r="U6" s="457"/>
      <c r="V6" s="457"/>
      <c r="W6" s="457"/>
      <c r="X6" s="457"/>
      <c r="Y6" s="457"/>
      <c r="Z6" s="457"/>
      <c r="AA6" s="457"/>
      <c r="AB6" s="457"/>
    </row>
    <row r="7" spans="1:28" ht="23.25" thickBot="1" x14ac:dyDescent="0.3">
      <c r="A7" s="453"/>
      <c r="B7" s="458">
        <v>2021</v>
      </c>
      <c r="C7" s="684" t="s">
        <v>287</v>
      </c>
      <c r="D7" s="684"/>
      <c r="E7" s="684"/>
      <c r="F7" s="684"/>
      <c r="G7" s="684"/>
      <c r="H7" s="685"/>
      <c r="I7" s="459" t="s">
        <v>288</v>
      </c>
      <c r="K7" s="455"/>
      <c r="L7" s="458">
        <v>2022</v>
      </c>
      <c r="M7" s="684" t="s">
        <v>287</v>
      </c>
      <c r="N7" s="684"/>
      <c r="O7" s="684"/>
      <c r="P7" s="684"/>
      <c r="Q7" s="684"/>
      <c r="R7" s="685"/>
      <c r="S7" s="459" t="s">
        <v>288</v>
      </c>
      <c r="T7" s="455"/>
      <c r="U7" s="458">
        <v>2023</v>
      </c>
      <c r="V7" s="684" t="s">
        <v>287</v>
      </c>
      <c r="W7" s="684"/>
      <c r="X7" s="684"/>
      <c r="Y7" s="684"/>
      <c r="Z7" s="684"/>
      <c r="AA7" s="685"/>
      <c r="AB7" s="459" t="s">
        <v>288</v>
      </c>
    </row>
    <row r="8" spans="1:28" ht="15.75" x14ac:dyDescent="0.25">
      <c r="A8" s="453"/>
      <c r="B8" s="460"/>
      <c r="C8" s="461"/>
      <c r="D8" s="461"/>
      <c r="E8" s="461"/>
      <c r="F8" s="461"/>
      <c r="G8" s="462"/>
      <c r="H8" s="462"/>
      <c r="I8" s="462"/>
      <c r="K8" s="455"/>
      <c r="L8" s="460"/>
      <c r="M8" s="461"/>
      <c r="N8" s="461"/>
      <c r="O8" s="461"/>
      <c r="P8" s="461"/>
      <c r="Q8" s="462"/>
      <c r="R8" s="462"/>
      <c r="S8" s="462"/>
      <c r="T8" s="455"/>
      <c r="U8" s="460"/>
      <c r="V8" s="461"/>
      <c r="W8" s="461"/>
      <c r="X8" s="461"/>
      <c r="Y8" s="461"/>
      <c r="Z8" s="462"/>
      <c r="AA8" s="462"/>
      <c r="AB8" s="462"/>
    </row>
    <row r="9" spans="1:28" ht="15.75" x14ac:dyDescent="0.25">
      <c r="A9" s="453"/>
      <c r="B9" s="463" t="s">
        <v>289</v>
      </c>
      <c r="C9" s="464"/>
      <c r="D9" s="464"/>
      <c r="E9" s="464"/>
      <c r="F9" s="464"/>
      <c r="G9" s="465"/>
      <c r="H9" s="466">
        <f>H10+H19+H27+H31+H41+H38</f>
        <v>191374</v>
      </c>
      <c r="I9" s="467"/>
      <c r="K9" s="455"/>
      <c r="L9" s="463" t="s">
        <v>290</v>
      </c>
      <c r="M9" s="464"/>
      <c r="N9" s="464"/>
      <c r="O9" s="464"/>
      <c r="P9" s="464"/>
      <c r="Q9" s="465"/>
      <c r="R9" s="468">
        <f>R10+R19+R27+R31+R41+R38</f>
        <v>348418.66</v>
      </c>
      <c r="S9" s="467"/>
      <c r="T9" s="455"/>
      <c r="U9" s="463" t="s">
        <v>290</v>
      </c>
      <c r="V9" s="464"/>
      <c r="W9" s="464"/>
      <c r="X9" s="464"/>
      <c r="Y9" s="464"/>
      <c r="Z9" s="465"/>
      <c r="AA9" s="468">
        <f>AA10+AA19+AA27+AA31+AA41+AA38</f>
        <v>384102.45</v>
      </c>
      <c r="AB9" s="467"/>
    </row>
    <row r="10" spans="1:28" ht="15.75" x14ac:dyDescent="0.25">
      <c r="A10" s="453"/>
      <c r="B10" s="469" t="s">
        <v>291</v>
      </c>
      <c r="C10" s="470"/>
      <c r="D10" s="471"/>
      <c r="E10" s="471"/>
      <c r="F10" s="472"/>
      <c r="G10" s="473"/>
      <c r="H10" s="474">
        <f>SUM(H11:H17)</f>
        <v>11400</v>
      </c>
      <c r="I10" s="475"/>
      <c r="K10" s="455"/>
      <c r="L10" s="469" t="s">
        <v>291</v>
      </c>
      <c r="M10" s="470"/>
      <c r="N10" s="471"/>
      <c r="O10" s="471"/>
      <c r="P10" s="472"/>
      <c r="Q10" s="473"/>
      <c r="R10" s="474">
        <f>SUM(R11:R16)</f>
        <v>148900</v>
      </c>
      <c r="S10" s="475"/>
      <c r="T10" s="455"/>
      <c r="U10" s="469" t="s">
        <v>291</v>
      </c>
      <c r="V10" s="470"/>
      <c r="W10" s="471"/>
      <c r="X10" s="471"/>
      <c r="Y10" s="472"/>
      <c r="Z10" s="473"/>
      <c r="AA10" s="474">
        <f>SUM(AA11:AA16)</f>
        <v>174000</v>
      </c>
      <c r="AB10" s="475"/>
    </row>
    <row r="11" spans="1:28" ht="15.75" x14ac:dyDescent="0.25">
      <c r="A11" s="476"/>
      <c r="B11" s="477" t="s">
        <v>292</v>
      </c>
      <c r="C11" s="478"/>
      <c r="D11" s="478"/>
      <c r="E11" s="479">
        <v>3</v>
      </c>
      <c r="F11" s="479" t="s">
        <v>66</v>
      </c>
      <c r="G11" s="480">
        <v>3800</v>
      </c>
      <c r="H11" s="481">
        <f t="shared" ref="H11:H15" si="0">G11*E11</f>
        <v>11400</v>
      </c>
      <c r="I11" s="482" t="s">
        <v>32</v>
      </c>
      <c r="K11" s="455"/>
      <c r="L11" s="477" t="s">
        <v>292</v>
      </c>
      <c r="M11" s="478"/>
      <c r="N11" s="478"/>
      <c r="O11" s="479">
        <v>12</v>
      </c>
      <c r="P11" s="479" t="s">
        <v>66</v>
      </c>
      <c r="Q11" s="480">
        <v>3800</v>
      </c>
      <c r="R11" s="481">
        <f t="shared" ref="R11:R16" si="1">Q11*O11</f>
        <v>45600</v>
      </c>
      <c r="S11" s="482" t="s">
        <v>32</v>
      </c>
      <c r="T11" s="455"/>
      <c r="U11" s="477" t="s">
        <v>292</v>
      </c>
      <c r="V11" s="478"/>
      <c r="W11" s="478"/>
      <c r="X11" s="479">
        <v>12</v>
      </c>
      <c r="Y11" s="479" t="s">
        <v>66</v>
      </c>
      <c r="Z11" s="480">
        <v>3800</v>
      </c>
      <c r="AA11" s="481">
        <f t="shared" ref="AA11:AA16" si="2">Z11*X11</f>
        <v>45600</v>
      </c>
      <c r="AB11" s="482" t="s">
        <v>32</v>
      </c>
    </row>
    <row r="12" spans="1:28" ht="15.75" x14ac:dyDescent="0.25">
      <c r="A12" s="476"/>
      <c r="B12" s="477"/>
      <c r="C12" s="478"/>
      <c r="D12" s="478"/>
      <c r="E12" s="479"/>
      <c r="F12" s="479"/>
      <c r="G12" s="480"/>
      <c r="H12" s="481"/>
      <c r="I12" s="482"/>
      <c r="K12" s="455"/>
      <c r="L12" s="477" t="s">
        <v>293</v>
      </c>
      <c r="M12" s="483"/>
      <c r="N12" s="483"/>
      <c r="O12" s="484">
        <v>9</v>
      </c>
      <c r="P12" s="479" t="s">
        <v>66</v>
      </c>
      <c r="Q12" s="480">
        <v>2500</v>
      </c>
      <c r="R12" s="481">
        <f t="shared" si="1"/>
        <v>22500</v>
      </c>
      <c r="S12" s="485" t="s">
        <v>30</v>
      </c>
      <c r="T12" s="455"/>
      <c r="U12" s="477" t="s">
        <v>293</v>
      </c>
      <c r="V12" s="483"/>
      <c r="W12" s="483"/>
      <c r="X12" s="484">
        <v>12</v>
      </c>
      <c r="Y12" s="479" t="s">
        <v>66</v>
      </c>
      <c r="Z12" s="480">
        <v>2500</v>
      </c>
      <c r="AA12" s="481">
        <f t="shared" si="2"/>
        <v>30000</v>
      </c>
      <c r="AB12" s="485" t="s">
        <v>30</v>
      </c>
    </row>
    <row r="13" spans="1:28" ht="15.75" x14ac:dyDescent="0.25">
      <c r="A13" s="486"/>
      <c r="B13" s="487" t="s">
        <v>293</v>
      </c>
      <c r="C13" s="488"/>
      <c r="D13" s="488"/>
      <c r="E13" s="489">
        <v>9</v>
      </c>
      <c r="F13" s="490" t="s">
        <v>66</v>
      </c>
      <c r="G13" s="491">
        <v>1250</v>
      </c>
      <c r="H13" s="492"/>
      <c r="I13" s="493" t="s">
        <v>30</v>
      </c>
      <c r="K13" s="455"/>
      <c r="L13" s="477" t="s">
        <v>294</v>
      </c>
      <c r="M13" s="478"/>
      <c r="N13" s="478"/>
      <c r="O13" s="479">
        <v>10</v>
      </c>
      <c r="P13" s="479" t="s">
        <v>66</v>
      </c>
      <c r="Q13" s="480">
        <v>2500</v>
      </c>
      <c r="R13" s="481">
        <f t="shared" si="1"/>
        <v>25000</v>
      </c>
      <c r="S13" s="482" t="s">
        <v>31</v>
      </c>
      <c r="T13" s="455"/>
      <c r="U13" s="477" t="s">
        <v>294</v>
      </c>
      <c r="V13" s="478"/>
      <c r="W13" s="478"/>
      <c r="X13" s="479">
        <v>12</v>
      </c>
      <c r="Y13" s="479" t="s">
        <v>66</v>
      </c>
      <c r="Z13" s="480">
        <v>2500</v>
      </c>
      <c r="AA13" s="481">
        <f t="shared" si="2"/>
        <v>30000</v>
      </c>
      <c r="AB13" s="482" t="s">
        <v>31</v>
      </c>
    </row>
    <row r="14" spans="1:28" ht="15.75" x14ac:dyDescent="0.25">
      <c r="A14" s="494"/>
      <c r="B14" s="487" t="s">
        <v>294</v>
      </c>
      <c r="C14" s="495"/>
      <c r="D14" s="495"/>
      <c r="E14" s="490">
        <v>10</v>
      </c>
      <c r="F14" s="490" t="s">
        <v>66</v>
      </c>
      <c r="G14" s="491">
        <v>1250</v>
      </c>
      <c r="H14" s="492"/>
      <c r="I14" s="496" t="s">
        <v>31</v>
      </c>
      <c r="K14" s="455"/>
      <c r="L14" s="497" t="s">
        <v>295</v>
      </c>
      <c r="M14" s="483"/>
      <c r="N14" s="483"/>
      <c r="O14" s="484">
        <v>12</v>
      </c>
      <c r="P14" s="484" t="s">
        <v>66</v>
      </c>
      <c r="Q14" s="480">
        <v>2400</v>
      </c>
      <c r="R14" s="481">
        <f t="shared" si="1"/>
        <v>28800</v>
      </c>
      <c r="S14" s="482" t="s">
        <v>31</v>
      </c>
      <c r="T14" s="455"/>
      <c r="U14" s="497" t="s">
        <v>295</v>
      </c>
      <c r="V14" s="483"/>
      <c r="W14" s="483"/>
      <c r="X14" s="484">
        <v>12</v>
      </c>
      <c r="Y14" s="484" t="s">
        <v>66</v>
      </c>
      <c r="Z14" s="480">
        <v>2400</v>
      </c>
      <c r="AA14" s="481">
        <f t="shared" si="2"/>
        <v>28800</v>
      </c>
      <c r="AB14" s="482" t="s">
        <v>31</v>
      </c>
    </row>
    <row r="15" spans="1:28" ht="18" x14ac:dyDescent="0.25">
      <c r="A15" s="486"/>
      <c r="B15" s="498" t="s">
        <v>296</v>
      </c>
      <c r="C15" s="483"/>
      <c r="D15" s="483"/>
      <c r="E15" s="484">
        <v>0</v>
      </c>
      <c r="F15" s="484" t="s">
        <v>66</v>
      </c>
      <c r="G15" s="480">
        <v>2400</v>
      </c>
      <c r="H15" s="481">
        <f t="shared" si="0"/>
        <v>0</v>
      </c>
      <c r="I15" s="482" t="s">
        <v>31</v>
      </c>
      <c r="K15" s="455"/>
      <c r="L15" s="499" t="s">
        <v>297</v>
      </c>
      <c r="M15" s="483"/>
      <c r="N15" s="483"/>
      <c r="O15" s="500">
        <v>6</v>
      </c>
      <c r="P15" s="484" t="s">
        <v>66</v>
      </c>
      <c r="Q15" s="501">
        <v>900</v>
      </c>
      <c r="R15" s="481">
        <f t="shared" si="1"/>
        <v>5400</v>
      </c>
      <c r="S15" s="482" t="s">
        <v>31</v>
      </c>
      <c r="T15" s="455"/>
      <c r="U15" s="499" t="s">
        <v>297</v>
      </c>
      <c r="V15" s="483"/>
      <c r="W15" s="483"/>
      <c r="X15" s="500">
        <v>12</v>
      </c>
      <c r="Y15" s="484" t="s">
        <v>66</v>
      </c>
      <c r="Z15" s="501">
        <v>900</v>
      </c>
      <c r="AA15" s="481">
        <f t="shared" si="2"/>
        <v>10800</v>
      </c>
      <c r="AB15" s="482" t="s">
        <v>31</v>
      </c>
    </row>
    <row r="16" spans="1:28" ht="15.75" x14ac:dyDescent="0.25">
      <c r="A16" s="486"/>
      <c r="B16" s="487" t="s">
        <v>298</v>
      </c>
      <c r="C16" s="488"/>
      <c r="D16" s="488"/>
      <c r="E16" s="489">
        <v>9</v>
      </c>
      <c r="F16" s="490" t="s">
        <v>66</v>
      </c>
      <c r="G16" s="491">
        <v>-924</v>
      </c>
      <c r="H16" s="502"/>
      <c r="I16" s="496" t="s">
        <v>31</v>
      </c>
      <c r="K16" s="455"/>
      <c r="L16" s="503" t="s">
        <v>299</v>
      </c>
      <c r="M16" s="504"/>
      <c r="N16" s="483"/>
      <c r="O16" s="500">
        <v>9</v>
      </c>
      <c r="P16" s="484" t="s">
        <v>66</v>
      </c>
      <c r="Q16" s="501">
        <v>2400</v>
      </c>
      <c r="R16" s="481">
        <f t="shared" si="1"/>
        <v>21600</v>
      </c>
      <c r="S16" s="482" t="s">
        <v>31</v>
      </c>
      <c r="T16" s="455"/>
      <c r="U16" s="503" t="s">
        <v>299</v>
      </c>
      <c r="V16" s="504"/>
      <c r="W16" s="483"/>
      <c r="X16" s="500">
        <v>12</v>
      </c>
      <c r="Y16" s="484" t="s">
        <v>66</v>
      </c>
      <c r="Z16" s="501">
        <v>2400</v>
      </c>
      <c r="AA16" s="481">
        <f t="shared" si="2"/>
        <v>28800</v>
      </c>
      <c r="AB16" s="482" t="s">
        <v>31</v>
      </c>
    </row>
    <row r="17" spans="1:28" ht="15.75" x14ac:dyDescent="0.25">
      <c r="A17" s="494"/>
      <c r="B17" s="487" t="s">
        <v>300</v>
      </c>
      <c r="C17" s="495"/>
      <c r="D17" s="495"/>
      <c r="E17" s="490">
        <v>10</v>
      </c>
      <c r="F17" s="490" t="s">
        <v>66</v>
      </c>
      <c r="G17" s="491">
        <v>-924</v>
      </c>
      <c r="H17" s="502"/>
      <c r="I17" s="496" t="s">
        <v>31</v>
      </c>
      <c r="K17" s="455"/>
      <c r="L17" s="505"/>
      <c r="M17" s="506"/>
      <c r="N17" s="506"/>
      <c r="O17" s="506"/>
      <c r="P17" s="506"/>
      <c r="Q17" s="507"/>
      <c r="R17" s="507"/>
      <c r="S17" s="508"/>
      <c r="T17" s="455"/>
      <c r="U17" s="505"/>
      <c r="V17" s="506"/>
      <c r="W17" s="506"/>
      <c r="X17" s="506"/>
      <c r="Y17" s="506"/>
      <c r="Z17" s="507"/>
      <c r="AA17" s="507"/>
      <c r="AB17" s="508"/>
    </row>
    <row r="18" spans="1:28" ht="15.75" x14ac:dyDescent="0.25">
      <c r="A18" s="453"/>
      <c r="B18" s="505"/>
      <c r="C18" s="506"/>
      <c r="D18" s="506"/>
      <c r="E18" s="506"/>
      <c r="F18" s="506"/>
      <c r="G18" s="507"/>
      <c r="H18" s="507"/>
      <c r="I18" s="508"/>
      <c r="K18" s="455"/>
      <c r="T18" s="455"/>
    </row>
    <row r="19" spans="1:28" ht="15.75" x14ac:dyDescent="0.25">
      <c r="A19" s="453"/>
      <c r="B19" s="469" t="s">
        <v>301</v>
      </c>
      <c r="C19" s="509"/>
      <c r="D19" s="510"/>
      <c r="E19" s="510"/>
      <c r="F19" s="511"/>
      <c r="G19" s="512"/>
      <c r="H19" s="474">
        <f>SUM(H20:H25)</f>
        <v>4560</v>
      </c>
      <c r="I19" s="513"/>
      <c r="K19" s="455"/>
      <c r="L19" s="469" t="s">
        <v>301</v>
      </c>
      <c r="M19" s="509"/>
      <c r="N19" s="510"/>
      <c r="O19" s="510"/>
      <c r="P19" s="511"/>
      <c r="Q19" s="512"/>
      <c r="R19" s="474">
        <f>SUM(R20:R25)</f>
        <v>59290</v>
      </c>
      <c r="S19" s="513"/>
      <c r="T19" s="455"/>
      <c r="U19" s="469" t="s">
        <v>301</v>
      </c>
      <c r="V19" s="509"/>
      <c r="W19" s="510"/>
      <c r="X19" s="510"/>
      <c r="Y19" s="511"/>
      <c r="Z19" s="512"/>
      <c r="AA19" s="474">
        <f>SUM(AA20:AA25)</f>
        <v>69600</v>
      </c>
      <c r="AB19" s="513"/>
    </row>
    <row r="20" spans="1:28" ht="15.75" x14ac:dyDescent="0.25">
      <c r="A20" s="476"/>
      <c r="B20" s="477" t="s">
        <v>292</v>
      </c>
      <c r="C20" s="514">
        <v>0.4</v>
      </c>
      <c r="D20" s="514" t="s">
        <v>200</v>
      </c>
      <c r="E20" s="515">
        <f>E11</f>
        <v>3</v>
      </c>
      <c r="F20" s="514" t="s">
        <v>66</v>
      </c>
      <c r="G20" s="480">
        <f>H11</f>
        <v>11400</v>
      </c>
      <c r="H20" s="481">
        <f t="shared" ref="H20:H25" si="3">C20*G20</f>
        <v>4560</v>
      </c>
      <c r="I20" s="482" t="s">
        <v>32</v>
      </c>
      <c r="K20" s="455"/>
      <c r="L20" s="477" t="s">
        <v>292</v>
      </c>
      <c r="M20" s="514">
        <v>0.4</v>
      </c>
      <c r="N20" s="514" t="s">
        <v>200</v>
      </c>
      <c r="O20" s="515">
        <f t="shared" ref="O20:O25" si="4">O11</f>
        <v>12</v>
      </c>
      <c r="P20" s="514" t="s">
        <v>66</v>
      </c>
      <c r="Q20" s="480">
        <f t="shared" ref="Q20:Q25" si="5">R11</f>
        <v>45600</v>
      </c>
      <c r="R20" s="481">
        <f t="shared" ref="R20:R25" si="6">M20*Q20</f>
        <v>18240</v>
      </c>
      <c r="S20" s="482" t="s">
        <v>32</v>
      </c>
      <c r="T20" s="455"/>
      <c r="U20" s="477" t="s">
        <v>292</v>
      </c>
      <c r="V20" s="514">
        <v>0.4</v>
      </c>
      <c r="W20" s="514" t="s">
        <v>200</v>
      </c>
      <c r="X20" s="515">
        <f t="shared" ref="X20:X25" si="7">X11</f>
        <v>12</v>
      </c>
      <c r="Y20" s="514" t="s">
        <v>66</v>
      </c>
      <c r="Z20" s="480">
        <f t="shared" ref="Z20:Z25" si="8">AA11</f>
        <v>45600</v>
      </c>
      <c r="AA20" s="481">
        <f t="shared" ref="AA20:AA25" si="9">V20*Z20</f>
        <v>18240</v>
      </c>
      <c r="AB20" s="482" t="s">
        <v>32</v>
      </c>
    </row>
    <row r="21" spans="1:28" ht="18" x14ac:dyDescent="0.25">
      <c r="A21" s="453"/>
      <c r="B21" s="516" t="s">
        <v>293</v>
      </c>
      <c r="C21" s="517">
        <v>0.1</v>
      </c>
      <c r="D21" s="518" t="s">
        <v>200</v>
      </c>
      <c r="E21" s="519">
        <f t="shared" ref="E21:E23" si="10">E13</f>
        <v>9</v>
      </c>
      <c r="F21" s="517" t="s">
        <v>66</v>
      </c>
      <c r="G21" s="520">
        <f t="shared" ref="G21:G23" si="11">H13</f>
        <v>0</v>
      </c>
      <c r="H21" s="521">
        <f t="shared" si="3"/>
        <v>0</v>
      </c>
      <c r="I21" s="493" t="s">
        <v>30</v>
      </c>
      <c r="K21" s="455"/>
      <c r="L21" s="498" t="s">
        <v>293</v>
      </c>
      <c r="M21" s="514">
        <v>0.4</v>
      </c>
      <c r="N21" s="522" t="s">
        <v>200</v>
      </c>
      <c r="O21" s="523">
        <f t="shared" si="4"/>
        <v>9</v>
      </c>
      <c r="P21" s="514" t="s">
        <v>66</v>
      </c>
      <c r="Q21" s="501">
        <f t="shared" si="5"/>
        <v>22500</v>
      </c>
      <c r="R21" s="524">
        <f>M21*Q21</f>
        <v>9000</v>
      </c>
      <c r="S21" s="485" t="s">
        <v>30</v>
      </c>
      <c r="T21" s="455"/>
      <c r="U21" s="498" t="s">
        <v>293</v>
      </c>
      <c r="V21" s="514">
        <v>0.4</v>
      </c>
      <c r="W21" s="522" t="s">
        <v>200</v>
      </c>
      <c r="X21" s="523">
        <f t="shared" si="7"/>
        <v>12</v>
      </c>
      <c r="Y21" s="514" t="s">
        <v>66</v>
      </c>
      <c r="Z21" s="501">
        <f t="shared" si="8"/>
        <v>30000</v>
      </c>
      <c r="AA21" s="524">
        <f>V21*Z21</f>
        <v>12000</v>
      </c>
      <c r="AB21" s="485" t="s">
        <v>30</v>
      </c>
    </row>
    <row r="22" spans="1:28" ht="27" x14ac:dyDescent="0.25">
      <c r="A22" s="453"/>
      <c r="B22" s="516" t="s">
        <v>294</v>
      </c>
      <c r="C22" s="517">
        <v>0.1</v>
      </c>
      <c r="D22" s="518" t="s">
        <v>200</v>
      </c>
      <c r="E22" s="519">
        <f t="shared" si="10"/>
        <v>10</v>
      </c>
      <c r="F22" s="517" t="s">
        <v>66</v>
      </c>
      <c r="G22" s="520">
        <f t="shared" si="11"/>
        <v>0</v>
      </c>
      <c r="H22" s="521">
        <f t="shared" si="3"/>
        <v>0</v>
      </c>
      <c r="I22" s="496" t="s">
        <v>31</v>
      </c>
      <c r="K22" s="455"/>
      <c r="L22" s="525" t="s">
        <v>294</v>
      </c>
      <c r="M22" s="514">
        <v>0.4</v>
      </c>
      <c r="N22" s="522" t="s">
        <v>200</v>
      </c>
      <c r="O22" s="523">
        <f t="shared" si="4"/>
        <v>10</v>
      </c>
      <c r="P22" s="514" t="s">
        <v>66</v>
      </c>
      <c r="Q22" s="501">
        <f t="shared" si="5"/>
        <v>25000</v>
      </c>
      <c r="R22" s="524">
        <f>M22*Q22</f>
        <v>10000</v>
      </c>
      <c r="S22" s="482" t="s">
        <v>31</v>
      </c>
      <c r="T22" s="455"/>
      <c r="U22" s="525" t="s">
        <v>294</v>
      </c>
      <c r="V22" s="514">
        <v>0.4</v>
      </c>
      <c r="W22" s="522" t="s">
        <v>200</v>
      </c>
      <c r="X22" s="523">
        <f t="shared" si="7"/>
        <v>12</v>
      </c>
      <c r="Y22" s="514" t="s">
        <v>66</v>
      </c>
      <c r="Z22" s="501">
        <f t="shared" si="8"/>
        <v>30000</v>
      </c>
      <c r="AA22" s="524">
        <f>V22*Z22</f>
        <v>12000</v>
      </c>
      <c r="AB22" s="482" t="s">
        <v>31</v>
      </c>
    </row>
    <row r="23" spans="1:28" ht="18" x14ac:dyDescent="0.25">
      <c r="A23" s="453"/>
      <c r="B23" s="498" t="s">
        <v>296</v>
      </c>
      <c r="C23" s="514">
        <v>0.4</v>
      </c>
      <c r="D23" s="522" t="s">
        <v>200</v>
      </c>
      <c r="E23" s="515">
        <f t="shared" si="10"/>
        <v>0</v>
      </c>
      <c r="F23" s="514" t="s">
        <v>66</v>
      </c>
      <c r="G23" s="501">
        <f t="shared" si="11"/>
        <v>0</v>
      </c>
      <c r="H23" s="524">
        <f t="shared" si="3"/>
        <v>0</v>
      </c>
      <c r="I23" s="482" t="s">
        <v>31</v>
      </c>
      <c r="K23" s="455"/>
      <c r="L23" s="498" t="s">
        <v>302</v>
      </c>
      <c r="M23" s="514">
        <v>0.4</v>
      </c>
      <c r="N23" s="522" t="s">
        <v>200</v>
      </c>
      <c r="O23" s="523">
        <f t="shared" si="4"/>
        <v>12</v>
      </c>
      <c r="P23" s="514" t="s">
        <v>66</v>
      </c>
      <c r="Q23" s="501">
        <f t="shared" si="5"/>
        <v>28800</v>
      </c>
      <c r="R23" s="524">
        <f>M23*Q23</f>
        <v>11520</v>
      </c>
      <c r="S23" s="482" t="s">
        <v>31</v>
      </c>
      <c r="T23" s="455"/>
      <c r="U23" s="498" t="s">
        <v>302</v>
      </c>
      <c r="V23" s="514">
        <v>0.4</v>
      </c>
      <c r="W23" s="522" t="s">
        <v>200</v>
      </c>
      <c r="X23" s="523">
        <f t="shared" si="7"/>
        <v>12</v>
      </c>
      <c r="Y23" s="514" t="s">
        <v>66</v>
      </c>
      <c r="Z23" s="501">
        <f t="shared" si="8"/>
        <v>28800</v>
      </c>
      <c r="AA23" s="524">
        <f>V23*Z23</f>
        <v>11520</v>
      </c>
      <c r="AB23" s="482" t="s">
        <v>31</v>
      </c>
    </row>
    <row r="24" spans="1:28" ht="18" x14ac:dyDescent="0.25">
      <c r="A24" s="453"/>
      <c r="B24" s="526"/>
      <c r="C24" s="514"/>
      <c r="D24" s="522"/>
      <c r="E24" s="515"/>
      <c r="F24" s="514"/>
      <c r="G24" s="501"/>
      <c r="H24" s="524">
        <f t="shared" si="3"/>
        <v>0</v>
      </c>
      <c r="I24" s="482"/>
      <c r="K24" s="455"/>
      <c r="L24" s="527" t="s">
        <v>303</v>
      </c>
      <c r="M24" s="514">
        <v>0.35</v>
      </c>
      <c r="N24" s="522" t="s">
        <v>200</v>
      </c>
      <c r="O24" s="523">
        <f t="shared" si="4"/>
        <v>6</v>
      </c>
      <c r="P24" s="514" t="s">
        <v>66</v>
      </c>
      <c r="Q24" s="501">
        <f t="shared" si="5"/>
        <v>5400</v>
      </c>
      <c r="R24" s="524">
        <f>M24*Q24</f>
        <v>1889.9999999999998</v>
      </c>
      <c r="S24" s="482" t="s">
        <v>31</v>
      </c>
      <c r="T24" s="455"/>
      <c r="U24" s="527" t="s">
        <v>304</v>
      </c>
      <c r="V24" s="514">
        <v>0.4</v>
      </c>
      <c r="W24" s="522" t="s">
        <v>200</v>
      </c>
      <c r="X24" s="523">
        <f t="shared" si="7"/>
        <v>12</v>
      </c>
      <c r="Y24" s="514" t="s">
        <v>66</v>
      </c>
      <c r="Z24" s="501">
        <f t="shared" si="8"/>
        <v>10800</v>
      </c>
      <c r="AA24" s="524">
        <f>V24*Z24</f>
        <v>4320</v>
      </c>
      <c r="AB24" s="482" t="s">
        <v>31</v>
      </c>
    </row>
    <row r="25" spans="1:28" ht="18" x14ac:dyDescent="0.25">
      <c r="A25" s="453"/>
      <c r="B25" s="526"/>
      <c r="C25" s="514"/>
      <c r="D25" s="522"/>
      <c r="E25" s="515"/>
      <c r="F25" s="514"/>
      <c r="G25" s="501"/>
      <c r="H25" s="524">
        <f t="shared" si="3"/>
        <v>0</v>
      </c>
      <c r="I25" s="482"/>
      <c r="J25" s="57"/>
      <c r="K25" s="528"/>
      <c r="L25" s="527" t="s">
        <v>299</v>
      </c>
      <c r="M25" s="514">
        <v>0.4</v>
      </c>
      <c r="N25" s="522" t="s">
        <v>200</v>
      </c>
      <c r="O25" s="523">
        <f t="shared" si="4"/>
        <v>9</v>
      </c>
      <c r="P25" s="514" t="s">
        <v>66</v>
      </c>
      <c r="Q25" s="501">
        <f t="shared" si="5"/>
        <v>21600</v>
      </c>
      <c r="R25" s="524">
        <f t="shared" si="6"/>
        <v>8640</v>
      </c>
      <c r="S25" s="482" t="s">
        <v>31</v>
      </c>
      <c r="T25" s="455"/>
      <c r="U25" s="529" t="s">
        <v>299</v>
      </c>
      <c r="V25" s="514">
        <v>0.4</v>
      </c>
      <c r="W25" s="522" t="s">
        <v>200</v>
      </c>
      <c r="X25" s="523">
        <f t="shared" si="7"/>
        <v>12</v>
      </c>
      <c r="Y25" s="514" t="s">
        <v>66</v>
      </c>
      <c r="Z25" s="501">
        <f t="shared" si="8"/>
        <v>28800</v>
      </c>
      <c r="AA25" s="524">
        <f t="shared" si="9"/>
        <v>11520</v>
      </c>
      <c r="AB25" s="482" t="s">
        <v>31</v>
      </c>
    </row>
    <row r="26" spans="1:28" ht="15.75" x14ac:dyDescent="0.25">
      <c r="A26" s="453"/>
      <c r="B26" s="505"/>
      <c r="C26" s="530"/>
      <c r="D26" s="530"/>
      <c r="E26" s="506"/>
      <c r="F26" s="530"/>
      <c r="G26" s="507"/>
      <c r="H26" s="507"/>
      <c r="I26" s="508"/>
      <c r="J26" s="57"/>
      <c r="K26" s="528"/>
      <c r="L26" s="505"/>
      <c r="M26" s="530"/>
      <c r="N26" s="530"/>
      <c r="O26" s="506"/>
      <c r="P26" s="530"/>
      <c r="Q26" s="507"/>
      <c r="R26" s="507"/>
      <c r="S26" s="508"/>
      <c r="T26" s="455"/>
      <c r="U26" s="505"/>
      <c r="V26" s="530"/>
      <c r="W26" s="530"/>
      <c r="X26" s="506"/>
      <c r="Y26" s="530"/>
      <c r="Z26" s="507"/>
      <c r="AA26" s="507"/>
      <c r="AB26" s="508"/>
    </row>
    <row r="27" spans="1:28" ht="15.75" x14ac:dyDescent="0.25">
      <c r="A27" s="453"/>
      <c r="B27" s="531" t="s">
        <v>305</v>
      </c>
      <c r="C27" s="509"/>
      <c r="D27" s="510"/>
      <c r="E27" s="510"/>
      <c r="F27" s="511"/>
      <c r="G27" s="532"/>
      <c r="H27" s="474">
        <f>SUM(H28:H29)</f>
        <v>15333.333333333334</v>
      </c>
      <c r="I27" s="513"/>
      <c r="J27" s="57"/>
      <c r="K27" s="528"/>
      <c r="L27" s="531" t="s">
        <v>305</v>
      </c>
      <c r="M27" s="509"/>
      <c r="N27" s="510"/>
      <c r="O27" s="510"/>
      <c r="P27" s="511"/>
      <c r="Q27" s="532"/>
      <c r="R27" s="474">
        <f>SUM(R28:R29)</f>
        <v>11500</v>
      </c>
      <c r="S27" s="513"/>
      <c r="T27" s="455"/>
      <c r="U27" s="531" t="s">
        <v>305</v>
      </c>
      <c r="V27" s="509"/>
      <c r="W27" s="510"/>
      <c r="X27" s="510"/>
      <c r="Y27" s="511"/>
      <c r="Z27" s="532"/>
      <c r="AA27" s="474">
        <f>SUM(AA28:AA29)</f>
        <v>11600</v>
      </c>
      <c r="AB27" s="513"/>
    </row>
    <row r="28" spans="1:28" ht="15.75" x14ac:dyDescent="0.25">
      <c r="A28" s="453"/>
      <c r="B28" s="499" t="s">
        <v>306</v>
      </c>
      <c r="C28" s="533">
        <v>2500</v>
      </c>
      <c r="D28" s="533">
        <v>12</v>
      </c>
      <c r="E28" s="533" t="s">
        <v>66</v>
      </c>
      <c r="F28" s="533"/>
      <c r="G28" s="534" t="s">
        <v>96</v>
      </c>
      <c r="H28" s="535">
        <f>C28/12*16</f>
        <v>3333.3333333333335</v>
      </c>
      <c r="I28" s="536" t="s">
        <v>30</v>
      </c>
      <c r="J28" s="537" t="s">
        <v>307</v>
      </c>
      <c r="K28" s="538"/>
      <c r="L28" s="499" t="s">
        <v>306</v>
      </c>
      <c r="M28" s="533">
        <v>2500</v>
      </c>
      <c r="N28" s="533">
        <v>12</v>
      </c>
      <c r="O28" s="533" t="s">
        <v>66</v>
      </c>
      <c r="P28" s="533"/>
      <c r="Q28" s="534" t="s">
        <v>97</v>
      </c>
      <c r="R28" s="535">
        <f>M28</f>
        <v>2500</v>
      </c>
      <c r="S28" s="536" t="s">
        <v>30</v>
      </c>
      <c r="T28" s="455"/>
      <c r="U28" s="499" t="s">
        <v>306</v>
      </c>
      <c r="V28" s="533">
        <v>2600</v>
      </c>
      <c r="W28" s="533">
        <v>12</v>
      </c>
      <c r="X28" s="533" t="s">
        <v>66</v>
      </c>
      <c r="Y28" s="533"/>
      <c r="Z28" s="534" t="s">
        <v>97</v>
      </c>
      <c r="AA28" s="535">
        <f>V28</f>
        <v>2600</v>
      </c>
      <c r="AB28" s="536" t="s">
        <v>30</v>
      </c>
    </row>
    <row r="29" spans="1:28" ht="18" x14ac:dyDescent="0.25">
      <c r="A29" s="453"/>
      <c r="B29" s="527" t="s">
        <v>308</v>
      </c>
      <c r="C29" s="500">
        <v>9000</v>
      </c>
      <c r="D29" s="500">
        <v>12</v>
      </c>
      <c r="E29" s="500" t="s">
        <v>66</v>
      </c>
      <c r="F29" s="500"/>
      <c r="G29" s="534" t="s">
        <v>96</v>
      </c>
      <c r="H29" s="535">
        <f>C29/12*16</f>
        <v>12000</v>
      </c>
      <c r="I29" s="536" t="s">
        <v>30</v>
      </c>
      <c r="J29" s="537" t="s">
        <v>307</v>
      </c>
      <c r="K29" s="538"/>
      <c r="L29" s="527" t="s">
        <v>309</v>
      </c>
      <c r="M29" s="500">
        <v>9000</v>
      </c>
      <c r="N29" s="500">
        <v>12</v>
      </c>
      <c r="O29" s="500" t="s">
        <v>66</v>
      </c>
      <c r="P29" s="500"/>
      <c r="Q29" s="534" t="s">
        <v>97</v>
      </c>
      <c r="R29" s="535">
        <f>M29</f>
        <v>9000</v>
      </c>
      <c r="S29" s="536" t="s">
        <v>30</v>
      </c>
      <c r="T29" s="455"/>
      <c r="U29" s="527" t="s">
        <v>309</v>
      </c>
      <c r="V29" s="500">
        <v>9000</v>
      </c>
      <c r="W29" s="500">
        <v>12</v>
      </c>
      <c r="X29" s="500" t="s">
        <v>66</v>
      </c>
      <c r="Y29" s="500"/>
      <c r="Z29" s="534" t="s">
        <v>97</v>
      </c>
      <c r="AA29" s="535">
        <f>V29</f>
        <v>9000</v>
      </c>
      <c r="AB29" s="536" t="s">
        <v>30</v>
      </c>
    </row>
    <row r="30" spans="1:28" ht="15.75" x14ac:dyDescent="0.25">
      <c r="A30" s="453"/>
      <c r="B30" s="505"/>
      <c r="C30" s="539"/>
      <c r="D30" s="539"/>
      <c r="E30" s="539"/>
      <c r="F30" s="539"/>
      <c r="G30" s="507"/>
      <c r="H30" s="507"/>
      <c r="I30" s="508"/>
      <c r="J30" s="537"/>
      <c r="K30" s="538"/>
      <c r="L30" s="505"/>
      <c r="M30" s="539"/>
      <c r="N30" s="539"/>
      <c r="O30" s="539"/>
      <c r="P30" s="539"/>
      <c r="Q30" s="507"/>
      <c r="R30" s="507"/>
      <c r="S30" s="508"/>
      <c r="T30" s="455"/>
      <c r="U30" s="505"/>
      <c r="V30" s="539"/>
      <c r="W30" s="539"/>
      <c r="X30" s="539"/>
      <c r="Y30" s="539"/>
      <c r="Z30" s="507"/>
      <c r="AA30" s="507"/>
      <c r="AB30" s="508"/>
    </row>
    <row r="31" spans="1:28" ht="15.75" x14ac:dyDescent="0.25">
      <c r="A31" s="453"/>
      <c r="B31" s="469" t="s">
        <v>310</v>
      </c>
      <c r="C31" s="509"/>
      <c r="D31" s="510"/>
      <c r="E31" s="510"/>
      <c r="F31" s="511"/>
      <c r="G31" s="540"/>
      <c r="H31" s="474">
        <f>SUM(H32:H36)</f>
        <v>133333.33333333331</v>
      </c>
      <c r="I31" s="513"/>
      <c r="J31" s="537" t="s">
        <v>307</v>
      </c>
      <c r="K31" s="538"/>
      <c r="L31" s="469" t="s">
        <v>310</v>
      </c>
      <c r="M31" s="509"/>
      <c r="N31" s="510"/>
      <c r="O31" s="510"/>
      <c r="P31" s="511"/>
      <c r="Q31" s="540"/>
      <c r="R31" s="474">
        <f>SUM(R32:R36)</f>
        <v>108000</v>
      </c>
      <c r="S31" s="513"/>
      <c r="T31" s="455"/>
      <c r="U31" s="469" t="s">
        <v>310</v>
      </c>
      <c r="V31" s="509"/>
      <c r="W31" s="510"/>
      <c r="X31" s="510"/>
      <c r="Y31" s="511"/>
      <c r="Z31" s="540"/>
      <c r="AA31" s="474">
        <f>SUM(AA32:AA36)</f>
        <v>109300</v>
      </c>
      <c r="AB31" s="513"/>
    </row>
    <row r="32" spans="1:28" ht="15.75" x14ac:dyDescent="0.25">
      <c r="A32" s="453"/>
      <c r="B32" s="499" t="s">
        <v>311</v>
      </c>
      <c r="C32" s="541">
        <v>2400</v>
      </c>
      <c r="D32" s="533">
        <v>12</v>
      </c>
      <c r="E32" s="533" t="s">
        <v>66</v>
      </c>
      <c r="F32" s="533"/>
      <c r="G32" s="534" t="s">
        <v>96</v>
      </c>
      <c r="H32" s="535">
        <f>C32/12*16</f>
        <v>3200</v>
      </c>
      <c r="I32" s="536" t="s">
        <v>30</v>
      </c>
      <c r="J32" s="537" t="s">
        <v>307</v>
      </c>
      <c r="K32" s="538"/>
      <c r="L32" s="499" t="s">
        <v>311</v>
      </c>
      <c r="M32" s="541">
        <v>2400</v>
      </c>
      <c r="N32" s="533">
        <v>12</v>
      </c>
      <c r="O32" s="533" t="s">
        <v>66</v>
      </c>
      <c r="P32" s="533"/>
      <c r="Q32" s="534" t="s">
        <v>97</v>
      </c>
      <c r="R32" s="535">
        <f>M32</f>
        <v>2400</v>
      </c>
      <c r="S32" s="536" t="s">
        <v>30</v>
      </c>
      <c r="T32" s="455"/>
      <c r="U32" s="499" t="s">
        <v>311</v>
      </c>
      <c r="V32" s="541">
        <v>2600</v>
      </c>
      <c r="W32" s="533">
        <v>12</v>
      </c>
      <c r="X32" s="533" t="s">
        <v>66</v>
      </c>
      <c r="Y32" s="533"/>
      <c r="Z32" s="534" t="s">
        <v>97</v>
      </c>
      <c r="AA32" s="535">
        <f>V32</f>
        <v>2600</v>
      </c>
      <c r="AB32" s="536" t="s">
        <v>30</v>
      </c>
    </row>
    <row r="33" spans="1:28" ht="18" x14ac:dyDescent="0.25">
      <c r="A33" s="453"/>
      <c r="B33" s="527" t="s">
        <v>312</v>
      </c>
      <c r="C33" s="542">
        <v>24000</v>
      </c>
      <c r="D33" s="500">
        <v>16</v>
      </c>
      <c r="E33" s="533" t="s">
        <v>66</v>
      </c>
      <c r="F33" s="543"/>
      <c r="G33" s="534" t="s">
        <v>96</v>
      </c>
      <c r="H33" s="535">
        <f t="shared" ref="H33" si="12">C33</f>
        <v>24000</v>
      </c>
      <c r="I33" s="536" t="s">
        <v>30</v>
      </c>
      <c r="J33" s="537" t="s">
        <v>307</v>
      </c>
      <c r="K33" s="538"/>
      <c r="L33" s="499" t="s">
        <v>313</v>
      </c>
      <c r="M33" s="542">
        <v>24000</v>
      </c>
      <c r="N33" s="500">
        <v>12</v>
      </c>
      <c r="O33" s="533" t="s">
        <v>66</v>
      </c>
      <c r="P33" s="543"/>
      <c r="Q33" s="534" t="s">
        <v>97</v>
      </c>
      <c r="R33" s="535">
        <f t="shared" ref="R33:R36" si="13">M33</f>
        <v>24000</v>
      </c>
      <c r="S33" s="536" t="s">
        <v>30</v>
      </c>
      <c r="T33" s="455"/>
      <c r="U33" s="499" t="s">
        <v>313</v>
      </c>
      <c r="V33" s="542">
        <v>24000</v>
      </c>
      <c r="W33" s="500">
        <v>12</v>
      </c>
      <c r="X33" s="533" t="s">
        <v>66</v>
      </c>
      <c r="Y33" s="543"/>
      <c r="Z33" s="534" t="s">
        <v>97</v>
      </c>
      <c r="AA33" s="535">
        <f t="shared" ref="AA33:AA36" si="14">V33</f>
        <v>24000</v>
      </c>
      <c r="AB33" s="536" t="s">
        <v>30</v>
      </c>
    </row>
    <row r="34" spans="1:28" ht="18" x14ac:dyDescent="0.25">
      <c r="A34" s="453"/>
      <c r="B34" s="527" t="s">
        <v>314</v>
      </c>
      <c r="C34" s="500">
        <v>70000</v>
      </c>
      <c r="D34" s="544">
        <v>12</v>
      </c>
      <c r="E34" s="500" t="s">
        <v>66</v>
      </c>
      <c r="F34" s="500"/>
      <c r="G34" s="534" t="s">
        <v>96</v>
      </c>
      <c r="H34" s="535">
        <f>C34/12*16</f>
        <v>93333.333333333328</v>
      </c>
      <c r="I34" s="536" t="s">
        <v>30</v>
      </c>
      <c r="J34" s="537" t="s">
        <v>307</v>
      </c>
      <c r="K34" s="538"/>
      <c r="L34" s="527" t="s">
        <v>315</v>
      </c>
      <c r="M34" s="500">
        <v>72000</v>
      </c>
      <c r="N34" s="544">
        <v>12</v>
      </c>
      <c r="O34" s="500" t="s">
        <v>66</v>
      </c>
      <c r="P34" s="500"/>
      <c r="Q34" s="534" t="s">
        <v>97</v>
      </c>
      <c r="R34" s="535">
        <f t="shared" si="13"/>
        <v>72000</v>
      </c>
      <c r="S34" s="536" t="s">
        <v>30</v>
      </c>
      <c r="T34" s="455"/>
      <c r="U34" s="527" t="s">
        <v>315</v>
      </c>
      <c r="V34" s="500">
        <v>73000</v>
      </c>
      <c r="W34" s="544">
        <v>12</v>
      </c>
      <c r="X34" s="500" t="s">
        <v>66</v>
      </c>
      <c r="Y34" s="500"/>
      <c r="Z34" s="534" t="s">
        <v>97</v>
      </c>
      <c r="AA34" s="535">
        <f t="shared" si="14"/>
        <v>73000</v>
      </c>
      <c r="AB34" s="536" t="s">
        <v>30</v>
      </c>
    </row>
    <row r="35" spans="1:28" ht="15.75" x14ac:dyDescent="0.25">
      <c r="A35" s="453"/>
      <c r="B35" s="545" t="s">
        <v>316</v>
      </c>
      <c r="C35" s="543">
        <v>3600</v>
      </c>
      <c r="D35" s="500">
        <v>12</v>
      </c>
      <c r="E35" s="533" t="s">
        <v>66</v>
      </c>
      <c r="F35" s="543"/>
      <c r="G35" s="534" t="s">
        <v>96</v>
      </c>
      <c r="H35" s="535">
        <f>C35/12*16</f>
        <v>4800</v>
      </c>
      <c r="I35" s="536" t="s">
        <v>30</v>
      </c>
      <c r="J35" s="537" t="s">
        <v>307</v>
      </c>
      <c r="K35" s="538"/>
      <c r="L35" s="545" t="s">
        <v>316</v>
      </c>
      <c r="M35" s="543">
        <v>3600</v>
      </c>
      <c r="N35" s="500">
        <v>12</v>
      </c>
      <c r="O35" s="533" t="s">
        <v>66</v>
      </c>
      <c r="P35" s="543"/>
      <c r="Q35" s="534" t="s">
        <v>97</v>
      </c>
      <c r="R35" s="535">
        <f t="shared" si="13"/>
        <v>3600</v>
      </c>
      <c r="S35" s="536" t="s">
        <v>30</v>
      </c>
      <c r="T35" s="455"/>
      <c r="U35" s="545" t="s">
        <v>316</v>
      </c>
      <c r="V35" s="543">
        <v>3600</v>
      </c>
      <c r="W35" s="500">
        <v>12</v>
      </c>
      <c r="X35" s="533" t="s">
        <v>66</v>
      </c>
      <c r="Y35" s="543"/>
      <c r="Z35" s="534" t="s">
        <v>97</v>
      </c>
      <c r="AA35" s="535">
        <f t="shared" si="14"/>
        <v>3600</v>
      </c>
      <c r="AB35" s="536" t="s">
        <v>30</v>
      </c>
    </row>
    <row r="36" spans="1:28" ht="18" x14ac:dyDescent="0.25">
      <c r="A36" s="453"/>
      <c r="B36" s="527" t="s">
        <v>317</v>
      </c>
      <c r="C36" s="500">
        <v>6000</v>
      </c>
      <c r="D36" s="544">
        <v>12</v>
      </c>
      <c r="E36" s="500" t="s">
        <v>66</v>
      </c>
      <c r="F36" s="500"/>
      <c r="G36" s="534" t="s">
        <v>96</v>
      </c>
      <c r="H36" s="535">
        <f>C36/12*16</f>
        <v>8000</v>
      </c>
      <c r="I36" s="536" t="s">
        <v>30</v>
      </c>
      <c r="J36" s="537" t="s">
        <v>307</v>
      </c>
      <c r="K36" s="538"/>
      <c r="L36" s="527" t="s">
        <v>317</v>
      </c>
      <c r="M36" s="500">
        <v>6000</v>
      </c>
      <c r="N36" s="544">
        <v>12</v>
      </c>
      <c r="O36" s="500" t="s">
        <v>66</v>
      </c>
      <c r="P36" s="500"/>
      <c r="Q36" s="534" t="s">
        <v>97</v>
      </c>
      <c r="R36" s="535">
        <f t="shared" si="13"/>
        <v>6000</v>
      </c>
      <c r="S36" s="536" t="s">
        <v>30</v>
      </c>
      <c r="T36" s="455"/>
      <c r="U36" s="527" t="s">
        <v>317</v>
      </c>
      <c r="V36" s="500">
        <v>6100</v>
      </c>
      <c r="W36" s="544">
        <v>12</v>
      </c>
      <c r="X36" s="500" t="s">
        <v>66</v>
      </c>
      <c r="Y36" s="500"/>
      <c r="Z36" s="534" t="s">
        <v>97</v>
      </c>
      <c r="AA36" s="535">
        <f t="shared" si="14"/>
        <v>6100</v>
      </c>
      <c r="AB36" s="536" t="s">
        <v>30</v>
      </c>
    </row>
    <row r="37" spans="1:28" ht="15.75" x14ac:dyDescent="0.25">
      <c r="A37" s="453"/>
      <c r="B37" s="546"/>
      <c r="C37" s="547"/>
      <c r="D37" s="547"/>
      <c r="E37" s="547"/>
      <c r="F37" s="547"/>
      <c r="G37" s="548"/>
      <c r="H37" s="549"/>
      <c r="I37" s="550"/>
      <c r="J37" s="537"/>
      <c r="K37" s="538"/>
      <c r="L37" s="551"/>
      <c r="M37" s="552"/>
      <c r="N37" s="552"/>
      <c r="O37" s="552"/>
      <c r="P37" s="552"/>
      <c r="Q37" s="553"/>
      <c r="R37" s="554"/>
      <c r="S37" s="550"/>
      <c r="T37" s="455"/>
      <c r="U37" s="551"/>
      <c r="V37" s="552"/>
      <c r="W37" s="552"/>
      <c r="X37" s="552"/>
      <c r="Y37" s="552"/>
      <c r="Z37" s="553"/>
      <c r="AA37" s="554"/>
      <c r="AB37" s="550"/>
    </row>
    <row r="38" spans="1:28" ht="15.75" x14ac:dyDescent="0.25">
      <c r="A38" s="453"/>
      <c r="B38" s="555" t="s">
        <v>318</v>
      </c>
      <c r="C38" s="509"/>
      <c r="D38" s="510"/>
      <c r="E38" s="510"/>
      <c r="F38" s="511"/>
      <c r="G38" s="540"/>
      <c r="H38" s="474">
        <f>SUM(H39)</f>
        <v>2000</v>
      </c>
      <c r="I38" s="513"/>
      <c r="J38" s="537" t="s">
        <v>307</v>
      </c>
      <c r="K38" s="538"/>
      <c r="L38" s="555" t="s">
        <v>318</v>
      </c>
      <c r="M38" s="509"/>
      <c r="N38" s="510"/>
      <c r="O38" s="510"/>
      <c r="P38" s="511"/>
      <c r="Q38" s="540"/>
      <c r="R38" s="474">
        <f>SUM(R39)</f>
        <v>3000</v>
      </c>
      <c r="S38" s="513"/>
      <c r="T38" s="455"/>
      <c r="U38" s="555" t="s">
        <v>318</v>
      </c>
      <c r="V38" s="509"/>
      <c r="W38" s="510"/>
      <c r="X38" s="510"/>
      <c r="Y38" s="511"/>
      <c r="Z38" s="540"/>
      <c r="AA38" s="474">
        <f>SUM(AA39)</f>
        <v>4500</v>
      </c>
      <c r="AB38" s="513"/>
    </row>
    <row r="39" spans="1:28" ht="15.75" x14ac:dyDescent="0.25">
      <c r="A39" s="453"/>
      <c r="B39" s="556" t="s">
        <v>319</v>
      </c>
      <c r="C39" s="541">
        <v>1500</v>
      </c>
      <c r="D39" s="533">
        <v>12</v>
      </c>
      <c r="E39" s="533" t="s">
        <v>66</v>
      </c>
      <c r="F39" s="533"/>
      <c r="G39" s="534" t="s">
        <v>96</v>
      </c>
      <c r="H39" s="535">
        <f>C39/12*16</f>
        <v>2000</v>
      </c>
      <c r="I39" s="536" t="s">
        <v>30</v>
      </c>
      <c r="J39" s="537" t="s">
        <v>307</v>
      </c>
      <c r="K39" s="538"/>
      <c r="L39" s="556" t="s">
        <v>319</v>
      </c>
      <c r="M39" s="541">
        <v>3000</v>
      </c>
      <c r="N39" s="533">
        <v>12</v>
      </c>
      <c r="O39" s="533" t="s">
        <v>66</v>
      </c>
      <c r="P39" s="533"/>
      <c r="Q39" s="534" t="s">
        <v>97</v>
      </c>
      <c r="R39" s="535">
        <f>M39</f>
        <v>3000</v>
      </c>
      <c r="S39" s="536" t="s">
        <v>30</v>
      </c>
      <c r="T39" s="455"/>
      <c r="U39" s="556" t="s">
        <v>319</v>
      </c>
      <c r="V39" s="541">
        <v>4500</v>
      </c>
      <c r="W39" s="533">
        <v>12</v>
      </c>
      <c r="X39" s="533" t="s">
        <v>66</v>
      </c>
      <c r="Y39" s="533"/>
      <c r="Z39" s="534" t="s">
        <v>96</v>
      </c>
      <c r="AA39" s="535">
        <f>V39</f>
        <v>4500</v>
      </c>
      <c r="AB39" s="536" t="s">
        <v>30</v>
      </c>
    </row>
    <row r="40" spans="1:28" ht="15.75" x14ac:dyDescent="0.25">
      <c r="A40" s="453"/>
      <c r="B40" s="557"/>
      <c r="C40" s="558"/>
      <c r="D40" s="559"/>
      <c r="E40" s="559"/>
      <c r="F40" s="541"/>
      <c r="G40" s="560"/>
      <c r="H40" s="535"/>
      <c r="I40" s="536"/>
      <c r="J40" s="537"/>
      <c r="K40" s="538"/>
      <c r="T40" s="455"/>
      <c r="U40" s="551"/>
      <c r="V40" s="552"/>
      <c r="W40" s="552"/>
      <c r="X40" s="552"/>
      <c r="Y40" s="552"/>
      <c r="Z40" s="553"/>
      <c r="AA40" s="554"/>
      <c r="AB40" s="550"/>
    </row>
    <row r="41" spans="1:28" ht="15.75" x14ac:dyDescent="0.25">
      <c r="A41" s="453"/>
      <c r="B41" s="561" t="s">
        <v>320</v>
      </c>
      <c r="C41" s="509"/>
      <c r="D41" s="510"/>
      <c r="E41" s="510"/>
      <c r="F41" s="511"/>
      <c r="G41" s="540"/>
      <c r="H41" s="474">
        <f>SUM(H42:H43)</f>
        <v>24747.333333333332</v>
      </c>
      <c r="I41" s="513"/>
      <c r="J41" s="537" t="s">
        <v>307</v>
      </c>
      <c r="K41" s="538"/>
      <c r="L41" s="561" t="s">
        <v>320</v>
      </c>
      <c r="M41" s="509"/>
      <c r="N41" s="510"/>
      <c r="O41" s="510"/>
      <c r="P41" s="511"/>
      <c r="Q41" s="540"/>
      <c r="R41" s="474">
        <f>SUM(R42:R43)</f>
        <v>17728.66</v>
      </c>
      <c r="S41" s="513"/>
      <c r="T41" s="455"/>
      <c r="U41" s="561" t="s">
        <v>320</v>
      </c>
      <c r="V41" s="509"/>
      <c r="W41" s="510"/>
      <c r="X41" s="510"/>
      <c r="Y41" s="511"/>
      <c r="Z41" s="540"/>
      <c r="AA41" s="474">
        <f>SUM(AA42:AA43)</f>
        <v>15102.45</v>
      </c>
      <c r="AB41" s="513"/>
    </row>
    <row r="42" spans="1:28" ht="15.75" x14ac:dyDescent="0.25">
      <c r="A42" s="453"/>
      <c r="B42" s="545" t="s">
        <v>323</v>
      </c>
      <c r="C42" s="533">
        <v>1870</v>
      </c>
      <c r="D42" s="533">
        <v>12</v>
      </c>
      <c r="E42" s="533" t="s">
        <v>66</v>
      </c>
      <c r="F42" s="533"/>
      <c r="G42" s="534" t="s">
        <v>96</v>
      </c>
      <c r="H42" s="535">
        <f>+'Tréso &amp; Emprunts'!R17</f>
        <v>3414</v>
      </c>
      <c r="I42" s="536" t="s">
        <v>30</v>
      </c>
      <c r="J42" s="537" t="s">
        <v>307</v>
      </c>
      <c r="K42" s="538"/>
      <c r="L42" s="545" t="s">
        <v>322</v>
      </c>
      <c r="M42" s="533">
        <v>1300</v>
      </c>
      <c r="N42" s="533">
        <v>12</v>
      </c>
      <c r="O42" s="533" t="s">
        <v>66</v>
      </c>
      <c r="P42" s="533"/>
      <c r="Q42" s="534" t="s">
        <v>97</v>
      </c>
      <c r="R42" s="535">
        <f>+'Tréso &amp; Emprunts'!S17</f>
        <v>1728.6599999999999</v>
      </c>
      <c r="S42" s="536" t="s">
        <v>30</v>
      </c>
      <c r="T42" s="455"/>
      <c r="U42" s="545" t="s">
        <v>322</v>
      </c>
      <c r="V42" s="533">
        <v>894</v>
      </c>
      <c r="W42" s="533">
        <v>12</v>
      </c>
      <c r="X42" s="533" t="s">
        <v>66</v>
      </c>
      <c r="Y42" s="533"/>
      <c r="Z42" s="534" t="s">
        <v>97</v>
      </c>
      <c r="AA42" s="535">
        <f>+'Tréso &amp; Emprunts'!T17</f>
        <v>1102.45</v>
      </c>
      <c r="AB42" s="536" t="s">
        <v>30</v>
      </c>
    </row>
    <row r="43" spans="1:28" ht="15.75" x14ac:dyDescent="0.25">
      <c r="A43" s="453"/>
      <c r="B43" s="499" t="s">
        <v>321</v>
      </c>
      <c r="C43" s="562">
        <v>16000</v>
      </c>
      <c r="D43" s="533">
        <v>12</v>
      </c>
      <c r="E43" s="533" t="s">
        <v>66</v>
      </c>
      <c r="F43" s="562"/>
      <c r="G43" s="534" t="s">
        <v>96</v>
      </c>
      <c r="H43" s="535">
        <f>C43/12*16</f>
        <v>21333.333333333332</v>
      </c>
      <c r="I43" s="536" t="s">
        <v>30</v>
      </c>
      <c r="J43" s="537" t="s">
        <v>307</v>
      </c>
      <c r="K43" s="538"/>
      <c r="L43" s="499" t="s">
        <v>321</v>
      </c>
      <c r="M43" s="562">
        <v>16000</v>
      </c>
      <c r="N43" s="533">
        <v>12</v>
      </c>
      <c r="O43" s="533" t="s">
        <v>66</v>
      </c>
      <c r="P43" s="562"/>
      <c r="Q43" s="534" t="s">
        <v>97</v>
      </c>
      <c r="R43" s="535">
        <f>M43</f>
        <v>16000</v>
      </c>
      <c r="S43" s="536" t="s">
        <v>30</v>
      </c>
      <c r="T43" s="455"/>
      <c r="U43" s="499" t="s">
        <v>321</v>
      </c>
      <c r="V43" s="562">
        <v>14000</v>
      </c>
      <c r="W43" s="533">
        <v>12</v>
      </c>
      <c r="X43" s="533" t="s">
        <v>66</v>
      </c>
      <c r="Y43" s="562"/>
      <c r="Z43" s="534" t="s">
        <v>97</v>
      </c>
      <c r="AA43" s="535">
        <f>V43</f>
        <v>14000</v>
      </c>
      <c r="AB43" s="536" t="s">
        <v>30</v>
      </c>
    </row>
    <row r="44" spans="1:28" x14ac:dyDescent="0.25">
      <c r="J44" s="57"/>
      <c r="K44" s="57"/>
    </row>
    <row r="45" spans="1:28" x14ac:dyDescent="0.25">
      <c r="K45" t="s">
        <v>372</v>
      </c>
    </row>
  </sheetData>
  <mergeCells count="6">
    <mergeCell ref="B5:H5"/>
    <mergeCell ref="L5:R5"/>
    <mergeCell ref="U5:AA5"/>
    <mergeCell ref="C7:H7"/>
    <mergeCell ref="M7:R7"/>
    <mergeCell ref="V7:AA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51"/>
  <sheetViews>
    <sheetView workbookViewId="0">
      <selection activeCell="E19" sqref="E19"/>
    </sheetView>
  </sheetViews>
  <sheetFormatPr baseColWidth="10" defaultRowHeight="15" x14ac:dyDescent="0.25"/>
  <cols>
    <col min="1" max="1" width="8.28515625" customWidth="1"/>
    <col min="2" max="2" width="29.28515625" customWidth="1"/>
  </cols>
  <sheetData>
    <row r="4" spans="2:19" ht="18.75" x14ac:dyDescent="0.3">
      <c r="B4" s="60" t="s">
        <v>276</v>
      </c>
    </row>
    <row r="7" spans="2:19" x14ac:dyDescent="0.25">
      <c r="B7" t="s">
        <v>277</v>
      </c>
      <c r="C7" s="430">
        <v>2000</v>
      </c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</row>
    <row r="8" spans="2:19" x14ac:dyDescent="0.25"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</row>
    <row r="9" spans="2:19" x14ac:dyDescent="0.25">
      <c r="B9" s="432" t="s">
        <v>45</v>
      </c>
      <c r="C9" s="441">
        <v>2021</v>
      </c>
      <c r="D9" s="311">
        <v>2022</v>
      </c>
      <c r="E9" s="311">
        <v>2023</v>
      </c>
      <c r="F9" s="311">
        <v>2024</v>
      </c>
      <c r="G9" s="312">
        <v>2025</v>
      </c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</row>
    <row r="10" spans="2:19" x14ac:dyDescent="0.25">
      <c r="B10" s="272"/>
      <c r="C10" s="442"/>
      <c r="D10" s="266"/>
      <c r="E10" s="266"/>
      <c r="F10" s="266"/>
      <c r="G10" s="267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</row>
    <row r="11" spans="2:19" x14ac:dyDescent="0.25">
      <c r="B11" s="437" t="s">
        <v>278</v>
      </c>
      <c r="C11" s="438">
        <v>3</v>
      </c>
      <c r="D11" s="443">
        <v>12</v>
      </c>
      <c r="E11" s="443">
        <v>12</v>
      </c>
      <c r="F11" s="444">
        <v>12</v>
      </c>
      <c r="G11" s="445">
        <v>12</v>
      </c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</row>
    <row r="12" spans="2:19" x14ac:dyDescent="0.25">
      <c r="B12" s="437" t="s">
        <v>281</v>
      </c>
      <c r="C12" s="439" t="s">
        <v>279</v>
      </c>
      <c r="D12" s="42" t="s">
        <v>280</v>
      </c>
      <c r="E12" s="42" t="s">
        <v>280</v>
      </c>
      <c r="F12" s="42" t="s">
        <v>280</v>
      </c>
      <c r="G12" s="440" t="s">
        <v>280</v>
      </c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</row>
    <row r="13" spans="2:19" x14ac:dyDescent="0.25">
      <c r="B13" s="437"/>
      <c r="C13" s="439"/>
      <c r="D13" s="42"/>
      <c r="E13" s="42"/>
      <c r="F13" s="42"/>
      <c r="G13" s="440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</row>
    <row r="14" spans="2:19" x14ac:dyDescent="0.25">
      <c r="B14" s="431" t="s">
        <v>282</v>
      </c>
      <c r="C14" s="434">
        <f>+$C7*C11</f>
        <v>6000</v>
      </c>
      <c r="D14" s="435">
        <f>+$C7*D11</f>
        <v>24000</v>
      </c>
      <c r="E14" s="435">
        <f>+$C7*E11</f>
        <v>24000</v>
      </c>
      <c r="F14" s="435">
        <f>+$C7*F11</f>
        <v>24000</v>
      </c>
      <c r="G14" s="436">
        <f>+$C7*G11</f>
        <v>24000</v>
      </c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</row>
    <row r="15" spans="2:19" x14ac:dyDescent="0.25"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</row>
    <row r="16" spans="2:19" x14ac:dyDescent="0.25"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</row>
    <row r="17" spans="3:19" x14ac:dyDescent="0.25"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</row>
    <row r="18" spans="3:19" x14ac:dyDescent="0.25">
      <c r="C18" s="313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</row>
    <row r="19" spans="3:19" x14ac:dyDescent="0.25">
      <c r="C19" s="313"/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</row>
    <row r="20" spans="3:19" x14ac:dyDescent="0.25"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</row>
    <row r="21" spans="3:19" x14ac:dyDescent="0.25"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</row>
    <row r="22" spans="3:19" x14ac:dyDescent="0.25">
      <c r="C22" s="313"/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</row>
    <row r="23" spans="3:19" x14ac:dyDescent="0.25">
      <c r="C23" s="313"/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</row>
    <row r="24" spans="3:19" x14ac:dyDescent="0.25">
      <c r="C24" s="313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</row>
    <row r="25" spans="3:19" x14ac:dyDescent="0.25"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</row>
    <row r="26" spans="3:19" x14ac:dyDescent="0.25">
      <c r="C26" s="313"/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</row>
    <row r="27" spans="3:19" x14ac:dyDescent="0.25">
      <c r="C27" s="313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</row>
    <row r="28" spans="3:19" x14ac:dyDescent="0.25"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</row>
    <row r="29" spans="3:19" x14ac:dyDescent="0.25"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</row>
    <row r="30" spans="3:19" x14ac:dyDescent="0.25">
      <c r="C30" s="313"/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</row>
    <row r="31" spans="3:19" x14ac:dyDescent="0.25">
      <c r="C31" s="313"/>
      <c r="D31" s="313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</row>
    <row r="32" spans="3:19" x14ac:dyDescent="0.25">
      <c r="C32" s="313"/>
      <c r="D32" s="313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</row>
    <row r="33" spans="3:19" x14ac:dyDescent="0.25">
      <c r="C33" s="313"/>
      <c r="D33" s="313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</row>
    <row r="34" spans="3:19" x14ac:dyDescent="0.25">
      <c r="C34" s="313"/>
      <c r="D34" s="313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</row>
    <row r="35" spans="3:19" x14ac:dyDescent="0.25">
      <c r="C35" s="313"/>
      <c r="D35" s="313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</row>
    <row r="36" spans="3:19" x14ac:dyDescent="0.25">
      <c r="C36" s="313"/>
      <c r="D36" s="313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</row>
    <row r="37" spans="3:19" x14ac:dyDescent="0.25">
      <c r="C37" s="313"/>
      <c r="D37" s="313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</row>
    <row r="38" spans="3:19" x14ac:dyDescent="0.25">
      <c r="C38" s="313"/>
      <c r="D38" s="313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</row>
    <row r="39" spans="3:19" x14ac:dyDescent="0.25">
      <c r="C39" s="313"/>
      <c r="D39" s="313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</row>
    <row r="40" spans="3:19" x14ac:dyDescent="0.25">
      <c r="C40" s="313"/>
      <c r="D40" s="313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</row>
    <row r="41" spans="3:19" x14ac:dyDescent="0.25">
      <c r="C41" s="313"/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</row>
    <row r="42" spans="3:19" x14ac:dyDescent="0.25"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</row>
    <row r="43" spans="3:19" x14ac:dyDescent="0.25">
      <c r="C43" s="313"/>
      <c r="D43" s="313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</row>
    <row r="44" spans="3:19" x14ac:dyDescent="0.25">
      <c r="C44" s="313"/>
      <c r="D44" s="313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</row>
    <row r="45" spans="3:19" x14ac:dyDescent="0.25"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</row>
    <row r="46" spans="3:19" x14ac:dyDescent="0.25">
      <c r="C46" s="313"/>
      <c r="D46" s="313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</row>
    <row r="47" spans="3:19" x14ac:dyDescent="0.25">
      <c r="C47" s="313"/>
      <c r="D47" s="313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</row>
    <row r="48" spans="3:19" x14ac:dyDescent="0.25">
      <c r="C48" s="313"/>
      <c r="D48" s="313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</row>
    <row r="49" spans="3:18" x14ac:dyDescent="0.25">
      <c r="C49" s="313"/>
      <c r="D49" s="313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</row>
    <row r="50" spans="3:18" x14ac:dyDescent="0.25">
      <c r="C50" s="313"/>
      <c r="D50" s="313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</row>
    <row r="51" spans="3:18" x14ac:dyDescent="0.25">
      <c r="C51" s="313"/>
      <c r="D51" s="313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66"/>
  <sheetViews>
    <sheetView workbookViewId="0">
      <selection activeCell="A63" sqref="A63"/>
    </sheetView>
  </sheetViews>
  <sheetFormatPr baseColWidth="10" defaultRowHeight="15" x14ac:dyDescent="0.25"/>
  <cols>
    <col min="2" max="2" width="18.140625" customWidth="1"/>
    <col min="3" max="3" width="17.5703125" customWidth="1"/>
    <col min="4" max="4" width="14.5703125" customWidth="1"/>
    <col min="8" max="8" width="19.85546875" customWidth="1"/>
    <col min="9" max="11" width="13.7109375" customWidth="1"/>
    <col min="12" max="12" width="9" customWidth="1"/>
  </cols>
  <sheetData>
    <row r="3" spans="2:14" ht="18.75" x14ac:dyDescent="0.3">
      <c r="B3" s="60" t="s">
        <v>30</v>
      </c>
    </row>
    <row r="5" spans="2:14" ht="18.75" x14ac:dyDescent="0.3">
      <c r="B5" s="60" t="s">
        <v>57</v>
      </c>
    </row>
    <row r="6" spans="2:14" ht="19.5" thickBot="1" x14ac:dyDescent="0.35">
      <c r="B6" s="60"/>
    </row>
    <row r="7" spans="2:14" x14ac:dyDescent="0.25">
      <c r="B7" s="61" t="s">
        <v>41</v>
      </c>
      <c r="H7" s="67" t="s">
        <v>58</v>
      </c>
      <c r="I7" s="68"/>
      <c r="J7" s="69"/>
    </row>
    <row r="8" spans="2:14" ht="42" customHeight="1" thickBot="1" x14ac:dyDescent="0.3">
      <c r="B8" s="1" t="s">
        <v>59</v>
      </c>
      <c r="E8" s="70" t="s">
        <v>60</v>
      </c>
      <c r="F8" s="20"/>
      <c r="G8" s="20"/>
      <c r="H8" s="71" t="s">
        <v>61</v>
      </c>
      <c r="I8" s="72" t="s">
        <v>62</v>
      </c>
      <c r="J8" s="73" t="s">
        <v>63</v>
      </c>
    </row>
    <row r="9" spans="2:14" x14ac:dyDescent="0.25">
      <c r="E9" s="64"/>
      <c r="F9" s="20"/>
      <c r="G9" s="20"/>
      <c r="H9" s="74"/>
      <c r="I9" s="75"/>
      <c r="J9" s="76"/>
      <c r="K9" s="64"/>
      <c r="L9" s="64"/>
      <c r="M9" s="64"/>
      <c r="N9" s="64"/>
    </row>
    <row r="10" spans="2:14" x14ac:dyDescent="0.25">
      <c r="B10" s="1" t="s">
        <v>64</v>
      </c>
      <c r="C10" t="s">
        <v>65</v>
      </c>
      <c r="E10" s="64">
        <v>2860.51</v>
      </c>
      <c r="F10" s="20" t="s">
        <v>66</v>
      </c>
      <c r="G10" s="20">
        <v>12</v>
      </c>
      <c r="H10" s="77">
        <f>+E10*G10</f>
        <v>34326.120000000003</v>
      </c>
      <c r="I10" s="64"/>
      <c r="J10" s="78"/>
      <c r="K10" s="64"/>
      <c r="L10" s="64"/>
      <c r="M10" s="64"/>
      <c r="N10" s="64"/>
    </row>
    <row r="11" spans="2:14" x14ac:dyDescent="0.25">
      <c r="C11" t="s">
        <v>67</v>
      </c>
      <c r="E11" s="64">
        <v>5470</v>
      </c>
      <c r="F11" s="20" t="s">
        <v>68</v>
      </c>
      <c r="G11" s="20">
        <v>4</v>
      </c>
      <c r="H11" s="77">
        <f>+G11*E11</f>
        <v>21880</v>
      </c>
      <c r="I11" s="64"/>
      <c r="J11" s="78"/>
      <c r="K11" s="64"/>
      <c r="L11" s="64"/>
      <c r="M11" s="64"/>
      <c r="N11" s="64"/>
    </row>
    <row r="12" spans="2:14" x14ac:dyDescent="0.25">
      <c r="E12" s="64"/>
      <c r="F12" s="20"/>
      <c r="G12" s="20"/>
      <c r="H12" s="79">
        <f>+H10+H11</f>
        <v>56206.12</v>
      </c>
      <c r="I12" s="66">
        <v>59057</v>
      </c>
      <c r="J12" s="80">
        <f>+I12-H12</f>
        <v>2850.8799999999974</v>
      </c>
      <c r="K12" s="64"/>
      <c r="L12" s="64"/>
      <c r="M12" s="64"/>
      <c r="N12" s="64"/>
    </row>
    <row r="13" spans="2:14" x14ac:dyDescent="0.25">
      <c r="E13" s="64"/>
      <c r="F13" s="20"/>
      <c r="G13" s="20"/>
      <c r="H13" s="77"/>
      <c r="I13" s="66"/>
      <c r="J13" s="80"/>
      <c r="K13" s="64"/>
      <c r="L13" s="64"/>
      <c r="M13" s="64"/>
      <c r="N13" s="64"/>
    </row>
    <row r="14" spans="2:14" x14ac:dyDescent="0.25">
      <c r="B14" s="1" t="s">
        <v>69</v>
      </c>
      <c r="C14" t="s">
        <v>65</v>
      </c>
      <c r="E14" s="64">
        <v>435</v>
      </c>
      <c r="F14" s="20" t="s">
        <v>66</v>
      </c>
      <c r="G14" s="20">
        <v>12</v>
      </c>
      <c r="H14" s="77">
        <f>+E14*G14</f>
        <v>5220</v>
      </c>
      <c r="I14" s="66"/>
      <c r="J14" s="80"/>
      <c r="K14" s="64"/>
      <c r="L14" s="64"/>
      <c r="M14" s="64"/>
      <c r="N14" s="64"/>
    </row>
    <row r="15" spans="2:14" x14ac:dyDescent="0.25">
      <c r="C15" t="s">
        <v>67</v>
      </c>
      <c r="E15" s="64">
        <v>732.5</v>
      </c>
      <c r="F15" s="20" t="s">
        <v>68</v>
      </c>
      <c r="G15" s="20">
        <v>4</v>
      </c>
      <c r="H15" s="77">
        <f>+G15*E15</f>
        <v>2930</v>
      </c>
      <c r="I15" s="66"/>
      <c r="J15" s="80"/>
      <c r="K15" s="64"/>
      <c r="L15" s="64"/>
      <c r="M15" s="64"/>
      <c r="N15" s="64"/>
    </row>
    <row r="16" spans="2:14" x14ac:dyDescent="0.25">
      <c r="E16" s="64"/>
      <c r="F16" s="20"/>
      <c r="G16" s="20"/>
      <c r="H16" s="79">
        <f>+H14+H15</f>
        <v>8150</v>
      </c>
      <c r="I16" s="66">
        <v>8883</v>
      </c>
      <c r="J16" s="80">
        <f>+I16-H16</f>
        <v>733</v>
      </c>
      <c r="K16" s="64"/>
      <c r="L16" s="64"/>
      <c r="M16" s="64"/>
      <c r="N16" s="64"/>
    </row>
    <row r="17" spans="2:14" x14ac:dyDescent="0.25">
      <c r="E17" s="64"/>
      <c r="F17" s="20"/>
      <c r="G17" s="20"/>
      <c r="H17" s="77"/>
      <c r="I17" s="66"/>
      <c r="J17" s="80" t="s">
        <v>45</v>
      </c>
      <c r="K17" s="64"/>
      <c r="L17" s="64"/>
      <c r="M17" s="64"/>
      <c r="N17" s="64"/>
    </row>
    <row r="18" spans="2:14" x14ac:dyDescent="0.25">
      <c r="B18" s="1" t="s">
        <v>70</v>
      </c>
      <c r="C18" t="s">
        <v>65</v>
      </c>
      <c r="E18" s="64">
        <v>445</v>
      </c>
      <c r="F18" s="20" t="s">
        <v>66</v>
      </c>
      <c r="G18" s="20">
        <v>12</v>
      </c>
      <c r="H18" s="77">
        <f>+E18*G18</f>
        <v>5340</v>
      </c>
      <c r="I18" s="66"/>
      <c r="J18" s="80" t="s">
        <v>45</v>
      </c>
      <c r="K18" s="64"/>
      <c r="L18" s="64"/>
      <c r="M18" s="64"/>
      <c r="N18" s="64"/>
    </row>
    <row r="19" spans="2:14" x14ac:dyDescent="0.25">
      <c r="C19" t="s">
        <v>67</v>
      </c>
      <c r="E19" s="64">
        <v>767.5</v>
      </c>
      <c r="F19" s="20" t="s">
        <v>68</v>
      </c>
      <c r="G19" s="20">
        <v>4</v>
      </c>
      <c r="H19" s="77">
        <f>+G19*E19</f>
        <v>3070</v>
      </c>
      <c r="I19" s="66"/>
      <c r="J19" s="80" t="s">
        <v>45</v>
      </c>
      <c r="K19" s="64"/>
      <c r="L19" s="64"/>
      <c r="M19" s="64"/>
      <c r="N19" s="64"/>
    </row>
    <row r="20" spans="2:14" x14ac:dyDescent="0.25">
      <c r="E20" s="64"/>
      <c r="F20" s="20"/>
      <c r="G20" s="20"/>
      <c r="H20" s="79">
        <f>+H18+H19</f>
        <v>8410</v>
      </c>
      <c r="I20" s="66">
        <v>14226</v>
      </c>
      <c r="J20" s="80">
        <f>+I20-H20</f>
        <v>5816</v>
      </c>
      <c r="K20" s="64"/>
      <c r="L20" s="64"/>
      <c r="M20" s="64"/>
      <c r="N20" s="64"/>
    </row>
    <row r="21" spans="2:14" x14ac:dyDescent="0.25">
      <c r="E21" s="64"/>
      <c r="F21" s="20"/>
      <c r="G21" s="20"/>
      <c r="H21" s="77"/>
      <c r="I21" s="64"/>
      <c r="J21" s="78"/>
      <c r="K21" s="64"/>
      <c r="L21" s="64"/>
      <c r="M21" s="64"/>
      <c r="N21" s="64"/>
    </row>
    <row r="22" spans="2:14" x14ac:dyDescent="0.25">
      <c r="E22" s="64"/>
      <c r="F22" s="20"/>
      <c r="G22" s="20"/>
      <c r="H22" s="77"/>
      <c r="I22" s="66">
        <f>SUM(I12:I21)</f>
        <v>82166</v>
      </c>
      <c r="J22" s="80">
        <f>SUM(J12:J21)</f>
        <v>9399.8799999999974</v>
      </c>
      <c r="K22" s="64" t="s">
        <v>71</v>
      </c>
      <c r="L22" s="64"/>
      <c r="M22" s="64"/>
      <c r="N22" s="64"/>
    </row>
    <row r="23" spans="2:14" x14ac:dyDescent="0.25">
      <c r="E23" s="64"/>
      <c r="F23" s="20"/>
      <c r="G23" s="20"/>
      <c r="H23" s="77"/>
      <c r="I23" s="64"/>
      <c r="J23" s="78"/>
      <c r="K23" s="64"/>
      <c r="L23" s="64"/>
      <c r="M23" s="64"/>
      <c r="N23" s="64"/>
    </row>
    <row r="24" spans="2:14" x14ac:dyDescent="0.25">
      <c r="B24" s="1" t="s">
        <v>72</v>
      </c>
      <c r="E24" s="64"/>
      <c r="F24" s="20"/>
      <c r="G24" s="20"/>
      <c r="H24" s="77"/>
      <c r="I24" s="64"/>
      <c r="J24" s="78"/>
      <c r="K24" s="64"/>
      <c r="L24" s="64"/>
      <c r="M24" s="64"/>
      <c r="N24" s="64"/>
    </row>
    <row r="25" spans="2:14" x14ac:dyDescent="0.25">
      <c r="E25" s="64"/>
      <c r="F25" s="20"/>
      <c r="G25" s="20"/>
      <c r="H25" s="77"/>
      <c r="I25" s="64"/>
      <c r="J25" s="78"/>
      <c r="K25" s="64"/>
      <c r="L25" s="64"/>
      <c r="M25" s="64"/>
      <c r="N25" s="64"/>
    </row>
    <row r="26" spans="2:14" x14ac:dyDescent="0.25">
      <c r="B26" s="1" t="s">
        <v>64</v>
      </c>
      <c r="C26" t="s">
        <v>65</v>
      </c>
      <c r="E26" s="64">
        <v>2860.51</v>
      </c>
      <c r="F26" s="20" t="s">
        <v>66</v>
      </c>
      <c r="G26" s="20">
        <v>10</v>
      </c>
      <c r="H26" s="77">
        <f>+E26*G26</f>
        <v>28605.100000000002</v>
      </c>
      <c r="I26" s="64"/>
      <c r="J26" s="78"/>
      <c r="K26" s="64"/>
      <c r="L26" s="64"/>
      <c r="M26" s="64"/>
      <c r="N26" s="64"/>
    </row>
    <row r="27" spans="2:14" x14ac:dyDescent="0.25">
      <c r="C27" t="s">
        <v>67</v>
      </c>
      <c r="E27" s="64">
        <v>5470</v>
      </c>
      <c r="F27" s="20" t="s">
        <v>68</v>
      </c>
      <c r="G27" s="81">
        <v>3.3333333000000001</v>
      </c>
      <c r="H27" s="77">
        <f>+G27*E27</f>
        <v>18233.333150999999</v>
      </c>
      <c r="I27" s="64"/>
      <c r="J27" s="78"/>
      <c r="K27" s="64"/>
      <c r="L27" s="64"/>
      <c r="M27" s="64"/>
      <c r="N27" s="64"/>
    </row>
    <row r="28" spans="2:14" x14ac:dyDescent="0.25">
      <c r="E28" s="64"/>
      <c r="F28" s="20"/>
      <c r="G28" s="20"/>
      <c r="H28" s="79">
        <f>+H26+H27</f>
        <v>46838.433151000005</v>
      </c>
      <c r="I28" s="66">
        <v>42147</v>
      </c>
      <c r="J28" s="80">
        <f>+I28-H28</f>
        <v>-4691.4331510000047</v>
      </c>
      <c r="K28" s="64"/>
      <c r="L28" s="64"/>
      <c r="M28" s="64"/>
      <c r="N28" s="64"/>
    </row>
    <row r="29" spans="2:14" x14ac:dyDescent="0.25">
      <c r="E29" s="64"/>
      <c r="F29" s="20"/>
      <c r="G29" s="20"/>
      <c r="H29" s="77"/>
      <c r="I29" s="66"/>
      <c r="J29" s="80"/>
      <c r="K29" s="64"/>
      <c r="L29" s="64"/>
      <c r="M29" s="64"/>
      <c r="N29" s="64"/>
    </row>
    <row r="30" spans="2:14" x14ac:dyDescent="0.25">
      <c r="B30" s="1" t="s">
        <v>69</v>
      </c>
      <c r="C30" t="s">
        <v>65</v>
      </c>
      <c r="E30" s="64">
        <v>435</v>
      </c>
      <c r="F30" s="20" t="s">
        <v>66</v>
      </c>
      <c r="G30" s="20">
        <v>10</v>
      </c>
      <c r="H30" s="77">
        <f>+E30*G30</f>
        <v>4350</v>
      </c>
      <c r="I30" s="66"/>
      <c r="J30" s="80"/>
      <c r="K30" s="64"/>
      <c r="L30" s="64"/>
      <c r="M30" s="64"/>
      <c r="N30" s="64"/>
    </row>
    <row r="31" spans="2:14" x14ac:dyDescent="0.25">
      <c r="C31" t="s">
        <v>67</v>
      </c>
      <c r="E31" s="64">
        <v>732.5</v>
      </c>
      <c r="F31" s="20" t="s">
        <v>68</v>
      </c>
      <c r="G31" s="81">
        <v>3.3333333000000001</v>
      </c>
      <c r="H31" s="77">
        <f>+G31*E31</f>
        <v>2441.6666422500002</v>
      </c>
      <c r="I31" s="66"/>
      <c r="J31" s="80"/>
      <c r="K31" s="64"/>
      <c r="L31" s="64"/>
      <c r="M31" s="64"/>
      <c r="N31" s="64"/>
    </row>
    <row r="32" spans="2:14" x14ac:dyDescent="0.25">
      <c r="E32" s="64"/>
      <c r="F32" s="20"/>
      <c r="G32" s="20"/>
      <c r="H32" s="79">
        <f>+H30+H31</f>
        <v>6791.6666422500002</v>
      </c>
      <c r="I32" s="66">
        <v>6547</v>
      </c>
      <c r="J32" s="80">
        <f>+I32-H32</f>
        <v>-244.66664225000022</v>
      </c>
      <c r="K32" s="64"/>
      <c r="L32" s="64"/>
      <c r="M32" s="64"/>
      <c r="N32" s="64"/>
    </row>
    <row r="33" spans="2:20" x14ac:dyDescent="0.25">
      <c r="E33" s="64"/>
      <c r="F33" s="20"/>
      <c r="G33" s="20"/>
      <c r="H33" s="77"/>
      <c r="I33" s="66"/>
      <c r="J33" s="80" t="s">
        <v>45</v>
      </c>
      <c r="K33" s="64"/>
      <c r="L33" s="64"/>
      <c r="M33" s="64"/>
      <c r="N33" s="64"/>
    </row>
    <row r="34" spans="2:20" x14ac:dyDescent="0.25">
      <c r="B34" s="1" t="s">
        <v>70</v>
      </c>
      <c r="C34" t="s">
        <v>65</v>
      </c>
      <c r="E34" s="64">
        <v>445</v>
      </c>
      <c r="F34" s="20" t="s">
        <v>66</v>
      </c>
      <c r="G34" s="20">
        <v>10</v>
      </c>
      <c r="H34" s="77">
        <f>+E34*G34</f>
        <v>4450</v>
      </c>
      <c r="I34" s="66"/>
      <c r="J34" s="80" t="s">
        <v>45</v>
      </c>
      <c r="K34" s="64"/>
      <c r="L34" s="64"/>
      <c r="M34" s="64"/>
      <c r="N34" s="64"/>
    </row>
    <row r="35" spans="2:20" x14ac:dyDescent="0.25">
      <c r="C35" t="s">
        <v>67</v>
      </c>
      <c r="E35" s="64">
        <v>767.5</v>
      </c>
      <c r="F35" s="20" t="s">
        <v>68</v>
      </c>
      <c r="G35" s="81">
        <v>3.3333333000000001</v>
      </c>
      <c r="H35" s="77">
        <f>+G35*E35</f>
        <v>2558.3333077500001</v>
      </c>
      <c r="I35" s="66" t="s">
        <v>45</v>
      </c>
      <c r="J35" s="80" t="s">
        <v>45</v>
      </c>
      <c r="K35" s="64"/>
      <c r="L35" s="64"/>
      <c r="M35" s="64"/>
      <c r="N35" s="64"/>
    </row>
    <row r="36" spans="2:20" x14ac:dyDescent="0.25">
      <c r="E36" s="64"/>
      <c r="F36" s="20"/>
      <c r="G36" s="20"/>
      <c r="H36" s="79">
        <f>+H34+H35</f>
        <v>7008.3333077500001</v>
      </c>
      <c r="I36" s="66">
        <v>3886</v>
      </c>
      <c r="J36" s="80">
        <f>+I36-H36</f>
        <v>-3122.3333077500001</v>
      </c>
      <c r="K36" s="64"/>
      <c r="L36" s="64"/>
      <c r="M36" s="64"/>
      <c r="N36" s="64"/>
    </row>
    <row r="37" spans="2:20" ht="15.75" thickBot="1" x14ac:dyDescent="0.3">
      <c r="E37" s="64"/>
      <c r="H37" s="77"/>
      <c r="I37" s="64"/>
      <c r="J37" s="78"/>
      <c r="K37" s="64"/>
      <c r="L37" s="64"/>
      <c r="M37" s="64"/>
      <c r="N37" s="64"/>
    </row>
    <row r="38" spans="2:20" ht="15.75" thickBot="1" x14ac:dyDescent="0.3">
      <c r="E38" s="64"/>
      <c r="H38" s="82"/>
      <c r="I38" s="83">
        <f>SUM(I28:I37)</f>
        <v>52580</v>
      </c>
      <c r="J38" s="84">
        <f>SUM(J28:J37)</f>
        <v>-8058.4331010000051</v>
      </c>
      <c r="K38" s="149" t="s">
        <v>73</v>
      </c>
      <c r="L38" s="149"/>
      <c r="M38" s="149"/>
      <c r="N38" s="149"/>
      <c r="O38" s="150"/>
      <c r="P38" s="150"/>
      <c r="Q38" s="150"/>
      <c r="R38" s="150"/>
      <c r="S38" s="150"/>
      <c r="T38" s="150"/>
    </row>
    <row r="39" spans="2:20" x14ac:dyDescent="0.25">
      <c r="E39" s="64"/>
      <c r="H39" s="64"/>
      <c r="I39" s="64"/>
      <c r="J39" s="64"/>
      <c r="K39" s="149" t="s">
        <v>109</v>
      </c>
      <c r="L39" s="149"/>
      <c r="M39" s="149"/>
      <c r="N39" s="149"/>
      <c r="O39" s="150"/>
      <c r="P39" s="150"/>
      <c r="Q39" s="150"/>
      <c r="R39" s="150"/>
    </row>
    <row r="40" spans="2:20" ht="15.75" thickBot="1" x14ac:dyDescent="0.3">
      <c r="E40" s="64"/>
      <c r="H40" s="64"/>
      <c r="I40" s="64"/>
      <c r="J40" s="64"/>
      <c r="K40" s="64"/>
      <c r="L40" s="64"/>
      <c r="M40" s="64"/>
      <c r="N40" s="64"/>
    </row>
    <row r="41" spans="2:20" ht="15.75" thickBot="1" x14ac:dyDescent="0.3">
      <c r="E41" s="64"/>
      <c r="H41" s="64"/>
      <c r="I41" s="686" t="s">
        <v>74</v>
      </c>
      <c r="J41" s="687"/>
      <c r="K41" s="687"/>
      <c r="L41" s="688"/>
      <c r="M41" s="64"/>
      <c r="N41" s="64"/>
    </row>
    <row r="42" spans="2:20" ht="30" x14ac:dyDescent="0.25">
      <c r="E42" s="64"/>
      <c r="H42" s="64"/>
      <c r="I42" s="85" t="s">
        <v>30</v>
      </c>
      <c r="J42" s="86" t="s">
        <v>75</v>
      </c>
      <c r="K42" s="86" t="s">
        <v>31</v>
      </c>
      <c r="L42" s="87" t="s">
        <v>76</v>
      </c>
      <c r="M42" s="64"/>
      <c r="N42" s="64"/>
    </row>
    <row r="43" spans="2:20" x14ac:dyDescent="0.25">
      <c r="B43" s="1" t="s">
        <v>77</v>
      </c>
      <c r="E43" s="64"/>
      <c r="H43" s="64"/>
      <c r="I43" s="88" t="s">
        <v>78</v>
      </c>
      <c r="J43" s="89" t="s">
        <v>78</v>
      </c>
      <c r="K43" s="89" t="s">
        <v>79</v>
      </c>
      <c r="L43" s="78"/>
      <c r="M43" s="64"/>
      <c r="N43" s="64"/>
    </row>
    <row r="44" spans="2:20" x14ac:dyDescent="0.25">
      <c r="E44" s="64"/>
      <c r="H44" s="64"/>
      <c r="I44" s="77"/>
      <c r="J44" s="64"/>
      <c r="K44" s="64"/>
      <c r="L44" s="78"/>
      <c r="M44" s="64"/>
      <c r="N44" s="64"/>
    </row>
    <row r="45" spans="2:20" x14ac:dyDescent="0.25">
      <c r="B45" s="1" t="s">
        <v>64</v>
      </c>
      <c r="C45" t="s">
        <v>65</v>
      </c>
      <c r="E45" s="64">
        <v>2860.51</v>
      </c>
      <c r="F45" t="s">
        <v>66</v>
      </c>
      <c r="G45">
        <v>12</v>
      </c>
      <c r="H45" s="64">
        <f>+E45*G45</f>
        <v>34326.120000000003</v>
      </c>
      <c r="I45" s="90"/>
      <c r="J45" s="91"/>
      <c r="K45" s="91"/>
      <c r="L45" s="92"/>
      <c r="M45" s="64"/>
      <c r="N45" s="64"/>
    </row>
    <row r="46" spans="2:20" x14ac:dyDescent="0.25">
      <c r="C46" t="s">
        <v>67</v>
      </c>
      <c r="E46" s="64">
        <v>5470</v>
      </c>
      <c r="F46" t="s">
        <v>68</v>
      </c>
      <c r="G46" s="93">
        <v>4</v>
      </c>
      <c r="H46" s="64">
        <f>+G46*E46</f>
        <v>21880</v>
      </c>
      <c r="I46" s="90"/>
      <c r="J46" s="91"/>
      <c r="K46" s="91"/>
      <c r="L46" s="92"/>
      <c r="M46" s="64"/>
      <c r="N46" s="64"/>
    </row>
    <row r="47" spans="2:20" x14ac:dyDescent="0.25">
      <c r="E47" s="64"/>
      <c r="H47" s="66">
        <f>+H45+H46</f>
        <v>56206.12</v>
      </c>
      <c r="I47" s="90" t="s">
        <v>45</v>
      </c>
      <c r="J47" s="91" t="s">
        <v>45</v>
      </c>
      <c r="K47" s="91"/>
      <c r="L47" s="92"/>
      <c r="M47" s="64"/>
      <c r="N47" s="64"/>
    </row>
    <row r="48" spans="2:20" x14ac:dyDescent="0.25">
      <c r="E48" s="64"/>
      <c r="H48" s="64"/>
      <c r="I48" s="90"/>
      <c r="J48" s="91"/>
      <c r="K48" s="91"/>
      <c r="L48" s="92"/>
      <c r="M48" s="64"/>
      <c r="N48" s="64"/>
    </row>
    <row r="49" spans="2:25" x14ac:dyDescent="0.25">
      <c r="B49" s="1" t="s">
        <v>69</v>
      </c>
      <c r="C49" t="s">
        <v>65</v>
      </c>
      <c r="E49" s="64">
        <v>435</v>
      </c>
      <c r="F49" t="s">
        <v>66</v>
      </c>
      <c r="G49">
        <v>12</v>
      </c>
      <c r="H49" s="64">
        <f>+E49*G49</f>
        <v>5220</v>
      </c>
      <c r="I49" s="90"/>
      <c r="J49" s="91"/>
      <c r="K49" s="91"/>
      <c r="L49" s="92"/>
      <c r="M49" s="64"/>
      <c r="N49" s="64"/>
    </row>
    <row r="50" spans="2:25" x14ac:dyDescent="0.25">
      <c r="C50" t="s">
        <v>67</v>
      </c>
      <c r="E50" s="64">
        <v>732.5</v>
      </c>
      <c r="F50" t="s">
        <v>68</v>
      </c>
      <c r="G50" s="93">
        <v>4</v>
      </c>
      <c r="H50" s="64">
        <f>+G50*E50</f>
        <v>2930</v>
      </c>
      <c r="I50" s="90"/>
      <c r="J50" s="91"/>
      <c r="K50" s="91"/>
      <c r="L50" s="92"/>
      <c r="M50" s="64"/>
      <c r="N50" s="64"/>
    </row>
    <row r="51" spans="2:25" x14ac:dyDescent="0.25">
      <c r="E51" s="64"/>
      <c r="H51" s="66">
        <f>+H49+H50</f>
        <v>8150</v>
      </c>
      <c r="I51" s="90"/>
      <c r="J51" s="91"/>
      <c r="K51" s="91"/>
      <c r="L51" s="92"/>
      <c r="M51" s="64"/>
      <c r="N51" s="64"/>
    </row>
    <row r="52" spans="2:25" x14ac:dyDescent="0.25">
      <c r="E52" s="64"/>
      <c r="H52" s="64"/>
      <c r="I52" s="90"/>
      <c r="J52" s="91"/>
      <c r="K52" s="91"/>
      <c r="L52" s="92"/>
      <c r="M52" s="64"/>
      <c r="N52" s="64"/>
    </row>
    <row r="53" spans="2:25" x14ac:dyDescent="0.25">
      <c r="B53" s="1" t="s">
        <v>70</v>
      </c>
      <c r="C53" t="s">
        <v>65</v>
      </c>
      <c r="E53" s="64">
        <v>445</v>
      </c>
      <c r="F53" t="s">
        <v>66</v>
      </c>
      <c r="G53">
        <v>12</v>
      </c>
      <c r="H53" s="64">
        <f>+E53*G53</f>
        <v>5340</v>
      </c>
      <c r="I53" s="90"/>
      <c r="J53" s="91"/>
      <c r="K53" s="91"/>
      <c r="L53" s="92"/>
      <c r="M53" s="64"/>
      <c r="N53" s="64"/>
    </row>
    <row r="54" spans="2:25" x14ac:dyDescent="0.25">
      <c r="C54" t="s">
        <v>67</v>
      </c>
      <c r="E54" s="64">
        <v>767.5</v>
      </c>
      <c r="F54" t="s">
        <v>68</v>
      </c>
      <c r="G54" s="93">
        <v>4</v>
      </c>
      <c r="H54" s="64">
        <f>+G54*E54</f>
        <v>3070</v>
      </c>
      <c r="I54" s="90"/>
      <c r="J54" s="91"/>
      <c r="K54" s="91"/>
      <c r="L54" s="92"/>
      <c r="M54" s="64"/>
      <c r="N54" s="64"/>
    </row>
    <row r="55" spans="2:25" x14ac:dyDescent="0.25">
      <c r="E55" s="64"/>
      <c r="H55" s="66">
        <f>+H53+H54</f>
        <v>8410</v>
      </c>
      <c r="I55" s="90"/>
      <c r="J55" s="91"/>
      <c r="K55" s="91"/>
      <c r="L55" s="92"/>
      <c r="M55" s="64"/>
      <c r="N55" s="64"/>
    </row>
    <row r="56" spans="2:25" ht="15.75" thickBot="1" x14ac:dyDescent="0.3">
      <c r="C56" s="94"/>
      <c r="E56" s="64"/>
      <c r="H56" s="64"/>
      <c r="I56" s="90"/>
      <c r="J56" s="91"/>
      <c r="K56" s="91"/>
      <c r="L56" s="92"/>
      <c r="M56" s="64"/>
      <c r="N56" s="64"/>
    </row>
    <row r="57" spans="2:25" x14ac:dyDescent="0.25">
      <c r="B57" s="95" t="s">
        <v>80</v>
      </c>
      <c r="C57" t="s">
        <v>65</v>
      </c>
      <c r="D57" s="96"/>
      <c r="E57" s="75">
        <f>+E45+E49+E53</f>
        <v>3740.51</v>
      </c>
      <c r="F57" s="96" t="s">
        <v>66</v>
      </c>
      <c r="G57" s="96">
        <v>12</v>
      </c>
      <c r="H57" s="75">
        <f>+E57*G57</f>
        <v>44886.12</v>
      </c>
      <c r="I57" s="74"/>
      <c r="J57" s="75"/>
      <c r="K57" s="75">
        <f>H57*K60</f>
        <v>44886.12</v>
      </c>
      <c r="L57" s="76"/>
      <c r="M57" s="64"/>
      <c r="N57" s="64"/>
    </row>
    <row r="58" spans="2:25" ht="15.75" thickBot="1" x14ac:dyDescent="0.3">
      <c r="B58" s="46"/>
      <c r="C58" t="s">
        <v>67</v>
      </c>
      <c r="E58" s="64">
        <f>+E46+E50+E54</f>
        <v>6970</v>
      </c>
      <c r="F58" t="s">
        <v>68</v>
      </c>
      <c r="G58" s="93">
        <v>4</v>
      </c>
      <c r="H58" s="64">
        <f>+G58*E58</f>
        <v>27880</v>
      </c>
      <c r="I58" s="77">
        <f>H58*I60</f>
        <v>11152</v>
      </c>
      <c r="J58" s="64">
        <f>H58*J60</f>
        <v>16728</v>
      </c>
      <c r="K58" s="64"/>
      <c r="L58" s="78"/>
      <c r="M58" s="64"/>
      <c r="N58" s="64"/>
    </row>
    <row r="59" spans="2:25" ht="15.75" thickBot="1" x14ac:dyDescent="0.3">
      <c r="B59" s="52"/>
      <c r="C59" s="94"/>
      <c r="D59" s="94"/>
      <c r="E59" s="97"/>
      <c r="F59" s="94"/>
      <c r="G59" s="94"/>
      <c r="H59" s="98">
        <f>+H57+H58</f>
        <v>72766.12</v>
      </c>
      <c r="I59" s="99">
        <f>SUM(I57:I58)</f>
        <v>11152</v>
      </c>
      <c r="J59" s="99">
        <f>SUM(J57:J58)</f>
        <v>16728</v>
      </c>
      <c r="K59" s="100">
        <f>SUM(K57:K58)</f>
        <v>44886.12</v>
      </c>
      <c r="L59" s="101">
        <f>SUM(I59:K59)</f>
        <v>72766.12</v>
      </c>
      <c r="M59" s="64"/>
      <c r="N59" s="64"/>
    </row>
    <row r="60" spans="2:25" ht="15.75" thickBot="1" x14ac:dyDescent="0.3">
      <c r="E60" s="64"/>
      <c r="H60" s="66" t="s">
        <v>45</v>
      </c>
      <c r="I60" s="102">
        <v>0.4</v>
      </c>
      <c r="J60" s="102">
        <v>0.6</v>
      </c>
      <c r="K60" s="102">
        <v>1</v>
      </c>
      <c r="L60" s="103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</row>
    <row r="61" spans="2:25" x14ac:dyDescent="0.25">
      <c r="E61" s="64"/>
      <c r="H61" s="64"/>
      <c r="I61" s="64" t="s">
        <v>45</v>
      </c>
      <c r="J61" s="64" t="s">
        <v>45</v>
      </c>
      <c r="K61" s="64"/>
      <c r="L61" s="64"/>
      <c r="M61" s="64"/>
      <c r="N61" s="64"/>
    </row>
    <row r="62" spans="2:25" x14ac:dyDescent="0.25">
      <c r="E62" s="64"/>
      <c r="H62" s="64"/>
      <c r="I62" s="64"/>
      <c r="J62" s="64"/>
      <c r="K62" s="64"/>
      <c r="L62" s="64"/>
      <c r="M62" s="64"/>
      <c r="N62" s="64"/>
    </row>
    <row r="63" spans="2:25" x14ac:dyDescent="0.25">
      <c r="E63" s="64"/>
    </row>
    <row r="64" spans="2:25" x14ac:dyDescent="0.25">
      <c r="E64" s="64"/>
    </row>
    <row r="65" spans="5:5" x14ac:dyDescent="0.25">
      <c r="E65" s="64"/>
    </row>
    <row r="66" spans="5:5" x14ac:dyDescent="0.25">
      <c r="E66" s="64"/>
    </row>
  </sheetData>
  <mergeCells count="1">
    <mergeCell ref="I41:L4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40"/>
  <sheetViews>
    <sheetView workbookViewId="0">
      <selection activeCell="G17" sqref="G17"/>
    </sheetView>
  </sheetViews>
  <sheetFormatPr baseColWidth="10" defaultRowHeight="15" x14ac:dyDescent="0.25"/>
  <cols>
    <col min="1" max="1" width="4.28515625" customWidth="1"/>
    <col min="2" max="2" width="7.85546875" customWidth="1"/>
    <col min="3" max="3" width="15.42578125" customWidth="1"/>
    <col min="4" max="4" width="15.7109375" customWidth="1"/>
    <col min="5" max="5" width="13.28515625" customWidth="1"/>
    <col min="6" max="7" width="13" bestFit="1" customWidth="1"/>
    <col min="8" max="9" width="11.7109375" bestFit="1" customWidth="1"/>
    <col min="13" max="13" width="3.28515625" customWidth="1"/>
    <col min="14" max="14" width="12" bestFit="1" customWidth="1"/>
    <col min="15" max="15" width="13.7109375" customWidth="1"/>
    <col min="17" max="17" width="0.85546875" customWidth="1"/>
  </cols>
  <sheetData>
    <row r="2" spans="2:24" ht="18.75" x14ac:dyDescent="0.3">
      <c r="C2" s="60" t="s">
        <v>45</v>
      </c>
    </row>
    <row r="3" spans="2:24" ht="15.75" thickBot="1" x14ac:dyDescent="0.3"/>
    <row r="4" spans="2:24" ht="18" x14ac:dyDescent="0.25">
      <c r="B4" s="397" t="s">
        <v>252</v>
      </c>
      <c r="C4" s="398"/>
      <c r="D4" s="399"/>
      <c r="E4" s="96"/>
      <c r="F4" s="96"/>
      <c r="G4" s="96"/>
      <c r="H4" s="96"/>
      <c r="I4" s="96"/>
      <c r="J4" s="96"/>
      <c r="K4" s="96"/>
      <c r="L4" s="96"/>
      <c r="M4" s="96"/>
      <c r="N4" s="400"/>
      <c r="O4" s="400"/>
      <c r="P4" s="400"/>
      <c r="Q4" s="96"/>
      <c r="R4" s="96"/>
      <c r="S4" s="96"/>
      <c r="T4" s="96"/>
      <c r="U4" s="96"/>
      <c r="V4" s="96"/>
      <c r="W4" s="96"/>
      <c r="X4" s="192"/>
    </row>
    <row r="5" spans="2:24" ht="18.75" x14ac:dyDescent="0.3">
      <c r="B5" s="46"/>
      <c r="C5" s="376"/>
      <c r="D5" s="21"/>
      <c r="E5" s="21"/>
      <c r="F5" s="21"/>
      <c r="G5" s="21"/>
      <c r="H5" s="21"/>
      <c r="I5" s="21"/>
      <c r="J5" s="21"/>
      <c r="K5" s="21"/>
      <c r="L5" s="21"/>
      <c r="M5" s="21"/>
      <c r="N5" s="266"/>
      <c r="O5" s="266"/>
      <c r="P5" s="266"/>
      <c r="Q5" s="21"/>
      <c r="R5" s="21"/>
      <c r="S5" s="21"/>
      <c r="T5" s="21"/>
      <c r="U5" s="21"/>
      <c r="V5" s="21"/>
      <c r="W5" s="21"/>
      <c r="X5" s="107"/>
    </row>
    <row r="6" spans="2:24" x14ac:dyDescent="0.25">
      <c r="B6" s="46"/>
      <c r="C6" s="59" t="s">
        <v>245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59" t="s">
        <v>253</v>
      </c>
      <c r="O6" s="266"/>
      <c r="P6" s="266"/>
      <c r="Q6" s="266"/>
      <c r="R6" s="266" t="s">
        <v>96</v>
      </c>
      <c r="S6" s="266" t="s">
        <v>97</v>
      </c>
      <c r="T6" s="266" t="s">
        <v>97</v>
      </c>
      <c r="U6" s="266" t="s">
        <v>97</v>
      </c>
      <c r="V6" s="266" t="s">
        <v>97</v>
      </c>
      <c r="W6" s="266" t="s">
        <v>97</v>
      </c>
      <c r="X6" s="107"/>
    </row>
    <row r="7" spans="2:24" x14ac:dyDescent="0.25">
      <c r="B7" s="46"/>
      <c r="C7" s="21"/>
      <c r="D7" s="21"/>
      <c r="E7" s="689" t="s">
        <v>256</v>
      </c>
      <c r="F7" s="690"/>
      <c r="G7" s="691"/>
      <c r="H7" s="16">
        <v>2022</v>
      </c>
      <c r="I7" s="16">
        <v>2023</v>
      </c>
      <c r="J7" s="16">
        <v>2024</v>
      </c>
      <c r="K7" s="16">
        <v>2025</v>
      </c>
      <c r="L7" s="16">
        <v>2026</v>
      </c>
      <c r="M7" s="21"/>
      <c r="N7" s="266"/>
      <c r="O7" s="266"/>
      <c r="P7" s="21"/>
      <c r="Q7" s="21"/>
      <c r="R7" s="377" t="s">
        <v>82</v>
      </c>
      <c r="S7" s="377" t="s">
        <v>82</v>
      </c>
      <c r="T7" s="377" t="s">
        <v>82</v>
      </c>
      <c r="U7" s="377" t="s">
        <v>82</v>
      </c>
      <c r="V7" s="377" t="s">
        <v>82</v>
      </c>
      <c r="W7" s="377" t="s">
        <v>82</v>
      </c>
      <c r="X7" s="107"/>
    </row>
    <row r="8" spans="2:24" x14ac:dyDescent="0.25">
      <c r="B8" s="401"/>
      <c r="C8" s="21"/>
      <c r="D8" s="378" t="s">
        <v>250</v>
      </c>
      <c r="E8" s="379" t="s">
        <v>94</v>
      </c>
      <c r="F8" s="379" t="s">
        <v>83</v>
      </c>
      <c r="G8" s="379" t="s">
        <v>255</v>
      </c>
      <c r="H8" s="379" t="s">
        <v>84</v>
      </c>
      <c r="I8" s="380" t="s">
        <v>85</v>
      </c>
      <c r="J8" s="380" t="s">
        <v>86</v>
      </c>
      <c r="K8" s="380" t="s">
        <v>87</v>
      </c>
      <c r="L8" s="380" t="s">
        <v>87</v>
      </c>
      <c r="M8" s="21"/>
      <c r="N8" s="381" t="s">
        <v>248</v>
      </c>
      <c r="O8" s="266"/>
      <c r="P8" s="382" t="s">
        <v>81</v>
      </c>
      <c r="Q8" s="21"/>
      <c r="R8" s="377" t="s">
        <v>88</v>
      </c>
      <c r="S8" s="377" t="s">
        <v>88</v>
      </c>
      <c r="T8" s="377" t="s">
        <v>88</v>
      </c>
      <c r="U8" s="377" t="s">
        <v>88</v>
      </c>
      <c r="V8" s="377" t="s">
        <v>88</v>
      </c>
      <c r="W8" s="377" t="s">
        <v>88</v>
      </c>
      <c r="X8" s="107"/>
    </row>
    <row r="9" spans="2:24" x14ac:dyDescent="0.25">
      <c r="B9" s="401"/>
      <c r="C9" s="21"/>
      <c r="D9" s="383"/>
      <c r="E9" s="21"/>
      <c r="F9" s="21"/>
      <c r="G9" s="21"/>
      <c r="H9" s="21"/>
      <c r="I9" s="21"/>
      <c r="J9" s="21"/>
      <c r="K9" s="21"/>
      <c r="L9" s="21"/>
      <c r="M9" s="21"/>
      <c r="N9" s="266"/>
      <c r="O9" s="21"/>
      <c r="P9" s="384"/>
      <c r="Q9" s="384"/>
      <c r="R9" s="385">
        <v>2021</v>
      </c>
      <c r="S9" s="385">
        <v>2022</v>
      </c>
      <c r="T9" s="385">
        <v>2023</v>
      </c>
      <c r="U9" s="385">
        <v>2024</v>
      </c>
      <c r="V9" s="385">
        <v>2025</v>
      </c>
      <c r="W9" s="385">
        <v>2026</v>
      </c>
      <c r="X9" s="402"/>
    </row>
    <row r="10" spans="2:24" x14ac:dyDescent="0.25">
      <c r="B10" s="401">
        <v>1</v>
      </c>
      <c r="C10" s="21" t="s">
        <v>246</v>
      </c>
      <c r="D10" s="386">
        <v>15235.5</v>
      </c>
      <c r="E10" s="26">
        <v>15421.38</v>
      </c>
      <c r="F10" s="26">
        <v>8496.64</v>
      </c>
      <c r="G10" s="26">
        <v>4274.01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1"/>
      <c r="N10" s="381">
        <v>44732</v>
      </c>
      <c r="O10" s="21"/>
      <c r="P10" s="384">
        <v>734.69</v>
      </c>
      <c r="Q10" s="384"/>
      <c r="R10" s="384">
        <v>518</v>
      </c>
      <c r="S10" s="384">
        <f>30.48+103.26</f>
        <v>133.74</v>
      </c>
      <c r="T10" s="387">
        <v>0</v>
      </c>
      <c r="U10" s="387">
        <v>0</v>
      </c>
      <c r="V10" s="387">
        <v>0</v>
      </c>
      <c r="W10" s="387">
        <v>0</v>
      </c>
      <c r="X10" s="402"/>
    </row>
    <row r="11" spans="2:24" ht="15" customHeight="1" x14ac:dyDescent="0.25">
      <c r="B11" s="403">
        <v>2</v>
      </c>
      <c r="C11" s="388" t="s">
        <v>246</v>
      </c>
      <c r="D11" s="389">
        <v>44815.32</v>
      </c>
      <c r="E11" s="390">
        <v>44815.32</v>
      </c>
      <c r="F11" s="390">
        <v>44815.32</v>
      </c>
      <c r="G11" s="391">
        <v>44815.32</v>
      </c>
      <c r="H11" s="392">
        <v>38363.15</v>
      </c>
      <c r="I11" s="391">
        <v>27236.45</v>
      </c>
      <c r="J11" s="391">
        <v>16026</v>
      </c>
      <c r="K11" s="391">
        <v>4731.1899999999996</v>
      </c>
      <c r="L11" s="26">
        <v>0</v>
      </c>
      <c r="M11" s="21"/>
      <c r="N11" s="393" t="s">
        <v>247</v>
      </c>
      <c r="O11" s="394" t="s">
        <v>45</v>
      </c>
      <c r="P11" s="384">
        <v>750</v>
      </c>
      <c r="Q11" s="384"/>
      <c r="R11" s="384">
        <v>540</v>
      </c>
      <c r="S11" s="384">
        <f>324.02+215.16</f>
        <v>539.17999999999995</v>
      </c>
      <c r="T11" s="384">
        <f>249.54+215.16</f>
        <v>464.7</v>
      </c>
      <c r="U11" s="384">
        <f>165.79+215.16</f>
        <v>380.95</v>
      </c>
      <c r="V11" s="384">
        <f>81.43+215.16</f>
        <v>296.59000000000003</v>
      </c>
      <c r="W11" s="384">
        <f>8.88+89.65</f>
        <v>98.53</v>
      </c>
      <c r="X11" s="402"/>
    </row>
    <row r="12" spans="2:24" x14ac:dyDescent="0.25">
      <c r="B12" s="401">
        <v>3</v>
      </c>
      <c r="C12" s="21" t="s">
        <v>246</v>
      </c>
      <c r="D12" s="386">
        <v>9902</v>
      </c>
      <c r="E12" s="26">
        <v>9902</v>
      </c>
      <c r="F12" s="26">
        <v>6230</v>
      </c>
      <c r="G12" s="26">
        <v>3917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1"/>
      <c r="N12" s="381">
        <v>44854</v>
      </c>
      <c r="O12" s="21"/>
      <c r="P12" s="384">
        <v>405.68</v>
      </c>
      <c r="Q12" s="384"/>
      <c r="R12" s="384">
        <v>507</v>
      </c>
      <c r="S12" s="384">
        <f>43.96+95</f>
        <v>138.96</v>
      </c>
      <c r="T12" s="387">
        <v>0</v>
      </c>
      <c r="U12" s="387">
        <v>0</v>
      </c>
      <c r="V12" s="387">
        <v>0</v>
      </c>
      <c r="W12" s="387">
        <v>0</v>
      </c>
      <c r="X12" s="402"/>
    </row>
    <row r="13" spans="2:24" x14ac:dyDescent="0.25">
      <c r="B13" s="401">
        <v>4</v>
      </c>
      <c r="C13" s="21" t="s">
        <v>246</v>
      </c>
      <c r="D13" s="386">
        <v>20601.72</v>
      </c>
      <c r="E13" s="26">
        <v>20807.75</v>
      </c>
      <c r="F13" s="26">
        <v>16697.68</v>
      </c>
      <c r="G13" s="26">
        <v>14198.79</v>
      </c>
      <c r="H13" s="26">
        <v>9125.4699999999993</v>
      </c>
      <c r="I13" s="26">
        <v>3949.76</v>
      </c>
      <c r="J13" s="26">
        <v>0</v>
      </c>
      <c r="K13" s="26">
        <v>0</v>
      </c>
      <c r="L13" s="26">
        <v>0</v>
      </c>
      <c r="M13" s="21"/>
      <c r="N13" s="381">
        <v>45545</v>
      </c>
      <c r="O13" s="21"/>
      <c r="P13" s="384">
        <v>442.11</v>
      </c>
      <c r="Q13" s="384"/>
      <c r="R13" s="384">
        <v>679</v>
      </c>
      <c r="S13" s="384">
        <v>237.64</v>
      </c>
      <c r="T13" s="384">
        <v>135.25</v>
      </c>
      <c r="U13" s="384">
        <v>32.99</v>
      </c>
      <c r="V13" s="387">
        <v>0</v>
      </c>
      <c r="W13" s="387">
        <v>0</v>
      </c>
      <c r="X13" s="402"/>
    </row>
    <row r="14" spans="2:24" x14ac:dyDescent="0.25">
      <c r="B14" s="401">
        <v>5</v>
      </c>
      <c r="C14" s="21" t="s">
        <v>246</v>
      </c>
      <c r="D14" s="386">
        <v>20601.72</v>
      </c>
      <c r="E14" s="26">
        <v>20807.75</v>
      </c>
      <c r="F14" s="26">
        <v>16697.68</v>
      </c>
      <c r="G14" s="26">
        <v>14198.79</v>
      </c>
      <c r="H14" s="26">
        <v>9125.4699999999993</v>
      </c>
      <c r="I14" s="26">
        <v>3949.76</v>
      </c>
      <c r="J14" s="26">
        <v>0</v>
      </c>
      <c r="K14" s="26">
        <v>0</v>
      </c>
      <c r="L14" s="26">
        <v>0</v>
      </c>
      <c r="M14" s="21"/>
      <c r="N14" s="381">
        <v>45545</v>
      </c>
      <c r="O14" s="21"/>
      <c r="P14" s="384">
        <v>456.04</v>
      </c>
      <c r="Q14" s="384"/>
      <c r="R14" s="384">
        <v>679</v>
      </c>
      <c r="S14" s="384">
        <f>237.64+161.52</f>
        <v>399.15999999999997</v>
      </c>
      <c r="T14" s="384">
        <f>135.25+161.52</f>
        <v>296.77</v>
      </c>
      <c r="U14" s="384">
        <f>32.99+121.14</f>
        <v>154.13</v>
      </c>
      <c r="V14" s="387">
        <v>0</v>
      </c>
      <c r="W14" s="387">
        <v>0</v>
      </c>
      <c r="X14" s="402"/>
    </row>
    <row r="15" spans="2:24" x14ac:dyDescent="0.25">
      <c r="B15" s="401">
        <v>6</v>
      </c>
      <c r="C15" s="21" t="s">
        <v>246</v>
      </c>
      <c r="D15" s="386">
        <v>12000</v>
      </c>
      <c r="E15" s="26">
        <v>11284</v>
      </c>
      <c r="F15" s="26">
        <v>11284</v>
      </c>
      <c r="G15" s="26">
        <v>9840</v>
      </c>
      <c r="H15" s="26">
        <v>6897</v>
      </c>
      <c r="I15" s="26">
        <v>3879</v>
      </c>
      <c r="J15" s="26">
        <v>785</v>
      </c>
      <c r="K15" s="26">
        <v>0</v>
      </c>
      <c r="L15" s="26">
        <v>0</v>
      </c>
      <c r="M15" s="21"/>
      <c r="N15" s="381">
        <v>45748</v>
      </c>
      <c r="O15" s="21"/>
      <c r="P15" s="384">
        <v>268</v>
      </c>
      <c r="Q15" s="384"/>
      <c r="R15" s="384">
        <v>491</v>
      </c>
      <c r="S15" s="384">
        <f>218.54+61.44</f>
        <v>279.98</v>
      </c>
      <c r="T15" s="384">
        <f>144.29+61.44</f>
        <v>205.73</v>
      </c>
      <c r="U15" s="384">
        <f>68.12+61.44</f>
        <v>129.56</v>
      </c>
      <c r="V15" s="384">
        <f>5.46+20.48</f>
        <v>25.94</v>
      </c>
      <c r="W15" s="387">
        <v>0</v>
      </c>
      <c r="X15" s="402"/>
    </row>
    <row r="16" spans="2:24" ht="15.75" thickBot="1" x14ac:dyDescent="0.3">
      <c r="B16" s="46"/>
      <c r="C16" s="21"/>
      <c r="D16" s="395"/>
      <c r="E16" s="21"/>
      <c r="F16" s="26"/>
      <c r="G16" s="26"/>
      <c r="H16" s="21"/>
      <c r="I16" s="21"/>
      <c r="J16" s="21"/>
      <c r="K16" s="21"/>
      <c r="L16" s="21"/>
      <c r="M16" s="21"/>
      <c r="N16" s="266"/>
      <c r="O16" s="21"/>
      <c r="P16" s="384"/>
      <c r="Q16" s="384"/>
      <c r="R16" s="384"/>
      <c r="S16" s="384"/>
      <c r="T16" s="384"/>
      <c r="U16" s="384"/>
      <c r="V16" s="384"/>
      <c r="W16" s="384"/>
      <c r="X16" s="402"/>
    </row>
    <row r="17" spans="2:24" ht="15.75" thickBot="1" x14ac:dyDescent="0.3">
      <c r="B17" s="46"/>
      <c r="C17" s="373" t="s">
        <v>249</v>
      </c>
      <c r="D17" s="374">
        <f>SUM(D10:D15)</f>
        <v>123156.26000000001</v>
      </c>
      <c r="E17" s="370">
        <f>SUM(E10:E15)</f>
        <v>123038.2</v>
      </c>
      <c r="F17" s="371">
        <f t="shared" ref="F17:K17" si="0">SUM(F10:F16)</f>
        <v>104221.32</v>
      </c>
      <c r="G17" s="371">
        <f t="shared" si="0"/>
        <v>91243.91</v>
      </c>
      <c r="H17" s="371">
        <f t="shared" si="0"/>
        <v>63511.090000000004</v>
      </c>
      <c r="I17" s="371">
        <f t="shared" si="0"/>
        <v>39014.97</v>
      </c>
      <c r="J17" s="371">
        <f t="shared" si="0"/>
        <v>16811</v>
      </c>
      <c r="K17" s="371">
        <f t="shared" si="0"/>
        <v>4731.1899999999996</v>
      </c>
      <c r="L17" s="372">
        <v>0</v>
      </c>
      <c r="M17" s="21"/>
      <c r="N17" s="266"/>
      <c r="O17" s="21"/>
      <c r="P17" s="366">
        <f>SUM(P10:P16)</f>
        <v>3056.52</v>
      </c>
      <c r="Q17" s="384"/>
      <c r="R17" s="367">
        <f t="shared" ref="R17:W17" si="1">SUM(R10:R15)</f>
        <v>3414</v>
      </c>
      <c r="S17" s="368">
        <f t="shared" si="1"/>
        <v>1728.6599999999999</v>
      </c>
      <c r="T17" s="368">
        <f t="shared" si="1"/>
        <v>1102.45</v>
      </c>
      <c r="U17" s="368">
        <f t="shared" si="1"/>
        <v>697.62999999999988</v>
      </c>
      <c r="V17" s="368">
        <f t="shared" si="1"/>
        <v>322.53000000000003</v>
      </c>
      <c r="W17" s="369">
        <f t="shared" si="1"/>
        <v>98.53</v>
      </c>
      <c r="X17" s="402"/>
    </row>
    <row r="18" spans="2:24" x14ac:dyDescent="0.25">
      <c r="B18" s="46"/>
      <c r="C18" s="59" t="s">
        <v>95</v>
      </c>
      <c r="D18" s="21"/>
      <c r="E18" s="21"/>
      <c r="F18" s="26">
        <f>E17-F17</f>
        <v>18816.87999999999</v>
      </c>
      <c r="G18" s="26">
        <f t="shared" ref="G18:L18" si="2">F17-G17</f>
        <v>12977.410000000003</v>
      </c>
      <c r="H18" s="26">
        <f t="shared" si="2"/>
        <v>27732.82</v>
      </c>
      <c r="I18" s="26">
        <f t="shared" si="2"/>
        <v>24496.120000000003</v>
      </c>
      <c r="J18" s="26">
        <f t="shared" si="2"/>
        <v>22203.97</v>
      </c>
      <c r="K18" s="26">
        <f t="shared" si="2"/>
        <v>12079.810000000001</v>
      </c>
      <c r="L18" s="26">
        <f t="shared" si="2"/>
        <v>4731.1899999999996</v>
      </c>
      <c r="M18" s="21"/>
      <c r="N18" s="266"/>
      <c r="O18" s="21"/>
      <c r="P18" s="384"/>
      <c r="Q18" s="384"/>
      <c r="R18" s="384"/>
      <c r="S18" s="384"/>
      <c r="T18" s="384"/>
      <c r="U18" s="384"/>
      <c r="V18" s="384"/>
      <c r="W18" s="384"/>
      <c r="X18" s="402"/>
    </row>
    <row r="19" spans="2:24" x14ac:dyDescent="0.25">
      <c r="B19" s="46"/>
      <c r="C19" s="21"/>
      <c r="D19" s="21"/>
      <c r="E19" s="21"/>
      <c r="F19" s="26"/>
      <c r="G19" s="26"/>
      <c r="H19" s="21"/>
      <c r="I19" s="21"/>
      <c r="J19" s="21"/>
      <c r="K19" s="21"/>
      <c r="L19" s="21"/>
      <c r="M19" s="21"/>
      <c r="N19" s="266"/>
      <c r="O19" s="21"/>
      <c r="P19" s="384"/>
      <c r="Q19" s="384"/>
      <c r="R19" s="384"/>
      <c r="S19" s="384"/>
      <c r="T19" s="384"/>
      <c r="U19" s="384"/>
      <c r="V19" s="384"/>
      <c r="W19" s="384"/>
      <c r="X19" s="402"/>
    </row>
    <row r="20" spans="2:24" x14ac:dyDescent="0.25">
      <c r="B20" s="46"/>
      <c r="C20" s="396" t="s">
        <v>251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66"/>
      <c r="O20" s="21"/>
      <c r="P20" s="21"/>
      <c r="Q20" s="21"/>
      <c r="R20" s="21"/>
      <c r="S20" s="21"/>
      <c r="T20" s="21"/>
      <c r="U20" s="21"/>
      <c r="V20" s="21"/>
      <c r="W20" s="21"/>
      <c r="X20" s="107"/>
    </row>
    <row r="21" spans="2:24" x14ac:dyDescent="0.25">
      <c r="B21" s="46"/>
      <c r="C21" s="21" t="s">
        <v>254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66"/>
      <c r="O21" s="21"/>
      <c r="P21" s="21"/>
      <c r="Q21" s="21"/>
      <c r="R21" s="21"/>
      <c r="S21" s="21"/>
      <c r="T21" s="21"/>
      <c r="U21" s="21"/>
      <c r="V21" s="21"/>
      <c r="W21" s="21"/>
      <c r="X21" s="107"/>
    </row>
    <row r="22" spans="2:24" ht="15.75" thickBot="1" x14ac:dyDescent="0.3">
      <c r="B22" s="52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115"/>
    </row>
    <row r="23" spans="2:24" ht="15.75" thickBot="1" x14ac:dyDescent="0.3">
      <c r="N23" s="20"/>
    </row>
    <row r="24" spans="2:24" x14ac:dyDescent="0.25">
      <c r="B24" s="397" t="s">
        <v>342</v>
      </c>
      <c r="C24" s="96"/>
      <c r="D24" s="96"/>
      <c r="E24" s="692" t="s">
        <v>256</v>
      </c>
      <c r="F24" s="693"/>
      <c r="G24" s="694"/>
      <c r="H24" s="566">
        <v>2022</v>
      </c>
      <c r="I24" s="566">
        <v>2023</v>
      </c>
      <c r="J24" s="566">
        <v>2024</v>
      </c>
      <c r="K24" s="566">
        <v>2025</v>
      </c>
      <c r="L24" s="566">
        <v>2026</v>
      </c>
      <c r="M24" s="96"/>
      <c r="N24" s="400"/>
      <c r="O24" s="96"/>
      <c r="P24" s="192"/>
    </row>
    <row r="25" spans="2:24" x14ac:dyDescent="0.25">
      <c r="B25" s="629"/>
      <c r="C25" s="21"/>
      <c r="D25" s="21"/>
      <c r="E25" s="379" t="s">
        <v>94</v>
      </c>
      <c r="F25" s="379" t="s">
        <v>83</v>
      </c>
      <c r="G25" s="379" t="s">
        <v>255</v>
      </c>
      <c r="H25" s="379" t="s">
        <v>84</v>
      </c>
      <c r="I25" s="380" t="s">
        <v>85</v>
      </c>
      <c r="J25" s="380" t="s">
        <v>86</v>
      </c>
      <c r="K25" s="380" t="s">
        <v>87</v>
      </c>
      <c r="L25" s="380" t="s">
        <v>87</v>
      </c>
      <c r="M25" s="21"/>
      <c r="N25" s="381" t="s">
        <v>248</v>
      </c>
      <c r="O25" s="266"/>
      <c r="P25" s="630" t="s">
        <v>81</v>
      </c>
    </row>
    <row r="26" spans="2:24" ht="15.75" thickBot="1" x14ac:dyDescent="0.3">
      <c r="B26" s="46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66"/>
      <c r="O26" s="21"/>
      <c r="P26" s="107"/>
    </row>
    <row r="27" spans="2:24" ht="15.75" thickBot="1" x14ac:dyDescent="0.3">
      <c r="B27" s="46"/>
      <c r="C27" s="574" t="s">
        <v>344</v>
      </c>
      <c r="D27" s="575">
        <v>10000</v>
      </c>
      <c r="E27" s="575">
        <v>7678.51</v>
      </c>
      <c r="F27" s="575">
        <v>5892.81</v>
      </c>
      <c r="G27" s="575">
        <v>4821.3900000000003</v>
      </c>
      <c r="H27" s="575">
        <v>2678.55</v>
      </c>
      <c r="I27" s="575">
        <v>535.71</v>
      </c>
      <c r="J27" s="370">
        <v>0</v>
      </c>
      <c r="K27" s="370">
        <v>0</v>
      </c>
      <c r="L27" s="576">
        <v>0</v>
      </c>
      <c r="M27" s="384"/>
      <c r="N27" s="631" t="s">
        <v>343</v>
      </c>
      <c r="O27" s="384"/>
      <c r="P27" s="78">
        <v>178.57</v>
      </c>
      <c r="Q27" s="313"/>
      <c r="R27" s="313"/>
      <c r="S27" s="313"/>
      <c r="T27" s="313"/>
      <c r="U27" s="313"/>
      <c r="V27" s="313"/>
    </row>
    <row r="28" spans="2:24" x14ac:dyDescent="0.25">
      <c r="B28" s="46"/>
      <c r="C28" s="21"/>
      <c r="D28" s="384"/>
      <c r="E28" s="384"/>
      <c r="F28" s="26">
        <f>E27-F27</f>
        <v>1785.6999999999998</v>
      </c>
      <c r="G28" s="26">
        <f t="shared" ref="G28" si="3">F27-G27</f>
        <v>1071.42</v>
      </c>
      <c r="H28" s="26">
        <f t="shared" ref="H28" si="4">G27-H27</f>
        <v>2142.84</v>
      </c>
      <c r="I28" s="26">
        <f t="shared" ref="I28" si="5">H27-I27</f>
        <v>2142.84</v>
      </c>
      <c r="J28" s="26">
        <f t="shared" ref="J28" si="6">I27-J27</f>
        <v>535.71</v>
      </c>
      <c r="K28" s="26">
        <f t="shared" ref="K28" si="7">J27-K27</f>
        <v>0</v>
      </c>
      <c r="L28" s="26">
        <f t="shared" ref="L28" si="8">K27-L27</f>
        <v>0</v>
      </c>
      <c r="M28" s="384"/>
      <c r="N28" s="632"/>
      <c r="O28" s="384"/>
      <c r="P28" s="402"/>
      <c r="Q28" s="313"/>
      <c r="R28" s="313"/>
      <c r="S28" s="313"/>
      <c r="T28" s="313"/>
      <c r="U28" s="313"/>
      <c r="V28" s="313"/>
    </row>
    <row r="29" spans="2:24" ht="15.75" thickBot="1" x14ac:dyDescent="0.3">
      <c r="B29" s="52"/>
      <c r="C29" s="94"/>
      <c r="D29" s="633"/>
      <c r="E29" s="633"/>
      <c r="F29" s="633"/>
      <c r="G29" s="633"/>
      <c r="H29" s="633"/>
      <c r="I29" s="633"/>
      <c r="J29" s="633"/>
      <c r="K29" s="633"/>
      <c r="L29" s="633"/>
      <c r="M29" s="633"/>
      <c r="N29" s="634"/>
      <c r="O29" s="633"/>
      <c r="P29" s="635"/>
      <c r="Q29" s="313"/>
      <c r="R29" s="313"/>
      <c r="S29" s="313"/>
      <c r="T29" s="313"/>
      <c r="U29" s="313"/>
      <c r="V29" s="313"/>
    </row>
    <row r="30" spans="2:24" ht="15.75" thickBot="1" x14ac:dyDescent="0.3">
      <c r="N30" s="20"/>
    </row>
    <row r="31" spans="2:24" x14ac:dyDescent="0.25">
      <c r="B31" s="397" t="s">
        <v>238</v>
      </c>
      <c r="C31" s="96"/>
      <c r="D31" s="96"/>
      <c r="E31" s="96"/>
      <c r="F31" s="96"/>
      <c r="G31" s="96"/>
      <c r="H31" s="96"/>
      <c r="I31" s="192"/>
      <c r="N31" s="20"/>
    </row>
    <row r="32" spans="2:24" x14ac:dyDescent="0.25">
      <c r="B32" s="46"/>
      <c r="C32" s="21"/>
      <c r="D32" s="21"/>
      <c r="E32" s="21"/>
      <c r="F32" s="21"/>
      <c r="G32" s="21"/>
      <c r="H32" s="21"/>
      <c r="I32" s="107"/>
      <c r="N32" s="20"/>
    </row>
    <row r="33" spans="2:16" x14ac:dyDescent="0.25">
      <c r="B33" s="46"/>
      <c r="C33" s="21"/>
      <c r="D33" s="21"/>
      <c r="E33" s="21"/>
      <c r="F33" s="404" t="s">
        <v>51</v>
      </c>
      <c r="G33" s="404" t="s">
        <v>239</v>
      </c>
      <c r="H33" s="404" t="s">
        <v>240</v>
      </c>
      <c r="I33" s="107"/>
      <c r="L33" s="21"/>
      <c r="M33" s="21"/>
      <c r="N33" s="404"/>
      <c r="O33" s="404"/>
      <c r="P33" s="404"/>
    </row>
    <row r="34" spans="2:16" x14ac:dyDescent="0.25">
      <c r="B34" s="46"/>
      <c r="C34" s="21"/>
      <c r="D34" s="21"/>
      <c r="E34" s="21"/>
      <c r="F34" s="21"/>
      <c r="G34" s="21"/>
      <c r="H34" s="21"/>
      <c r="I34" s="107"/>
      <c r="L34" s="21"/>
      <c r="M34" s="21"/>
      <c r="N34" s="21"/>
      <c r="O34" s="21"/>
      <c r="P34" s="21"/>
    </row>
    <row r="35" spans="2:16" x14ac:dyDescent="0.25">
      <c r="B35" s="46"/>
      <c r="C35" s="21"/>
      <c r="D35" s="405" t="s">
        <v>30</v>
      </c>
      <c r="E35" s="21"/>
      <c r="F35" s="384">
        <v>11205</v>
      </c>
      <c r="G35" s="384">
        <v>4696</v>
      </c>
      <c r="H35" s="384">
        <v>955</v>
      </c>
      <c r="I35" s="107"/>
      <c r="L35" s="405"/>
      <c r="M35" s="21"/>
      <c r="N35" s="384"/>
      <c r="O35" s="384"/>
      <c r="P35" s="406"/>
    </row>
    <row r="36" spans="2:16" x14ac:dyDescent="0.25">
      <c r="B36" s="46"/>
      <c r="C36" s="21"/>
      <c r="D36" s="405"/>
      <c r="E36" s="21"/>
      <c r="F36" s="384"/>
      <c r="G36" s="384"/>
      <c r="H36" s="384"/>
      <c r="I36" s="107"/>
      <c r="L36" s="405"/>
      <c r="M36" s="21"/>
      <c r="N36" s="384"/>
      <c r="O36" s="384"/>
      <c r="P36" s="384"/>
    </row>
    <row r="37" spans="2:16" x14ac:dyDescent="0.25">
      <c r="B37" s="46"/>
      <c r="C37" s="21"/>
      <c r="D37" s="405" t="s">
        <v>32</v>
      </c>
      <c r="E37" s="21"/>
      <c r="F37" s="384"/>
      <c r="G37" s="384">
        <v>8316</v>
      </c>
      <c r="H37" s="384">
        <v>3000</v>
      </c>
      <c r="I37" s="107"/>
      <c r="L37" s="405"/>
      <c r="M37" s="21"/>
      <c r="N37" s="384"/>
      <c r="O37" s="384"/>
      <c r="P37" s="384"/>
    </row>
    <row r="38" spans="2:16" ht="15.75" thickBot="1" x14ac:dyDescent="0.3">
      <c r="B38" s="46"/>
      <c r="C38" s="21"/>
      <c r="D38" s="405"/>
      <c r="E38" s="21"/>
      <c r="F38" s="384"/>
      <c r="G38" s="384"/>
      <c r="H38" s="384"/>
      <c r="I38" s="107"/>
      <c r="L38" s="405"/>
      <c r="M38" s="21"/>
      <c r="N38" s="384"/>
      <c r="O38" s="384"/>
      <c r="P38" s="384"/>
    </row>
    <row r="39" spans="2:16" ht="15.75" thickBot="1" x14ac:dyDescent="0.3">
      <c r="B39" s="46"/>
      <c r="C39" s="21"/>
      <c r="D39" s="335" t="s">
        <v>241</v>
      </c>
      <c r="E39" s="375"/>
      <c r="F39" s="336" t="s">
        <v>45</v>
      </c>
      <c r="G39" s="336">
        <f>SUM(G35:G38)</f>
        <v>13012</v>
      </c>
      <c r="H39" s="337">
        <f>SUM(H35:H38)</f>
        <v>3955</v>
      </c>
      <c r="I39" s="107"/>
      <c r="L39" s="405"/>
      <c r="M39" s="21"/>
      <c r="N39" s="636"/>
      <c r="O39" s="636"/>
      <c r="P39" s="636"/>
    </row>
    <row r="40" spans="2:16" ht="15.75" thickBot="1" x14ac:dyDescent="0.3">
      <c r="B40" s="52"/>
      <c r="C40" s="94"/>
      <c r="D40" s="94"/>
      <c r="E40" s="94"/>
      <c r="F40" s="94"/>
      <c r="G40" s="94"/>
      <c r="H40" s="94"/>
      <c r="I40" s="115"/>
    </row>
  </sheetData>
  <mergeCells count="2">
    <mergeCell ref="E7:G7"/>
    <mergeCell ref="E24:G24"/>
  </mergeCells>
  <pageMargins left="0.7" right="0.7" top="0.75" bottom="0.75" header="0.3" footer="0.3"/>
  <pageSetup paperSize="9" orientation="portrait" r:id="rId1"/>
  <ignoredErrors>
    <ignoredError sqref="R17" formulaRange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8"/>
  <sheetViews>
    <sheetView workbookViewId="0">
      <selection activeCell="F11" sqref="F11"/>
    </sheetView>
  </sheetViews>
  <sheetFormatPr baseColWidth="10" defaultRowHeight="15" x14ac:dyDescent="0.25"/>
  <cols>
    <col min="2" max="2" width="64.42578125" customWidth="1"/>
  </cols>
  <sheetData>
    <row r="2" spans="2:13" ht="18.75" x14ac:dyDescent="0.3">
      <c r="B2" s="60" t="s">
        <v>30</v>
      </c>
    </row>
    <row r="3" spans="2:13" ht="18.75" x14ac:dyDescent="0.3">
      <c r="B3" s="60" t="s">
        <v>40</v>
      </c>
    </row>
    <row r="6" spans="2:13" x14ac:dyDescent="0.25">
      <c r="B6" s="61" t="s">
        <v>41</v>
      </c>
      <c r="C6" s="62" t="s">
        <v>42</v>
      </c>
      <c r="D6" s="62" t="s">
        <v>43</v>
      </c>
      <c r="E6" s="62"/>
      <c r="F6" s="62"/>
      <c r="G6" s="62"/>
      <c r="H6" s="62"/>
      <c r="I6" s="62"/>
      <c r="J6" s="62"/>
      <c r="K6" s="62"/>
      <c r="L6" s="62"/>
      <c r="M6" s="62"/>
    </row>
    <row r="8" spans="2:13" x14ac:dyDescent="0.25">
      <c r="B8" s="1" t="s">
        <v>44</v>
      </c>
    </row>
    <row r="9" spans="2:13" x14ac:dyDescent="0.25">
      <c r="B9" s="63" t="s">
        <v>367</v>
      </c>
      <c r="C9" s="64">
        <v>1989</v>
      </c>
      <c r="D9" s="64" t="s">
        <v>45</v>
      </c>
      <c r="E9" s="64"/>
      <c r="F9" s="64"/>
      <c r="G9" s="64"/>
      <c r="H9" s="64"/>
      <c r="I9" s="64"/>
      <c r="J9" s="64"/>
    </row>
    <row r="10" spans="2:13" x14ac:dyDescent="0.25">
      <c r="B10" s="65" t="s">
        <v>46</v>
      </c>
      <c r="C10" s="638">
        <v>1269.9100000000001</v>
      </c>
      <c r="D10" s="64" t="s">
        <v>45</v>
      </c>
      <c r="E10" s="64" t="s">
        <v>47</v>
      </c>
      <c r="F10" s="639" t="s">
        <v>368</v>
      </c>
      <c r="G10" s="64"/>
      <c r="H10" s="64"/>
      <c r="I10" s="64"/>
      <c r="J10" s="64"/>
      <c r="L10" s="13"/>
    </row>
    <row r="11" spans="2:13" x14ac:dyDescent="0.25">
      <c r="B11" s="3" t="s">
        <v>48</v>
      </c>
      <c r="C11" s="66">
        <f>+C9+C10</f>
        <v>3258.91</v>
      </c>
      <c r="D11" s="66" t="s">
        <v>49</v>
      </c>
      <c r="E11" s="64"/>
      <c r="F11" s="64"/>
      <c r="G11" s="64"/>
      <c r="H11" s="64"/>
      <c r="I11" s="64"/>
      <c r="J11" s="64"/>
    </row>
    <row r="12" spans="2:13" x14ac:dyDescent="0.25">
      <c r="C12" s="64"/>
      <c r="D12" s="64"/>
      <c r="E12" s="64"/>
      <c r="F12" s="64"/>
      <c r="G12" s="64"/>
      <c r="H12" s="64"/>
      <c r="I12" s="64"/>
      <c r="J12" s="64"/>
    </row>
    <row r="13" spans="2:13" x14ac:dyDescent="0.25">
      <c r="B13" s="1" t="s">
        <v>50</v>
      </c>
      <c r="C13" s="64"/>
      <c r="D13" s="64"/>
      <c r="E13" s="64"/>
      <c r="F13" s="64"/>
      <c r="G13" s="64"/>
      <c r="H13" s="64"/>
      <c r="I13" s="64"/>
      <c r="J13" s="64"/>
    </row>
    <row r="14" spans="2:13" x14ac:dyDescent="0.25">
      <c r="B14" s="65"/>
      <c r="C14" s="64"/>
      <c r="D14" s="64"/>
      <c r="E14" s="64"/>
      <c r="F14" s="64"/>
      <c r="G14" s="64"/>
      <c r="H14" s="64"/>
      <c r="I14" s="64"/>
      <c r="J14" s="64"/>
    </row>
    <row r="15" spans="2:13" x14ac:dyDescent="0.25">
      <c r="B15" s="63" t="s">
        <v>51</v>
      </c>
      <c r="C15" s="64"/>
      <c r="D15" s="64">
        <v>47243</v>
      </c>
      <c r="E15" s="64"/>
      <c r="F15" s="64"/>
      <c r="G15" s="64"/>
      <c r="H15" s="64"/>
      <c r="I15" s="64"/>
      <c r="J15" s="64"/>
    </row>
    <row r="16" spans="2:13" x14ac:dyDescent="0.25">
      <c r="B16" s="65" t="s">
        <v>52</v>
      </c>
      <c r="C16" s="64"/>
      <c r="D16" s="64">
        <v>4000</v>
      </c>
      <c r="E16" s="64"/>
      <c r="F16" s="64"/>
      <c r="G16" s="64"/>
      <c r="H16" s="64"/>
      <c r="I16" s="64"/>
      <c r="J16" s="64"/>
    </row>
    <row r="17" spans="2:10" x14ac:dyDescent="0.25">
      <c r="B17" s="3" t="s">
        <v>53</v>
      </c>
      <c r="C17" s="66"/>
      <c r="D17" s="66">
        <f>SUM(D15:D16)</f>
        <v>51243</v>
      </c>
      <c r="E17" s="64"/>
      <c r="F17" s="64"/>
      <c r="G17" s="64"/>
      <c r="H17" s="64"/>
      <c r="I17" s="64"/>
      <c r="J17" s="64"/>
    </row>
    <row r="18" spans="2:10" x14ac:dyDescent="0.25">
      <c r="B18" s="65" t="s">
        <v>54</v>
      </c>
      <c r="C18" s="64"/>
      <c r="D18" s="638">
        <v>-676</v>
      </c>
      <c r="E18" s="64"/>
      <c r="F18" s="638" t="s">
        <v>366</v>
      </c>
      <c r="G18" s="64"/>
      <c r="H18" s="64"/>
      <c r="I18" s="64"/>
      <c r="J18" s="64"/>
    </row>
    <row r="19" spans="2:10" x14ac:dyDescent="0.25">
      <c r="B19" s="3" t="s">
        <v>55</v>
      </c>
      <c r="C19" s="66"/>
      <c r="D19" s="66">
        <f>SUM(D17:D18)</f>
        <v>50567</v>
      </c>
      <c r="E19" s="66" t="s">
        <v>56</v>
      </c>
      <c r="F19" s="64"/>
      <c r="G19" s="64"/>
      <c r="H19" s="64"/>
      <c r="I19" s="64"/>
      <c r="J19" s="64"/>
    </row>
    <row r="20" spans="2:10" x14ac:dyDescent="0.25">
      <c r="B20" s="65"/>
      <c r="C20" s="64"/>
      <c r="D20" s="64"/>
      <c r="E20" s="64"/>
      <c r="F20" s="64"/>
      <c r="G20" s="64"/>
      <c r="H20" s="64"/>
      <c r="I20" s="64"/>
      <c r="J20" s="64"/>
    </row>
    <row r="21" spans="2:10" x14ac:dyDescent="0.25">
      <c r="C21" s="64"/>
      <c r="D21" s="64"/>
      <c r="E21" s="64"/>
      <c r="F21" s="64"/>
      <c r="G21" s="64"/>
      <c r="H21" s="64"/>
      <c r="I21" s="64"/>
      <c r="J21" s="64"/>
    </row>
    <row r="22" spans="2:10" x14ac:dyDescent="0.25">
      <c r="C22" s="64"/>
      <c r="D22" s="64"/>
      <c r="E22" s="64"/>
      <c r="F22" s="64"/>
      <c r="G22" s="64"/>
      <c r="H22" s="64"/>
      <c r="I22" s="64"/>
      <c r="J22" s="64"/>
    </row>
    <row r="23" spans="2:10" x14ac:dyDescent="0.25">
      <c r="C23" s="64"/>
      <c r="D23" s="64"/>
      <c r="E23" s="64"/>
      <c r="F23" s="64"/>
      <c r="G23" s="64"/>
      <c r="H23" s="64"/>
      <c r="I23" s="64"/>
      <c r="J23" s="64"/>
    </row>
    <row r="24" spans="2:10" x14ac:dyDescent="0.25">
      <c r="C24" s="64"/>
      <c r="D24" s="64"/>
      <c r="E24" s="64"/>
      <c r="F24" s="64"/>
      <c r="G24" s="64"/>
      <c r="H24" s="64"/>
      <c r="I24" s="64"/>
      <c r="J24" s="64"/>
    </row>
    <row r="25" spans="2:10" x14ac:dyDescent="0.25">
      <c r="C25" s="64"/>
      <c r="D25" s="64"/>
      <c r="E25" s="64"/>
      <c r="F25" s="64"/>
      <c r="G25" s="64"/>
      <c r="H25" s="64"/>
      <c r="I25" s="64"/>
      <c r="J25" s="64"/>
    </row>
    <row r="26" spans="2:10" x14ac:dyDescent="0.25">
      <c r="C26" s="64"/>
      <c r="D26" s="64"/>
      <c r="E26" s="64"/>
      <c r="F26" s="64"/>
      <c r="G26" s="64"/>
      <c r="H26" s="64"/>
      <c r="I26" s="64"/>
      <c r="J26" s="64"/>
    </row>
    <row r="27" spans="2:10" x14ac:dyDescent="0.25">
      <c r="C27" s="64"/>
      <c r="D27" s="64"/>
      <c r="E27" s="64"/>
      <c r="F27" s="64"/>
      <c r="G27" s="64"/>
      <c r="H27" s="64"/>
      <c r="I27" s="64"/>
      <c r="J27" s="64"/>
    </row>
    <row r="28" spans="2:10" x14ac:dyDescent="0.25">
      <c r="C28" s="64"/>
      <c r="D28" s="64"/>
      <c r="E28" s="64"/>
      <c r="F28" s="64"/>
      <c r="G28" s="64"/>
      <c r="H28" s="64"/>
      <c r="I28" s="64"/>
      <c r="J28" s="6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1"/>
  <sheetViews>
    <sheetView topLeftCell="A4" zoomScaleNormal="100" workbookViewId="0">
      <pane xSplit="2" ySplit="7" topLeftCell="C11" activePane="bottomRight" state="frozen"/>
      <selection activeCell="A4" sqref="A4"/>
      <selection pane="topRight" activeCell="C4" sqref="C4"/>
      <selection pane="bottomLeft" activeCell="A11" sqref="A11"/>
      <selection pane="bottomRight" activeCell="J21" sqref="J21"/>
    </sheetView>
  </sheetViews>
  <sheetFormatPr baseColWidth="10" defaultRowHeight="15" x14ac:dyDescent="0.25"/>
  <cols>
    <col min="1" max="1" width="8.140625" customWidth="1"/>
    <col min="2" max="2" width="55.7109375" customWidth="1"/>
    <col min="3" max="3" width="8" customWidth="1"/>
    <col min="4" max="4" width="12.85546875" bestFit="1" customWidth="1"/>
    <col min="5" max="6" width="11.85546875" bestFit="1" customWidth="1"/>
    <col min="7" max="8" width="11.85546875" customWidth="1"/>
    <col min="9" max="9" width="2.7109375" customWidth="1"/>
  </cols>
  <sheetData>
    <row r="1" spans="2:9" ht="15.75" thickBot="1" x14ac:dyDescent="0.3">
      <c r="B1" s="1" t="s">
        <v>45</v>
      </c>
      <c r="C1" s="1"/>
      <c r="D1" s="56" t="s">
        <v>45</v>
      </c>
    </row>
    <row r="2" spans="2:9" x14ac:dyDescent="0.25">
      <c r="B2" s="1"/>
      <c r="C2" s="1"/>
    </row>
    <row r="3" spans="2:9" ht="15.75" x14ac:dyDescent="0.25">
      <c r="B3" s="119" t="s">
        <v>39</v>
      </c>
      <c r="C3" s="119"/>
      <c r="D3" s="316"/>
      <c r="E3" s="316"/>
      <c r="F3" s="316"/>
      <c r="G3" s="316"/>
      <c r="H3" s="316"/>
    </row>
    <row r="4" spans="2:9" s="57" customFormat="1" ht="15.75" x14ac:dyDescent="0.25">
      <c r="B4" s="2" t="s">
        <v>362</v>
      </c>
      <c r="C4" s="2"/>
      <c r="D4" s="317"/>
      <c r="E4" s="317"/>
      <c r="F4" s="317"/>
      <c r="G4" s="317"/>
      <c r="H4" s="317"/>
    </row>
    <row r="5" spans="2:9" s="57" customFormat="1" ht="15.75" x14ac:dyDescent="0.25">
      <c r="B5" s="2"/>
      <c r="C5" s="2"/>
      <c r="D5" s="317"/>
      <c r="E5" s="317"/>
      <c r="F5" s="317"/>
      <c r="G5" s="317"/>
      <c r="H5" s="317"/>
    </row>
    <row r="6" spans="2:9" s="57" customFormat="1" ht="18.75" x14ac:dyDescent="0.25">
      <c r="B6" s="119"/>
      <c r="C6" s="326"/>
      <c r="D6" s="341">
        <v>2021</v>
      </c>
      <c r="E6" s="341">
        <v>2022</v>
      </c>
      <c r="F6" s="341">
        <v>2023</v>
      </c>
      <c r="G6" s="341">
        <v>2024</v>
      </c>
      <c r="H6" s="341">
        <v>2025</v>
      </c>
    </row>
    <row r="7" spans="2:9" s="57" customFormat="1" x14ac:dyDescent="0.25">
      <c r="C7" s="327"/>
      <c r="D7" s="342">
        <v>44561</v>
      </c>
      <c r="E7" s="342">
        <v>44926</v>
      </c>
      <c r="F7" s="342">
        <v>45291</v>
      </c>
      <c r="G7" s="342">
        <v>45657</v>
      </c>
      <c r="H7" s="342">
        <v>46022</v>
      </c>
    </row>
    <row r="8" spans="2:9" s="57" customFormat="1" ht="15.75" x14ac:dyDescent="0.25">
      <c r="B8" s="318" t="s">
        <v>41</v>
      </c>
      <c r="C8" s="327"/>
      <c r="D8" s="365" t="s">
        <v>96</v>
      </c>
      <c r="E8" s="365" t="s">
        <v>97</v>
      </c>
      <c r="F8" s="365" t="s">
        <v>97</v>
      </c>
      <c r="G8" s="365" t="s">
        <v>97</v>
      </c>
      <c r="H8" s="365" t="s">
        <v>97</v>
      </c>
    </row>
    <row r="9" spans="2:9" s="57" customFormat="1" ht="7.15" customHeight="1" thickBot="1" x14ac:dyDescent="0.3">
      <c r="B9" s="119"/>
      <c r="C9" s="326"/>
      <c r="D9" s="343"/>
      <c r="E9" s="343"/>
      <c r="F9" s="343"/>
      <c r="G9" s="343"/>
      <c r="H9" s="343"/>
      <c r="I9" s="118"/>
    </row>
    <row r="10" spans="2:9" s="57" customFormat="1" ht="16.5" thickBot="1" x14ac:dyDescent="0.3">
      <c r="B10" s="339" t="s">
        <v>230</v>
      </c>
      <c r="C10" s="340"/>
      <c r="D10" s="344">
        <f>+'Tréso &amp; Emprunts'!G39</f>
        <v>13012</v>
      </c>
      <c r="E10" s="344">
        <f>+D41</f>
        <v>40039.503333333327</v>
      </c>
      <c r="F10" s="344">
        <f>+E41</f>
        <v>44241.983333333337</v>
      </c>
      <c r="G10" s="344">
        <f>+F41</f>
        <v>86477.373333333308</v>
      </c>
      <c r="H10" s="344">
        <f>+G41</f>
        <v>134016.86333333328</v>
      </c>
    </row>
    <row r="11" spans="2:9" s="57" customFormat="1" ht="15.75" x14ac:dyDescent="0.25">
      <c r="B11" s="119"/>
      <c r="C11" s="326"/>
      <c r="D11" s="345"/>
      <c r="E11" s="345"/>
      <c r="F11" s="345"/>
      <c r="G11" s="345"/>
      <c r="H11" s="345"/>
    </row>
    <row r="12" spans="2:9" s="57" customFormat="1" ht="16.899999999999999" customHeight="1" x14ac:dyDescent="0.25">
      <c r="B12" s="319" t="s">
        <v>37</v>
      </c>
      <c r="C12" s="116"/>
      <c r="D12" s="346"/>
      <c r="E12" s="346"/>
      <c r="F12" s="346"/>
      <c r="G12" s="346"/>
      <c r="H12" s="346"/>
    </row>
    <row r="13" spans="2:9" s="57" customFormat="1" ht="15.75" x14ac:dyDescent="0.25">
      <c r="B13" s="316"/>
      <c r="C13" s="328"/>
      <c r="D13" s="347"/>
      <c r="E13" s="347"/>
      <c r="F13" s="347"/>
      <c r="G13" s="347"/>
      <c r="H13" s="347"/>
    </row>
    <row r="14" spans="2:9" s="57" customFormat="1" ht="15.75" x14ac:dyDescent="0.25">
      <c r="B14" s="2" t="s">
        <v>227</v>
      </c>
      <c r="C14" s="329"/>
      <c r="D14" s="348"/>
      <c r="E14" s="352"/>
      <c r="F14" s="352"/>
      <c r="G14" s="347"/>
      <c r="H14" s="347"/>
    </row>
    <row r="15" spans="2:9" s="57" customFormat="1" ht="15.75" x14ac:dyDescent="0.25">
      <c r="B15" s="321" t="s">
        <v>228</v>
      </c>
      <c r="C15" s="330"/>
      <c r="D15" s="348">
        <f>+'Résultat par entité'!D68</f>
        <v>-66957</v>
      </c>
      <c r="E15" s="352">
        <f>+'Résultat par entité'!I68</f>
        <v>-81921.859999999986</v>
      </c>
      <c r="F15" s="352">
        <f>+'Résultat par entité'!N68</f>
        <v>54874.349999999977</v>
      </c>
      <c r="G15" s="347">
        <f>+'Résultat par entité'!S68</f>
        <v>158279.16999999998</v>
      </c>
      <c r="H15" s="347">
        <f>+'Résultat par entité'!X68</f>
        <v>250110.26999999996</v>
      </c>
    </row>
    <row r="16" spans="2:9" s="57" customFormat="1" ht="15.75" x14ac:dyDescent="0.25">
      <c r="B16" s="321" t="s">
        <v>229</v>
      </c>
      <c r="C16" s="330"/>
      <c r="D16" s="348">
        <f>+'Résultat par entité'!D57</f>
        <v>21333.333333333332</v>
      </c>
      <c r="E16" s="352">
        <f>+'Résultat par entité'!I57</f>
        <v>16000</v>
      </c>
      <c r="F16" s="352">
        <f>+'Résultat par entité'!N57</f>
        <v>14000</v>
      </c>
      <c r="G16" s="347">
        <f>+'Résultat par entité'!S57</f>
        <v>12000</v>
      </c>
      <c r="H16" s="347">
        <f>+'Résultat par entité'!X57</f>
        <v>10000</v>
      </c>
    </row>
    <row r="17" spans="2:10" s="57" customFormat="1" ht="15.75" x14ac:dyDescent="0.25">
      <c r="B17" s="2" t="s">
        <v>231</v>
      </c>
      <c r="C17" s="329"/>
      <c r="D17" s="349">
        <f>+D15+D16</f>
        <v>-45623.666666666672</v>
      </c>
      <c r="E17" s="349">
        <f>+E15+E16</f>
        <v>-65921.859999999986</v>
      </c>
      <c r="F17" s="349">
        <f>+F15+F16</f>
        <v>68874.349999999977</v>
      </c>
      <c r="G17" s="349">
        <f>+G15+G16</f>
        <v>170279.16999999998</v>
      </c>
      <c r="H17" s="349">
        <f>+H15+H16</f>
        <v>260110.26999999996</v>
      </c>
    </row>
    <row r="18" spans="2:10" s="57" customFormat="1" ht="15.75" x14ac:dyDescent="0.25">
      <c r="B18" s="316"/>
      <c r="C18" s="328"/>
      <c r="D18" s="348"/>
      <c r="E18" s="348"/>
      <c r="F18" s="348"/>
      <c r="G18" s="347"/>
      <c r="H18" s="347"/>
    </row>
    <row r="19" spans="2:10" s="57" customFormat="1" ht="15.75" x14ac:dyDescent="0.25">
      <c r="B19" s="2" t="s">
        <v>266</v>
      </c>
      <c r="C19" s="329"/>
      <c r="D19" s="349">
        <v>86700</v>
      </c>
      <c r="E19" s="349">
        <v>110000</v>
      </c>
      <c r="F19" s="349"/>
      <c r="G19" s="355"/>
      <c r="H19" s="355"/>
      <c r="J19" s="567">
        <f>SUM(D19:H19)</f>
        <v>196700</v>
      </c>
    </row>
    <row r="20" spans="2:10" s="57" customFormat="1" ht="15.75" x14ac:dyDescent="0.25">
      <c r="B20" s="2" t="s">
        <v>265</v>
      </c>
      <c r="C20" s="328"/>
      <c r="D20" s="349">
        <f>+D31</f>
        <v>43000</v>
      </c>
      <c r="E20" s="348"/>
      <c r="F20" s="348"/>
      <c r="G20" s="347"/>
      <c r="H20" s="347"/>
      <c r="J20" s="567">
        <f>SUM(D20:H20)</f>
        <v>43000</v>
      </c>
    </row>
    <row r="21" spans="2:10" s="57" customFormat="1" ht="15.75" x14ac:dyDescent="0.25">
      <c r="B21" s="316"/>
      <c r="C21" s="328"/>
      <c r="D21" s="348"/>
      <c r="E21" s="348"/>
      <c r="F21" s="348"/>
      <c r="G21" s="347"/>
      <c r="H21" s="347"/>
    </row>
    <row r="22" spans="2:10" ht="15.75" x14ac:dyDescent="0.25">
      <c r="B22" s="322" t="s">
        <v>232</v>
      </c>
      <c r="C22" s="331" t="s">
        <v>205</v>
      </c>
      <c r="D22" s="350">
        <f>SUM(D17:D21)</f>
        <v>84076.333333333328</v>
      </c>
      <c r="E22" s="350">
        <f>SUM(E17:E21)</f>
        <v>44078.140000000014</v>
      </c>
      <c r="F22" s="350">
        <f>SUM(F17:F21)</f>
        <v>68874.349999999977</v>
      </c>
      <c r="G22" s="350">
        <f>SUM(G17:G21)</f>
        <v>170279.16999999998</v>
      </c>
      <c r="H22" s="350">
        <f>SUM(H17:H21)</f>
        <v>260110.26999999996</v>
      </c>
      <c r="I22" s="13"/>
    </row>
    <row r="23" spans="2:10" ht="15.75" x14ac:dyDescent="0.25">
      <c r="B23" s="316"/>
      <c r="C23" s="328"/>
      <c r="D23" s="347"/>
      <c r="E23" s="347"/>
      <c r="F23" s="347"/>
      <c r="G23" s="347"/>
      <c r="H23" s="347"/>
      <c r="I23" s="13"/>
    </row>
    <row r="24" spans="2:10" ht="15" customHeight="1" x14ac:dyDescent="0.25">
      <c r="B24" s="323" t="s">
        <v>225</v>
      </c>
      <c r="C24" s="117"/>
      <c r="D24" s="351"/>
      <c r="E24" s="351"/>
      <c r="F24" s="351"/>
      <c r="G24" s="351"/>
      <c r="H24" s="351"/>
      <c r="I24" s="118"/>
    </row>
    <row r="25" spans="2:10" ht="15.75" x14ac:dyDescent="0.25">
      <c r="B25" s="316"/>
      <c r="C25" s="328"/>
      <c r="D25" s="347"/>
      <c r="E25" s="347"/>
      <c r="F25" s="347"/>
      <c r="G25" s="347"/>
      <c r="H25" s="347"/>
      <c r="I25" s="13"/>
    </row>
    <row r="26" spans="2:10" ht="15.75" x14ac:dyDescent="0.25">
      <c r="B26" s="2" t="s">
        <v>360</v>
      </c>
      <c r="C26" s="328"/>
      <c r="D26" s="347"/>
      <c r="E26" s="347"/>
      <c r="F26" s="347"/>
      <c r="G26" s="347">
        <v>100000</v>
      </c>
      <c r="H26" s="347">
        <v>200000</v>
      </c>
      <c r="I26" s="13"/>
    </row>
    <row r="27" spans="2:10" ht="15.75" x14ac:dyDescent="0.25">
      <c r="B27" s="316"/>
      <c r="C27" s="328"/>
      <c r="D27" s="347"/>
      <c r="E27" s="347"/>
      <c r="F27" s="347"/>
      <c r="G27" s="347"/>
      <c r="H27" s="347"/>
      <c r="I27" s="13"/>
    </row>
    <row r="28" spans="2:10" ht="15.75" x14ac:dyDescent="0.25">
      <c r="B28" s="2" t="s">
        <v>242</v>
      </c>
      <c r="C28" s="329"/>
      <c r="D28" s="348"/>
      <c r="E28" s="348"/>
      <c r="F28" s="348"/>
      <c r="G28" s="347"/>
      <c r="H28" s="347"/>
      <c r="I28" s="13"/>
    </row>
    <row r="29" spans="2:10" ht="15.75" x14ac:dyDescent="0.25">
      <c r="B29" s="324" t="s">
        <v>345</v>
      </c>
      <c r="C29" s="332"/>
      <c r="D29" s="352">
        <f>+'Tréso &amp; Emprunts'!G18</f>
        <v>12977.410000000003</v>
      </c>
      <c r="E29" s="352">
        <f>+'Tréso &amp; Emprunts'!H18</f>
        <v>27732.82</v>
      </c>
      <c r="F29" s="352">
        <f>+'Tréso &amp; Emprunts'!I18</f>
        <v>24496.120000000003</v>
      </c>
      <c r="G29" s="352">
        <f>+'Tréso &amp; Emprunts'!J18</f>
        <v>22203.97</v>
      </c>
      <c r="H29" s="352">
        <v>9606</v>
      </c>
      <c r="I29" s="13"/>
    </row>
    <row r="30" spans="2:10" ht="15.75" x14ac:dyDescent="0.25">
      <c r="B30" s="324" t="s">
        <v>347</v>
      </c>
      <c r="C30" s="332"/>
      <c r="D30" s="352">
        <f>+'Tréso &amp; Emprunts'!G28</f>
        <v>1071.42</v>
      </c>
      <c r="E30" s="352">
        <f>+'Tréso &amp; Emprunts'!H28</f>
        <v>2142.84</v>
      </c>
      <c r="F30" s="352">
        <f>+'Tréso &amp; Emprunts'!I28</f>
        <v>2142.84</v>
      </c>
      <c r="G30" s="352">
        <f>+'Tréso &amp; Emprunts'!J28</f>
        <v>535.71</v>
      </c>
      <c r="H30" s="352">
        <f>+'Tréso &amp; Emprunts'!K28</f>
        <v>0</v>
      </c>
      <c r="I30" s="13"/>
    </row>
    <row r="31" spans="2:10" ht="15.75" x14ac:dyDescent="0.25">
      <c r="B31" s="316" t="s">
        <v>346</v>
      </c>
      <c r="C31" s="328"/>
      <c r="D31" s="347">
        <v>43000</v>
      </c>
      <c r="E31" s="347"/>
      <c r="F31" s="347"/>
      <c r="G31" s="347"/>
      <c r="H31" s="347"/>
      <c r="I31" s="13"/>
    </row>
    <row r="32" spans="2:10" ht="15.75" x14ac:dyDescent="0.25">
      <c r="B32" s="316" t="s">
        <v>348</v>
      </c>
      <c r="C32" s="328"/>
      <c r="D32" s="348" t="s">
        <v>45</v>
      </c>
      <c r="E32" s="347">
        <v>10000</v>
      </c>
      <c r="F32" s="347"/>
      <c r="G32" s="347"/>
      <c r="H32" s="347"/>
      <c r="I32" s="13"/>
    </row>
    <row r="33" spans="2:9" ht="15.75" x14ac:dyDescent="0.25">
      <c r="B33" s="316"/>
      <c r="C33" s="328"/>
      <c r="D33" s="347"/>
      <c r="E33" s="347"/>
      <c r="F33" s="347"/>
      <c r="G33" s="347"/>
      <c r="H33" s="347"/>
      <c r="I33" s="13"/>
    </row>
    <row r="34" spans="2:9" ht="15.75" x14ac:dyDescent="0.25">
      <c r="B34" s="2" t="s">
        <v>38</v>
      </c>
      <c r="C34" s="329"/>
      <c r="D34" s="348"/>
      <c r="E34" s="348"/>
      <c r="F34" s="348"/>
      <c r="G34" s="348"/>
      <c r="H34" s="348"/>
    </row>
    <row r="35" spans="2:9" ht="15.75" x14ac:dyDescent="0.25">
      <c r="B35" s="316" t="s">
        <v>233</v>
      </c>
      <c r="C35" s="328"/>
      <c r="D35" s="348">
        <v>0</v>
      </c>
      <c r="E35" s="348">
        <v>0</v>
      </c>
      <c r="F35" s="348">
        <v>0</v>
      </c>
      <c r="G35" s="348">
        <v>0</v>
      </c>
      <c r="H35" s="348">
        <v>0</v>
      </c>
    </row>
    <row r="36" spans="2:9" ht="15.75" x14ac:dyDescent="0.25">
      <c r="B36" s="316"/>
      <c r="C36" s="328"/>
      <c r="D36" s="352"/>
      <c r="E36" s="347"/>
      <c r="F36" s="347"/>
      <c r="G36" s="347"/>
      <c r="H36" s="347"/>
    </row>
    <row r="37" spans="2:9" ht="15.75" x14ac:dyDescent="0.25">
      <c r="B37" s="325" t="s">
        <v>234</v>
      </c>
      <c r="C37" s="333" t="s">
        <v>206</v>
      </c>
      <c r="D37" s="353">
        <f>SUM(D26:D36)</f>
        <v>57048.83</v>
      </c>
      <c r="E37" s="353">
        <f t="shared" ref="E37:H37" si="0">SUM(E26:E36)</f>
        <v>39875.660000000003</v>
      </c>
      <c r="F37" s="353">
        <f t="shared" si="0"/>
        <v>26638.960000000003</v>
      </c>
      <c r="G37" s="353">
        <f t="shared" si="0"/>
        <v>122739.68000000001</v>
      </c>
      <c r="H37" s="353">
        <f t="shared" si="0"/>
        <v>209606</v>
      </c>
    </row>
    <row r="38" spans="2:9" ht="15.75" x14ac:dyDescent="0.25">
      <c r="B38" s="316"/>
      <c r="C38" s="328"/>
      <c r="D38" s="347"/>
      <c r="E38" s="347"/>
      <c r="F38" s="347"/>
      <c r="G38" s="347"/>
      <c r="H38" s="347"/>
    </row>
    <row r="39" spans="2:9" ht="15.75" x14ac:dyDescent="0.25">
      <c r="B39" s="338" t="s">
        <v>235</v>
      </c>
      <c r="C39" s="334" t="s">
        <v>236</v>
      </c>
      <c r="D39" s="354">
        <f>+D22-D37</f>
        <v>27027.503333333327</v>
      </c>
      <c r="E39" s="354">
        <f>+E22-E37</f>
        <v>4202.4800000000105</v>
      </c>
      <c r="F39" s="354">
        <f>+F22-F37</f>
        <v>42235.38999999997</v>
      </c>
      <c r="G39" s="354">
        <f>+G22-G37</f>
        <v>47539.489999999976</v>
      </c>
      <c r="H39" s="354">
        <f>+H22-H37</f>
        <v>50504.26999999996</v>
      </c>
    </row>
    <row r="40" spans="2:9" ht="16.5" thickBot="1" x14ac:dyDescent="0.3">
      <c r="B40" s="316"/>
      <c r="C40" s="328"/>
      <c r="D40" s="347"/>
      <c r="E40" s="347"/>
      <c r="F40" s="347"/>
      <c r="G40" s="347"/>
      <c r="H40" s="347"/>
    </row>
    <row r="41" spans="2:9" ht="16.5" thickBot="1" x14ac:dyDescent="0.3">
      <c r="B41" s="339" t="s">
        <v>237</v>
      </c>
      <c r="C41" s="340"/>
      <c r="D41" s="344">
        <f>+D10+D39</f>
        <v>40039.503333333327</v>
      </c>
      <c r="E41" s="344">
        <f>+E10+E39</f>
        <v>44241.983333333337</v>
      </c>
      <c r="F41" s="344">
        <f>+F10+F39</f>
        <v>86477.373333333308</v>
      </c>
      <c r="G41" s="344">
        <f>+G10+G39</f>
        <v>134016.86333333328</v>
      </c>
      <c r="H41" s="344">
        <f>+H10+H39</f>
        <v>184521.13333333324</v>
      </c>
    </row>
    <row r="42" spans="2:9" ht="15.75" x14ac:dyDescent="0.25">
      <c r="B42" s="316"/>
      <c r="C42" s="328"/>
      <c r="D42" s="320"/>
      <c r="E42" s="320"/>
      <c r="F42" s="320"/>
      <c r="G42" s="320"/>
      <c r="H42" s="320"/>
    </row>
    <row r="43" spans="2:9" x14ac:dyDescent="0.25">
      <c r="B43" s="356" t="s">
        <v>243</v>
      </c>
      <c r="C43" s="357"/>
      <c r="D43" s="358">
        <f>+'Résultat par entité'!D15</f>
        <v>165166</v>
      </c>
      <c r="E43" s="358">
        <f>+'Résultat par entité'!I15</f>
        <v>388024</v>
      </c>
      <c r="F43" s="358">
        <f>+'Résultat par entité'!N15</f>
        <v>550624</v>
      </c>
      <c r="G43" s="358">
        <f>+'Résultat par entité'!S15</f>
        <v>643424</v>
      </c>
      <c r="H43" s="359">
        <f>+'Résultat par entité'!X15</f>
        <v>743824</v>
      </c>
    </row>
    <row r="44" spans="2:9" x14ac:dyDescent="0.25">
      <c r="B44" s="360" t="s">
        <v>244</v>
      </c>
      <c r="C44" s="361"/>
      <c r="D44" s="362"/>
      <c r="E44" s="363">
        <f>+(E43-D43)/D43</f>
        <v>1.3492970708257148</v>
      </c>
      <c r="F44" s="363">
        <f>+(F43-E43)/E43</f>
        <v>0.41904624456219203</v>
      </c>
      <c r="G44" s="363">
        <f>+(G43-F43)/F43</f>
        <v>0.16853606090544546</v>
      </c>
      <c r="H44" s="364">
        <f>+(H43-G43)/G43</f>
        <v>0.15604018501019545</v>
      </c>
    </row>
    <row r="45" spans="2:9" x14ac:dyDescent="0.25">
      <c r="C45" s="328"/>
    </row>
    <row r="46" spans="2:9" x14ac:dyDescent="0.25">
      <c r="C46" s="328"/>
    </row>
    <row r="47" spans="2:9" x14ac:dyDescent="0.25">
      <c r="C47" s="328"/>
    </row>
    <row r="48" spans="2:9" x14ac:dyDescent="0.25">
      <c r="C48" s="328"/>
    </row>
    <row r="49" spans="3:3" x14ac:dyDescent="0.25">
      <c r="C49" s="328"/>
    </row>
    <row r="50" spans="3:3" x14ac:dyDescent="0.25">
      <c r="C50" s="328"/>
    </row>
    <row r="51" spans="3:3" x14ac:dyDescent="0.25">
      <c r="C51" s="328"/>
    </row>
    <row r="52" spans="3:3" x14ac:dyDescent="0.25">
      <c r="C52" s="328"/>
    </row>
    <row r="53" spans="3:3" x14ac:dyDescent="0.25">
      <c r="C53" s="328"/>
    </row>
    <row r="54" spans="3:3" x14ac:dyDescent="0.25">
      <c r="C54" s="328"/>
    </row>
    <row r="55" spans="3:3" x14ac:dyDescent="0.25">
      <c r="C55" s="328"/>
    </row>
    <row r="56" spans="3:3" x14ac:dyDescent="0.25">
      <c r="C56" s="328"/>
    </row>
    <row r="57" spans="3:3" x14ac:dyDescent="0.25">
      <c r="C57" s="328"/>
    </row>
    <row r="58" spans="3:3" x14ac:dyDescent="0.25">
      <c r="C58" s="328"/>
    </row>
    <row r="59" spans="3:3" x14ac:dyDescent="0.25">
      <c r="C59" s="328"/>
    </row>
    <row r="60" spans="3:3" x14ac:dyDescent="0.25">
      <c r="C60" s="328"/>
    </row>
    <row r="61" spans="3:3" x14ac:dyDescent="0.25">
      <c r="C61" s="328"/>
    </row>
    <row r="62" spans="3:3" x14ac:dyDescent="0.25">
      <c r="C62" s="328"/>
    </row>
    <row r="63" spans="3:3" x14ac:dyDescent="0.25">
      <c r="C63" s="328"/>
    </row>
    <row r="64" spans="3:3" x14ac:dyDescent="0.25">
      <c r="C64" s="328"/>
    </row>
    <row r="65" spans="3:3" x14ac:dyDescent="0.25">
      <c r="C65" s="328"/>
    </row>
    <row r="66" spans="3:3" x14ac:dyDescent="0.25">
      <c r="C66" s="328"/>
    </row>
    <row r="67" spans="3:3" x14ac:dyDescent="0.25">
      <c r="C67" s="328"/>
    </row>
    <row r="68" spans="3:3" x14ac:dyDescent="0.25">
      <c r="C68" s="328"/>
    </row>
    <row r="69" spans="3:3" x14ac:dyDescent="0.25">
      <c r="C69" s="328"/>
    </row>
    <row r="70" spans="3:3" x14ac:dyDescent="0.25">
      <c r="C70" s="328"/>
    </row>
    <row r="71" spans="3:3" x14ac:dyDescent="0.25">
      <c r="C71" s="328"/>
    </row>
    <row r="72" spans="3:3" x14ac:dyDescent="0.25">
      <c r="C72" s="328"/>
    </row>
    <row r="73" spans="3:3" x14ac:dyDescent="0.25">
      <c r="C73" s="328"/>
    </row>
    <row r="74" spans="3:3" x14ac:dyDescent="0.25">
      <c r="C74" s="328"/>
    </row>
    <row r="75" spans="3:3" x14ac:dyDescent="0.25">
      <c r="C75" s="328"/>
    </row>
    <row r="76" spans="3:3" x14ac:dyDescent="0.25">
      <c r="C76" s="328"/>
    </row>
    <row r="77" spans="3:3" x14ac:dyDescent="0.25">
      <c r="C77" s="328"/>
    </row>
    <row r="78" spans="3:3" x14ac:dyDescent="0.25">
      <c r="C78" s="328"/>
    </row>
    <row r="79" spans="3:3" x14ac:dyDescent="0.25">
      <c r="C79" s="328"/>
    </row>
    <row r="80" spans="3:3" x14ac:dyDescent="0.25">
      <c r="C80" s="328"/>
    </row>
    <row r="81" spans="3:3" x14ac:dyDescent="0.25">
      <c r="C81" s="328"/>
    </row>
    <row r="82" spans="3:3" x14ac:dyDescent="0.25">
      <c r="C82" s="328"/>
    </row>
    <row r="83" spans="3:3" x14ac:dyDescent="0.25">
      <c r="C83" s="328"/>
    </row>
    <row r="84" spans="3:3" x14ac:dyDescent="0.25">
      <c r="C84" s="328"/>
    </row>
    <row r="85" spans="3:3" x14ac:dyDescent="0.25">
      <c r="C85" s="328"/>
    </row>
    <row r="86" spans="3:3" x14ac:dyDescent="0.25">
      <c r="C86" s="328"/>
    </row>
    <row r="87" spans="3:3" x14ac:dyDescent="0.25">
      <c r="C87" s="328"/>
    </row>
    <row r="88" spans="3:3" x14ac:dyDescent="0.25">
      <c r="C88" s="328"/>
    </row>
    <row r="89" spans="3:3" x14ac:dyDescent="0.25">
      <c r="C89" s="328"/>
    </row>
    <row r="90" spans="3:3" x14ac:dyDescent="0.25">
      <c r="C90" s="328"/>
    </row>
    <row r="91" spans="3:3" x14ac:dyDescent="0.25">
      <c r="C91" s="328"/>
    </row>
    <row r="92" spans="3:3" x14ac:dyDescent="0.25">
      <c r="C92" s="328"/>
    </row>
    <row r="93" spans="3:3" x14ac:dyDescent="0.25">
      <c r="C93" s="328"/>
    </row>
    <row r="94" spans="3:3" x14ac:dyDescent="0.25">
      <c r="C94" s="328"/>
    </row>
    <row r="95" spans="3:3" x14ac:dyDescent="0.25">
      <c r="C95" s="328"/>
    </row>
    <row r="96" spans="3:3" x14ac:dyDescent="0.25">
      <c r="C96" s="328"/>
    </row>
    <row r="97" spans="3:3" x14ac:dyDescent="0.25">
      <c r="C97" s="328"/>
    </row>
    <row r="98" spans="3:3" x14ac:dyDescent="0.25">
      <c r="C98" s="328"/>
    </row>
    <row r="99" spans="3:3" x14ac:dyDescent="0.25">
      <c r="C99" s="328"/>
    </row>
    <row r="100" spans="3:3" x14ac:dyDescent="0.25">
      <c r="C100" s="328"/>
    </row>
    <row r="101" spans="3:3" x14ac:dyDescent="0.25">
      <c r="C101" s="328"/>
    </row>
    <row r="102" spans="3:3" x14ac:dyDescent="0.25">
      <c r="C102" s="328"/>
    </row>
    <row r="103" spans="3:3" x14ac:dyDescent="0.25">
      <c r="C103" s="328"/>
    </row>
    <row r="104" spans="3:3" x14ac:dyDescent="0.25">
      <c r="C104" s="328"/>
    </row>
    <row r="105" spans="3:3" x14ac:dyDescent="0.25">
      <c r="C105" s="328"/>
    </row>
    <row r="106" spans="3:3" x14ac:dyDescent="0.25">
      <c r="C106" s="328"/>
    </row>
    <row r="107" spans="3:3" x14ac:dyDescent="0.25">
      <c r="C107" s="328"/>
    </row>
    <row r="108" spans="3:3" x14ac:dyDescent="0.25">
      <c r="C108" s="328"/>
    </row>
    <row r="109" spans="3:3" x14ac:dyDescent="0.25">
      <c r="C109" s="328"/>
    </row>
    <row r="110" spans="3:3" x14ac:dyDescent="0.25">
      <c r="C110" s="328"/>
    </row>
    <row r="111" spans="3:3" x14ac:dyDescent="0.25">
      <c r="C111" s="328"/>
    </row>
    <row r="112" spans="3:3" x14ac:dyDescent="0.25">
      <c r="C112" s="328"/>
    </row>
    <row r="113" spans="3:3" x14ac:dyDescent="0.25">
      <c r="C113" s="328"/>
    </row>
    <row r="114" spans="3:3" x14ac:dyDescent="0.25">
      <c r="C114" s="328"/>
    </row>
    <row r="115" spans="3:3" x14ac:dyDescent="0.25">
      <c r="C115" s="328"/>
    </row>
    <row r="116" spans="3:3" x14ac:dyDescent="0.25">
      <c r="C116" s="328"/>
    </row>
    <row r="117" spans="3:3" x14ac:dyDescent="0.25">
      <c r="C117" s="328"/>
    </row>
    <row r="118" spans="3:3" x14ac:dyDescent="0.25">
      <c r="C118" s="328"/>
    </row>
    <row r="119" spans="3:3" x14ac:dyDescent="0.25">
      <c r="C119" s="328"/>
    </row>
    <row r="120" spans="3:3" x14ac:dyDescent="0.25">
      <c r="C120" s="328"/>
    </row>
    <row r="121" spans="3:3" x14ac:dyDescent="0.25">
      <c r="C121" s="3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3"/>
  <sheetViews>
    <sheetView topLeftCell="A3" zoomScale="90" zoomScaleNormal="90" workbookViewId="0">
      <selection activeCell="E15" sqref="E15"/>
    </sheetView>
  </sheetViews>
  <sheetFormatPr baseColWidth="10" defaultRowHeight="15" x14ac:dyDescent="0.25"/>
  <cols>
    <col min="1" max="1" width="8.140625" customWidth="1"/>
    <col min="2" max="2" width="55.7109375" customWidth="1"/>
    <col min="3" max="3" width="8" customWidth="1"/>
    <col min="4" max="4" width="12.85546875" bestFit="1" customWidth="1"/>
    <col min="5" max="6" width="11.85546875" bestFit="1" customWidth="1"/>
    <col min="7" max="8" width="11.85546875" customWidth="1"/>
    <col min="9" max="9" width="2.7109375" customWidth="1"/>
    <col min="15" max="15" width="12.7109375" customWidth="1"/>
  </cols>
  <sheetData>
    <row r="1" spans="2:17" x14ac:dyDescent="0.25">
      <c r="B1" s="1" t="s">
        <v>45</v>
      </c>
      <c r="C1" s="1"/>
      <c r="D1" s="628" t="s">
        <v>45</v>
      </c>
    </row>
    <row r="2" spans="2:17" x14ac:dyDescent="0.25">
      <c r="B2" s="1"/>
      <c r="C2" s="1"/>
    </row>
    <row r="3" spans="2:17" ht="15.75" x14ac:dyDescent="0.25">
      <c r="B3" s="119" t="s">
        <v>39</v>
      </c>
      <c r="C3" s="119"/>
      <c r="D3" s="316"/>
      <c r="E3" s="316"/>
      <c r="F3" s="316"/>
      <c r="G3" s="316"/>
      <c r="H3" s="316"/>
    </row>
    <row r="4" spans="2:17" s="57" customFormat="1" ht="15.75" x14ac:dyDescent="0.25">
      <c r="B4" s="2" t="s">
        <v>361</v>
      </c>
      <c r="C4" s="2"/>
      <c r="D4" s="317"/>
      <c r="E4" s="317"/>
      <c r="F4" s="317"/>
      <c r="G4" s="317"/>
      <c r="H4" s="317"/>
    </row>
    <row r="5" spans="2:17" s="57" customFormat="1" ht="15.75" x14ac:dyDescent="0.25">
      <c r="B5" s="2"/>
      <c r="C5" s="2"/>
      <c r="D5" s="317"/>
      <c r="E5" s="317"/>
      <c r="F5" s="317"/>
      <c r="G5" s="317"/>
      <c r="H5" s="317"/>
    </row>
    <row r="6" spans="2:17" s="57" customFormat="1" ht="18.75" x14ac:dyDescent="0.25">
      <c r="B6" s="119"/>
      <c r="C6" s="326"/>
      <c r="D6" s="618">
        <v>2021</v>
      </c>
      <c r="E6" s="341">
        <v>2022</v>
      </c>
      <c r="F6" s="341">
        <v>2023</v>
      </c>
      <c r="G6" s="341">
        <v>2024</v>
      </c>
      <c r="H6" s="341">
        <v>2025</v>
      </c>
      <c r="J6" s="649" t="s">
        <v>353</v>
      </c>
      <c r="K6" s="650"/>
      <c r="L6" s="650"/>
      <c r="M6" s="650"/>
      <c r="N6" s="650"/>
      <c r="O6" s="650"/>
      <c r="P6" s="651"/>
    </row>
    <row r="7" spans="2:17" s="57" customFormat="1" x14ac:dyDescent="0.25">
      <c r="C7" s="327"/>
      <c r="D7" s="619">
        <v>44561</v>
      </c>
      <c r="E7" s="342">
        <v>44926</v>
      </c>
      <c r="F7" s="342">
        <v>45291</v>
      </c>
      <c r="G7" s="342">
        <v>45657</v>
      </c>
      <c r="H7" s="342">
        <v>46022</v>
      </c>
      <c r="J7" s="644" t="s">
        <v>356</v>
      </c>
      <c r="K7" s="627">
        <v>1</v>
      </c>
      <c r="L7" s="646">
        <v>2</v>
      </c>
      <c r="M7" s="647"/>
      <c r="N7" s="647"/>
      <c r="O7" s="647"/>
      <c r="P7" s="648"/>
    </row>
    <row r="8" spans="2:17" s="57" customFormat="1" ht="29.45" customHeight="1" x14ac:dyDescent="0.25">
      <c r="B8" s="318" t="s">
        <v>41</v>
      </c>
      <c r="C8" s="327"/>
      <c r="D8" s="620" t="s">
        <v>96</v>
      </c>
      <c r="E8" s="365" t="s">
        <v>97</v>
      </c>
      <c r="F8" s="365" t="s">
        <v>97</v>
      </c>
      <c r="G8" s="365" t="s">
        <v>97</v>
      </c>
      <c r="H8" s="365" t="s">
        <v>97</v>
      </c>
      <c r="J8" s="645"/>
      <c r="K8" s="621" t="s">
        <v>355</v>
      </c>
      <c r="L8" s="652" t="s">
        <v>349</v>
      </c>
      <c r="M8" s="652"/>
      <c r="N8" s="652"/>
      <c r="O8" s="652"/>
      <c r="P8" s="653"/>
    </row>
    <row r="9" spans="2:17" s="57" customFormat="1" ht="12" customHeight="1" x14ac:dyDescent="0.25">
      <c r="B9" s="318"/>
      <c r="C9" s="327"/>
      <c r="D9" s="589"/>
      <c r="E9" s="589"/>
      <c r="F9" s="589"/>
      <c r="G9" s="589"/>
      <c r="H9" s="589"/>
      <c r="I9" s="118"/>
      <c r="J9" s="622"/>
      <c r="K9" s="624"/>
      <c r="L9" s="644" t="s">
        <v>357</v>
      </c>
      <c r="M9" s="626">
        <v>1</v>
      </c>
      <c r="N9" s="626">
        <v>2</v>
      </c>
      <c r="O9" s="626">
        <v>3</v>
      </c>
      <c r="P9" s="626">
        <v>4</v>
      </c>
    </row>
    <row r="10" spans="2:17" s="57" customFormat="1" ht="48" x14ac:dyDescent="0.25">
      <c r="B10" s="318"/>
      <c r="C10" s="327"/>
      <c r="D10" s="589"/>
      <c r="E10" s="589"/>
      <c r="F10" s="589"/>
      <c r="G10" s="589"/>
      <c r="H10" s="589"/>
      <c r="I10" s="118"/>
      <c r="J10" s="590"/>
      <c r="K10" s="625"/>
      <c r="L10" s="645"/>
      <c r="M10" s="623" t="s">
        <v>350</v>
      </c>
      <c r="N10" s="577" t="s">
        <v>351</v>
      </c>
      <c r="O10" s="587" t="s">
        <v>352</v>
      </c>
      <c r="P10" s="587" t="s">
        <v>354</v>
      </c>
    </row>
    <row r="11" spans="2:17" s="57" customFormat="1" ht="7.15" customHeight="1" thickBot="1" x14ac:dyDescent="0.3">
      <c r="B11" s="119"/>
      <c r="C11" s="326"/>
      <c r="D11" s="343"/>
      <c r="E11" s="343"/>
      <c r="F11" s="343"/>
      <c r="G11" s="343"/>
      <c r="H11" s="343"/>
      <c r="I11" s="118"/>
      <c r="J11" s="591"/>
      <c r="K11" s="592"/>
      <c r="L11" s="583"/>
      <c r="M11" s="583"/>
      <c r="O11" s="583"/>
      <c r="P11" s="583"/>
    </row>
    <row r="12" spans="2:17" s="57" customFormat="1" ht="16.5" thickBot="1" x14ac:dyDescent="0.3">
      <c r="B12" s="339" t="s">
        <v>230</v>
      </c>
      <c r="C12" s="340"/>
      <c r="D12" s="344">
        <f>+'Tréso &amp; Emprunts'!G39</f>
        <v>13012</v>
      </c>
      <c r="E12" s="344">
        <f>+D43</f>
        <v>-89660.496666666673</v>
      </c>
      <c r="F12" s="344">
        <f>+E43</f>
        <v>-195458.01666666666</v>
      </c>
      <c r="G12" s="344">
        <f>+F43</f>
        <v>-153222.62666666671</v>
      </c>
      <c r="H12" s="344">
        <f>+G43</f>
        <v>-5683.1366666667163</v>
      </c>
      <c r="J12" s="584">
        <f>+K12+L12</f>
        <v>13012</v>
      </c>
      <c r="K12" s="593">
        <f>+D12</f>
        <v>13012</v>
      </c>
      <c r="L12" s="344">
        <f>SUM(M12:P12)</f>
        <v>0</v>
      </c>
      <c r="M12" s="344">
        <v>0</v>
      </c>
      <c r="N12" s="606">
        <v>0</v>
      </c>
      <c r="O12" s="344">
        <v>0</v>
      </c>
      <c r="P12" s="344">
        <v>0</v>
      </c>
    </row>
    <row r="13" spans="2:17" s="57" customFormat="1" ht="15.75" x14ac:dyDescent="0.25">
      <c r="B13" s="119"/>
      <c r="C13" s="326"/>
      <c r="D13" s="345"/>
      <c r="E13" s="345"/>
      <c r="F13" s="345"/>
      <c r="G13" s="345"/>
      <c r="H13" s="345"/>
      <c r="J13" s="345"/>
      <c r="K13" s="594"/>
      <c r="L13" s="583"/>
      <c r="M13" s="583"/>
      <c r="N13" s="607"/>
      <c r="O13" s="583"/>
      <c r="P13" s="583"/>
    </row>
    <row r="14" spans="2:17" s="57" customFormat="1" ht="16.899999999999999" customHeight="1" x14ac:dyDescent="0.25">
      <c r="B14" s="319" t="s">
        <v>37</v>
      </c>
      <c r="C14" s="116"/>
      <c r="D14" s="346"/>
      <c r="E14" s="346"/>
      <c r="F14" s="346"/>
      <c r="G14" s="346"/>
      <c r="H14" s="346"/>
      <c r="J14" s="346"/>
      <c r="K14" s="595"/>
      <c r="L14" s="579"/>
      <c r="M14" s="579"/>
      <c r="N14" s="608"/>
      <c r="O14" s="579"/>
      <c r="P14" s="579"/>
    </row>
    <row r="15" spans="2:17" s="57" customFormat="1" ht="15.75" x14ac:dyDescent="0.25">
      <c r="B15" s="316"/>
      <c r="C15" s="328"/>
      <c r="D15" s="347"/>
      <c r="E15" s="347"/>
      <c r="F15" s="347"/>
      <c r="G15" s="347"/>
      <c r="H15" s="347"/>
      <c r="J15" s="347"/>
      <c r="K15" s="596"/>
      <c r="L15" s="580"/>
      <c r="M15" s="580"/>
      <c r="N15" s="609"/>
      <c r="O15" s="580"/>
      <c r="P15" s="580"/>
      <c r="Q15" s="567"/>
    </row>
    <row r="16" spans="2:17" s="57" customFormat="1" ht="15.75" x14ac:dyDescent="0.25">
      <c r="B16" s="2" t="s">
        <v>227</v>
      </c>
      <c r="C16" s="329"/>
      <c r="D16" s="348"/>
      <c r="E16" s="352"/>
      <c r="F16" s="352"/>
      <c r="G16" s="347"/>
      <c r="H16" s="347"/>
      <c r="J16" s="348"/>
      <c r="K16" s="596"/>
      <c r="L16" s="580"/>
      <c r="M16" s="580"/>
      <c r="N16" s="609"/>
      <c r="O16" s="580"/>
      <c r="P16" s="580"/>
      <c r="Q16" s="567"/>
    </row>
    <row r="17" spans="2:17" s="57" customFormat="1" ht="15.75" x14ac:dyDescent="0.25">
      <c r="B17" s="321" t="s">
        <v>228</v>
      </c>
      <c r="C17" s="330"/>
      <c r="D17" s="348">
        <f>+'Résultat par entité'!D68</f>
        <v>-66957</v>
      </c>
      <c r="E17" s="352">
        <f>+'Résultat par entité'!I68</f>
        <v>-81921.859999999986</v>
      </c>
      <c r="F17" s="352">
        <f>+'Résultat par entité'!N68</f>
        <v>54874.349999999977</v>
      </c>
      <c r="G17" s="347">
        <f>+'Résultat par entité'!S68</f>
        <v>158279.16999999998</v>
      </c>
      <c r="H17" s="347">
        <f>+'Résultat par entité'!X68</f>
        <v>250110.26999999996</v>
      </c>
      <c r="J17" s="348">
        <f>+K17+L17</f>
        <v>-66957</v>
      </c>
      <c r="K17" s="597">
        <f>+'Résultat par entité'!D68+'Résultat par entité'!D28+'Résultat par entité'!D29+'Résultat par entité'!D30</f>
        <v>-28857</v>
      </c>
      <c r="L17" s="345">
        <f>+M17+N17+O17+P17</f>
        <v>-38100</v>
      </c>
      <c r="M17" s="345">
        <f>-'Résultat par entité'!D28</f>
        <v>-13000</v>
      </c>
      <c r="N17" s="610">
        <f>-'Résultat par entité'!D29</f>
        <v>-19100</v>
      </c>
      <c r="O17" s="345">
        <f>-'Résultat par entité'!D30</f>
        <v>-6000</v>
      </c>
      <c r="P17" s="345">
        <v>0</v>
      </c>
      <c r="Q17" s="567"/>
    </row>
    <row r="18" spans="2:17" s="57" customFormat="1" ht="15.75" x14ac:dyDescent="0.25">
      <c r="B18" s="321" t="s">
        <v>229</v>
      </c>
      <c r="C18" s="330"/>
      <c r="D18" s="348">
        <f>+'Résultat par entité'!D57</f>
        <v>21333.333333333332</v>
      </c>
      <c r="E18" s="352">
        <f>+'Résultat par entité'!I57</f>
        <v>16000</v>
      </c>
      <c r="F18" s="352">
        <f>+'Résultat par entité'!N57</f>
        <v>14000</v>
      </c>
      <c r="G18" s="347">
        <f>+'Résultat par entité'!S57</f>
        <v>12000</v>
      </c>
      <c r="H18" s="347">
        <f>+'Résultat par entité'!X57</f>
        <v>10000</v>
      </c>
      <c r="J18" s="348">
        <f>+K18+L18</f>
        <v>21333.333333333332</v>
      </c>
      <c r="K18" s="597">
        <f>+D18</f>
        <v>21333.333333333332</v>
      </c>
      <c r="L18" s="345"/>
      <c r="M18" s="345"/>
      <c r="N18" s="610"/>
      <c r="O18" s="345"/>
      <c r="P18" s="345"/>
      <c r="Q18" s="567"/>
    </row>
    <row r="19" spans="2:17" s="57" customFormat="1" ht="15.75" x14ac:dyDescent="0.25">
      <c r="B19" s="2" t="s">
        <v>231</v>
      </c>
      <c r="C19" s="329"/>
      <c r="D19" s="349">
        <f>+D17+D18</f>
        <v>-45623.666666666672</v>
      </c>
      <c r="E19" s="349">
        <f>+E17+E18</f>
        <v>-65921.859999999986</v>
      </c>
      <c r="F19" s="349">
        <f>+F17+F18</f>
        <v>68874.349999999977</v>
      </c>
      <c r="G19" s="349">
        <f>+G17+G18</f>
        <v>170279.16999999998</v>
      </c>
      <c r="H19" s="349">
        <f>+H17+H18</f>
        <v>260110.26999999996</v>
      </c>
      <c r="J19" s="349">
        <f>+J17+J18</f>
        <v>-45623.666666666672</v>
      </c>
      <c r="K19" s="598">
        <f>+K17+K18</f>
        <v>-7523.6666666666679</v>
      </c>
      <c r="L19" s="349">
        <f t="shared" ref="L19:P19" si="0">+L17+L18</f>
        <v>-38100</v>
      </c>
      <c r="M19" s="349">
        <f t="shared" si="0"/>
        <v>-13000</v>
      </c>
      <c r="N19" s="611">
        <f t="shared" si="0"/>
        <v>-19100</v>
      </c>
      <c r="O19" s="349">
        <f t="shared" si="0"/>
        <v>-6000</v>
      </c>
      <c r="P19" s="349">
        <f t="shared" si="0"/>
        <v>0</v>
      </c>
      <c r="Q19" s="567"/>
    </row>
    <row r="20" spans="2:17" s="57" customFormat="1" ht="15.75" x14ac:dyDescent="0.25">
      <c r="B20" s="316"/>
      <c r="C20" s="328"/>
      <c r="D20" s="348"/>
      <c r="E20" s="348"/>
      <c r="F20" s="348"/>
      <c r="G20" s="347"/>
      <c r="H20" s="347"/>
      <c r="J20" s="348"/>
      <c r="K20" s="597"/>
      <c r="L20" s="345"/>
      <c r="M20" s="345"/>
      <c r="N20" s="610"/>
      <c r="O20" s="345"/>
      <c r="P20" s="345"/>
      <c r="Q20" s="567"/>
    </row>
    <row r="21" spans="2:17" s="57" customFormat="1" ht="15.75" x14ac:dyDescent="0.25">
      <c r="B21" s="2" t="s">
        <v>266</v>
      </c>
      <c r="C21" s="329"/>
      <c r="D21" s="349" t="s">
        <v>45</v>
      </c>
      <c r="E21" s="349" t="s">
        <v>45</v>
      </c>
      <c r="F21" s="349"/>
      <c r="G21" s="355"/>
      <c r="H21" s="355"/>
      <c r="J21" s="349" t="s">
        <v>45</v>
      </c>
      <c r="K21" s="597"/>
      <c r="L21" s="345"/>
      <c r="M21" s="345"/>
      <c r="N21" s="610"/>
      <c r="O21" s="345"/>
      <c r="P21" s="345"/>
      <c r="Q21" s="567"/>
    </row>
    <row r="22" spans="2:17" s="57" customFormat="1" ht="15.75" x14ac:dyDescent="0.25">
      <c r="B22" s="2" t="s">
        <v>265</v>
      </c>
      <c r="C22" s="328"/>
      <c r="D22" s="349" t="s">
        <v>45</v>
      </c>
      <c r="E22" s="348"/>
      <c r="F22" s="348"/>
      <c r="G22" s="347"/>
      <c r="H22" s="347"/>
      <c r="J22" s="349" t="s">
        <v>45</v>
      </c>
      <c r="K22" s="597"/>
      <c r="L22" s="345"/>
      <c r="M22" s="345"/>
      <c r="N22" s="610"/>
      <c r="O22" s="345"/>
      <c r="P22" s="345"/>
      <c r="Q22" s="567"/>
    </row>
    <row r="23" spans="2:17" s="57" customFormat="1" ht="15.75" x14ac:dyDescent="0.25">
      <c r="B23" s="316"/>
      <c r="C23" s="328"/>
      <c r="D23" s="348"/>
      <c r="E23" s="348"/>
      <c r="F23" s="348"/>
      <c r="G23" s="347"/>
      <c r="H23" s="347"/>
      <c r="J23" s="348"/>
      <c r="K23" s="597"/>
      <c r="L23" s="345"/>
      <c r="M23" s="345"/>
      <c r="N23" s="610"/>
      <c r="O23" s="345"/>
      <c r="P23" s="345"/>
      <c r="Q23" s="567"/>
    </row>
    <row r="24" spans="2:17" ht="15.75" x14ac:dyDescent="0.25">
      <c r="B24" s="322" t="s">
        <v>232</v>
      </c>
      <c r="C24" s="331" t="s">
        <v>205</v>
      </c>
      <c r="D24" s="350">
        <f>SUM(D19:D23)</f>
        <v>-45623.666666666672</v>
      </c>
      <c r="E24" s="350">
        <f>SUM(E19:E23)</f>
        <v>-65921.859999999986</v>
      </c>
      <c r="F24" s="350">
        <f>SUM(F19:F23)</f>
        <v>68874.349999999977</v>
      </c>
      <c r="G24" s="350">
        <f>SUM(G19:G23)</f>
        <v>170279.16999999998</v>
      </c>
      <c r="H24" s="350">
        <f>SUM(H19:H23)</f>
        <v>260110.26999999996</v>
      </c>
      <c r="I24" s="13"/>
      <c r="J24" s="350">
        <f>SUM(J19:J23)</f>
        <v>-45623.666666666672</v>
      </c>
      <c r="K24" s="599">
        <f>SUM(K19:K23)</f>
        <v>-7523.6666666666679</v>
      </c>
      <c r="L24" s="350">
        <f>SUM(L19:L23)</f>
        <v>-38100</v>
      </c>
      <c r="M24" s="350">
        <f t="shared" ref="M24:P24" si="1">SUM(M19:M23)</f>
        <v>-13000</v>
      </c>
      <c r="N24" s="612">
        <f t="shared" si="1"/>
        <v>-19100</v>
      </c>
      <c r="O24" s="350">
        <f t="shared" si="1"/>
        <v>-6000</v>
      </c>
      <c r="P24" s="350">
        <f t="shared" si="1"/>
        <v>0</v>
      </c>
      <c r="Q24" s="313"/>
    </row>
    <row r="25" spans="2:17" ht="15.75" x14ac:dyDescent="0.25">
      <c r="B25" s="316"/>
      <c r="C25" s="328"/>
      <c r="D25" s="347"/>
      <c r="E25" s="347"/>
      <c r="F25" s="347"/>
      <c r="G25" s="347"/>
      <c r="H25" s="347"/>
      <c r="I25" s="13"/>
      <c r="J25" s="347"/>
      <c r="K25" s="600"/>
      <c r="L25" s="347"/>
      <c r="M25" s="347"/>
      <c r="N25" s="613"/>
      <c r="O25" s="347"/>
      <c r="P25" s="347"/>
      <c r="Q25" s="313"/>
    </row>
    <row r="26" spans="2:17" ht="15" customHeight="1" x14ac:dyDescent="0.25">
      <c r="B26" s="323" t="s">
        <v>225</v>
      </c>
      <c r="C26" s="117"/>
      <c r="D26" s="351"/>
      <c r="E26" s="351"/>
      <c r="F26" s="351"/>
      <c r="G26" s="351"/>
      <c r="H26" s="351"/>
      <c r="I26" s="118"/>
      <c r="J26" s="351"/>
      <c r="K26" s="601"/>
      <c r="L26" s="351"/>
      <c r="M26" s="588"/>
      <c r="N26" s="614"/>
      <c r="O26" s="588"/>
      <c r="P26" s="588"/>
      <c r="Q26" s="313"/>
    </row>
    <row r="27" spans="2:17" ht="15.75" x14ac:dyDescent="0.25">
      <c r="B27" s="316"/>
      <c r="C27" s="328"/>
      <c r="D27" s="347"/>
      <c r="E27" s="347"/>
      <c r="F27" s="347"/>
      <c r="G27" s="347"/>
      <c r="H27" s="347"/>
      <c r="I27" s="13"/>
      <c r="J27" s="347"/>
      <c r="K27" s="600"/>
      <c r="L27" s="347"/>
      <c r="M27" s="347"/>
      <c r="N27" s="613"/>
      <c r="O27" s="347"/>
      <c r="P27" s="347"/>
      <c r="Q27" s="313"/>
    </row>
    <row r="28" spans="2:17" ht="15.75" x14ac:dyDescent="0.25">
      <c r="B28" s="2" t="s">
        <v>341</v>
      </c>
      <c r="C28" s="328"/>
      <c r="D28" s="347"/>
      <c r="E28" s="347"/>
      <c r="F28" s="347"/>
      <c r="G28" s="347" t="s">
        <v>45</v>
      </c>
      <c r="H28" s="347" t="s">
        <v>45</v>
      </c>
      <c r="I28" s="13"/>
      <c r="J28" s="347"/>
      <c r="K28" s="600"/>
      <c r="L28" s="347"/>
      <c r="M28" s="347"/>
      <c r="N28" s="613"/>
      <c r="O28" s="347"/>
      <c r="P28" s="347"/>
      <c r="Q28" s="313"/>
    </row>
    <row r="29" spans="2:17" ht="15.75" x14ac:dyDescent="0.25">
      <c r="B29" s="316"/>
      <c r="C29" s="328"/>
      <c r="D29" s="347"/>
      <c r="E29" s="347"/>
      <c r="F29" s="347"/>
      <c r="G29" s="347"/>
      <c r="H29" s="347"/>
      <c r="I29" s="13"/>
      <c r="J29" s="347"/>
      <c r="K29" s="600"/>
      <c r="L29" s="347"/>
      <c r="M29" s="347"/>
      <c r="N29" s="613"/>
      <c r="O29" s="347"/>
      <c r="P29" s="347"/>
      <c r="Q29" s="313"/>
    </row>
    <row r="30" spans="2:17" ht="15.75" x14ac:dyDescent="0.25">
      <c r="B30" s="2" t="s">
        <v>242</v>
      </c>
      <c r="C30" s="329"/>
      <c r="D30" s="348"/>
      <c r="E30" s="348"/>
      <c r="F30" s="348"/>
      <c r="G30" s="347"/>
      <c r="H30" s="347"/>
      <c r="I30" s="13"/>
      <c r="J30" s="348"/>
      <c r="K30" s="602"/>
      <c r="L30" s="347"/>
      <c r="M30" s="347"/>
      <c r="N30" s="613"/>
      <c r="O30" s="347"/>
      <c r="P30" s="347"/>
      <c r="Q30" s="313"/>
    </row>
    <row r="31" spans="2:17" ht="15.75" x14ac:dyDescent="0.25">
      <c r="B31" s="324" t="s">
        <v>345</v>
      </c>
      <c r="C31" s="332"/>
      <c r="D31" s="352">
        <f>+'Tréso &amp; Emprunts'!G18</f>
        <v>12977.410000000003</v>
      </c>
      <c r="E31" s="352">
        <f>+'Tréso &amp; Emprunts'!H18</f>
        <v>27732.82</v>
      </c>
      <c r="F31" s="352">
        <f>+'Tréso &amp; Emprunts'!I18</f>
        <v>24496.120000000003</v>
      </c>
      <c r="G31" s="352">
        <f>+'Tréso &amp; Emprunts'!J18</f>
        <v>22203.97</v>
      </c>
      <c r="H31" s="352">
        <v>9606</v>
      </c>
      <c r="I31" s="13"/>
      <c r="J31" s="352">
        <f>+K31</f>
        <v>12977.410000000003</v>
      </c>
      <c r="K31" s="603">
        <f>+D31</f>
        <v>12977.410000000003</v>
      </c>
      <c r="L31" s="347"/>
      <c r="M31" s="347"/>
      <c r="N31" s="613"/>
      <c r="O31" s="347"/>
      <c r="P31" s="347"/>
      <c r="Q31" s="313"/>
    </row>
    <row r="32" spans="2:17" ht="15.75" x14ac:dyDescent="0.25">
      <c r="B32" s="324" t="s">
        <v>347</v>
      </c>
      <c r="C32" s="332"/>
      <c r="D32" s="352">
        <f>+'Tréso &amp; Emprunts'!G28</f>
        <v>1071.42</v>
      </c>
      <c r="E32" s="352">
        <f>+'Tréso &amp; Emprunts'!H28</f>
        <v>2142.84</v>
      </c>
      <c r="F32" s="352">
        <f>+'Tréso &amp; Emprunts'!I28</f>
        <v>2142.84</v>
      </c>
      <c r="G32" s="352">
        <f>+'Tréso &amp; Emprunts'!J28</f>
        <v>535.71</v>
      </c>
      <c r="H32" s="352">
        <f>+'Tréso &amp; Emprunts'!K28</f>
        <v>0</v>
      </c>
      <c r="I32" s="13"/>
      <c r="J32" s="352">
        <f>+D32</f>
        <v>1071.42</v>
      </c>
      <c r="K32" s="603">
        <f>+D32</f>
        <v>1071.42</v>
      </c>
      <c r="L32" s="347"/>
      <c r="M32" s="347"/>
      <c r="N32" s="613"/>
      <c r="O32" s="347"/>
      <c r="P32" s="347"/>
      <c r="Q32" s="313"/>
    </row>
    <row r="33" spans="2:17" ht="15.75" x14ac:dyDescent="0.25">
      <c r="B33" s="316" t="s">
        <v>346</v>
      </c>
      <c r="C33" s="328"/>
      <c r="D33" s="347">
        <v>43000</v>
      </c>
      <c r="E33" s="347"/>
      <c r="F33" s="347"/>
      <c r="G33" s="347"/>
      <c r="H33" s="347"/>
      <c r="I33" s="13"/>
      <c r="J33" s="347">
        <f>+D33</f>
        <v>43000</v>
      </c>
      <c r="K33" s="600" t="s">
        <v>45</v>
      </c>
      <c r="L33" s="345">
        <f>+M33+N33+O33+P33</f>
        <v>43000</v>
      </c>
      <c r="M33" s="347"/>
      <c r="N33" s="613"/>
      <c r="O33" s="347"/>
      <c r="P33" s="347">
        <f>+D33</f>
        <v>43000</v>
      </c>
      <c r="Q33" s="313"/>
    </row>
    <row r="34" spans="2:17" ht="15.75" x14ac:dyDescent="0.25">
      <c r="B34" s="316" t="s">
        <v>348</v>
      </c>
      <c r="C34" s="328"/>
      <c r="D34" s="348" t="s">
        <v>45</v>
      </c>
      <c r="E34" s="347">
        <v>10000</v>
      </c>
      <c r="F34" s="347"/>
      <c r="G34" s="347"/>
      <c r="H34" s="347"/>
      <c r="I34" s="13"/>
      <c r="J34" s="348" t="str">
        <f>+D34</f>
        <v xml:space="preserve"> </v>
      </c>
      <c r="K34" s="602" t="s">
        <v>45</v>
      </c>
      <c r="L34" s="347"/>
      <c r="M34" s="347"/>
      <c r="N34" s="613"/>
      <c r="O34" s="347"/>
      <c r="P34" s="347"/>
      <c r="Q34" s="313"/>
    </row>
    <row r="35" spans="2:17" ht="15.75" x14ac:dyDescent="0.25">
      <c r="B35" s="316"/>
      <c r="C35" s="328"/>
      <c r="D35" s="347"/>
      <c r="E35" s="347"/>
      <c r="F35" s="347"/>
      <c r="G35" s="347"/>
      <c r="H35" s="347"/>
      <c r="I35" s="13"/>
      <c r="J35" s="347"/>
      <c r="K35" s="600"/>
      <c r="L35" s="347"/>
      <c r="M35" s="347"/>
      <c r="N35" s="613"/>
      <c r="O35" s="347"/>
      <c r="P35" s="347"/>
      <c r="Q35" s="313"/>
    </row>
    <row r="36" spans="2:17" ht="15.75" x14ac:dyDescent="0.25">
      <c r="B36" s="2" t="s">
        <v>38</v>
      </c>
      <c r="C36" s="329"/>
      <c r="D36" s="348"/>
      <c r="E36" s="348"/>
      <c r="F36" s="348"/>
      <c r="G36" s="348"/>
      <c r="H36" s="348"/>
      <c r="J36" s="348"/>
      <c r="K36" s="602"/>
      <c r="L36" s="347"/>
      <c r="M36" s="347"/>
      <c r="N36" s="613"/>
      <c r="O36" s="347"/>
      <c r="P36" s="347"/>
      <c r="Q36" s="313"/>
    </row>
    <row r="37" spans="2:17" ht="15.75" x14ac:dyDescent="0.25">
      <c r="B37" s="316" t="s">
        <v>233</v>
      </c>
      <c r="C37" s="328"/>
      <c r="D37" s="348">
        <v>0</v>
      </c>
      <c r="E37" s="348">
        <v>0</v>
      </c>
      <c r="F37" s="348">
        <v>0</v>
      </c>
      <c r="G37" s="348">
        <v>0</v>
      </c>
      <c r="H37" s="348">
        <v>0</v>
      </c>
      <c r="J37" s="348">
        <f>+D37</f>
        <v>0</v>
      </c>
      <c r="K37" s="602">
        <v>0</v>
      </c>
      <c r="L37" s="347"/>
      <c r="M37" s="347"/>
      <c r="N37" s="613"/>
      <c r="O37" s="347"/>
      <c r="P37" s="347"/>
      <c r="Q37" s="313"/>
    </row>
    <row r="38" spans="2:17" ht="15.75" x14ac:dyDescent="0.25">
      <c r="B38" s="316"/>
      <c r="C38" s="328"/>
      <c r="D38" s="352"/>
      <c r="E38" s="347"/>
      <c r="F38" s="347"/>
      <c r="G38" s="347"/>
      <c r="H38" s="347"/>
      <c r="J38" s="352"/>
      <c r="K38" s="603"/>
      <c r="L38" s="347"/>
      <c r="M38" s="582"/>
      <c r="N38" s="384"/>
      <c r="O38" s="582"/>
      <c r="P38" s="582"/>
      <c r="Q38" s="313"/>
    </row>
    <row r="39" spans="2:17" ht="15.75" x14ac:dyDescent="0.25">
      <c r="B39" s="325" t="s">
        <v>234</v>
      </c>
      <c r="C39" s="333" t="s">
        <v>206</v>
      </c>
      <c r="D39" s="353">
        <f>SUM(D28:D38)</f>
        <v>57048.83</v>
      </c>
      <c r="E39" s="353">
        <f t="shared" ref="E39:H39" si="2">SUM(E28:E38)</f>
        <v>39875.660000000003</v>
      </c>
      <c r="F39" s="353">
        <f t="shared" si="2"/>
        <v>26638.960000000003</v>
      </c>
      <c r="G39" s="353">
        <f t="shared" si="2"/>
        <v>22739.68</v>
      </c>
      <c r="H39" s="353">
        <f t="shared" si="2"/>
        <v>9606</v>
      </c>
      <c r="J39" s="353">
        <f>+D39</f>
        <v>57048.83</v>
      </c>
      <c r="K39" s="604">
        <f>SUM(K28:K38)</f>
        <v>14048.830000000004</v>
      </c>
      <c r="L39" s="353">
        <f t="shared" ref="L39:P39" si="3">SUM(L28:L38)</f>
        <v>43000</v>
      </c>
      <c r="M39" s="353">
        <f t="shared" si="3"/>
        <v>0</v>
      </c>
      <c r="N39" s="615">
        <f t="shared" si="3"/>
        <v>0</v>
      </c>
      <c r="O39" s="353">
        <f t="shared" si="3"/>
        <v>0</v>
      </c>
      <c r="P39" s="353">
        <f t="shared" si="3"/>
        <v>43000</v>
      </c>
      <c r="Q39" s="313"/>
    </row>
    <row r="40" spans="2:17" ht="15.75" x14ac:dyDescent="0.25">
      <c r="B40" s="316"/>
      <c r="C40" s="328"/>
      <c r="D40" s="347"/>
      <c r="E40" s="347"/>
      <c r="F40" s="347"/>
      <c r="G40" s="347"/>
      <c r="H40" s="347"/>
      <c r="J40" s="347"/>
      <c r="K40" s="600"/>
      <c r="L40" s="347"/>
      <c r="M40" s="347"/>
      <c r="N40" s="613"/>
      <c r="O40" s="347"/>
      <c r="P40" s="347"/>
      <c r="Q40" s="313"/>
    </row>
    <row r="41" spans="2:17" ht="15.75" x14ac:dyDescent="0.25">
      <c r="B41" s="338" t="s">
        <v>235</v>
      </c>
      <c r="C41" s="334" t="s">
        <v>236</v>
      </c>
      <c r="D41" s="354">
        <f>+D24-D39</f>
        <v>-102672.49666666667</v>
      </c>
      <c r="E41" s="354">
        <f>+E24-E39</f>
        <v>-105797.51999999999</v>
      </c>
      <c r="F41" s="354">
        <f>+F24-F39</f>
        <v>42235.38999999997</v>
      </c>
      <c r="G41" s="354">
        <f>+G24-G39</f>
        <v>147539.49</v>
      </c>
      <c r="H41" s="354">
        <f>+H24-H39</f>
        <v>250504.26999999996</v>
      </c>
      <c r="J41" s="354">
        <f>+D41</f>
        <v>-102672.49666666667</v>
      </c>
      <c r="K41" s="605">
        <f>+K24-K39</f>
        <v>-21572.496666666673</v>
      </c>
      <c r="L41" s="354">
        <f t="shared" ref="L41:P41" si="4">+L24-L39</f>
        <v>-81100</v>
      </c>
      <c r="M41" s="354">
        <f t="shared" si="4"/>
        <v>-13000</v>
      </c>
      <c r="N41" s="616">
        <f t="shared" si="4"/>
        <v>-19100</v>
      </c>
      <c r="O41" s="354">
        <f t="shared" si="4"/>
        <v>-6000</v>
      </c>
      <c r="P41" s="354">
        <f t="shared" si="4"/>
        <v>-43000</v>
      </c>
      <c r="Q41" s="313"/>
    </row>
    <row r="42" spans="2:17" ht="16.5" thickBot="1" x14ac:dyDescent="0.3">
      <c r="B42" s="316"/>
      <c r="C42" s="328"/>
      <c r="D42" s="347"/>
      <c r="E42" s="347"/>
      <c r="F42" s="347"/>
      <c r="G42" s="347"/>
      <c r="H42" s="347"/>
      <c r="J42" s="347"/>
      <c r="K42" s="600"/>
      <c r="L42" s="581"/>
      <c r="M42" s="581"/>
      <c r="N42" s="613"/>
      <c r="O42" s="581"/>
      <c r="P42" s="581"/>
      <c r="Q42" s="313"/>
    </row>
    <row r="43" spans="2:17" ht="16.5" thickBot="1" x14ac:dyDescent="0.3">
      <c r="B43" s="339" t="s">
        <v>237</v>
      </c>
      <c r="C43" s="340"/>
      <c r="D43" s="344">
        <f>+D12+D41</f>
        <v>-89660.496666666673</v>
      </c>
      <c r="E43" s="344">
        <f>+E12+E41</f>
        <v>-195458.01666666666</v>
      </c>
      <c r="F43" s="344">
        <f>+F12+F41</f>
        <v>-153222.62666666671</v>
      </c>
      <c r="G43" s="344">
        <f>+G12+G41</f>
        <v>-5683.1366666667163</v>
      </c>
      <c r="H43" s="585">
        <f>+H12+H41</f>
        <v>244821.13333333324</v>
      </c>
      <c r="J43" s="584">
        <f>+D43</f>
        <v>-89660.496666666673</v>
      </c>
      <c r="K43" s="344">
        <f t="shared" ref="K43:P43" si="5">+K12+K41</f>
        <v>-8560.4966666666733</v>
      </c>
      <c r="L43" s="578">
        <f t="shared" si="5"/>
        <v>-81100</v>
      </c>
      <c r="M43" s="578">
        <f t="shared" si="5"/>
        <v>-13000</v>
      </c>
      <c r="N43" s="344">
        <f t="shared" si="5"/>
        <v>-19100</v>
      </c>
      <c r="O43" s="578">
        <f t="shared" si="5"/>
        <v>-6000</v>
      </c>
      <c r="P43" s="617">
        <f t="shared" si="5"/>
        <v>-43000</v>
      </c>
      <c r="Q43" s="313"/>
    </row>
    <row r="44" spans="2:17" ht="15.75" x14ac:dyDescent="0.25">
      <c r="B44" s="316"/>
      <c r="C44" s="328"/>
      <c r="D44" s="320"/>
      <c r="E44" s="320"/>
      <c r="F44" s="320"/>
      <c r="G44" s="320"/>
      <c r="H44" s="320"/>
      <c r="J44" s="320"/>
      <c r="K44" s="320"/>
      <c r="L44" s="313"/>
      <c r="M44" s="313"/>
      <c r="N44" s="313"/>
      <c r="O44" s="313"/>
      <c r="P44" s="313"/>
      <c r="Q44" s="313"/>
    </row>
    <row r="45" spans="2:17" x14ac:dyDescent="0.25">
      <c r="B45" s="356" t="s">
        <v>243</v>
      </c>
      <c r="C45" s="357"/>
      <c r="D45" s="358">
        <f>+'Résultat par entité'!D15</f>
        <v>165166</v>
      </c>
      <c r="E45" s="358">
        <f>+'Résultat par entité'!I15</f>
        <v>388024</v>
      </c>
      <c r="F45" s="358">
        <f>+'Résultat par entité'!N15</f>
        <v>550624</v>
      </c>
      <c r="G45" s="358">
        <f>+'Résultat par entité'!S15</f>
        <v>643424</v>
      </c>
      <c r="H45" s="359">
        <f>+'Résultat par entité'!X15</f>
        <v>743824</v>
      </c>
      <c r="J45" s="586"/>
      <c r="K45" s="586"/>
      <c r="L45" s="313"/>
      <c r="M45" s="313"/>
      <c r="N45" s="313"/>
      <c r="O45" s="313"/>
      <c r="P45" s="313"/>
      <c r="Q45" s="313"/>
    </row>
    <row r="46" spans="2:17" x14ac:dyDescent="0.25">
      <c r="B46" s="360" t="s">
        <v>244</v>
      </c>
      <c r="C46" s="361"/>
      <c r="D46" s="362"/>
      <c r="E46" s="363">
        <f>+(E45-D45)/D45</f>
        <v>1.3492970708257148</v>
      </c>
      <c r="F46" s="363">
        <f>+(F45-E45)/E45</f>
        <v>0.41904624456219203</v>
      </c>
      <c r="G46" s="363">
        <f>+(G45-F45)/F45</f>
        <v>0.16853606090544546</v>
      </c>
      <c r="H46" s="364">
        <f>+(H45-G45)/G45</f>
        <v>0.15604018501019545</v>
      </c>
      <c r="J46" s="384"/>
      <c r="K46" s="384"/>
      <c r="L46" s="313"/>
      <c r="M46" s="313"/>
      <c r="N46" s="313"/>
      <c r="O46" s="313"/>
      <c r="P46" s="313"/>
      <c r="Q46" s="313"/>
    </row>
    <row r="47" spans="2:17" x14ac:dyDescent="0.25">
      <c r="C47" s="328"/>
      <c r="J47" s="21"/>
      <c r="K47" s="384"/>
      <c r="L47" s="313"/>
      <c r="M47" s="313"/>
      <c r="N47" s="313"/>
      <c r="O47" s="313"/>
      <c r="P47" s="313"/>
      <c r="Q47" s="313"/>
    </row>
    <row r="48" spans="2:17" x14ac:dyDescent="0.25">
      <c r="C48" s="328"/>
      <c r="J48" s="21"/>
      <c r="K48" s="384"/>
      <c r="L48" s="313"/>
      <c r="M48" s="313"/>
      <c r="N48" s="313"/>
      <c r="O48" s="313"/>
      <c r="P48" s="313"/>
      <c r="Q48" s="313"/>
    </row>
    <row r="49" spans="3:17" x14ac:dyDescent="0.25">
      <c r="C49" s="328"/>
      <c r="K49" s="313"/>
      <c r="L49" s="313"/>
      <c r="M49" s="313"/>
      <c r="N49" s="313"/>
      <c r="O49" s="313"/>
      <c r="P49" s="313"/>
      <c r="Q49" s="313"/>
    </row>
    <row r="50" spans="3:17" x14ac:dyDescent="0.25">
      <c r="C50" s="328"/>
      <c r="K50" s="313"/>
      <c r="L50" s="313"/>
      <c r="M50" s="313"/>
      <c r="N50" s="313"/>
      <c r="O50" s="313"/>
      <c r="P50" s="313"/>
      <c r="Q50" s="313"/>
    </row>
    <row r="51" spans="3:17" x14ac:dyDescent="0.25">
      <c r="C51" s="328"/>
      <c r="K51" s="313"/>
      <c r="L51" s="313"/>
      <c r="M51" s="313"/>
      <c r="N51" s="313"/>
      <c r="O51" s="313"/>
      <c r="P51" s="313"/>
      <c r="Q51" s="313"/>
    </row>
    <row r="52" spans="3:17" x14ac:dyDescent="0.25">
      <c r="C52" s="328"/>
      <c r="K52" s="313"/>
      <c r="L52" s="313"/>
      <c r="M52" s="313"/>
      <c r="N52" s="313"/>
      <c r="O52" s="313"/>
      <c r="P52" s="313"/>
      <c r="Q52" s="313"/>
    </row>
    <row r="53" spans="3:17" x14ac:dyDescent="0.25">
      <c r="C53" s="328"/>
      <c r="K53" s="313"/>
      <c r="L53" s="313"/>
      <c r="M53" s="313"/>
      <c r="N53" s="313"/>
      <c r="O53" s="313"/>
      <c r="P53" s="313"/>
      <c r="Q53" s="313"/>
    </row>
    <row r="54" spans="3:17" x14ac:dyDescent="0.25">
      <c r="C54" s="328"/>
      <c r="K54" s="313"/>
      <c r="L54" s="313"/>
      <c r="M54" s="313"/>
      <c r="N54" s="313"/>
      <c r="O54" s="313"/>
      <c r="P54" s="313"/>
      <c r="Q54" s="313"/>
    </row>
    <row r="55" spans="3:17" x14ac:dyDescent="0.25">
      <c r="C55" s="328"/>
      <c r="K55" s="313"/>
      <c r="L55" s="313"/>
      <c r="M55" s="313"/>
      <c r="N55" s="313"/>
      <c r="O55" s="313"/>
      <c r="P55" s="313"/>
      <c r="Q55" s="313"/>
    </row>
    <row r="56" spans="3:17" x14ac:dyDescent="0.25">
      <c r="C56" s="328"/>
      <c r="K56" s="313"/>
      <c r="L56" s="313"/>
      <c r="M56" s="313"/>
      <c r="N56" s="313"/>
      <c r="O56" s="313"/>
      <c r="P56" s="313"/>
      <c r="Q56" s="313"/>
    </row>
    <row r="57" spans="3:17" x14ac:dyDescent="0.25">
      <c r="C57" s="328"/>
      <c r="K57" s="313"/>
      <c r="L57" s="313"/>
      <c r="M57" s="313"/>
      <c r="N57" s="313"/>
      <c r="O57" s="313"/>
      <c r="P57" s="313"/>
      <c r="Q57" s="313"/>
    </row>
    <row r="58" spans="3:17" x14ac:dyDescent="0.25">
      <c r="C58" s="328"/>
      <c r="K58" s="313"/>
      <c r="L58" s="313"/>
      <c r="M58" s="313"/>
      <c r="N58" s="313"/>
      <c r="O58" s="313"/>
      <c r="P58" s="313"/>
      <c r="Q58" s="313"/>
    </row>
    <row r="59" spans="3:17" x14ac:dyDescent="0.25">
      <c r="C59" s="328"/>
      <c r="K59" s="313"/>
      <c r="L59" s="313"/>
      <c r="M59" s="313"/>
      <c r="N59" s="313"/>
      <c r="O59" s="313"/>
      <c r="P59" s="313"/>
      <c r="Q59" s="313"/>
    </row>
    <row r="60" spans="3:17" x14ac:dyDescent="0.25">
      <c r="C60" s="328"/>
      <c r="K60" s="313"/>
      <c r="L60" s="313"/>
      <c r="M60" s="313"/>
      <c r="N60" s="313"/>
      <c r="O60" s="313"/>
      <c r="P60" s="313"/>
      <c r="Q60" s="313"/>
    </row>
    <row r="61" spans="3:17" x14ac:dyDescent="0.25">
      <c r="C61" s="328"/>
      <c r="K61" s="313"/>
      <c r="L61" s="313"/>
      <c r="M61" s="313"/>
      <c r="N61" s="313"/>
      <c r="O61" s="313"/>
      <c r="P61" s="313"/>
      <c r="Q61" s="313"/>
    </row>
    <row r="62" spans="3:17" x14ac:dyDescent="0.25">
      <c r="C62" s="328"/>
      <c r="K62" s="313"/>
      <c r="L62" s="313"/>
      <c r="M62" s="313"/>
      <c r="N62" s="313"/>
      <c r="O62" s="313"/>
      <c r="P62" s="313"/>
      <c r="Q62" s="313"/>
    </row>
    <row r="63" spans="3:17" x14ac:dyDescent="0.25">
      <c r="C63" s="328"/>
      <c r="K63" s="313"/>
      <c r="L63" s="313"/>
      <c r="M63" s="313"/>
      <c r="N63" s="313"/>
      <c r="O63" s="313"/>
      <c r="P63" s="313"/>
      <c r="Q63" s="313"/>
    </row>
    <row r="64" spans="3:17" x14ac:dyDescent="0.25">
      <c r="C64" s="328"/>
      <c r="K64" s="313"/>
      <c r="L64" s="313"/>
      <c r="M64" s="313"/>
      <c r="N64" s="313"/>
      <c r="O64" s="313"/>
      <c r="P64" s="313"/>
      <c r="Q64" s="313"/>
    </row>
    <row r="65" spans="3:17" x14ac:dyDescent="0.25">
      <c r="C65" s="328"/>
      <c r="K65" s="313"/>
      <c r="L65" s="313"/>
      <c r="M65" s="313"/>
      <c r="N65" s="313"/>
      <c r="O65" s="313"/>
      <c r="P65" s="313"/>
      <c r="Q65" s="313"/>
    </row>
    <row r="66" spans="3:17" x14ac:dyDescent="0.25">
      <c r="C66" s="328"/>
      <c r="K66" s="313"/>
      <c r="L66" s="313"/>
      <c r="M66" s="313"/>
      <c r="N66" s="313"/>
      <c r="O66" s="313"/>
      <c r="P66" s="313"/>
      <c r="Q66" s="313"/>
    </row>
    <row r="67" spans="3:17" x14ac:dyDescent="0.25">
      <c r="C67" s="328"/>
      <c r="K67" s="313"/>
      <c r="L67" s="313"/>
      <c r="M67" s="313"/>
      <c r="N67" s="313"/>
      <c r="O67" s="313"/>
      <c r="P67" s="313"/>
      <c r="Q67" s="313"/>
    </row>
    <row r="68" spans="3:17" x14ac:dyDescent="0.25">
      <c r="C68" s="328"/>
      <c r="K68" s="313"/>
      <c r="L68" s="313"/>
      <c r="M68" s="313"/>
      <c r="N68" s="313"/>
      <c r="O68" s="313"/>
      <c r="P68" s="313"/>
      <c r="Q68" s="313"/>
    </row>
    <row r="69" spans="3:17" x14ac:dyDescent="0.25">
      <c r="C69" s="328"/>
      <c r="K69" s="313"/>
      <c r="L69" s="313"/>
      <c r="M69" s="313"/>
      <c r="N69" s="313"/>
      <c r="O69" s="313"/>
      <c r="P69" s="313"/>
      <c r="Q69" s="313"/>
    </row>
    <row r="70" spans="3:17" x14ac:dyDescent="0.25">
      <c r="C70" s="328"/>
      <c r="K70" s="313"/>
      <c r="L70" s="313"/>
      <c r="M70" s="313"/>
      <c r="N70" s="313"/>
      <c r="O70" s="313"/>
      <c r="P70" s="313"/>
      <c r="Q70" s="313"/>
    </row>
    <row r="71" spans="3:17" x14ac:dyDescent="0.25">
      <c r="C71" s="328"/>
      <c r="K71" s="313"/>
      <c r="L71" s="313"/>
      <c r="M71" s="313"/>
      <c r="N71" s="313"/>
      <c r="O71" s="313"/>
      <c r="P71" s="313"/>
      <c r="Q71" s="313"/>
    </row>
    <row r="72" spans="3:17" x14ac:dyDescent="0.25">
      <c r="C72" s="328"/>
      <c r="K72" s="313"/>
      <c r="L72" s="313"/>
      <c r="M72" s="313"/>
      <c r="N72" s="313"/>
      <c r="O72" s="313"/>
      <c r="P72" s="313"/>
      <c r="Q72" s="313"/>
    </row>
    <row r="73" spans="3:17" x14ac:dyDescent="0.25">
      <c r="C73" s="328"/>
      <c r="K73" s="313"/>
      <c r="L73" s="313"/>
      <c r="M73" s="313"/>
      <c r="N73" s="313"/>
      <c r="O73" s="313"/>
      <c r="P73" s="313"/>
      <c r="Q73" s="313"/>
    </row>
    <row r="74" spans="3:17" x14ac:dyDescent="0.25">
      <c r="C74" s="328"/>
      <c r="K74" s="313"/>
      <c r="L74" s="313"/>
      <c r="M74" s="313"/>
      <c r="N74" s="313"/>
      <c r="O74" s="313"/>
      <c r="P74" s="313"/>
      <c r="Q74" s="313"/>
    </row>
    <row r="75" spans="3:17" x14ac:dyDescent="0.25">
      <c r="C75" s="328"/>
      <c r="K75" s="313"/>
      <c r="L75" s="313"/>
      <c r="M75" s="313"/>
      <c r="N75" s="313"/>
      <c r="O75" s="313"/>
      <c r="P75" s="313"/>
      <c r="Q75" s="313"/>
    </row>
    <row r="76" spans="3:17" x14ac:dyDescent="0.25">
      <c r="C76" s="328"/>
      <c r="K76" s="313"/>
      <c r="L76" s="313"/>
      <c r="M76" s="313"/>
      <c r="N76" s="313"/>
      <c r="O76" s="313"/>
      <c r="P76" s="313"/>
      <c r="Q76" s="313"/>
    </row>
    <row r="77" spans="3:17" x14ac:dyDescent="0.25">
      <c r="C77" s="328"/>
      <c r="K77" s="313"/>
      <c r="L77" s="313"/>
      <c r="M77" s="313"/>
      <c r="N77" s="313"/>
      <c r="O77" s="313"/>
      <c r="P77" s="313"/>
      <c r="Q77" s="313"/>
    </row>
    <row r="78" spans="3:17" x14ac:dyDescent="0.25">
      <c r="C78" s="328"/>
      <c r="K78" s="313"/>
      <c r="L78" s="313"/>
      <c r="M78" s="313"/>
      <c r="N78" s="313"/>
      <c r="O78" s="313"/>
      <c r="P78" s="313"/>
      <c r="Q78" s="313"/>
    </row>
    <row r="79" spans="3:17" x14ac:dyDescent="0.25">
      <c r="C79" s="328"/>
      <c r="K79" s="313"/>
      <c r="L79" s="313"/>
      <c r="M79" s="313"/>
      <c r="N79" s="313"/>
      <c r="O79" s="313"/>
      <c r="P79" s="313"/>
      <c r="Q79" s="313"/>
    </row>
    <row r="80" spans="3:17" x14ac:dyDescent="0.25">
      <c r="C80" s="328"/>
      <c r="K80" s="313"/>
      <c r="L80" s="313"/>
      <c r="M80" s="313"/>
      <c r="N80" s="313"/>
      <c r="O80" s="313"/>
      <c r="P80" s="313"/>
      <c r="Q80" s="313"/>
    </row>
    <row r="81" spans="3:17" x14ac:dyDescent="0.25">
      <c r="C81" s="328"/>
      <c r="K81" s="313"/>
      <c r="L81" s="313"/>
      <c r="M81" s="313"/>
      <c r="N81" s="313"/>
      <c r="O81" s="313"/>
      <c r="P81" s="313"/>
      <c r="Q81" s="313"/>
    </row>
    <row r="82" spans="3:17" x14ac:dyDescent="0.25">
      <c r="C82" s="328"/>
      <c r="K82" s="313"/>
      <c r="L82" s="313"/>
      <c r="M82" s="313"/>
      <c r="N82" s="313"/>
      <c r="O82" s="313"/>
      <c r="P82" s="313"/>
      <c r="Q82" s="313"/>
    </row>
    <row r="83" spans="3:17" x14ac:dyDescent="0.25">
      <c r="C83" s="328"/>
      <c r="K83" s="313"/>
      <c r="L83" s="313"/>
      <c r="M83" s="313"/>
      <c r="N83" s="313"/>
      <c r="O83" s="313"/>
      <c r="P83" s="313"/>
      <c r="Q83" s="313"/>
    </row>
    <row r="84" spans="3:17" x14ac:dyDescent="0.25">
      <c r="C84" s="328"/>
    </row>
    <row r="85" spans="3:17" x14ac:dyDescent="0.25">
      <c r="C85" s="328"/>
    </row>
    <row r="86" spans="3:17" x14ac:dyDescent="0.25">
      <c r="C86" s="328"/>
    </row>
    <row r="87" spans="3:17" x14ac:dyDescent="0.25">
      <c r="C87" s="328"/>
    </row>
    <row r="88" spans="3:17" x14ac:dyDescent="0.25">
      <c r="C88" s="328"/>
    </row>
    <row r="89" spans="3:17" x14ac:dyDescent="0.25">
      <c r="C89" s="328"/>
    </row>
    <row r="90" spans="3:17" x14ac:dyDescent="0.25">
      <c r="C90" s="328"/>
    </row>
    <row r="91" spans="3:17" x14ac:dyDescent="0.25">
      <c r="C91" s="328"/>
    </row>
    <row r="92" spans="3:17" x14ac:dyDescent="0.25">
      <c r="C92" s="328"/>
    </row>
    <row r="93" spans="3:17" x14ac:dyDescent="0.25">
      <c r="C93" s="328"/>
    </row>
    <row r="94" spans="3:17" x14ac:dyDescent="0.25">
      <c r="C94" s="328"/>
    </row>
    <row r="95" spans="3:17" x14ac:dyDescent="0.25">
      <c r="C95" s="328"/>
    </row>
    <row r="96" spans="3:17" x14ac:dyDescent="0.25">
      <c r="C96" s="328"/>
    </row>
    <row r="97" spans="3:3" x14ac:dyDescent="0.25">
      <c r="C97" s="328"/>
    </row>
    <row r="98" spans="3:3" x14ac:dyDescent="0.25">
      <c r="C98" s="328"/>
    </row>
    <row r="99" spans="3:3" x14ac:dyDescent="0.25">
      <c r="C99" s="328"/>
    </row>
    <row r="100" spans="3:3" x14ac:dyDescent="0.25">
      <c r="C100" s="328"/>
    </row>
    <row r="101" spans="3:3" x14ac:dyDescent="0.25">
      <c r="C101" s="328"/>
    </row>
    <row r="102" spans="3:3" x14ac:dyDescent="0.25">
      <c r="C102" s="328"/>
    </row>
    <row r="103" spans="3:3" x14ac:dyDescent="0.25">
      <c r="C103" s="328"/>
    </row>
    <row r="104" spans="3:3" x14ac:dyDescent="0.25">
      <c r="C104" s="328"/>
    </row>
    <row r="105" spans="3:3" x14ac:dyDescent="0.25">
      <c r="C105" s="328"/>
    </row>
    <row r="106" spans="3:3" x14ac:dyDescent="0.25">
      <c r="C106" s="328"/>
    </row>
    <row r="107" spans="3:3" x14ac:dyDescent="0.25">
      <c r="C107" s="328"/>
    </row>
    <row r="108" spans="3:3" x14ac:dyDescent="0.25">
      <c r="C108" s="328"/>
    </row>
    <row r="109" spans="3:3" x14ac:dyDescent="0.25">
      <c r="C109" s="328"/>
    </row>
    <row r="110" spans="3:3" x14ac:dyDescent="0.25">
      <c r="C110" s="328"/>
    </row>
    <row r="111" spans="3:3" x14ac:dyDescent="0.25">
      <c r="C111" s="328"/>
    </row>
    <row r="112" spans="3:3" x14ac:dyDescent="0.25">
      <c r="C112" s="328"/>
    </row>
    <row r="113" spans="3:3" x14ac:dyDescent="0.25">
      <c r="C113" s="328"/>
    </row>
    <row r="114" spans="3:3" x14ac:dyDescent="0.25">
      <c r="C114" s="328"/>
    </row>
    <row r="115" spans="3:3" x14ac:dyDescent="0.25">
      <c r="C115" s="328"/>
    </row>
    <row r="116" spans="3:3" x14ac:dyDescent="0.25">
      <c r="C116" s="328"/>
    </row>
    <row r="117" spans="3:3" x14ac:dyDescent="0.25">
      <c r="C117" s="328"/>
    </row>
    <row r="118" spans="3:3" x14ac:dyDescent="0.25">
      <c r="C118" s="328"/>
    </row>
    <row r="119" spans="3:3" x14ac:dyDescent="0.25">
      <c r="C119" s="328"/>
    </row>
    <row r="120" spans="3:3" x14ac:dyDescent="0.25">
      <c r="C120" s="328"/>
    </row>
    <row r="121" spans="3:3" x14ac:dyDescent="0.25">
      <c r="C121" s="328"/>
    </row>
    <row r="122" spans="3:3" x14ac:dyDescent="0.25">
      <c r="C122" s="328"/>
    </row>
    <row r="123" spans="3:3" x14ac:dyDescent="0.25">
      <c r="C123" s="328"/>
    </row>
  </sheetData>
  <mergeCells count="5">
    <mergeCell ref="L9:L10"/>
    <mergeCell ref="L7:P7"/>
    <mergeCell ref="J6:P6"/>
    <mergeCell ref="L8:P8"/>
    <mergeCell ref="J7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74"/>
  <sheetViews>
    <sheetView topLeftCell="A3" zoomScaleNormal="100" workbookViewId="0">
      <pane xSplit="2" ySplit="5" topLeftCell="M8" activePane="bottomRight" state="frozen"/>
      <selection activeCell="A3" sqref="A3"/>
      <selection pane="topRight" activeCell="B3" sqref="B3"/>
      <selection pane="bottomLeft" activeCell="A8" sqref="A8"/>
      <selection pane="bottomRight" activeCell="P8" sqref="P8"/>
    </sheetView>
  </sheetViews>
  <sheetFormatPr baseColWidth="10" defaultRowHeight="15" x14ac:dyDescent="0.25"/>
  <cols>
    <col min="1" max="1" width="6.7109375" customWidth="1"/>
    <col min="2" max="2" width="82.7109375" customWidth="1"/>
    <col min="3" max="3" width="21" customWidth="1"/>
    <col min="4" max="6" width="14.7109375" customWidth="1"/>
    <col min="7" max="7" width="15.28515625" customWidth="1"/>
    <col min="8" max="8" width="1.42578125" customWidth="1"/>
    <col min="9" max="9" width="15.28515625" customWidth="1"/>
    <col min="10" max="11" width="14.7109375" customWidth="1"/>
    <col min="12" max="12" width="15.28515625" customWidth="1"/>
    <col min="13" max="13" width="1.42578125" customWidth="1"/>
    <col min="14" max="14" width="15.5703125" customWidth="1"/>
    <col min="15" max="16" width="14.7109375" customWidth="1"/>
    <col min="17" max="17" width="15.28515625" customWidth="1"/>
    <col min="18" max="18" width="1.42578125" customWidth="1"/>
    <col min="19" max="19" width="15.5703125" customWidth="1"/>
    <col min="20" max="21" width="14.7109375" customWidth="1"/>
    <col min="22" max="22" width="15.28515625" customWidth="1"/>
    <col min="23" max="23" width="1.42578125" customWidth="1"/>
    <col min="24" max="24" width="15.5703125" customWidth="1"/>
    <col min="25" max="26" width="14.7109375" customWidth="1"/>
    <col min="27" max="27" width="15.28515625" customWidth="1"/>
  </cols>
  <sheetData>
    <row r="1" spans="2:44" ht="16.5" thickBot="1" x14ac:dyDescent="0.3">
      <c r="B1" s="2" t="s">
        <v>23</v>
      </c>
      <c r="C1" s="2"/>
      <c r="D1" s="12" t="s">
        <v>22</v>
      </c>
      <c r="E1" s="16"/>
      <c r="F1" s="16"/>
      <c r="G1" s="16"/>
      <c r="H1" s="16"/>
    </row>
    <row r="2" spans="2:44" x14ac:dyDescent="0.25">
      <c r="E2" s="4"/>
      <c r="F2" t="s">
        <v>35</v>
      </c>
    </row>
    <row r="3" spans="2:44" ht="16.5" thickBot="1" x14ac:dyDescent="0.3">
      <c r="B3" s="2" t="s">
        <v>0</v>
      </c>
      <c r="C3" s="2"/>
      <c r="D3" s="1"/>
      <c r="E3" s="1"/>
      <c r="F3" s="1"/>
      <c r="G3" s="1"/>
      <c r="H3" s="17"/>
      <c r="I3" s="1"/>
      <c r="J3" s="1"/>
      <c r="K3" s="1"/>
      <c r="L3" s="1"/>
      <c r="M3" s="1"/>
      <c r="W3" s="13"/>
    </row>
    <row r="4" spans="2:44" ht="15.75" thickBot="1" x14ac:dyDescent="0.3">
      <c r="D4" s="654" t="s">
        <v>89</v>
      </c>
      <c r="E4" s="655"/>
      <c r="F4" s="655"/>
      <c r="G4" s="656"/>
      <c r="H4" s="13"/>
      <c r="I4" s="657" t="s">
        <v>90</v>
      </c>
      <c r="J4" s="658"/>
      <c r="K4" s="658"/>
      <c r="L4" s="659"/>
      <c r="N4" s="657" t="s">
        <v>91</v>
      </c>
      <c r="O4" s="658"/>
      <c r="P4" s="658"/>
      <c r="Q4" s="659"/>
      <c r="R4" s="13"/>
      <c r="S4" s="657" t="s">
        <v>92</v>
      </c>
      <c r="T4" s="658"/>
      <c r="U4" s="658"/>
      <c r="V4" s="659"/>
      <c r="W4" s="13"/>
      <c r="X4" s="657" t="s">
        <v>93</v>
      </c>
      <c r="Y4" s="658"/>
      <c r="Z4" s="658"/>
      <c r="AA4" s="659"/>
    </row>
    <row r="5" spans="2:44" ht="30" x14ac:dyDescent="0.25">
      <c r="D5" s="30" t="s">
        <v>33</v>
      </c>
      <c r="E5" s="250" t="s">
        <v>30</v>
      </c>
      <c r="F5" s="250" t="s">
        <v>187</v>
      </c>
      <c r="G5" s="251" t="s">
        <v>188</v>
      </c>
      <c r="H5" s="17"/>
      <c r="I5" s="30" t="s">
        <v>33</v>
      </c>
      <c r="J5" s="105" t="s">
        <v>30</v>
      </c>
      <c r="K5" s="250" t="s">
        <v>187</v>
      </c>
      <c r="L5" s="251" t="s">
        <v>188</v>
      </c>
      <c r="M5" s="17"/>
      <c r="N5" s="30" t="s">
        <v>33</v>
      </c>
      <c r="O5" s="28" t="s">
        <v>30</v>
      </c>
      <c r="P5" s="29" t="s">
        <v>31</v>
      </c>
      <c r="Q5" s="286" t="s">
        <v>32</v>
      </c>
      <c r="R5" s="17"/>
      <c r="S5" s="30" t="s">
        <v>33</v>
      </c>
      <c r="T5" s="28" t="s">
        <v>30</v>
      </c>
      <c r="U5" s="29" t="s">
        <v>31</v>
      </c>
      <c r="V5" s="286" t="s">
        <v>32</v>
      </c>
      <c r="W5" s="17"/>
      <c r="X5" s="30" t="s">
        <v>33</v>
      </c>
      <c r="Y5" s="28" t="s">
        <v>30</v>
      </c>
      <c r="Z5" s="29" t="s">
        <v>31</v>
      </c>
      <c r="AA5" s="286" t="s">
        <v>32</v>
      </c>
    </row>
    <row r="6" spans="2:44" x14ac:dyDescent="0.25">
      <c r="B6" s="1" t="s">
        <v>192</v>
      </c>
      <c r="D6" s="40"/>
      <c r="E6" s="253" t="s">
        <v>189</v>
      </c>
      <c r="F6" s="253" t="s">
        <v>190</v>
      </c>
      <c r="G6" s="254" t="s">
        <v>191</v>
      </c>
      <c r="H6" s="17"/>
      <c r="I6" s="40"/>
      <c r="J6" s="252"/>
      <c r="K6" s="253"/>
      <c r="L6" s="254"/>
      <c r="M6" s="17"/>
      <c r="N6" s="40"/>
      <c r="O6" s="253"/>
      <c r="P6" s="255"/>
      <c r="Q6" s="287"/>
      <c r="R6" s="17"/>
      <c r="S6" s="40"/>
      <c r="T6" s="253"/>
      <c r="U6" s="255"/>
      <c r="V6" s="287"/>
      <c r="W6" s="17"/>
      <c r="X6" s="40"/>
      <c r="Y6" s="253"/>
      <c r="Z6" s="255"/>
      <c r="AA6" s="287"/>
    </row>
    <row r="7" spans="2:44" x14ac:dyDescent="0.25">
      <c r="B7" s="3"/>
      <c r="C7" s="3"/>
      <c r="D7" s="41" t="s">
        <v>24</v>
      </c>
      <c r="E7" s="42"/>
      <c r="F7" s="42"/>
      <c r="G7" s="106"/>
      <c r="H7" s="43"/>
      <c r="I7" s="41" t="s">
        <v>25</v>
      </c>
      <c r="J7" s="45"/>
      <c r="K7" s="42"/>
      <c r="L7" s="106"/>
      <c r="M7" s="44"/>
      <c r="N7" s="41" t="s">
        <v>25</v>
      </c>
      <c r="O7" s="42"/>
      <c r="P7" s="42"/>
      <c r="Q7" s="106"/>
      <c r="R7" s="43"/>
      <c r="S7" s="41" t="s">
        <v>25</v>
      </c>
      <c r="T7" s="42"/>
      <c r="U7" s="42"/>
      <c r="V7" s="106"/>
      <c r="W7" s="43"/>
      <c r="X7" s="41" t="s">
        <v>25</v>
      </c>
      <c r="Y7" s="42"/>
      <c r="Z7" s="42"/>
      <c r="AA7" s="106"/>
    </row>
    <row r="8" spans="2:44" x14ac:dyDescent="0.25">
      <c r="B8" s="53" t="s">
        <v>1</v>
      </c>
      <c r="C8" s="39" t="s">
        <v>34</v>
      </c>
      <c r="D8" s="31"/>
      <c r="E8" s="21"/>
      <c r="F8" s="21"/>
      <c r="G8" s="107"/>
      <c r="H8" s="13"/>
      <c r="I8" s="31"/>
      <c r="J8" s="46"/>
      <c r="K8" s="21"/>
      <c r="L8" s="107"/>
      <c r="N8" s="31"/>
      <c r="O8" s="21"/>
      <c r="P8" s="21"/>
      <c r="Q8" s="107"/>
      <c r="R8" s="13"/>
      <c r="S8" s="172"/>
      <c r="T8" s="173"/>
      <c r="U8" s="173"/>
      <c r="V8" s="288"/>
      <c r="W8" s="13"/>
      <c r="X8" s="172"/>
      <c r="Y8" s="173"/>
      <c r="Z8" s="173"/>
      <c r="AA8" s="288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</row>
    <row r="9" spans="2:44" x14ac:dyDescent="0.25">
      <c r="B9" s="15"/>
      <c r="C9" s="276"/>
      <c r="D9" s="31"/>
      <c r="E9" s="21"/>
      <c r="F9" s="21"/>
      <c r="G9" s="107"/>
      <c r="H9" s="13"/>
      <c r="I9" s="31"/>
      <c r="J9" s="46"/>
      <c r="K9" s="21"/>
      <c r="L9" s="107"/>
      <c r="N9" s="31"/>
      <c r="O9" s="21"/>
      <c r="P9" s="21"/>
      <c r="Q9" s="107"/>
      <c r="R9" s="13"/>
      <c r="S9" s="172"/>
      <c r="T9" s="173"/>
      <c r="U9" s="173"/>
      <c r="V9" s="288"/>
      <c r="W9" s="13"/>
      <c r="X9" s="172"/>
      <c r="Y9" s="173"/>
      <c r="Z9" s="173"/>
      <c r="AA9" s="288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</row>
    <row r="10" spans="2:44" x14ac:dyDescent="0.25">
      <c r="B10" s="429" t="s">
        <v>186</v>
      </c>
      <c r="C10" s="289" t="s">
        <v>36</v>
      </c>
      <c r="D10" s="415">
        <f>+E10</f>
        <v>156336</v>
      </c>
      <c r="E10" s="421">
        <f>+'CA estimé 2021'!D14</f>
        <v>156336</v>
      </c>
      <c r="F10" s="417"/>
      <c r="G10" s="418"/>
      <c r="H10" s="419"/>
      <c r="I10" s="415">
        <f>+K10</f>
        <v>170000</v>
      </c>
      <c r="J10" s="420"/>
      <c r="K10" s="421">
        <v>170000</v>
      </c>
      <c r="L10" s="418"/>
      <c r="M10" s="419"/>
      <c r="N10" s="415">
        <f>+P10</f>
        <v>180000</v>
      </c>
      <c r="O10" s="417"/>
      <c r="P10" s="421">
        <v>180000</v>
      </c>
      <c r="Q10" s="418"/>
      <c r="R10" s="419"/>
      <c r="S10" s="415">
        <f>+U10</f>
        <v>190000</v>
      </c>
      <c r="T10" s="417"/>
      <c r="U10" s="421">
        <v>190000</v>
      </c>
      <c r="V10" s="418"/>
      <c r="W10" s="419"/>
      <c r="X10" s="415">
        <f>+Z10</f>
        <v>200000</v>
      </c>
      <c r="Y10" s="417"/>
      <c r="Z10" s="421">
        <v>200000</v>
      </c>
      <c r="AA10" s="418"/>
      <c r="AB10" s="70"/>
      <c r="AC10" s="70"/>
      <c r="AD10" s="70"/>
      <c r="AE10" s="70"/>
      <c r="AF10" s="70"/>
      <c r="AG10" s="70"/>
      <c r="AH10" s="70"/>
      <c r="AI10" s="70"/>
      <c r="AJ10" s="70"/>
    </row>
    <row r="11" spans="2:44" ht="25.9" customHeight="1" x14ac:dyDescent="0.25">
      <c r="B11" s="429" t="s">
        <v>193</v>
      </c>
      <c r="C11" s="277" t="s">
        <v>272</v>
      </c>
      <c r="D11" s="415">
        <v>0</v>
      </c>
      <c r="E11" s="417"/>
      <c r="F11" s="421">
        <f>+'BM 2 Franchise'!D40</f>
        <v>0</v>
      </c>
      <c r="G11" s="418"/>
      <c r="H11" s="419"/>
      <c r="I11" s="415">
        <f>+K11</f>
        <v>30600</v>
      </c>
      <c r="J11" s="420"/>
      <c r="K11" s="422">
        <f>+'BM 2 Franchise'!E40</f>
        <v>30600</v>
      </c>
      <c r="L11" s="418"/>
      <c r="M11" s="419"/>
      <c r="N11" s="415">
        <f>+P11</f>
        <v>92800</v>
      </c>
      <c r="O11" s="417"/>
      <c r="P11" s="421">
        <f>+'BM 2 Franchise'!F40</f>
        <v>92800</v>
      </c>
      <c r="Q11" s="418"/>
      <c r="R11" s="419"/>
      <c r="S11" s="415">
        <f>+U11</f>
        <v>163600</v>
      </c>
      <c r="T11" s="417"/>
      <c r="U11" s="421">
        <f>+'BM 2 Franchise'!G40</f>
        <v>163600</v>
      </c>
      <c r="V11" s="418"/>
      <c r="W11" s="419"/>
      <c r="X11" s="415">
        <f>+Z11</f>
        <v>242000</v>
      </c>
      <c r="Y11" s="417"/>
      <c r="Z11" s="421">
        <f>+'BM 2 Franchise'!H40</f>
        <v>242000</v>
      </c>
      <c r="AA11" s="418"/>
      <c r="AB11" s="70"/>
      <c r="AC11" s="70"/>
      <c r="AD11" s="70"/>
      <c r="AE11" s="70"/>
      <c r="AF11" s="70"/>
      <c r="AG11" s="70"/>
      <c r="AH11" s="70"/>
      <c r="AI11" s="70"/>
      <c r="AJ11" s="70"/>
    </row>
    <row r="12" spans="2:44" ht="20.45" customHeight="1" x14ac:dyDescent="0.25">
      <c r="B12" s="429" t="s">
        <v>207</v>
      </c>
      <c r="C12" s="277" t="s">
        <v>210</v>
      </c>
      <c r="D12" s="415">
        <f>+E12</f>
        <v>8830</v>
      </c>
      <c r="E12" s="421">
        <f>+'CA estimé 2021'!E14</f>
        <v>8830</v>
      </c>
      <c r="F12" s="417"/>
      <c r="G12" s="418"/>
      <c r="H12" s="419"/>
      <c r="I12" s="415">
        <f>+J12</f>
        <v>168424</v>
      </c>
      <c r="J12" s="416">
        <f>+'BM 3 Formation'!H17</f>
        <v>168424</v>
      </c>
      <c r="K12" s="417"/>
      <c r="L12" s="418"/>
      <c r="M12" s="419"/>
      <c r="N12" s="415">
        <f>+O12</f>
        <v>258824</v>
      </c>
      <c r="O12" s="421">
        <f>+'BM 3 Formation'!I17</f>
        <v>258824</v>
      </c>
      <c r="P12" s="417"/>
      <c r="Q12" s="418"/>
      <c r="R12" s="419"/>
      <c r="S12" s="415">
        <f>+T12</f>
        <v>270824</v>
      </c>
      <c r="T12" s="421">
        <f>+'BM 3 Formation'!J17</f>
        <v>270824</v>
      </c>
      <c r="U12" s="417"/>
      <c r="V12" s="418"/>
      <c r="W12" s="419"/>
      <c r="X12" s="415">
        <f>+Y12</f>
        <v>282824</v>
      </c>
      <c r="Y12" s="421">
        <f>+'BM 3 Formation'!K17</f>
        <v>282824</v>
      </c>
      <c r="Z12" s="417"/>
      <c r="AA12" s="418"/>
      <c r="AB12" s="70"/>
      <c r="AC12" s="70"/>
      <c r="AD12" s="70"/>
      <c r="AE12" s="70"/>
      <c r="AF12" s="70"/>
      <c r="AG12" s="70"/>
      <c r="AH12" s="70"/>
      <c r="AI12" s="70"/>
      <c r="AJ12" s="70"/>
    </row>
    <row r="13" spans="2:44" ht="17.25" customHeight="1" x14ac:dyDescent="0.25">
      <c r="B13" s="429" t="s">
        <v>222</v>
      </c>
      <c r="C13" s="277" t="s">
        <v>211</v>
      </c>
      <c r="D13" s="415">
        <f>+F13</f>
        <v>0</v>
      </c>
      <c r="E13" s="417"/>
      <c r="F13" s="421">
        <v>0</v>
      </c>
      <c r="G13" s="418"/>
      <c r="H13" s="419"/>
      <c r="I13" s="415">
        <f>+K13</f>
        <v>19000</v>
      </c>
      <c r="J13" s="420"/>
      <c r="K13" s="421">
        <f>+'BM 4 QVT'!K12</f>
        <v>19000</v>
      </c>
      <c r="L13" s="418"/>
      <c r="M13" s="419"/>
      <c r="N13" s="415">
        <f>+P13</f>
        <v>19000</v>
      </c>
      <c r="O13" s="417"/>
      <c r="P13" s="421">
        <f>+'BM 4 QVT'!K12</f>
        <v>19000</v>
      </c>
      <c r="Q13" s="418"/>
      <c r="R13" s="419"/>
      <c r="S13" s="415">
        <f>+U13</f>
        <v>19000</v>
      </c>
      <c r="T13" s="417"/>
      <c r="U13" s="421">
        <f>+'BM 4 QVT'!K12</f>
        <v>19000</v>
      </c>
      <c r="V13" s="418"/>
      <c r="W13" s="419"/>
      <c r="X13" s="415">
        <f>+Z13</f>
        <v>19000</v>
      </c>
      <c r="Y13" s="417" t="s">
        <v>45</v>
      </c>
      <c r="Z13" s="421">
        <f>+'BM 4 QVT'!K12</f>
        <v>19000</v>
      </c>
      <c r="AA13" s="418"/>
      <c r="AB13" s="70"/>
      <c r="AC13" s="70"/>
      <c r="AD13" s="70"/>
      <c r="AE13" s="70"/>
      <c r="AF13" s="70"/>
      <c r="AG13" s="70"/>
      <c r="AH13" s="70"/>
      <c r="AI13" s="70"/>
      <c r="AJ13" s="70"/>
    </row>
    <row r="14" spans="2:44" x14ac:dyDescent="0.25">
      <c r="B14" s="70"/>
      <c r="C14" s="70"/>
      <c r="D14" s="423"/>
      <c r="E14" s="425"/>
      <c r="F14" s="425"/>
      <c r="G14" s="426"/>
      <c r="H14" s="427"/>
      <c r="I14" s="423"/>
      <c r="J14" s="424"/>
      <c r="K14" s="425"/>
      <c r="L14" s="426"/>
      <c r="M14" s="428"/>
      <c r="N14" s="423"/>
      <c r="O14" s="425"/>
      <c r="P14" s="425"/>
      <c r="Q14" s="426"/>
      <c r="R14" s="427"/>
      <c r="S14" s="423"/>
      <c r="T14" s="425"/>
      <c r="U14" s="425"/>
      <c r="V14" s="426"/>
      <c r="W14" s="427"/>
      <c r="X14" s="423"/>
      <c r="Y14" s="425"/>
      <c r="Z14" s="425"/>
      <c r="AA14" s="426"/>
      <c r="AB14" s="70"/>
      <c r="AC14" s="70"/>
      <c r="AD14" s="70"/>
      <c r="AE14" s="70"/>
      <c r="AF14" s="70"/>
      <c r="AG14" s="70"/>
      <c r="AH14" s="70"/>
      <c r="AI14" s="70"/>
      <c r="AJ14" s="70"/>
    </row>
    <row r="15" spans="2:44" x14ac:dyDescent="0.25">
      <c r="B15" s="10" t="s">
        <v>2</v>
      </c>
      <c r="C15" s="10"/>
      <c r="D15" s="33">
        <f>SUM(D10:D14)</f>
        <v>165166</v>
      </c>
      <c r="E15" s="24">
        <f>SUM(E10:E14)</f>
        <v>165166</v>
      </c>
      <c r="F15" s="24">
        <f>SUM(F10:F14)</f>
        <v>0</v>
      </c>
      <c r="G15" s="109">
        <f>SUM(G10:G14)</f>
        <v>0</v>
      </c>
      <c r="H15" s="19"/>
      <c r="I15" s="33">
        <f>SUM(I10:I14)</f>
        <v>388024</v>
      </c>
      <c r="J15" s="48">
        <f>SUM(J10:J14)</f>
        <v>168424</v>
      </c>
      <c r="K15" s="24">
        <f>SUM(K10:K14)</f>
        <v>219600</v>
      </c>
      <c r="L15" s="109">
        <f>SUM(L10:L14)</f>
        <v>0</v>
      </c>
      <c r="M15" s="11"/>
      <c r="N15" s="33">
        <f>SUM(N10:N14)</f>
        <v>550624</v>
      </c>
      <c r="O15" s="24">
        <f>SUM(O9:O13)</f>
        <v>258824</v>
      </c>
      <c r="P15" s="24">
        <f>SUM(P10:P14)</f>
        <v>291800</v>
      </c>
      <c r="Q15" s="109">
        <f>SUM(Q10:Q14)</f>
        <v>0</v>
      </c>
      <c r="R15" s="19"/>
      <c r="S15" s="33">
        <f>SUM(S10:S14)</f>
        <v>643424</v>
      </c>
      <c r="T15" s="24">
        <f>SUM(T9:T13)</f>
        <v>270824</v>
      </c>
      <c r="U15" s="24">
        <f>SUM(U10:U14)</f>
        <v>372600</v>
      </c>
      <c r="V15" s="109">
        <f>SUM(V10:V14)</f>
        <v>0</v>
      </c>
      <c r="W15" s="19"/>
      <c r="X15" s="33">
        <f>SUM(X10:X14)</f>
        <v>743824</v>
      </c>
      <c r="Y15" s="24">
        <f>SUM(Y9:Y13)</f>
        <v>282824</v>
      </c>
      <c r="Z15" s="24">
        <f>SUM(Z10:Z14)</f>
        <v>461000</v>
      </c>
      <c r="AA15" s="109">
        <f>SUM(AA10:AA14)</f>
        <v>0</v>
      </c>
    </row>
    <row r="16" spans="2:44" x14ac:dyDescent="0.25">
      <c r="D16" s="32"/>
      <c r="E16" s="23"/>
      <c r="F16" s="23"/>
      <c r="G16" s="108"/>
      <c r="H16" s="18"/>
      <c r="I16" s="32"/>
      <c r="J16" s="47"/>
      <c r="K16" s="23"/>
      <c r="L16" s="108"/>
      <c r="M16" s="6"/>
      <c r="N16" s="32"/>
      <c r="O16" s="23"/>
      <c r="P16" s="23"/>
      <c r="Q16" s="108"/>
      <c r="R16" s="18"/>
      <c r="S16" s="32"/>
      <c r="T16" s="23"/>
      <c r="U16" s="23"/>
      <c r="V16" s="108"/>
      <c r="W16" s="18"/>
      <c r="X16" s="32"/>
      <c r="Y16" s="23"/>
      <c r="Z16" s="23"/>
      <c r="AA16" s="108"/>
    </row>
    <row r="17" spans="2:35" x14ac:dyDescent="0.25">
      <c r="D17" s="32"/>
      <c r="E17" s="23"/>
      <c r="F17" s="23"/>
      <c r="G17" s="108"/>
      <c r="H17" s="18"/>
      <c r="I17" s="32"/>
      <c r="J17" s="47"/>
      <c r="K17" s="23"/>
      <c r="L17" s="108"/>
      <c r="M17" s="6"/>
      <c r="N17" s="32"/>
      <c r="O17" s="23"/>
      <c r="P17" s="23"/>
      <c r="Q17" s="108"/>
      <c r="R17" s="18"/>
      <c r="S17" s="32"/>
      <c r="T17" s="23"/>
      <c r="U17" s="23"/>
      <c r="V17" s="108"/>
      <c r="W17" s="18"/>
      <c r="X17" s="32"/>
      <c r="Y17" s="23"/>
      <c r="Z17" s="23"/>
      <c r="AA17" s="108"/>
    </row>
    <row r="18" spans="2:35" x14ac:dyDescent="0.25">
      <c r="B18" s="53" t="s">
        <v>3</v>
      </c>
      <c r="C18" s="53"/>
      <c r="D18" s="32"/>
      <c r="E18" s="23"/>
      <c r="F18" s="23"/>
      <c r="G18" s="108"/>
      <c r="H18" s="18"/>
      <c r="I18" s="32"/>
      <c r="J18" s="47"/>
      <c r="K18" s="23"/>
      <c r="L18" s="108"/>
      <c r="M18" s="6"/>
      <c r="N18" s="32"/>
      <c r="O18" s="23"/>
      <c r="P18" s="23"/>
      <c r="Q18" s="108"/>
      <c r="R18" s="18"/>
      <c r="S18" s="32"/>
      <c r="T18" s="23"/>
      <c r="U18" s="23"/>
      <c r="V18" s="108"/>
      <c r="W18" s="18"/>
      <c r="X18" s="32"/>
      <c r="Y18" s="23"/>
      <c r="Z18" s="23"/>
      <c r="AA18" s="108"/>
    </row>
    <row r="19" spans="2:35" x14ac:dyDescent="0.25">
      <c r="D19" s="32"/>
      <c r="E19" s="23"/>
      <c r="F19" s="23"/>
      <c r="G19" s="108"/>
      <c r="H19" s="18"/>
      <c r="I19" s="32"/>
      <c r="J19" s="47"/>
      <c r="K19" s="23"/>
      <c r="L19" s="108"/>
      <c r="M19" s="6"/>
      <c r="N19" s="32"/>
      <c r="O19" s="23"/>
      <c r="P19" s="23"/>
      <c r="Q19" s="108"/>
      <c r="R19" s="18"/>
      <c r="S19" s="32"/>
      <c r="T19" s="23"/>
      <c r="U19" s="23"/>
      <c r="V19" s="108"/>
      <c r="W19" s="18"/>
      <c r="X19" s="32"/>
      <c r="Y19" s="23"/>
      <c r="Z19" s="23"/>
      <c r="AA19" s="108"/>
    </row>
    <row r="20" spans="2:35" x14ac:dyDescent="0.25">
      <c r="B20" s="13" t="s">
        <v>186</v>
      </c>
      <c r="D20" s="32"/>
      <c r="E20" s="23"/>
      <c r="F20" s="23"/>
      <c r="G20" s="108"/>
      <c r="H20" s="18"/>
      <c r="I20" s="32"/>
      <c r="J20" s="47"/>
      <c r="K20" s="23"/>
      <c r="L20" s="108"/>
      <c r="M20" s="6"/>
      <c r="N20" s="32"/>
      <c r="O20" s="23"/>
      <c r="P20" s="23"/>
      <c r="Q20" s="108"/>
      <c r="R20" s="18"/>
      <c r="S20" s="32"/>
      <c r="T20" s="23"/>
      <c r="U20" s="23"/>
      <c r="V20" s="108"/>
      <c r="W20" s="18"/>
      <c r="X20" s="32">
        <f>SUM(Y20:AA20)</f>
        <v>0</v>
      </c>
      <c r="Y20" s="23"/>
      <c r="Z20" s="23"/>
      <c r="AA20" s="108"/>
    </row>
    <row r="21" spans="2:35" x14ac:dyDescent="0.25">
      <c r="B21" s="118" t="s">
        <v>193</v>
      </c>
      <c r="D21" s="32">
        <f>SUM(E21:G21)</f>
        <v>0</v>
      </c>
      <c r="E21" s="23"/>
      <c r="F21" s="23">
        <v>0</v>
      </c>
      <c r="G21" s="108"/>
      <c r="H21" s="18"/>
      <c r="I21" s="32"/>
      <c r="J21" s="47"/>
      <c r="K21" s="23"/>
      <c r="L21" s="108"/>
      <c r="M21" s="6"/>
      <c r="N21" s="32"/>
      <c r="O21" s="23"/>
      <c r="P21" s="23"/>
      <c r="Q21" s="108"/>
      <c r="R21" s="18"/>
      <c r="S21" s="32"/>
      <c r="T21" s="23"/>
      <c r="U21" s="23"/>
      <c r="V21" s="108"/>
      <c r="W21" s="18"/>
      <c r="X21" s="32">
        <f>SUM(Y21:AA21)</f>
        <v>0</v>
      </c>
      <c r="Y21" s="23"/>
      <c r="Z21" s="23"/>
      <c r="AA21" s="108"/>
    </row>
    <row r="22" spans="2:35" x14ac:dyDescent="0.25">
      <c r="B22" s="13" t="s">
        <v>216</v>
      </c>
      <c r="D22" s="32">
        <f>SUM(E22:G22)</f>
        <v>2649</v>
      </c>
      <c r="E22" s="23">
        <f>E12*30%</f>
        <v>2649</v>
      </c>
      <c r="F22" s="23"/>
      <c r="G22" s="108"/>
      <c r="H22" s="18"/>
      <c r="I22" s="32">
        <f>SUM(J22:L22)</f>
        <v>50527.199999999997</v>
      </c>
      <c r="J22" s="47">
        <f>J12*30%</f>
        <v>50527.199999999997</v>
      </c>
      <c r="K22" s="23"/>
      <c r="L22" s="108"/>
      <c r="M22" s="6"/>
      <c r="N22" s="32">
        <f>SUM(O22:Q22)</f>
        <v>77647.199999999997</v>
      </c>
      <c r="O22" s="23">
        <f>O12*30%</f>
        <v>77647.199999999997</v>
      </c>
      <c r="P22" s="23"/>
      <c r="Q22" s="108"/>
      <c r="R22" s="18"/>
      <c r="S22" s="32">
        <f>SUM(T22:V22)</f>
        <v>81247.199999999997</v>
      </c>
      <c r="T22" s="23">
        <f>T12*30%</f>
        <v>81247.199999999997</v>
      </c>
      <c r="U22" s="23"/>
      <c r="V22" s="108"/>
      <c r="W22" s="18"/>
      <c r="X22" s="32">
        <f>SUM(Y22:AA22)</f>
        <v>84847.2</v>
      </c>
      <c r="Y22" s="23">
        <f>Y12*30%</f>
        <v>84847.2</v>
      </c>
      <c r="Z22" s="23"/>
      <c r="AA22" s="108"/>
    </row>
    <row r="23" spans="2:35" x14ac:dyDescent="0.25">
      <c r="B23" s="13" t="s">
        <v>208</v>
      </c>
      <c r="D23" s="32">
        <f>SUM(E23:G23)</f>
        <v>0</v>
      </c>
      <c r="E23" s="23"/>
      <c r="F23" s="23"/>
      <c r="G23" s="108"/>
      <c r="H23" s="18"/>
      <c r="I23" s="32">
        <f>SUM(J23:L23)</f>
        <v>0</v>
      </c>
      <c r="J23" s="47"/>
      <c r="K23" s="23">
        <v>0</v>
      </c>
      <c r="L23" s="108"/>
      <c r="M23" s="6"/>
      <c r="N23" s="32"/>
      <c r="O23" s="23"/>
      <c r="P23" s="23"/>
      <c r="Q23" s="108"/>
      <c r="R23" s="18"/>
      <c r="S23" s="32"/>
      <c r="T23" s="23"/>
      <c r="U23" s="23"/>
      <c r="V23" s="108"/>
      <c r="W23" s="18"/>
      <c r="X23" s="32">
        <f>SUM(Y23:AA23)</f>
        <v>0</v>
      </c>
      <c r="Y23" s="23"/>
      <c r="Z23" s="23"/>
      <c r="AA23" s="108"/>
    </row>
    <row r="24" spans="2:35" x14ac:dyDescent="0.25">
      <c r="B24" s="13"/>
      <c r="D24" s="32">
        <f>SUM(E24:G24)</f>
        <v>0</v>
      </c>
      <c r="E24" s="23"/>
      <c r="F24" s="23"/>
      <c r="G24" s="108"/>
      <c r="H24" s="18"/>
      <c r="I24" s="32">
        <f>SUM(J24:L24)</f>
        <v>0</v>
      </c>
      <c r="J24" s="47"/>
      <c r="K24" s="23"/>
      <c r="L24" s="108"/>
      <c r="M24" s="6"/>
      <c r="N24" s="32"/>
      <c r="O24" s="23"/>
      <c r="P24" s="23"/>
      <c r="Q24" s="108"/>
      <c r="R24" s="18"/>
      <c r="S24" s="32"/>
      <c r="T24" s="23"/>
      <c r="U24" s="23"/>
      <c r="V24" s="108"/>
      <c r="W24" s="18"/>
      <c r="X24" s="32">
        <f>SUM(Y24:AA24)</f>
        <v>0</v>
      </c>
      <c r="Y24" s="23"/>
      <c r="Z24" s="23"/>
      <c r="AA24" s="108"/>
    </row>
    <row r="25" spans="2:35" x14ac:dyDescent="0.25">
      <c r="B25" s="17" t="s">
        <v>45</v>
      </c>
      <c r="D25" s="32"/>
      <c r="E25" s="23"/>
      <c r="F25" s="23"/>
      <c r="G25" s="108"/>
      <c r="H25" s="18"/>
      <c r="I25" s="32"/>
      <c r="J25" s="47"/>
      <c r="K25" s="23"/>
      <c r="L25" s="108"/>
      <c r="M25" s="6"/>
      <c r="N25" s="32"/>
      <c r="O25" s="23"/>
      <c r="P25" s="23"/>
      <c r="Q25" s="108"/>
      <c r="R25" s="18"/>
      <c r="S25" s="32"/>
      <c r="T25" s="23"/>
      <c r="U25" s="23"/>
      <c r="V25" s="108"/>
      <c r="W25" s="18"/>
      <c r="X25" s="32"/>
      <c r="Y25" s="23"/>
      <c r="Z25" s="23"/>
      <c r="AA25" s="108"/>
    </row>
    <row r="26" spans="2:35" x14ac:dyDescent="0.25">
      <c r="B26" s="58" t="s">
        <v>214</v>
      </c>
      <c r="C26" s="9"/>
      <c r="D26" s="33">
        <f>SUM(D19:D24)</f>
        <v>2649</v>
      </c>
      <c r="E26" s="24">
        <f>SUM(E19:E24)</f>
        <v>2649</v>
      </c>
      <c r="F26" s="24">
        <f>SUM(F19:F24)</f>
        <v>0</v>
      </c>
      <c r="G26" s="109">
        <f>SUM(G19:G24)</f>
        <v>0</v>
      </c>
      <c r="H26" s="18"/>
      <c r="I26" s="33">
        <f>SUM(I19:I24)</f>
        <v>50527.199999999997</v>
      </c>
      <c r="J26" s="48">
        <f>SUM(J20:J24)</f>
        <v>50527.199999999997</v>
      </c>
      <c r="K26" s="24">
        <f>SUM(K19:K25)</f>
        <v>0</v>
      </c>
      <c r="L26" s="110">
        <f>SUM(L19:L25)</f>
        <v>0</v>
      </c>
      <c r="M26" s="7"/>
      <c r="N26" s="33">
        <f>SUM(N20:N25)</f>
        <v>77647.199999999997</v>
      </c>
      <c r="O26" s="24">
        <f>SUM(O19:O24)</f>
        <v>77647.199999999997</v>
      </c>
      <c r="P26" s="24">
        <f>SUM(P19:P24)</f>
        <v>0</v>
      </c>
      <c r="Q26" s="110">
        <f>SUM(Q19:Q24)</f>
        <v>0</v>
      </c>
      <c r="R26" s="18"/>
      <c r="S26" s="33">
        <f>SUM(S19:S24)</f>
        <v>81247.199999999997</v>
      </c>
      <c r="T26" s="24">
        <f>SUM(T19:T24)</f>
        <v>81247.199999999997</v>
      </c>
      <c r="U26" s="24">
        <f>SUM(U20:U24)</f>
        <v>0</v>
      </c>
      <c r="V26" s="109">
        <f>SUM(V19:V24)</f>
        <v>0</v>
      </c>
      <c r="W26" s="18"/>
      <c r="X26" s="33">
        <f>SUM(X20:X25)</f>
        <v>84847.2</v>
      </c>
      <c r="Y26" s="24">
        <f>SUM(Y20:Y24)</f>
        <v>84847.2</v>
      </c>
      <c r="Z26" s="24">
        <f>SUM(Z20:Z24)</f>
        <v>0</v>
      </c>
      <c r="AA26" s="109">
        <f>SUM(AA20:AA23)</f>
        <v>0</v>
      </c>
    </row>
    <row r="27" spans="2:35" x14ac:dyDescent="0.25">
      <c r="B27" s="280"/>
      <c r="C27" s="280"/>
      <c r="D27" s="281"/>
      <c r="E27" s="283"/>
      <c r="F27" s="283"/>
      <c r="G27" s="284"/>
      <c r="H27" s="18"/>
      <c r="I27" s="281"/>
      <c r="J27" s="282"/>
      <c r="K27" s="283"/>
      <c r="L27" s="284"/>
      <c r="M27" s="18"/>
      <c r="N27" s="281"/>
      <c r="O27" s="283"/>
      <c r="P27" s="283"/>
      <c r="Q27" s="284"/>
      <c r="R27" s="18"/>
      <c r="S27" s="281"/>
      <c r="T27" s="283"/>
      <c r="U27" s="283"/>
      <c r="V27" s="284"/>
      <c r="W27" s="18"/>
      <c r="X27" s="281"/>
      <c r="Y27" s="283"/>
      <c r="Z27" s="283"/>
      <c r="AA27" s="284"/>
      <c r="AB27" s="13"/>
      <c r="AC27" s="13"/>
      <c r="AD27" s="13"/>
      <c r="AE27" s="13"/>
      <c r="AF27" s="13"/>
      <c r="AG27" s="13"/>
      <c r="AH27" s="13"/>
      <c r="AI27" s="13"/>
    </row>
    <row r="28" spans="2:35" x14ac:dyDescent="0.25">
      <c r="B28" s="118" t="s">
        <v>221</v>
      </c>
      <c r="D28" s="32">
        <f>SUM(E28:G28)</f>
        <v>13000</v>
      </c>
      <c r="E28" s="23"/>
      <c r="F28" s="23">
        <f>+'BM 2 Franchise'!F73</f>
        <v>13000</v>
      </c>
      <c r="G28" s="108"/>
      <c r="H28" s="18"/>
      <c r="I28" s="281">
        <f>SUM(J28:L28)</f>
        <v>47000</v>
      </c>
      <c r="J28" s="282"/>
      <c r="K28" s="283">
        <f>+'BM 2 Franchise'!G73</f>
        <v>47000</v>
      </c>
      <c r="L28" s="284"/>
      <c r="M28" s="18"/>
      <c r="N28" s="281">
        <f>SUM(O28:Q28)</f>
        <v>10000</v>
      </c>
      <c r="O28" s="283"/>
      <c r="P28" s="283">
        <f>+'BM 2 Franchise'!H73</f>
        <v>10000</v>
      </c>
      <c r="Q28" s="284"/>
      <c r="R28" s="18"/>
      <c r="S28" s="281">
        <f>SUM(T28:V28)</f>
        <v>0</v>
      </c>
      <c r="T28" s="283"/>
      <c r="U28" s="283">
        <f>+'BM 2 Franchise'!I73</f>
        <v>0</v>
      </c>
      <c r="V28" s="284"/>
      <c r="W28" s="18"/>
      <c r="X28" s="281">
        <f>SUM(Y28:AA28)</f>
        <v>0</v>
      </c>
      <c r="Y28" s="283"/>
      <c r="Z28" s="283">
        <f>+'BM 2 Franchise'!J73</f>
        <v>0</v>
      </c>
      <c r="AA28" s="284"/>
      <c r="AB28" s="13"/>
      <c r="AC28" s="13"/>
      <c r="AD28" s="13"/>
      <c r="AE28" s="13"/>
      <c r="AF28" s="13"/>
      <c r="AG28" s="13"/>
      <c r="AH28" s="13"/>
      <c r="AI28" s="13"/>
    </row>
    <row r="29" spans="2:35" x14ac:dyDescent="0.25">
      <c r="B29" s="13" t="s">
        <v>219</v>
      </c>
      <c r="D29" s="32">
        <f>SUM(E29:G29)</f>
        <v>19100</v>
      </c>
      <c r="E29" s="23">
        <f>+'BM 3 Formation'!D54</f>
        <v>19100</v>
      </c>
      <c r="F29" s="23"/>
      <c r="G29" s="108"/>
      <c r="H29" s="18"/>
      <c r="I29" s="281">
        <f>SUM(J29:L29)</f>
        <v>0</v>
      </c>
      <c r="J29" s="282"/>
      <c r="K29" s="283">
        <f>+'BM 3 Formation'!E54</f>
        <v>0</v>
      </c>
      <c r="L29" s="284"/>
      <c r="M29" s="18"/>
      <c r="N29" s="281">
        <f>SUM(O29:Q29)</f>
        <v>0</v>
      </c>
      <c r="O29" s="283"/>
      <c r="P29" s="283">
        <f>+'BM 3 Formation'!F54</f>
        <v>0</v>
      </c>
      <c r="Q29" s="284"/>
      <c r="R29" s="18"/>
      <c r="S29" s="281">
        <f>SUM(T29:V29)</f>
        <v>0</v>
      </c>
      <c r="T29" s="283"/>
      <c r="U29" s="283">
        <f>+'BM 3 Formation'!G54</f>
        <v>0</v>
      </c>
      <c r="V29" s="284"/>
      <c r="W29" s="18"/>
      <c r="X29" s="281">
        <f>SUM(Y29:AA29)</f>
        <v>0</v>
      </c>
      <c r="Y29" s="283"/>
      <c r="Z29" s="283">
        <f>+'BM 3 Formation'!H54</f>
        <v>0</v>
      </c>
      <c r="AA29" s="284"/>
      <c r="AB29" s="13"/>
      <c r="AC29" s="13"/>
      <c r="AD29" s="13"/>
      <c r="AE29" s="13"/>
      <c r="AF29" s="13"/>
      <c r="AG29" s="13"/>
      <c r="AH29" s="13"/>
      <c r="AI29" s="13"/>
    </row>
    <row r="30" spans="2:35" x14ac:dyDescent="0.25">
      <c r="B30" s="13" t="s">
        <v>275</v>
      </c>
      <c r="D30" s="32">
        <f>SUM(E30:G30)</f>
        <v>6000</v>
      </c>
      <c r="E30" s="23"/>
      <c r="F30" s="23"/>
      <c r="G30" s="108">
        <f>+MKT!C14</f>
        <v>6000</v>
      </c>
      <c r="H30" s="18"/>
      <c r="I30" s="281">
        <f>SUM(J30:L30)</f>
        <v>24000</v>
      </c>
      <c r="J30" s="47"/>
      <c r="K30" s="23"/>
      <c r="L30" s="108">
        <f>+MKT!D14</f>
        <v>24000</v>
      </c>
      <c r="M30" s="6"/>
      <c r="N30" s="281">
        <f>SUM(O30:Q30)</f>
        <v>24000</v>
      </c>
      <c r="O30" s="23"/>
      <c r="P30" s="23"/>
      <c r="Q30" s="108">
        <f>+MKT!E14</f>
        <v>24000</v>
      </c>
      <c r="R30" s="18"/>
      <c r="S30" s="281">
        <f>SUM(T30:V30)</f>
        <v>24000</v>
      </c>
      <c r="T30" s="23"/>
      <c r="U30" s="23"/>
      <c r="V30" s="108">
        <f>+MKT!F14</f>
        <v>24000</v>
      </c>
      <c r="W30" s="18"/>
      <c r="X30" s="281">
        <f>SUM(Y30:AA30)</f>
        <v>24000</v>
      </c>
      <c r="Y30" s="23"/>
      <c r="Z30" s="23"/>
      <c r="AA30" s="108">
        <f>+MKT!G14</f>
        <v>24000</v>
      </c>
      <c r="AB30" s="13"/>
      <c r="AC30" s="13"/>
      <c r="AD30" s="13"/>
      <c r="AE30" s="13"/>
      <c r="AF30" s="13"/>
      <c r="AG30" s="13"/>
      <c r="AH30" s="13"/>
      <c r="AI30" s="13"/>
    </row>
    <row r="31" spans="2:35" x14ac:dyDescent="0.25">
      <c r="D31" s="31"/>
      <c r="E31" s="21"/>
      <c r="F31" s="21"/>
      <c r="G31" s="107"/>
      <c r="H31" s="13"/>
      <c r="I31" s="31"/>
      <c r="J31" s="46"/>
      <c r="K31" s="21"/>
      <c r="L31" s="107"/>
      <c r="N31" s="31"/>
      <c r="O31" s="21"/>
      <c r="P31" s="21"/>
      <c r="Q31" s="107"/>
      <c r="R31" s="13"/>
      <c r="S31" s="31"/>
      <c r="T31" s="21"/>
      <c r="U31" s="21"/>
      <c r="V31" s="107"/>
      <c r="W31" s="13"/>
      <c r="X31" s="31"/>
      <c r="Y31" s="21"/>
      <c r="Z31" s="21"/>
      <c r="AA31" s="107"/>
    </row>
    <row r="32" spans="2:35" x14ac:dyDescent="0.25">
      <c r="B32" s="58" t="s">
        <v>4</v>
      </c>
      <c r="C32" s="9"/>
      <c r="D32" s="33">
        <f>SUM(D28:D31)</f>
        <v>38100</v>
      </c>
      <c r="E32" s="24">
        <f>SUM(E28:E31)</f>
        <v>19100</v>
      </c>
      <c r="F32" s="24">
        <f>SUM(F28:F31)</f>
        <v>13000</v>
      </c>
      <c r="G32" s="109">
        <f>SUM(G28:G31)</f>
        <v>6000</v>
      </c>
      <c r="H32" s="18"/>
      <c r="I32" s="33">
        <f>SUM(I28:I31)</f>
        <v>71000</v>
      </c>
      <c r="J32" s="48">
        <f>SUM(J28:J31)</f>
        <v>0</v>
      </c>
      <c r="K32" s="24">
        <f>SUM(K28:K31)</f>
        <v>47000</v>
      </c>
      <c r="L32" s="109">
        <f>SUM(L28:L31)</f>
        <v>24000</v>
      </c>
      <c r="M32" s="7"/>
      <c r="N32" s="33">
        <f>SUM(N28:N31)</f>
        <v>34000</v>
      </c>
      <c r="O32" s="48">
        <f>SUM(O28:O31)</f>
        <v>0</v>
      </c>
      <c r="P32" s="24">
        <f>SUM(P28:P31)</f>
        <v>10000</v>
      </c>
      <c r="Q32" s="109">
        <f>SUM(Q28:Q31)</f>
        <v>24000</v>
      </c>
      <c r="R32" s="18"/>
      <c r="S32" s="33">
        <f>SUM(S28:S31)</f>
        <v>24000</v>
      </c>
      <c r="T32" s="48">
        <f>SUM(T28:T31)</f>
        <v>0</v>
      </c>
      <c r="U32" s="24">
        <f>SUM(U28:U31)</f>
        <v>0</v>
      </c>
      <c r="V32" s="109">
        <f>SUM(V28:V31)</f>
        <v>24000</v>
      </c>
      <c r="W32" s="18"/>
      <c r="X32" s="33">
        <f>SUM(X28:X30)</f>
        <v>24000</v>
      </c>
      <c r="Y32" s="48">
        <f>SUM(Y28:Y31)</f>
        <v>0</v>
      </c>
      <c r="Z32" s="24">
        <f>SUM(Z28:Z31)</f>
        <v>0</v>
      </c>
      <c r="AA32" s="109">
        <f>SUM(AA28:AA31)</f>
        <v>24000</v>
      </c>
    </row>
    <row r="33" spans="2:27" x14ac:dyDescent="0.25">
      <c r="D33" s="31"/>
      <c r="E33" s="21"/>
      <c r="F33" s="21"/>
      <c r="G33" s="107"/>
      <c r="H33" s="13"/>
      <c r="I33" s="31"/>
      <c r="J33" s="46"/>
      <c r="K33" s="21"/>
      <c r="L33" s="107"/>
      <c r="N33" s="31"/>
      <c r="O33" s="21"/>
      <c r="P33" s="21"/>
      <c r="Q33" s="107"/>
      <c r="R33" s="13"/>
      <c r="S33" s="31"/>
      <c r="T33" s="21"/>
      <c r="U33" s="21"/>
      <c r="V33" s="107"/>
      <c r="W33" s="13"/>
      <c r="X33" s="31"/>
      <c r="Y33" s="21"/>
      <c r="Z33" s="21"/>
      <c r="AA33" s="107"/>
    </row>
    <row r="34" spans="2:27" x14ac:dyDescent="0.25">
      <c r="B34" t="s">
        <v>5</v>
      </c>
      <c r="D34" s="32">
        <f t="shared" ref="D34:D35" si="0">SUM(E34:G34)</f>
        <v>3333.3333333333335</v>
      </c>
      <c r="E34" s="26">
        <f>+'CHARGES FIXES'!H28</f>
        <v>3333.3333333333335</v>
      </c>
      <c r="F34" s="26"/>
      <c r="G34" s="111"/>
      <c r="H34" s="14"/>
      <c r="I34" s="281">
        <f t="shared" ref="I34:I35" si="1">SUM(J34:L34)</f>
        <v>2500</v>
      </c>
      <c r="J34" s="50">
        <f>+'CHARGES FIXES'!R28</f>
        <v>2500</v>
      </c>
      <c r="K34" s="26"/>
      <c r="L34" s="111"/>
      <c r="M34" s="5"/>
      <c r="N34" s="281">
        <f t="shared" ref="N34:N35" si="2">SUM(O34:Q34)</f>
        <v>2600</v>
      </c>
      <c r="O34" s="26">
        <f>+'CHARGES FIXES'!AA28</f>
        <v>2600</v>
      </c>
      <c r="P34" s="26"/>
      <c r="Q34" s="111"/>
      <c r="R34" s="14"/>
      <c r="S34" s="281">
        <f>SUM(T34:V34)</f>
        <v>2652</v>
      </c>
      <c r="T34" s="26">
        <f t="shared" ref="T34" si="3">+O34*1.02</f>
        <v>2652</v>
      </c>
      <c r="U34" s="26"/>
      <c r="V34" s="111"/>
      <c r="W34" s="14"/>
      <c r="X34" s="35">
        <f>S34*1.02</f>
        <v>2705.04</v>
      </c>
      <c r="Y34" s="26">
        <f t="shared" ref="Y34" si="4">+T34*1.02</f>
        <v>2705.04</v>
      </c>
      <c r="Z34" s="26"/>
      <c r="AA34" s="111"/>
    </row>
    <row r="35" spans="2:27" x14ac:dyDescent="0.25">
      <c r="B35" t="s">
        <v>28</v>
      </c>
      <c r="D35" s="32">
        <f t="shared" si="0"/>
        <v>12000</v>
      </c>
      <c r="E35" s="26">
        <f>+'CHARGES FIXES'!H29</f>
        <v>12000</v>
      </c>
      <c r="F35" s="26"/>
      <c r="G35" s="111"/>
      <c r="H35" s="14"/>
      <c r="I35" s="281">
        <f t="shared" si="1"/>
        <v>9000</v>
      </c>
      <c r="J35" s="50">
        <f>+'CHARGES FIXES'!R29</f>
        <v>9000</v>
      </c>
      <c r="K35" s="26"/>
      <c r="L35" s="111"/>
      <c r="M35" s="5"/>
      <c r="N35" s="281">
        <f t="shared" si="2"/>
        <v>9000</v>
      </c>
      <c r="O35" s="26">
        <f>+'CHARGES FIXES'!AA29</f>
        <v>9000</v>
      </c>
      <c r="P35" s="26"/>
      <c r="Q35" s="111"/>
      <c r="R35" s="14"/>
      <c r="S35" s="35"/>
      <c r="T35" s="26"/>
      <c r="U35" s="26"/>
      <c r="V35" s="111"/>
      <c r="W35" s="14"/>
      <c r="X35" s="35"/>
      <c r="Y35" s="26"/>
      <c r="Z35" s="26"/>
      <c r="AA35" s="111"/>
    </row>
    <row r="36" spans="2:27" x14ac:dyDescent="0.25">
      <c r="D36" s="35"/>
      <c r="E36" s="26"/>
      <c r="F36" s="26"/>
      <c r="G36" s="111"/>
      <c r="H36" s="14"/>
      <c r="I36" s="35"/>
      <c r="J36" s="50"/>
      <c r="K36" s="26"/>
      <c r="L36" s="111"/>
      <c r="M36" s="5"/>
      <c r="N36" s="35"/>
      <c r="O36" s="26"/>
      <c r="P36" s="26"/>
      <c r="Q36" s="111"/>
      <c r="R36" s="14"/>
      <c r="S36" s="35"/>
      <c r="T36" s="26"/>
      <c r="U36" s="26"/>
      <c r="V36" s="111"/>
      <c r="W36" s="14"/>
      <c r="X36" s="35"/>
      <c r="Y36" s="26"/>
      <c r="Z36" s="26"/>
      <c r="AA36" s="111"/>
    </row>
    <row r="37" spans="2:27" x14ac:dyDescent="0.25">
      <c r="B37" s="9" t="s">
        <v>14</v>
      </c>
      <c r="C37" s="9"/>
      <c r="D37" s="36">
        <f>SUM(D34:D36)</f>
        <v>15333.333333333334</v>
      </c>
      <c r="E37" s="27">
        <f t="shared" ref="E37:G37" si="5">SUM(E34:E36)</f>
        <v>15333.333333333334</v>
      </c>
      <c r="F37" s="27">
        <f t="shared" si="5"/>
        <v>0</v>
      </c>
      <c r="G37" s="112">
        <f t="shared" si="5"/>
        <v>0</v>
      </c>
      <c r="H37" s="14"/>
      <c r="I37" s="36">
        <f>SUM(I34:I36)</f>
        <v>11500</v>
      </c>
      <c r="J37" s="51">
        <f t="shared" ref="J37:L37" si="6">SUM(J34:J36)</f>
        <v>11500</v>
      </c>
      <c r="K37" s="27">
        <f t="shared" si="6"/>
        <v>0</v>
      </c>
      <c r="L37" s="112">
        <f t="shared" si="6"/>
        <v>0</v>
      </c>
      <c r="M37" s="8"/>
      <c r="N37" s="36">
        <f>SUM(N34:N36)</f>
        <v>11600</v>
      </c>
      <c r="O37" s="51">
        <f t="shared" ref="O37:Q37" si="7">SUM(O34:O36)</f>
        <v>11600</v>
      </c>
      <c r="P37" s="27">
        <f t="shared" si="7"/>
        <v>0</v>
      </c>
      <c r="Q37" s="112">
        <f t="shared" si="7"/>
        <v>0</v>
      </c>
      <c r="R37" s="14"/>
      <c r="S37" s="36">
        <f>SUM(S34:S36)</f>
        <v>2652</v>
      </c>
      <c r="T37" s="51">
        <f t="shared" ref="T37:V37" si="8">SUM(T34:T36)</f>
        <v>2652</v>
      </c>
      <c r="U37" s="27">
        <f t="shared" si="8"/>
        <v>0</v>
      </c>
      <c r="V37" s="112">
        <f t="shared" si="8"/>
        <v>0</v>
      </c>
      <c r="W37" s="14"/>
      <c r="X37" s="36">
        <f>SUM(X34:X36)</f>
        <v>2705.04</v>
      </c>
      <c r="Y37" s="51">
        <f t="shared" ref="Y37" si="9">SUM(Y34:Y36)</f>
        <v>2705.04</v>
      </c>
      <c r="Z37" s="27">
        <f t="shared" ref="Z37" si="10">SUM(Z34:Z36)</f>
        <v>0</v>
      </c>
      <c r="AA37" s="112">
        <f t="shared" ref="AA37" si="11">SUM(AA34:AA36)</f>
        <v>0</v>
      </c>
    </row>
    <row r="38" spans="2:27" x14ac:dyDescent="0.25">
      <c r="D38" s="31"/>
      <c r="E38" s="21"/>
      <c r="F38" s="21"/>
      <c r="G38" s="107"/>
      <c r="H38" s="13"/>
      <c r="I38" s="31"/>
      <c r="J38" s="46"/>
      <c r="K38" s="21"/>
      <c r="L38" s="107"/>
      <c r="N38" s="31"/>
      <c r="O38" s="21"/>
      <c r="P38" s="21"/>
      <c r="Q38" s="107"/>
      <c r="R38" s="13"/>
      <c r="S38" s="31"/>
      <c r="T38" s="21"/>
      <c r="U38" s="21"/>
      <c r="V38" s="107"/>
      <c r="W38" s="13"/>
      <c r="X38" s="31"/>
      <c r="Y38" s="21"/>
      <c r="Z38" s="21"/>
      <c r="AA38" s="107"/>
    </row>
    <row r="39" spans="2:27" x14ac:dyDescent="0.25">
      <c r="B39" t="s">
        <v>6</v>
      </c>
      <c r="D39" s="32">
        <f t="shared" ref="D39:D43" si="12">SUM(E39:G39)</f>
        <v>93333.333333333328</v>
      </c>
      <c r="E39" s="26">
        <f>+'CHARGES FIXES'!H34</f>
        <v>93333.333333333328</v>
      </c>
      <c r="F39" s="26"/>
      <c r="G39" s="111"/>
      <c r="H39" s="14"/>
      <c r="I39" s="281">
        <f t="shared" ref="I39:I43" si="13">SUM(J39:L39)</f>
        <v>72000</v>
      </c>
      <c r="J39" s="50">
        <f>+'CHARGES FIXES'!R34</f>
        <v>72000</v>
      </c>
      <c r="K39" s="26"/>
      <c r="L39" s="111"/>
      <c r="M39" s="5"/>
      <c r="N39" s="281">
        <f t="shared" ref="N39:N43" si="14">SUM(O39:Q39)</f>
        <v>73000</v>
      </c>
      <c r="O39" s="26">
        <f>+'CHARGES FIXES'!AA34</f>
        <v>73000</v>
      </c>
      <c r="P39" s="26"/>
      <c r="Q39" s="111"/>
      <c r="R39" s="14"/>
      <c r="S39" s="281">
        <f t="shared" ref="S39:S43" si="15">SUM(T39:V39)</f>
        <v>74460</v>
      </c>
      <c r="T39" s="26">
        <f t="shared" ref="T39:T43" si="16">+O39*1.02</f>
        <v>74460</v>
      </c>
      <c r="U39" s="26"/>
      <c r="V39" s="111"/>
      <c r="W39" s="14"/>
      <c r="X39" s="35">
        <f>S39*1.02</f>
        <v>75949.2</v>
      </c>
      <c r="Y39" s="26">
        <f t="shared" ref="Y39:Y43" si="17">+T39*1.02</f>
        <v>75949.2</v>
      </c>
      <c r="Z39" s="26"/>
      <c r="AA39" s="111"/>
    </row>
    <row r="40" spans="2:27" x14ac:dyDescent="0.25">
      <c r="B40" t="s">
        <v>29</v>
      </c>
      <c r="D40" s="32">
        <f t="shared" si="12"/>
        <v>8000</v>
      </c>
      <c r="E40" s="26">
        <f>+'CHARGES FIXES'!H36</f>
        <v>8000</v>
      </c>
      <c r="F40" s="26"/>
      <c r="G40" s="111"/>
      <c r="H40" s="14"/>
      <c r="I40" s="281">
        <f t="shared" si="13"/>
        <v>6000</v>
      </c>
      <c r="J40" s="50">
        <f>+'CHARGES FIXES'!R36</f>
        <v>6000</v>
      </c>
      <c r="K40" s="26"/>
      <c r="L40" s="111"/>
      <c r="M40" s="5"/>
      <c r="N40" s="281">
        <f t="shared" si="14"/>
        <v>6100</v>
      </c>
      <c r="O40" s="26">
        <f>+'CHARGES FIXES'!AA36</f>
        <v>6100</v>
      </c>
      <c r="P40" s="26"/>
      <c r="Q40" s="111"/>
      <c r="R40" s="14"/>
      <c r="S40" s="281">
        <f t="shared" si="15"/>
        <v>6222</v>
      </c>
      <c r="T40" s="26">
        <f t="shared" si="16"/>
        <v>6222</v>
      </c>
      <c r="U40" s="26"/>
      <c r="V40" s="111"/>
      <c r="W40" s="14"/>
      <c r="X40" s="35">
        <f>S40*1.02</f>
        <v>6346.4400000000005</v>
      </c>
      <c r="Y40" s="26">
        <f t="shared" si="17"/>
        <v>6346.4400000000005</v>
      </c>
      <c r="Z40" s="26"/>
      <c r="AA40" s="111"/>
    </row>
    <row r="41" spans="2:27" x14ac:dyDescent="0.25">
      <c r="B41" t="s">
        <v>7</v>
      </c>
      <c r="D41" s="32">
        <f t="shared" si="12"/>
        <v>3200</v>
      </c>
      <c r="E41" s="26">
        <f>+'CHARGES FIXES'!H32</f>
        <v>3200</v>
      </c>
      <c r="F41" s="26"/>
      <c r="G41" s="111"/>
      <c r="H41" s="14"/>
      <c r="I41" s="281">
        <f t="shared" si="13"/>
        <v>2400</v>
      </c>
      <c r="J41" s="50">
        <f>+'CHARGES FIXES'!R32</f>
        <v>2400</v>
      </c>
      <c r="K41" s="26"/>
      <c r="L41" s="111"/>
      <c r="M41" s="5"/>
      <c r="N41" s="281">
        <f t="shared" si="14"/>
        <v>2600</v>
      </c>
      <c r="O41" s="26">
        <f>+'CHARGES FIXES'!AA32</f>
        <v>2600</v>
      </c>
      <c r="P41" s="26"/>
      <c r="Q41" s="111"/>
      <c r="R41" s="14"/>
      <c r="S41" s="281">
        <f t="shared" si="15"/>
        <v>2652</v>
      </c>
      <c r="T41" s="26">
        <f t="shared" si="16"/>
        <v>2652</v>
      </c>
      <c r="U41" s="26"/>
      <c r="V41" s="111"/>
      <c r="W41" s="14"/>
      <c r="X41" s="35">
        <f>S41*1.02</f>
        <v>2705.04</v>
      </c>
      <c r="Y41" s="26">
        <f t="shared" si="17"/>
        <v>2705.04</v>
      </c>
      <c r="Z41" s="26"/>
      <c r="AA41" s="111"/>
    </row>
    <row r="42" spans="2:27" x14ac:dyDescent="0.25">
      <c r="B42" t="s">
        <v>8</v>
      </c>
      <c r="D42" s="32">
        <f t="shared" si="12"/>
        <v>24000</v>
      </c>
      <c r="E42" s="26">
        <f>+'CHARGES FIXES'!H33</f>
        <v>24000</v>
      </c>
      <c r="F42" s="26"/>
      <c r="G42" s="111"/>
      <c r="H42" s="14"/>
      <c r="I42" s="281">
        <f t="shared" si="13"/>
        <v>24000</v>
      </c>
      <c r="J42" s="50">
        <f>+'CHARGES FIXES'!R33</f>
        <v>24000</v>
      </c>
      <c r="K42" s="26"/>
      <c r="L42" s="111"/>
      <c r="M42" s="5"/>
      <c r="N42" s="281">
        <f t="shared" si="14"/>
        <v>24000</v>
      </c>
      <c r="O42" s="26">
        <f>+'CHARGES FIXES'!AA33</f>
        <v>24000</v>
      </c>
      <c r="P42" s="26"/>
      <c r="Q42" s="111"/>
      <c r="R42" s="14"/>
      <c r="S42" s="281">
        <f t="shared" si="15"/>
        <v>24480</v>
      </c>
      <c r="T42" s="26">
        <f t="shared" si="16"/>
        <v>24480</v>
      </c>
      <c r="U42" s="26"/>
      <c r="V42" s="111"/>
      <c r="W42" s="14"/>
      <c r="X42" s="35">
        <f>S42*1.02</f>
        <v>24969.600000000002</v>
      </c>
      <c r="Y42" s="26">
        <f t="shared" si="17"/>
        <v>24969.600000000002</v>
      </c>
      <c r="Z42" s="26"/>
      <c r="AA42" s="111"/>
    </row>
    <row r="43" spans="2:27" x14ac:dyDescent="0.25">
      <c r="B43" t="s">
        <v>9</v>
      </c>
      <c r="D43" s="32">
        <f t="shared" si="12"/>
        <v>4800</v>
      </c>
      <c r="E43" s="26">
        <f>+'CHARGES FIXES'!H35</f>
        <v>4800</v>
      </c>
      <c r="F43" s="26"/>
      <c r="G43" s="111"/>
      <c r="H43" s="14"/>
      <c r="I43" s="281">
        <f t="shared" si="13"/>
        <v>3600</v>
      </c>
      <c r="J43" s="50">
        <f>+'CHARGES FIXES'!R35</f>
        <v>3600</v>
      </c>
      <c r="K43" s="26"/>
      <c r="L43" s="111"/>
      <c r="M43" s="5"/>
      <c r="N43" s="281">
        <f t="shared" si="14"/>
        <v>3600</v>
      </c>
      <c r="O43" s="26">
        <f>+'CHARGES FIXES'!AA35</f>
        <v>3600</v>
      </c>
      <c r="P43" s="26"/>
      <c r="Q43" s="111"/>
      <c r="R43" s="14"/>
      <c r="S43" s="281">
        <f t="shared" si="15"/>
        <v>3672</v>
      </c>
      <c r="T43" s="26">
        <f t="shared" si="16"/>
        <v>3672</v>
      </c>
      <c r="U43" s="26"/>
      <c r="V43" s="111"/>
      <c r="W43" s="14"/>
      <c r="X43" s="35">
        <f>S43*1.02</f>
        <v>3745.44</v>
      </c>
      <c r="Y43" s="26">
        <f t="shared" si="17"/>
        <v>3745.44</v>
      </c>
      <c r="Z43" s="26"/>
      <c r="AA43" s="111"/>
    </row>
    <row r="44" spans="2:27" x14ac:dyDescent="0.25">
      <c r="D44" s="35"/>
      <c r="E44" s="26"/>
      <c r="F44" s="26"/>
      <c r="G44" s="111"/>
      <c r="H44" s="14"/>
      <c r="I44" s="35"/>
      <c r="J44" s="50"/>
      <c r="K44" s="26"/>
      <c r="L44" s="111"/>
      <c r="M44" s="14"/>
      <c r="N44" s="35"/>
      <c r="O44" s="26"/>
      <c r="P44" s="26"/>
      <c r="Q44" s="111"/>
      <c r="R44" s="14"/>
      <c r="S44" s="35"/>
      <c r="T44" s="26"/>
      <c r="U44" s="26"/>
      <c r="V44" s="111"/>
      <c r="W44" s="14"/>
      <c r="X44" s="35"/>
      <c r="Y44" s="26"/>
      <c r="Z44" s="26"/>
      <c r="AA44" s="111"/>
    </row>
    <row r="45" spans="2:27" x14ac:dyDescent="0.25">
      <c r="B45" s="9" t="s">
        <v>10</v>
      </c>
      <c r="C45" s="9"/>
      <c r="D45" s="36">
        <f>SUM(D39:D44)</f>
        <v>133333.33333333331</v>
      </c>
      <c r="E45" s="27">
        <f t="shared" ref="E45:G45" si="18">SUM(E39:E44)</f>
        <v>133333.33333333331</v>
      </c>
      <c r="F45" s="27">
        <f t="shared" si="18"/>
        <v>0</v>
      </c>
      <c r="G45" s="112">
        <f t="shared" si="18"/>
        <v>0</v>
      </c>
      <c r="H45" s="14"/>
      <c r="I45" s="36">
        <f>SUM(I39:I44)</f>
        <v>108000</v>
      </c>
      <c r="J45" s="51">
        <f t="shared" ref="J45:L45" si="19">SUM(J39:J44)</f>
        <v>108000</v>
      </c>
      <c r="K45" s="27">
        <f t="shared" si="19"/>
        <v>0</v>
      </c>
      <c r="L45" s="112">
        <f t="shared" si="19"/>
        <v>0</v>
      </c>
      <c r="M45" s="14"/>
      <c r="N45" s="36">
        <f>SUM(N39:N44)</f>
        <v>109300</v>
      </c>
      <c r="O45" s="51">
        <f t="shared" ref="O45:Q45" si="20">SUM(O39:O44)</f>
        <v>109300</v>
      </c>
      <c r="P45" s="27">
        <f t="shared" si="20"/>
        <v>0</v>
      </c>
      <c r="Q45" s="112">
        <f t="shared" si="20"/>
        <v>0</v>
      </c>
      <c r="R45" s="14"/>
      <c r="S45" s="36">
        <f>SUM(S39:S44)</f>
        <v>111486</v>
      </c>
      <c r="T45" s="51">
        <f t="shared" ref="T45:V45" si="21">SUM(T39:T44)</f>
        <v>111486</v>
      </c>
      <c r="U45" s="27">
        <f t="shared" si="21"/>
        <v>0</v>
      </c>
      <c r="V45" s="112">
        <f t="shared" si="21"/>
        <v>0</v>
      </c>
      <c r="W45" s="14"/>
      <c r="X45" s="36">
        <f>SUM(X39:X44)</f>
        <v>113715.72</v>
      </c>
      <c r="Y45" s="51">
        <f t="shared" ref="Y45" si="22">SUM(Y39:Y44)</f>
        <v>113715.72</v>
      </c>
      <c r="Z45" s="27">
        <f t="shared" ref="Z45" si="23">SUM(Z39:Z44)</f>
        <v>0</v>
      </c>
      <c r="AA45" s="112">
        <f t="shared" ref="AA45" si="24">SUM(AA39:AA44)</f>
        <v>0</v>
      </c>
    </row>
    <row r="46" spans="2:27" x14ac:dyDescent="0.25">
      <c r="D46" s="31"/>
      <c r="E46" s="21"/>
      <c r="F46" s="21"/>
      <c r="G46" s="107"/>
      <c r="H46" s="13"/>
      <c r="I46" s="31"/>
      <c r="J46" s="46"/>
      <c r="K46" s="21"/>
      <c r="L46" s="107"/>
      <c r="M46" s="13"/>
      <c r="N46" s="31"/>
      <c r="O46" s="21"/>
      <c r="P46" s="21"/>
      <c r="Q46" s="107"/>
      <c r="R46" s="13"/>
      <c r="S46" s="31"/>
      <c r="T46" s="21"/>
      <c r="U46" s="21"/>
      <c r="V46" s="107"/>
      <c r="W46" s="13"/>
      <c r="X46" s="31"/>
      <c r="Y46" s="21"/>
      <c r="Z46" s="21"/>
      <c r="AA46" s="107"/>
    </row>
    <row r="47" spans="2:27" x14ac:dyDescent="0.25">
      <c r="B47" t="s">
        <v>26</v>
      </c>
      <c r="D47" s="32">
        <f t="shared" ref="D47:D48" si="25">SUM(E47:G47)</f>
        <v>11400</v>
      </c>
      <c r="E47" s="26"/>
      <c r="F47" s="26"/>
      <c r="G47" s="111">
        <f>+'CHARGES FIXES'!H11</f>
        <v>11400</v>
      </c>
      <c r="H47" s="14"/>
      <c r="I47" s="281">
        <f t="shared" ref="I47:I48" si="26">SUM(J47:L47)</f>
        <v>148900</v>
      </c>
      <c r="J47" s="50">
        <f>+'CHARGES FIXES'!R12</f>
        <v>22500</v>
      </c>
      <c r="K47" s="26">
        <f>+'CHARGES FIXES'!R13+'CHARGES FIXES'!R14+'CHARGES FIXES'!R15+'CHARGES FIXES'!R16</f>
        <v>80800</v>
      </c>
      <c r="L47" s="111">
        <f>+'CHARGES FIXES'!R11</f>
        <v>45600</v>
      </c>
      <c r="M47" s="14"/>
      <c r="N47" s="281">
        <f t="shared" ref="N47:N48" si="27">SUM(O47:Q47)</f>
        <v>174000</v>
      </c>
      <c r="O47" s="26">
        <f>+'CHARGES FIXES'!AA12</f>
        <v>30000</v>
      </c>
      <c r="P47" s="26">
        <f>+'CHARGES FIXES'!AA13+'CHARGES FIXES'!AA14+'CHARGES FIXES'!AA15+'CHARGES FIXES'!AA16</f>
        <v>98400</v>
      </c>
      <c r="Q47" s="111">
        <f>+'CHARGES FIXES'!AA11</f>
        <v>45600</v>
      </c>
      <c r="R47" s="14"/>
      <c r="S47" s="281">
        <f t="shared" ref="S47:S48" si="28">SUM(T47:V47)</f>
        <v>177480</v>
      </c>
      <c r="T47" s="26">
        <f>+O47*1.02</f>
        <v>30600</v>
      </c>
      <c r="U47" s="26">
        <f t="shared" ref="U47:V47" si="29">+P47*1.02</f>
        <v>100368</v>
      </c>
      <c r="V47" s="111">
        <f t="shared" si="29"/>
        <v>46512</v>
      </c>
      <c r="W47" s="14"/>
      <c r="X47" s="35">
        <f>S47*1.02</f>
        <v>181029.6</v>
      </c>
      <c r="Y47" s="26">
        <f>+T47*1.02</f>
        <v>31212</v>
      </c>
      <c r="Z47" s="26">
        <f t="shared" ref="Z47:Z48" si="30">+U47*1.02</f>
        <v>102375.36</v>
      </c>
      <c r="AA47" s="111">
        <f t="shared" ref="AA47:AA48" si="31">+V47*1.02</f>
        <v>47442.239999999998</v>
      </c>
    </row>
    <row r="48" spans="2:27" x14ac:dyDescent="0.25">
      <c r="B48" t="s">
        <v>11</v>
      </c>
      <c r="D48" s="32">
        <f t="shared" si="25"/>
        <v>4560</v>
      </c>
      <c r="E48" s="26"/>
      <c r="F48" s="26"/>
      <c r="G48" s="111">
        <f>+'CHARGES FIXES'!H20</f>
        <v>4560</v>
      </c>
      <c r="H48" s="14"/>
      <c r="I48" s="281">
        <f t="shared" si="26"/>
        <v>59290</v>
      </c>
      <c r="J48" s="50">
        <f>+'CHARGES FIXES'!R21</f>
        <v>9000</v>
      </c>
      <c r="K48" s="26">
        <f>+'CHARGES FIXES'!R22+'CHARGES FIXES'!R23+'CHARGES FIXES'!R24+'CHARGES FIXES'!R25</f>
        <v>32050</v>
      </c>
      <c r="L48" s="111">
        <f>+'CHARGES FIXES'!R20</f>
        <v>18240</v>
      </c>
      <c r="M48" s="14"/>
      <c r="N48" s="281">
        <f t="shared" si="27"/>
        <v>69600</v>
      </c>
      <c r="O48" s="26">
        <f>+'CHARGES FIXES'!AA21</f>
        <v>12000</v>
      </c>
      <c r="P48" s="26">
        <f>+'CHARGES FIXES'!AA22+'CHARGES FIXES'!AA23+'CHARGES FIXES'!AA24+'CHARGES FIXES'!AA25</f>
        <v>39360</v>
      </c>
      <c r="Q48" s="111">
        <f>+'CHARGES FIXES'!AA20</f>
        <v>18240</v>
      </c>
      <c r="R48" s="14"/>
      <c r="S48" s="281">
        <f t="shared" si="28"/>
        <v>70992</v>
      </c>
      <c r="T48" s="26">
        <f>+O48*1.02</f>
        <v>12240</v>
      </c>
      <c r="U48" s="26">
        <f t="shared" ref="U48" si="32">+P48*1.02</f>
        <v>40147.199999999997</v>
      </c>
      <c r="V48" s="111">
        <f t="shared" ref="V48" si="33">+Q48*1.02</f>
        <v>18604.8</v>
      </c>
      <c r="W48" s="14"/>
      <c r="X48" s="35">
        <f>S48*1.02</f>
        <v>72411.839999999997</v>
      </c>
      <c r="Y48" s="26">
        <f>+T48*1.02</f>
        <v>12484.800000000001</v>
      </c>
      <c r="Z48" s="26">
        <f t="shared" si="30"/>
        <v>40950.144</v>
      </c>
      <c r="AA48" s="111">
        <f t="shared" si="31"/>
        <v>18976.896000000001</v>
      </c>
    </row>
    <row r="49" spans="2:27" x14ac:dyDescent="0.25">
      <c r="D49" s="35"/>
      <c r="E49" s="26"/>
      <c r="F49" s="26"/>
      <c r="G49" s="111"/>
      <c r="H49" s="14"/>
      <c r="I49" s="35"/>
      <c r="J49" s="50"/>
      <c r="K49" s="26"/>
      <c r="L49" s="111"/>
      <c r="M49" s="14"/>
      <c r="N49" s="35"/>
      <c r="O49" s="26"/>
      <c r="P49" s="26"/>
      <c r="Q49" s="111"/>
      <c r="R49" s="14"/>
      <c r="S49" s="35"/>
      <c r="T49" s="26"/>
      <c r="U49" s="26"/>
      <c r="V49" s="111"/>
      <c r="W49" s="14"/>
      <c r="X49" s="35"/>
      <c r="Y49" s="26"/>
      <c r="Z49" s="26"/>
      <c r="AA49" s="111"/>
    </row>
    <row r="50" spans="2:27" x14ac:dyDescent="0.25">
      <c r="B50" s="9" t="s">
        <v>12</v>
      </c>
      <c r="C50" s="9"/>
      <c r="D50" s="36">
        <f>SUM(D47:D49)</f>
        <v>15960</v>
      </c>
      <c r="E50" s="27">
        <f t="shared" ref="E50:G50" si="34">SUM(E47:E49)</f>
        <v>0</v>
      </c>
      <c r="F50" s="27">
        <f t="shared" si="34"/>
        <v>0</v>
      </c>
      <c r="G50" s="112">
        <f t="shared" si="34"/>
        <v>15960</v>
      </c>
      <c r="H50" s="14"/>
      <c r="I50" s="36">
        <f>SUM(I47:I49)</f>
        <v>208190</v>
      </c>
      <c r="J50" s="51">
        <f t="shared" ref="J50:L50" si="35">SUM(J47:J49)</f>
        <v>31500</v>
      </c>
      <c r="K50" s="27">
        <f t="shared" si="35"/>
        <v>112850</v>
      </c>
      <c r="L50" s="112">
        <f t="shared" si="35"/>
        <v>63840</v>
      </c>
      <c r="M50" s="14"/>
      <c r="N50" s="36">
        <f>SUM(N47:N49)</f>
        <v>243600</v>
      </c>
      <c r="O50" s="51">
        <f t="shared" ref="O50:Q50" si="36">SUM(O47:O49)</f>
        <v>42000</v>
      </c>
      <c r="P50" s="27">
        <f t="shared" si="36"/>
        <v>137760</v>
      </c>
      <c r="Q50" s="112">
        <f t="shared" si="36"/>
        <v>63840</v>
      </c>
      <c r="R50" s="14"/>
      <c r="S50" s="36">
        <f>SUM(S47:S49)</f>
        <v>248472</v>
      </c>
      <c r="T50" s="51">
        <f t="shared" ref="T50:V50" si="37">SUM(T47:T49)</f>
        <v>42840</v>
      </c>
      <c r="U50" s="27">
        <f t="shared" si="37"/>
        <v>140515.20000000001</v>
      </c>
      <c r="V50" s="112">
        <f t="shared" si="37"/>
        <v>65116.800000000003</v>
      </c>
      <c r="W50" s="14"/>
      <c r="X50" s="36">
        <f>SUM(X47:X49)</f>
        <v>253441.44</v>
      </c>
      <c r="Y50" s="51">
        <f t="shared" ref="Y50" si="38">SUM(Y47:Y49)</f>
        <v>43696.800000000003</v>
      </c>
      <c r="Z50" s="27">
        <f t="shared" ref="Z50" si="39">SUM(Z47:Z49)</f>
        <v>143325.50400000002</v>
      </c>
      <c r="AA50" s="112">
        <f t="shared" ref="AA50" si="40">SUM(AA47:AA49)</f>
        <v>66419.135999999999</v>
      </c>
    </row>
    <row r="51" spans="2:27" x14ac:dyDescent="0.25">
      <c r="D51" s="31"/>
      <c r="E51" s="21"/>
      <c r="F51" s="21"/>
      <c r="G51" s="107"/>
      <c r="H51" s="13"/>
      <c r="I51" s="31"/>
      <c r="J51" s="46"/>
      <c r="K51" s="21"/>
      <c r="L51" s="107"/>
      <c r="M51" s="13"/>
      <c r="N51" s="31"/>
      <c r="O51" s="21"/>
      <c r="P51" s="21"/>
      <c r="Q51" s="107"/>
      <c r="R51" s="13"/>
      <c r="S51" s="31"/>
      <c r="T51" s="21"/>
      <c r="U51" s="21"/>
      <c r="V51" s="107"/>
      <c r="W51" s="13"/>
      <c r="X51" s="31"/>
      <c r="Y51" s="21"/>
      <c r="Z51" s="21"/>
      <c r="AA51" s="107"/>
    </row>
    <row r="52" spans="2:27" x14ac:dyDescent="0.25">
      <c r="B52" t="s">
        <v>27</v>
      </c>
      <c r="D52" s="32">
        <f t="shared" ref="D52" si="41">SUM(E52:G52)</f>
        <v>2000</v>
      </c>
      <c r="E52" s="26">
        <f>+'CHARGES FIXES'!H39</f>
        <v>2000</v>
      </c>
      <c r="F52" s="26"/>
      <c r="G52" s="111"/>
      <c r="H52" s="14"/>
      <c r="I52" s="281">
        <f t="shared" ref="I52" si="42">SUM(J52:L52)</f>
        <v>3000</v>
      </c>
      <c r="J52" s="50">
        <f>+'CHARGES FIXES'!R39</f>
        <v>3000</v>
      </c>
      <c r="K52" s="26"/>
      <c r="L52" s="111"/>
      <c r="M52" s="14"/>
      <c r="N52" s="281">
        <f>SUM(O52:Q52)</f>
        <v>4500</v>
      </c>
      <c r="O52" s="26">
        <f>+'CHARGES FIXES'!AA39</f>
        <v>4500</v>
      </c>
      <c r="P52" s="26"/>
      <c r="Q52" s="111"/>
      <c r="R52" s="14"/>
      <c r="S52" s="281">
        <f>SUM(T52:V52)</f>
        <v>4590</v>
      </c>
      <c r="T52" s="26">
        <f>+O52*1.02</f>
        <v>4590</v>
      </c>
      <c r="U52" s="26"/>
      <c r="V52" s="111"/>
      <c r="W52" s="14"/>
      <c r="X52" s="35">
        <f>S52*1.02</f>
        <v>4681.8</v>
      </c>
      <c r="Y52" s="26">
        <f>+T52*1.02</f>
        <v>4681.8</v>
      </c>
      <c r="Z52" s="26"/>
      <c r="AA52" s="111"/>
    </row>
    <row r="53" spans="2:27" x14ac:dyDescent="0.25">
      <c r="D53" s="31"/>
      <c r="E53" s="21"/>
      <c r="F53" s="21"/>
      <c r="G53" s="107"/>
      <c r="H53" s="13"/>
      <c r="I53" s="31"/>
      <c r="J53" s="46"/>
      <c r="K53" s="21"/>
      <c r="L53" s="107"/>
      <c r="M53" s="13"/>
      <c r="N53" s="31"/>
      <c r="O53" s="21"/>
      <c r="P53" s="21"/>
      <c r="Q53" s="107"/>
      <c r="R53" s="13"/>
      <c r="S53" s="31"/>
      <c r="T53" s="21"/>
      <c r="U53" s="21"/>
      <c r="V53" s="107"/>
      <c r="W53" s="13"/>
      <c r="X53" s="31"/>
      <c r="Y53" s="21"/>
      <c r="Z53" s="21"/>
      <c r="AA53" s="107"/>
    </row>
    <row r="54" spans="2:27" x14ac:dyDescent="0.25">
      <c r="B54" s="9" t="s">
        <v>13</v>
      </c>
      <c r="C54" s="9"/>
      <c r="D54" s="34">
        <f>SUM(D52:D53)</f>
        <v>2000</v>
      </c>
      <c r="E54" s="25">
        <f>SUM(E52:E53)</f>
        <v>2000</v>
      </c>
      <c r="F54" s="25">
        <f>SUM(F52:F53)</f>
        <v>0</v>
      </c>
      <c r="G54" s="110">
        <f>SUM(G52:G53)</f>
        <v>0</v>
      </c>
      <c r="H54" s="18"/>
      <c r="I54" s="34">
        <f>SUM(I52:I53)</f>
        <v>3000</v>
      </c>
      <c r="J54" s="49">
        <f t="shared" ref="J54:L54" si="43">SUM(J52:J53)</f>
        <v>3000</v>
      </c>
      <c r="K54" s="25">
        <f t="shared" si="43"/>
        <v>0</v>
      </c>
      <c r="L54" s="110">
        <f t="shared" si="43"/>
        <v>0</v>
      </c>
      <c r="M54" s="18"/>
      <c r="N54" s="34">
        <f>SUM(N52:N53)</f>
        <v>4500</v>
      </c>
      <c r="O54" s="49">
        <f t="shared" ref="O54:Q54" si="44">SUM(O52:O53)</f>
        <v>4500</v>
      </c>
      <c r="P54" s="25">
        <f t="shared" si="44"/>
        <v>0</v>
      </c>
      <c r="Q54" s="110">
        <f t="shared" si="44"/>
        <v>0</v>
      </c>
      <c r="R54" s="18"/>
      <c r="S54" s="34">
        <f>SUM(S52:S53)</f>
        <v>4590</v>
      </c>
      <c r="T54" s="49">
        <f t="shared" ref="T54:V54" si="45">SUM(T52:T53)</f>
        <v>4590</v>
      </c>
      <c r="U54" s="25">
        <f t="shared" si="45"/>
        <v>0</v>
      </c>
      <c r="V54" s="110">
        <f t="shared" si="45"/>
        <v>0</v>
      </c>
      <c r="W54" s="18"/>
      <c r="X54" s="34">
        <f>SUM(X52:X53)</f>
        <v>4681.8</v>
      </c>
      <c r="Y54" s="49">
        <f t="shared" ref="Y54" si="46">SUM(Y52:Y53)</f>
        <v>4681.8</v>
      </c>
      <c r="Z54" s="25">
        <f t="shared" ref="Z54" si="47">SUM(Z52:Z53)</f>
        <v>0</v>
      </c>
      <c r="AA54" s="110">
        <f t="shared" ref="AA54" si="48">SUM(AA52:AA53)</f>
        <v>0</v>
      </c>
    </row>
    <row r="55" spans="2:27" x14ac:dyDescent="0.25">
      <c r="D55" s="31"/>
      <c r="E55" s="21"/>
      <c r="F55" s="21"/>
      <c r="G55" s="107"/>
      <c r="H55" s="13"/>
      <c r="I55" s="31"/>
      <c r="J55" s="46"/>
      <c r="K55" s="21"/>
      <c r="L55" s="107"/>
      <c r="M55" s="13"/>
      <c r="N55" s="31"/>
      <c r="O55" s="21"/>
      <c r="P55" s="21"/>
      <c r="Q55" s="107"/>
      <c r="R55" s="13"/>
      <c r="S55" s="31"/>
      <c r="T55" s="21"/>
      <c r="U55" s="21"/>
      <c r="V55" s="107"/>
      <c r="W55" s="13"/>
      <c r="X55" s="31"/>
      <c r="Y55" s="21"/>
      <c r="Z55" s="21"/>
      <c r="AA55" s="107"/>
    </row>
    <row r="56" spans="2:27" x14ac:dyDescent="0.25">
      <c r="B56" t="s">
        <v>15</v>
      </c>
      <c r="D56" s="32">
        <f t="shared" ref="D56:D57" si="49">SUM(E56:G56)</f>
        <v>3414</v>
      </c>
      <c r="E56" s="26">
        <f>+'CHARGES FIXES'!H42</f>
        <v>3414</v>
      </c>
      <c r="F56" s="26"/>
      <c r="G56" s="111"/>
      <c r="H56" s="14"/>
      <c r="I56" s="281">
        <f t="shared" ref="I56:I57" si="50">SUM(J56:L56)</f>
        <v>1728.6599999999999</v>
      </c>
      <c r="J56" s="50">
        <f>+'CHARGES FIXES'!R42</f>
        <v>1728.6599999999999</v>
      </c>
      <c r="K56" s="26"/>
      <c r="L56" s="111"/>
      <c r="M56" s="14"/>
      <c r="N56" s="281">
        <f t="shared" ref="N56:N57" si="51">SUM(O56:Q56)</f>
        <v>1102.45</v>
      </c>
      <c r="O56" s="26">
        <f>+'CHARGES FIXES'!AA42</f>
        <v>1102.45</v>
      </c>
      <c r="P56" s="26"/>
      <c r="Q56" s="111"/>
      <c r="R56" s="14"/>
      <c r="S56" s="281">
        <f t="shared" ref="S56:S57" si="52">SUM(T56:V56)</f>
        <v>697.62999999999988</v>
      </c>
      <c r="T56" s="26">
        <f>+'Tréso &amp; Emprunts'!U17</f>
        <v>697.62999999999988</v>
      </c>
      <c r="U56" s="26"/>
      <c r="V56" s="111"/>
      <c r="W56" s="14"/>
      <c r="X56" s="281">
        <f t="shared" ref="X56:X57" si="53">SUM(Y56:AA56)</f>
        <v>322.53000000000003</v>
      </c>
      <c r="Y56" s="26">
        <f>+'Tréso &amp; Emprunts'!V17</f>
        <v>322.53000000000003</v>
      </c>
      <c r="Z56" s="26"/>
      <c r="AA56" s="111"/>
    </row>
    <row r="57" spans="2:27" x14ac:dyDescent="0.25">
      <c r="B57" t="s">
        <v>16</v>
      </c>
      <c r="D57" s="32">
        <f t="shared" si="49"/>
        <v>21333.333333333332</v>
      </c>
      <c r="E57" s="26">
        <f>+'CHARGES FIXES'!H43</f>
        <v>21333.333333333332</v>
      </c>
      <c r="F57" s="26"/>
      <c r="G57" s="111"/>
      <c r="H57" s="14"/>
      <c r="I57" s="281">
        <f t="shared" si="50"/>
        <v>16000</v>
      </c>
      <c r="J57" s="50">
        <f>+'CHARGES FIXES'!R43</f>
        <v>16000</v>
      </c>
      <c r="K57" s="26"/>
      <c r="L57" s="111"/>
      <c r="M57" s="14"/>
      <c r="N57" s="281">
        <f t="shared" si="51"/>
        <v>14000</v>
      </c>
      <c r="O57" s="26">
        <f>+'CHARGES FIXES'!AA43</f>
        <v>14000</v>
      </c>
      <c r="P57" s="26"/>
      <c r="Q57" s="111"/>
      <c r="R57" s="14"/>
      <c r="S57" s="281">
        <f t="shared" si="52"/>
        <v>12000</v>
      </c>
      <c r="T57" s="26">
        <v>12000</v>
      </c>
      <c r="U57" s="26"/>
      <c r="V57" s="111"/>
      <c r="W57" s="14"/>
      <c r="X57" s="281">
        <f t="shared" si="53"/>
        <v>10000</v>
      </c>
      <c r="Y57" s="26">
        <v>10000</v>
      </c>
      <c r="Z57" s="26"/>
      <c r="AA57" s="111"/>
    </row>
    <row r="58" spans="2:27" x14ac:dyDescent="0.25">
      <c r="D58" s="31"/>
      <c r="E58" s="21"/>
      <c r="F58" s="21"/>
      <c r="G58" s="107"/>
      <c r="H58" s="13"/>
      <c r="I58" s="31"/>
      <c r="J58" s="46"/>
      <c r="K58" s="21"/>
      <c r="L58" s="107"/>
      <c r="M58" s="13"/>
      <c r="N58" s="31"/>
      <c r="O58" s="21"/>
      <c r="P58" s="21"/>
      <c r="Q58" s="107"/>
      <c r="R58" s="13"/>
      <c r="S58" s="31"/>
      <c r="T58" s="21"/>
      <c r="U58" s="21"/>
      <c r="V58" s="107"/>
      <c r="W58" s="13"/>
      <c r="X58" s="31"/>
      <c r="Y58" s="21"/>
      <c r="Z58" s="21"/>
      <c r="AA58" s="107"/>
    </row>
    <row r="59" spans="2:27" x14ac:dyDescent="0.25">
      <c r="B59" s="9" t="s">
        <v>17</v>
      </c>
      <c r="C59" s="9"/>
      <c r="D59" s="34">
        <f>SUM(D56:D58)</f>
        <v>24747.333333333332</v>
      </c>
      <c r="E59" s="25">
        <f t="shared" ref="E59:G59" si="54">SUM(E56:E58)</f>
        <v>24747.333333333332</v>
      </c>
      <c r="F59" s="25">
        <f t="shared" si="54"/>
        <v>0</v>
      </c>
      <c r="G59" s="110">
        <f t="shared" si="54"/>
        <v>0</v>
      </c>
      <c r="H59" s="18"/>
      <c r="I59" s="34">
        <f>SUM(I56:I58)</f>
        <v>17728.66</v>
      </c>
      <c r="J59" s="49">
        <f t="shared" ref="J59:L59" si="55">SUM(J56:J58)</f>
        <v>17728.66</v>
      </c>
      <c r="K59" s="25">
        <f t="shared" si="55"/>
        <v>0</v>
      </c>
      <c r="L59" s="110">
        <f t="shared" si="55"/>
        <v>0</v>
      </c>
      <c r="M59" s="18"/>
      <c r="N59" s="34">
        <f>SUM(N56:N58)</f>
        <v>15102.45</v>
      </c>
      <c r="O59" s="49">
        <f t="shared" ref="O59:Q59" si="56">SUM(O56:O58)</f>
        <v>15102.45</v>
      </c>
      <c r="P59" s="25">
        <f t="shared" si="56"/>
        <v>0</v>
      </c>
      <c r="Q59" s="110">
        <f t="shared" si="56"/>
        <v>0</v>
      </c>
      <c r="R59" s="18"/>
      <c r="S59" s="34">
        <f>SUM(S56:S58)</f>
        <v>12697.63</v>
      </c>
      <c r="T59" s="49">
        <f t="shared" ref="T59:V59" si="57">SUM(T56:T58)</f>
        <v>12697.63</v>
      </c>
      <c r="U59" s="25">
        <f t="shared" si="57"/>
        <v>0</v>
      </c>
      <c r="V59" s="110">
        <f t="shared" si="57"/>
        <v>0</v>
      </c>
      <c r="W59" s="18"/>
      <c r="X59" s="34">
        <f>SUM(X56:X58)</f>
        <v>10322.530000000001</v>
      </c>
      <c r="Y59" s="49">
        <f t="shared" ref="Y59:AA59" si="58">SUM(Y56:Y58)</f>
        <v>10322.530000000001</v>
      </c>
      <c r="Z59" s="25">
        <f t="shared" si="58"/>
        <v>0</v>
      </c>
      <c r="AA59" s="110">
        <f t="shared" si="58"/>
        <v>0</v>
      </c>
    </row>
    <row r="60" spans="2:27" x14ac:dyDescent="0.25">
      <c r="D60" s="31"/>
      <c r="E60" s="21"/>
      <c r="F60" s="21"/>
      <c r="G60" s="107"/>
      <c r="H60" s="13"/>
      <c r="I60" s="31"/>
      <c r="J60" s="46"/>
      <c r="K60" s="21"/>
      <c r="L60" s="107"/>
      <c r="M60" s="13"/>
      <c r="N60" s="31"/>
      <c r="O60" s="21"/>
      <c r="P60" s="21"/>
      <c r="Q60" s="107"/>
      <c r="R60" s="13"/>
      <c r="S60" s="31"/>
      <c r="T60" s="21"/>
      <c r="U60" s="21"/>
      <c r="V60" s="107"/>
      <c r="W60" s="13"/>
      <c r="X60" s="31"/>
      <c r="Y60" s="21"/>
      <c r="Z60" s="21"/>
      <c r="AA60" s="107"/>
    </row>
    <row r="61" spans="2:27" x14ac:dyDescent="0.25">
      <c r="D61" s="31"/>
      <c r="E61" s="21"/>
      <c r="F61" s="21"/>
      <c r="G61" s="107"/>
      <c r="H61" s="13"/>
      <c r="I61" s="31"/>
      <c r="J61" s="46"/>
      <c r="K61" s="21"/>
      <c r="L61" s="107"/>
      <c r="M61" s="13"/>
      <c r="N61" s="31"/>
      <c r="O61" s="21"/>
      <c r="P61" s="21"/>
      <c r="Q61" s="107"/>
      <c r="R61" s="13"/>
      <c r="S61" s="31"/>
      <c r="T61" s="21"/>
      <c r="U61" s="21"/>
      <c r="V61" s="107"/>
      <c r="W61" s="13"/>
      <c r="X61" s="31"/>
      <c r="Y61" s="21"/>
      <c r="Z61" s="21"/>
      <c r="AA61" s="107"/>
    </row>
    <row r="62" spans="2:27" x14ac:dyDescent="0.25">
      <c r="B62" s="38" t="s">
        <v>18</v>
      </c>
      <c r="C62" s="38"/>
      <c r="D62" s="54">
        <f>D32+D37+D45+D50+D54+D59+D26</f>
        <v>232123</v>
      </c>
      <c r="E62" s="55">
        <f>E32+E37+E45+E50+E54+E59+E26</f>
        <v>197163</v>
      </c>
      <c r="F62" s="55">
        <f>F32+F37+F45+F50+F54+F59+F26</f>
        <v>13000</v>
      </c>
      <c r="G62" s="114">
        <f>G32+G37+G45+G50+G54+G59+G26</f>
        <v>21960</v>
      </c>
      <c r="H62" s="19"/>
      <c r="I62" s="54">
        <f>I32+I37+I45+I50+I54+I59+I26</f>
        <v>469945.86</v>
      </c>
      <c r="J62" s="113">
        <f t="shared" ref="J62:L62" si="59">J32+J37+J45+J50+J54+J59+J26</f>
        <v>222255.86</v>
      </c>
      <c r="K62" s="55">
        <f t="shared" si="59"/>
        <v>159850</v>
      </c>
      <c r="L62" s="114">
        <f t="shared" si="59"/>
        <v>87840</v>
      </c>
      <c r="M62" s="19"/>
      <c r="N62" s="54">
        <f>N32+N37+N45+N50+N54+N59+N26</f>
        <v>495749.65</v>
      </c>
      <c r="O62" s="113">
        <f t="shared" ref="O62:Q62" si="60">O32+O37+O45+O50+O54+O59+O26</f>
        <v>260149.65000000002</v>
      </c>
      <c r="P62" s="55">
        <f t="shared" si="60"/>
        <v>147760</v>
      </c>
      <c r="Q62" s="114">
        <f t="shared" si="60"/>
        <v>87840</v>
      </c>
      <c r="R62" s="19"/>
      <c r="S62" s="54">
        <f>S32+S37+S45+S50+S54+S59+S26</f>
        <v>485144.83</v>
      </c>
      <c r="T62" s="113">
        <f t="shared" ref="T62:V62" si="61">T32+T37+T45+T50+T54+T59+T26</f>
        <v>255512.83000000002</v>
      </c>
      <c r="U62" s="55">
        <f t="shared" si="61"/>
        <v>140515.20000000001</v>
      </c>
      <c r="V62" s="114">
        <f t="shared" si="61"/>
        <v>89116.800000000003</v>
      </c>
      <c r="W62" s="19"/>
      <c r="X62" s="54">
        <f>X32+X37+X45+X50+X54+X59+X26</f>
        <v>493713.73000000004</v>
      </c>
      <c r="Y62" s="113">
        <f t="shared" ref="Y62:AA62" si="62">Y32+Y37+Y45+Y50+Y54+Y59+Y26</f>
        <v>259969.08999999997</v>
      </c>
      <c r="Z62" s="55">
        <f t="shared" si="62"/>
        <v>143325.50400000002</v>
      </c>
      <c r="AA62" s="114">
        <f t="shared" si="62"/>
        <v>90419.135999999999</v>
      </c>
    </row>
    <row r="63" spans="2:27" x14ac:dyDescent="0.25">
      <c r="D63" s="31"/>
      <c r="E63" s="21"/>
      <c r="F63" s="21"/>
      <c r="G63" s="107"/>
      <c r="H63" s="13"/>
      <c r="I63" s="31"/>
      <c r="J63" s="46"/>
      <c r="K63" s="21"/>
      <c r="L63" s="107"/>
      <c r="M63" s="13"/>
      <c r="N63" s="31"/>
      <c r="O63" s="46"/>
      <c r="P63" s="21"/>
      <c r="Q63" s="107"/>
      <c r="R63" s="13"/>
      <c r="S63" s="31"/>
      <c r="T63" s="46"/>
      <c r="U63" s="21"/>
      <c r="V63" s="107"/>
      <c r="W63" s="13"/>
      <c r="X63" s="31"/>
      <c r="Y63" s="46"/>
      <c r="Z63" s="21"/>
      <c r="AA63" s="107"/>
    </row>
    <row r="64" spans="2:27" x14ac:dyDescent="0.25">
      <c r="B64" s="38" t="s">
        <v>19</v>
      </c>
      <c r="C64" s="38"/>
      <c r="D64" s="54">
        <f>D15-D62</f>
        <v>-66957</v>
      </c>
      <c r="E64" s="55">
        <f>E15-E62</f>
        <v>-31997</v>
      </c>
      <c r="F64" s="55">
        <f>F15-F62</f>
        <v>-13000</v>
      </c>
      <c r="G64" s="114">
        <f>G15-G62</f>
        <v>-21960</v>
      </c>
      <c r="H64" s="19"/>
      <c r="I64" s="54">
        <f>I15-I62</f>
        <v>-81921.859999999986</v>
      </c>
      <c r="J64" s="113">
        <f t="shared" ref="J64:L64" si="63">J15-J62</f>
        <v>-53831.859999999986</v>
      </c>
      <c r="K64" s="55">
        <f t="shared" si="63"/>
        <v>59750</v>
      </c>
      <c r="L64" s="114">
        <f t="shared" si="63"/>
        <v>-87840</v>
      </c>
      <c r="M64" s="19"/>
      <c r="N64" s="54">
        <f>N15-N62</f>
        <v>54874.349999999977</v>
      </c>
      <c r="O64" s="113">
        <f t="shared" ref="O64:Q64" si="64">O15-O62</f>
        <v>-1325.6500000000233</v>
      </c>
      <c r="P64" s="55">
        <f t="shared" si="64"/>
        <v>144040</v>
      </c>
      <c r="Q64" s="114">
        <f t="shared" si="64"/>
        <v>-87840</v>
      </c>
      <c r="R64" s="19"/>
      <c r="S64" s="54">
        <f>S15-S62</f>
        <v>158279.16999999998</v>
      </c>
      <c r="T64" s="113">
        <f t="shared" ref="T64:V64" si="65">T15-T62</f>
        <v>15311.169999999984</v>
      </c>
      <c r="U64" s="55">
        <f t="shared" si="65"/>
        <v>232084.8</v>
      </c>
      <c r="V64" s="114">
        <f t="shared" si="65"/>
        <v>-89116.800000000003</v>
      </c>
      <c r="W64" s="19"/>
      <c r="X64" s="54">
        <f>X15-X62</f>
        <v>250110.26999999996</v>
      </c>
      <c r="Y64" s="113">
        <f t="shared" ref="Y64:AA64" si="66">Y15-Y62</f>
        <v>22854.910000000033</v>
      </c>
      <c r="Z64" s="55">
        <f t="shared" si="66"/>
        <v>317674.49599999998</v>
      </c>
      <c r="AA64" s="114">
        <f t="shared" si="66"/>
        <v>-90419.135999999999</v>
      </c>
    </row>
    <row r="65" spans="2:27" x14ac:dyDescent="0.25">
      <c r="D65" s="31"/>
      <c r="E65" s="21"/>
      <c r="F65" s="21"/>
      <c r="G65" s="107"/>
      <c r="H65" s="13"/>
      <c r="I65" s="31"/>
      <c r="J65" s="46"/>
      <c r="K65" s="21"/>
      <c r="L65" s="107"/>
      <c r="M65" s="13"/>
      <c r="N65" s="31"/>
      <c r="O65" s="46"/>
      <c r="P65" s="21"/>
      <c r="Q65" s="107"/>
      <c r="R65" s="13"/>
      <c r="S65" s="31"/>
      <c r="T65" s="46"/>
      <c r="U65" s="21"/>
      <c r="V65" s="107"/>
      <c r="W65" s="13"/>
      <c r="X65" s="31"/>
      <c r="Y65" s="46"/>
      <c r="Z65" s="21"/>
      <c r="AA65" s="107"/>
    </row>
    <row r="66" spans="2:27" x14ac:dyDescent="0.25">
      <c r="B66" t="s">
        <v>20</v>
      </c>
      <c r="D66" s="32">
        <f>D64*0</f>
        <v>0</v>
      </c>
      <c r="E66" s="23"/>
      <c r="F66" s="23"/>
      <c r="G66" s="108"/>
      <c r="H66" s="18"/>
      <c r="I66" s="32">
        <f>I64*0</f>
        <v>0</v>
      </c>
      <c r="J66" s="47">
        <f t="shared" ref="J66:L66" si="67">J64*0</f>
        <v>0</v>
      </c>
      <c r="K66" s="23">
        <f t="shared" si="67"/>
        <v>0</v>
      </c>
      <c r="L66" s="108">
        <f t="shared" si="67"/>
        <v>0</v>
      </c>
      <c r="M66" s="18"/>
      <c r="N66" s="32">
        <v>0</v>
      </c>
      <c r="O66" s="47">
        <v>0</v>
      </c>
      <c r="P66" s="23">
        <v>0</v>
      </c>
      <c r="Q66" s="108">
        <v>0</v>
      </c>
      <c r="R66" s="18"/>
      <c r="S66" s="32"/>
      <c r="T66" s="47"/>
      <c r="U66" s="23"/>
      <c r="V66" s="108"/>
      <c r="W66" s="18"/>
      <c r="X66" s="32"/>
      <c r="Y66" s="47"/>
      <c r="Z66" s="23"/>
      <c r="AA66" s="108"/>
    </row>
    <row r="67" spans="2:27" x14ac:dyDescent="0.25">
      <c r="D67" s="31"/>
      <c r="E67" s="21"/>
      <c r="F67" s="21"/>
      <c r="G67" s="107"/>
      <c r="H67" s="13"/>
      <c r="I67" s="31"/>
      <c r="J67" s="46"/>
      <c r="K67" s="21"/>
      <c r="L67" s="107"/>
      <c r="M67" s="13"/>
      <c r="N67" s="31"/>
      <c r="O67" s="46"/>
      <c r="P67" s="21"/>
      <c r="Q67" s="107"/>
      <c r="R67" s="13"/>
      <c r="S67" s="31"/>
      <c r="T67" s="46"/>
      <c r="U67" s="21"/>
      <c r="V67" s="107"/>
      <c r="W67" s="13"/>
      <c r="X67" s="31"/>
      <c r="Y67" s="46"/>
      <c r="Z67" s="21"/>
      <c r="AA67" s="107"/>
    </row>
    <row r="68" spans="2:27" x14ac:dyDescent="0.25">
      <c r="B68" s="38" t="s">
        <v>21</v>
      </c>
      <c r="C68" s="38"/>
      <c r="D68" s="54">
        <f>D64-D66</f>
        <v>-66957</v>
      </c>
      <c r="E68" s="55">
        <f t="shared" ref="E68:G68" si="68">E64-E66</f>
        <v>-31997</v>
      </c>
      <c r="F68" s="55">
        <f t="shared" si="68"/>
        <v>-13000</v>
      </c>
      <c r="G68" s="114">
        <f t="shared" si="68"/>
        <v>-21960</v>
      </c>
      <c r="H68" s="19"/>
      <c r="I68" s="54">
        <f>I64-I66</f>
        <v>-81921.859999999986</v>
      </c>
      <c r="J68" s="113">
        <f t="shared" ref="J68:L68" si="69">J64-J66</f>
        <v>-53831.859999999986</v>
      </c>
      <c r="K68" s="55">
        <f t="shared" si="69"/>
        <v>59750</v>
      </c>
      <c r="L68" s="114">
        <f t="shared" si="69"/>
        <v>-87840</v>
      </c>
      <c r="M68" s="19"/>
      <c r="N68" s="54">
        <f>N64-N66</f>
        <v>54874.349999999977</v>
      </c>
      <c r="O68" s="113">
        <f t="shared" ref="O68:Q68" si="70">O64-O66</f>
        <v>-1325.6500000000233</v>
      </c>
      <c r="P68" s="55">
        <f t="shared" si="70"/>
        <v>144040</v>
      </c>
      <c r="Q68" s="114">
        <f t="shared" si="70"/>
        <v>-87840</v>
      </c>
      <c r="R68" s="19"/>
      <c r="S68" s="54">
        <f>S64-S66</f>
        <v>158279.16999999998</v>
      </c>
      <c r="T68" s="113">
        <f t="shared" ref="T68:V68" si="71">T64-T66</f>
        <v>15311.169999999984</v>
      </c>
      <c r="U68" s="55">
        <f t="shared" si="71"/>
        <v>232084.8</v>
      </c>
      <c r="V68" s="114">
        <f t="shared" si="71"/>
        <v>-89116.800000000003</v>
      </c>
      <c r="W68" s="19"/>
      <c r="X68" s="54">
        <f>X64-X66</f>
        <v>250110.26999999996</v>
      </c>
      <c r="Y68" s="113">
        <f t="shared" ref="Y68:AA68" si="72">Y64-Y66</f>
        <v>22854.910000000033</v>
      </c>
      <c r="Z68" s="55">
        <f t="shared" si="72"/>
        <v>317674.49599999998</v>
      </c>
      <c r="AA68" s="114">
        <f t="shared" si="72"/>
        <v>-90419.135999999999</v>
      </c>
    </row>
    <row r="69" spans="2:27" ht="7.15" customHeight="1" thickBot="1" x14ac:dyDescent="0.3">
      <c r="D69" s="37"/>
      <c r="E69" s="94"/>
      <c r="F69" s="94"/>
      <c r="G69" s="115"/>
      <c r="H69" s="13"/>
      <c r="I69" s="37"/>
      <c r="J69" s="52"/>
      <c r="K69" s="94"/>
      <c r="L69" s="115"/>
      <c r="M69" s="13"/>
      <c r="N69" s="37"/>
      <c r="O69" s="94"/>
      <c r="P69" s="94"/>
      <c r="Q69" s="115"/>
      <c r="R69" s="13"/>
      <c r="S69" s="37"/>
      <c r="T69" s="94"/>
      <c r="U69" s="94"/>
      <c r="V69" s="115"/>
      <c r="W69" s="13"/>
      <c r="X69" s="37"/>
      <c r="Y69" s="94"/>
      <c r="Z69" s="94"/>
      <c r="AA69" s="115"/>
    </row>
    <row r="70" spans="2:27" x14ac:dyDescent="0.25">
      <c r="C70" s="563" t="s">
        <v>324</v>
      </c>
      <c r="D70" s="564">
        <f>+D68-E68-F68-G68</f>
        <v>0</v>
      </c>
      <c r="H70" s="13"/>
      <c r="I70" s="565">
        <f>+I68-J68-K68-L68</f>
        <v>0</v>
      </c>
      <c r="M70" s="13"/>
      <c r="N70" s="565">
        <f>+N68-O68-P68-Q68</f>
        <v>0</v>
      </c>
      <c r="R70" s="13"/>
      <c r="S70" s="565">
        <f>+S68-T68-U68-V68</f>
        <v>0</v>
      </c>
      <c r="W70" s="13"/>
      <c r="X70" s="565">
        <f>+X68-Y68-Z68-AA68</f>
        <v>0</v>
      </c>
    </row>
    <row r="71" spans="2:27" x14ac:dyDescent="0.25">
      <c r="H71" s="13"/>
      <c r="M71" s="13"/>
      <c r="R71" s="13"/>
      <c r="W71" s="13"/>
    </row>
    <row r="72" spans="2:27" x14ac:dyDescent="0.25">
      <c r="H72" s="13"/>
      <c r="M72" s="13"/>
      <c r="R72" s="13"/>
      <c r="W72" s="13"/>
    </row>
    <row r="73" spans="2:27" x14ac:dyDescent="0.25">
      <c r="R73" s="13"/>
      <c r="W73" s="13"/>
    </row>
    <row r="74" spans="2:27" x14ac:dyDescent="0.25">
      <c r="R74" s="13"/>
    </row>
  </sheetData>
  <mergeCells count="5">
    <mergeCell ref="D4:G4"/>
    <mergeCell ref="I4:L4"/>
    <mergeCell ref="N4:Q4"/>
    <mergeCell ref="S4:V4"/>
    <mergeCell ref="X4:AA4"/>
  </mergeCells>
  <pageMargins left="0.7" right="0.7" top="0.75" bottom="0.75" header="0.3" footer="0.3"/>
  <pageSetup paperSize="9" orientation="portrait" r:id="rId1"/>
  <ignoredErrors>
    <ignoredError sqref="T15 O15 U26 Y15 X12 S12 N12 I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7"/>
  <sheetViews>
    <sheetView workbookViewId="0">
      <selection activeCell="F7" sqref="F7"/>
    </sheetView>
  </sheetViews>
  <sheetFormatPr baseColWidth="10" defaultRowHeight="15" x14ac:dyDescent="0.25"/>
  <cols>
    <col min="2" max="2" width="27.5703125" customWidth="1"/>
  </cols>
  <sheetData>
    <row r="3" spans="2:11" ht="15.75" x14ac:dyDescent="0.25">
      <c r="B3" s="2" t="s">
        <v>363</v>
      </c>
    </row>
    <row r="4" spans="2:11" x14ac:dyDescent="0.25">
      <c r="C4" s="62"/>
      <c r="D4" s="62"/>
      <c r="E4" s="62"/>
      <c r="F4" s="62"/>
    </row>
    <row r="5" spans="2:11" x14ac:dyDescent="0.25">
      <c r="C5" s="62" t="s">
        <v>209</v>
      </c>
      <c r="D5" s="62" t="s">
        <v>339</v>
      </c>
      <c r="E5" s="62" t="s">
        <v>189</v>
      </c>
      <c r="F5" s="62" t="s">
        <v>241</v>
      </c>
    </row>
    <row r="7" spans="2:11" x14ac:dyDescent="0.25">
      <c r="B7" t="s">
        <v>340</v>
      </c>
      <c r="C7">
        <v>10</v>
      </c>
      <c r="D7" s="313">
        <v>91336</v>
      </c>
      <c r="E7" s="313">
        <v>5830</v>
      </c>
      <c r="F7" s="313">
        <f>+D7+E7</f>
        <v>97166</v>
      </c>
      <c r="G7" s="313"/>
      <c r="H7" s="313"/>
      <c r="I7" s="313"/>
      <c r="J7" s="313"/>
      <c r="K7" s="313"/>
    </row>
    <row r="8" spans="2:11" x14ac:dyDescent="0.25">
      <c r="B8" s="569">
        <v>44378</v>
      </c>
      <c r="C8">
        <v>1</v>
      </c>
      <c r="D8" s="313">
        <v>12000</v>
      </c>
      <c r="E8" s="637">
        <v>500</v>
      </c>
      <c r="F8" s="313">
        <f t="shared" ref="F8:F14" si="0">+D8+E8</f>
        <v>12500</v>
      </c>
      <c r="G8" s="313"/>
      <c r="H8" s="313"/>
      <c r="I8" s="313"/>
      <c r="J8" s="313"/>
      <c r="K8" s="313"/>
    </row>
    <row r="9" spans="2:11" x14ac:dyDescent="0.25">
      <c r="B9" s="569">
        <v>44409</v>
      </c>
      <c r="C9">
        <v>1</v>
      </c>
      <c r="D9" s="313">
        <v>5000</v>
      </c>
      <c r="E9" s="637">
        <v>500</v>
      </c>
      <c r="F9" s="313">
        <f t="shared" si="0"/>
        <v>5500</v>
      </c>
      <c r="G9" s="313"/>
      <c r="H9" s="313"/>
      <c r="I9" s="313"/>
      <c r="J9" s="313"/>
      <c r="K9" s="313"/>
    </row>
    <row r="10" spans="2:11" x14ac:dyDescent="0.25">
      <c r="B10" s="569">
        <v>44440</v>
      </c>
      <c r="C10">
        <v>1</v>
      </c>
      <c r="D10" s="313">
        <v>12000</v>
      </c>
      <c r="E10" s="637">
        <v>500</v>
      </c>
      <c r="F10" s="313">
        <f t="shared" si="0"/>
        <v>12500</v>
      </c>
      <c r="G10" s="313"/>
      <c r="H10" s="313"/>
      <c r="I10" s="313"/>
      <c r="J10" s="313"/>
      <c r="K10" s="313"/>
    </row>
    <row r="11" spans="2:11" x14ac:dyDescent="0.25">
      <c r="B11" s="569">
        <v>44470</v>
      </c>
      <c r="C11">
        <v>1</v>
      </c>
      <c r="D11" s="313">
        <v>12000</v>
      </c>
      <c r="E11" s="637">
        <v>500</v>
      </c>
      <c r="F11" s="313">
        <f t="shared" si="0"/>
        <v>12500</v>
      </c>
      <c r="G11" s="313"/>
      <c r="H11" s="313"/>
      <c r="I11" s="313"/>
      <c r="J11" s="313"/>
      <c r="K11" s="313"/>
    </row>
    <row r="12" spans="2:11" x14ac:dyDescent="0.25">
      <c r="B12" s="569">
        <v>44501</v>
      </c>
      <c r="C12">
        <v>1</v>
      </c>
      <c r="D12" s="313">
        <v>12000</v>
      </c>
      <c r="E12" s="637">
        <v>500</v>
      </c>
      <c r="F12" s="313">
        <f t="shared" si="0"/>
        <v>12500</v>
      </c>
      <c r="G12" s="313"/>
      <c r="H12" s="313"/>
      <c r="I12" s="313"/>
      <c r="J12" s="313"/>
      <c r="K12" s="313"/>
    </row>
    <row r="13" spans="2:11" ht="15.75" thickBot="1" x14ac:dyDescent="0.3">
      <c r="B13" s="569">
        <v>44531</v>
      </c>
      <c r="C13">
        <v>1</v>
      </c>
      <c r="D13" s="313">
        <v>12000</v>
      </c>
      <c r="E13" s="637">
        <v>500</v>
      </c>
      <c r="F13" s="313">
        <f t="shared" si="0"/>
        <v>12500</v>
      </c>
      <c r="G13" s="313"/>
      <c r="H13" s="313"/>
      <c r="I13" s="313"/>
      <c r="J13" s="313"/>
      <c r="K13" s="313"/>
    </row>
    <row r="14" spans="2:11" ht="15.75" thickBot="1" x14ac:dyDescent="0.3">
      <c r="B14" s="570" t="s">
        <v>241</v>
      </c>
      <c r="C14" s="571">
        <f>SUM(C7:C13)</f>
        <v>16</v>
      </c>
      <c r="D14" s="572">
        <f t="shared" ref="D14:E14" si="1">SUM(D7:D13)</f>
        <v>156336</v>
      </c>
      <c r="E14" s="572">
        <f t="shared" si="1"/>
        <v>8830</v>
      </c>
      <c r="F14" s="573">
        <f t="shared" si="0"/>
        <v>165166</v>
      </c>
      <c r="G14" s="313"/>
      <c r="H14" s="313"/>
      <c r="I14" s="313"/>
      <c r="J14" s="313"/>
      <c r="K14" s="313"/>
    </row>
    <row r="15" spans="2:11" x14ac:dyDescent="0.25">
      <c r="D15" s="313"/>
      <c r="E15" s="313"/>
      <c r="F15" s="313"/>
      <c r="G15" s="313"/>
      <c r="H15" s="313"/>
      <c r="I15" s="313"/>
      <c r="J15" s="313"/>
      <c r="K15" s="313"/>
    </row>
    <row r="16" spans="2:11" x14ac:dyDescent="0.25">
      <c r="D16" s="313"/>
      <c r="E16" s="313"/>
      <c r="F16" s="313"/>
      <c r="G16" s="313"/>
      <c r="H16" s="313"/>
      <c r="I16" s="313"/>
      <c r="J16" s="313"/>
      <c r="K16" s="313"/>
    </row>
    <row r="17" spans="4:11" x14ac:dyDescent="0.25">
      <c r="D17" s="313"/>
      <c r="E17" s="313"/>
      <c r="F17" s="313"/>
      <c r="G17" s="313"/>
      <c r="H17" s="313"/>
      <c r="I17" s="313"/>
      <c r="J17" s="313"/>
      <c r="K17" s="313"/>
    </row>
    <row r="18" spans="4:11" x14ac:dyDescent="0.25">
      <c r="D18" s="313"/>
      <c r="E18" s="313"/>
      <c r="F18" s="313"/>
      <c r="G18" s="313"/>
      <c r="H18" s="313"/>
      <c r="I18" s="313"/>
      <c r="J18" s="313"/>
      <c r="K18" s="313"/>
    </row>
    <row r="19" spans="4:11" x14ac:dyDescent="0.25">
      <c r="D19" s="313"/>
      <c r="E19" s="313"/>
      <c r="F19" s="313"/>
      <c r="G19" s="313"/>
      <c r="H19" s="313"/>
      <c r="I19" s="313"/>
      <c r="J19" s="313"/>
      <c r="K19" s="313"/>
    </row>
    <row r="20" spans="4:11" x14ac:dyDescent="0.25">
      <c r="D20" s="313"/>
      <c r="E20" s="313"/>
      <c r="F20" s="313"/>
      <c r="G20" s="313"/>
      <c r="H20" s="313"/>
      <c r="I20" s="313"/>
      <c r="J20" s="313"/>
      <c r="K20" s="313"/>
    </row>
    <row r="21" spans="4:11" x14ac:dyDescent="0.25">
      <c r="D21" s="313"/>
      <c r="E21" s="313"/>
      <c r="F21" s="313"/>
      <c r="G21" s="313"/>
      <c r="H21" s="313"/>
      <c r="I21" s="313"/>
      <c r="J21" s="313"/>
      <c r="K21" s="313"/>
    </row>
    <row r="22" spans="4:11" x14ac:dyDescent="0.25">
      <c r="D22" s="313"/>
      <c r="E22" s="313"/>
      <c r="F22" s="313"/>
      <c r="G22" s="313"/>
      <c r="H22" s="313"/>
      <c r="I22" s="313"/>
      <c r="J22" s="313"/>
      <c r="K22" s="313"/>
    </row>
    <row r="23" spans="4:11" x14ac:dyDescent="0.25">
      <c r="D23" s="313"/>
      <c r="E23" s="313"/>
      <c r="F23" s="313"/>
      <c r="G23" s="313"/>
      <c r="H23" s="313"/>
      <c r="I23" s="313"/>
      <c r="J23" s="313"/>
      <c r="K23" s="313"/>
    </row>
    <row r="24" spans="4:11" x14ac:dyDescent="0.25">
      <c r="D24" s="313"/>
      <c r="E24" s="313"/>
      <c r="F24" s="313"/>
      <c r="G24" s="313"/>
      <c r="H24" s="313"/>
      <c r="I24" s="313"/>
      <c r="J24" s="313"/>
      <c r="K24" s="313"/>
    </row>
    <row r="25" spans="4:11" x14ac:dyDescent="0.25">
      <c r="D25" s="313"/>
      <c r="E25" s="313"/>
      <c r="F25" s="313"/>
      <c r="G25" s="313"/>
      <c r="H25" s="313"/>
      <c r="I25" s="313"/>
      <c r="J25" s="313"/>
      <c r="K25" s="313"/>
    </row>
    <row r="26" spans="4:11" x14ac:dyDescent="0.25">
      <c r="D26" s="313"/>
      <c r="E26" s="313"/>
      <c r="F26" s="313"/>
      <c r="G26" s="313"/>
      <c r="H26" s="313"/>
      <c r="I26" s="313"/>
      <c r="J26" s="313"/>
      <c r="K26" s="313"/>
    </row>
    <row r="27" spans="4:11" x14ac:dyDescent="0.25">
      <c r="D27" s="313"/>
      <c r="E27" s="313"/>
      <c r="F27" s="313"/>
      <c r="G27" s="313"/>
      <c r="H27" s="313"/>
      <c r="I27" s="313"/>
      <c r="J27" s="313"/>
      <c r="K27" s="3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13" workbookViewId="0">
      <selection activeCell="F55" sqref="F55"/>
    </sheetView>
  </sheetViews>
  <sheetFormatPr baseColWidth="10" defaultRowHeight="15" x14ac:dyDescent="0.25"/>
  <cols>
    <col min="1" max="1" width="8.7109375" customWidth="1"/>
    <col min="2" max="2" width="21.140625" customWidth="1"/>
  </cols>
  <sheetData>
    <row r="1" spans="1:9" ht="18.75" x14ac:dyDescent="0.25">
      <c r="B1" t="s">
        <v>45</v>
      </c>
      <c r="D1" s="242">
        <v>1</v>
      </c>
      <c r="E1" s="126" t="s">
        <v>177</v>
      </c>
    </row>
    <row r="3" spans="1:9" ht="15.75" x14ac:dyDescent="0.25">
      <c r="A3" s="279" t="s">
        <v>213</v>
      </c>
      <c r="E3" s="246" t="s">
        <v>183</v>
      </c>
    </row>
    <row r="4" spans="1:9" ht="15.75" x14ac:dyDescent="0.25">
      <c r="E4" s="246"/>
    </row>
    <row r="5" spans="1:9" x14ac:dyDescent="0.25">
      <c r="B5" s="248" t="s">
        <v>184</v>
      </c>
      <c r="C5" s="249"/>
      <c r="D5" s="249"/>
      <c r="E5" s="249"/>
      <c r="F5" s="249"/>
      <c r="G5" s="249"/>
      <c r="H5" s="249"/>
      <c r="I5" s="249"/>
    </row>
    <row r="7" spans="1:9" ht="51" x14ac:dyDescent="0.25">
      <c r="B7" s="174" t="s">
        <v>114</v>
      </c>
      <c r="C7" s="159" t="s">
        <v>103</v>
      </c>
      <c r="D7" s="159" t="s">
        <v>104</v>
      </c>
      <c r="E7" s="159" t="s">
        <v>112</v>
      </c>
    </row>
    <row r="8" spans="1:9" x14ac:dyDescent="0.25">
      <c r="B8" s="177" t="s">
        <v>115</v>
      </c>
      <c r="C8" s="167">
        <v>80000</v>
      </c>
      <c r="D8" s="167">
        <v>130000</v>
      </c>
      <c r="E8" s="167">
        <v>160000</v>
      </c>
    </row>
    <row r="11" spans="1:9" x14ac:dyDescent="0.25">
      <c r="B11" s="248" t="s">
        <v>185</v>
      </c>
      <c r="C11" s="248"/>
      <c r="D11" s="248"/>
      <c r="E11" s="248"/>
      <c r="F11" s="248"/>
      <c r="G11" s="248"/>
      <c r="H11" s="248"/>
      <c r="I11" s="249"/>
    </row>
    <row r="13" spans="1:9" x14ac:dyDescent="0.25">
      <c r="C13" s="132" t="s">
        <v>136</v>
      </c>
    </row>
    <row r="14" spans="1:9" x14ac:dyDescent="0.25">
      <c r="B14" s="156"/>
    </row>
    <row r="15" spans="1:9" ht="24" x14ac:dyDescent="0.25">
      <c r="B15" s="170" t="s">
        <v>111</v>
      </c>
      <c r="C15" s="168" t="s">
        <v>110</v>
      </c>
      <c r="D15" s="169" t="s">
        <v>103</v>
      </c>
      <c r="E15" s="169" t="s">
        <v>104</v>
      </c>
      <c r="F15" s="169" t="s">
        <v>112</v>
      </c>
      <c r="G15" s="20"/>
      <c r="H15" s="20"/>
      <c r="I15" s="20" t="s">
        <v>45</v>
      </c>
    </row>
    <row r="16" spans="1:9" x14ac:dyDescent="0.25">
      <c r="B16" s="170" t="s">
        <v>45</v>
      </c>
      <c r="C16" s="160"/>
      <c r="D16" s="171">
        <v>8000</v>
      </c>
      <c r="E16" s="171">
        <v>13000</v>
      </c>
      <c r="F16" s="171">
        <v>16000</v>
      </c>
      <c r="G16" s="151"/>
      <c r="H16" s="151"/>
      <c r="I16" s="151" t="s">
        <v>45</v>
      </c>
    </row>
    <row r="17" spans="2:9" x14ac:dyDescent="0.25">
      <c r="B17" s="158"/>
      <c r="C17" s="152"/>
      <c r="E17" s="151"/>
      <c r="F17" s="151"/>
      <c r="G17" s="151"/>
      <c r="H17" s="151"/>
      <c r="I17" s="151"/>
    </row>
    <row r="18" spans="2:9" ht="24.75" x14ac:dyDescent="0.25">
      <c r="B18" s="157" t="s">
        <v>107</v>
      </c>
      <c r="C18" s="135" t="s">
        <v>106</v>
      </c>
      <c r="D18" s="153">
        <v>2021</v>
      </c>
      <c r="E18" s="154">
        <v>2022</v>
      </c>
      <c r="F18" s="154">
        <v>2023</v>
      </c>
      <c r="G18" s="154">
        <v>2024</v>
      </c>
      <c r="H18" s="154">
        <v>2025</v>
      </c>
      <c r="I18" s="155">
        <v>2026</v>
      </c>
    </row>
    <row r="19" spans="2:9" x14ac:dyDescent="0.25">
      <c r="B19" s="133"/>
      <c r="C19" s="131"/>
    </row>
    <row r="20" spans="2:9" x14ac:dyDescent="0.25">
      <c r="B20" s="134">
        <v>2021</v>
      </c>
      <c r="C20" s="135">
        <v>0</v>
      </c>
      <c r="D20" s="20">
        <v>0</v>
      </c>
      <c r="E20" s="20">
        <f>C20</f>
        <v>0</v>
      </c>
      <c r="F20" s="20">
        <f>E20</f>
        <v>0</v>
      </c>
      <c r="G20" s="20">
        <f>F20</f>
        <v>0</v>
      </c>
      <c r="H20" s="20">
        <f>G20</f>
        <v>0</v>
      </c>
      <c r="I20" s="20">
        <f>H20</f>
        <v>0</v>
      </c>
    </row>
    <row r="21" spans="2:9" x14ac:dyDescent="0.25">
      <c r="B21" s="1">
        <v>2022</v>
      </c>
      <c r="C21" s="20">
        <v>2</v>
      </c>
      <c r="D21" s="137"/>
      <c r="E21" s="136">
        <f>D16*C21</f>
        <v>16000</v>
      </c>
      <c r="F21" s="136">
        <f>E16*C21</f>
        <v>26000</v>
      </c>
      <c r="G21" s="136">
        <f>F16*C21</f>
        <v>32000</v>
      </c>
      <c r="H21" s="136">
        <f>F16*C21</f>
        <v>32000</v>
      </c>
      <c r="I21" s="136">
        <f>F16*C21</f>
        <v>32000</v>
      </c>
    </row>
    <row r="22" spans="2:9" x14ac:dyDescent="0.25">
      <c r="B22" s="1">
        <v>2023</v>
      </c>
      <c r="C22" s="20">
        <v>4</v>
      </c>
      <c r="D22" s="137"/>
      <c r="E22" s="137"/>
      <c r="F22" s="136">
        <f>D16*C22</f>
        <v>32000</v>
      </c>
      <c r="G22" s="136">
        <f>E16*C22</f>
        <v>52000</v>
      </c>
      <c r="H22" s="136">
        <f>F16*C22</f>
        <v>64000</v>
      </c>
      <c r="I22" s="136">
        <f>F16*C22</f>
        <v>64000</v>
      </c>
    </row>
    <row r="23" spans="2:9" x14ac:dyDescent="0.25">
      <c r="B23" s="1">
        <v>2024</v>
      </c>
      <c r="C23" s="20">
        <v>4</v>
      </c>
      <c r="D23" s="137"/>
      <c r="E23" s="137"/>
      <c r="F23" s="137"/>
      <c r="G23" s="136">
        <f>D16*C23</f>
        <v>32000</v>
      </c>
      <c r="H23" s="136">
        <f>E16*C23</f>
        <v>52000</v>
      </c>
      <c r="I23" s="136">
        <f>F16*C23</f>
        <v>64000</v>
      </c>
    </row>
    <row r="24" spans="2:9" x14ac:dyDescent="0.25">
      <c r="B24" s="1">
        <v>2025</v>
      </c>
      <c r="C24" s="20">
        <v>4</v>
      </c>
      <c r="D24" s="137"/>
      <c r="E24" s="137"/>
      <c r="F24" s="137"/>
      <c r="G24" s="138"/>
      <c r="H24" s="136">
        <f>D16*C24</f>
        <v>32000</v>
      </c>
      <c r="I24" s="136">
        <f>E16*C24</f>
        <v>52000</v>
      </c>
    </row>
    <row r="26" spans="2:9" x14ac:dyDescent="0.25">
      <c r="B26" s="164" t="s">
        <v>108</v>
      </c>
      <c r="C26" s="139"/>
      <c r="D26" s="165">
        <f t="shared" ref="D26:I26" si="0">SUM(D20:D24)</f>
        <v>0</v>
      </c>
      <c r="E26" s="165">
        <f t="shared" si="0"/>
        <v>16000</v>
      </c>
      <c r="F26" s="165">
        <f t="shared" si="0"/>
        <v>58000</v>
      </c>
      <c r="G26" s="165">
        <f t="shared" si="0"/>
        <v>116000</v>
      </c>
      <c r="H26" s="165">
        <f t="shared" si="0"/>
        <v>180000</v>
      </c>
      <c r="I26" s="166">
        <f t="shared" si="0"/>
        <v>212000</v>
      </c>
    </row>
    <row r="28" spans="2:9" ht="15.75" thickBot="1" x14ac:dyDescent="0.3"/>
    <row r="29" spans="2:9" x14ac:dyDescent="0.25">
      <c r="B29" s="191"/>
      <c r="C29" s="96"/>
      <c r="D29" s="96"/>
      <c r="E29" s="96"/>
      <c r="F29" s="96"/>
      <c r="G29" s="96"/>
      <c r="H29" s="96"/>
      <c r="I29" s="192"/>
    </row>
    <row r="30" spans="2:9" x14ac:dyDescent="0.25">
      <c r="B30" s="193" t="s">
        <v>135</v>
      </c>
      <c r="C30" s="194"/>
      <c r="D30" s="194"/>
      <c r="E30" s="194"/>
      <c r="F30" s="194"/>
      <c r="G30" s="194"/>
      <c r="H30" s="194"/>
      <c r="I30" s="107"/>
    </row>
    <row r="31" spans="2:9" x14ac:dyDescent="0.25">
      <c r="B31" s="193"/>
      <c r="C31" s="194" t="s">
        <v>134</v>
      </c>
      <c r="D31" s="194"/>
      <c r="E31" s="194"/>
      <c r="F31" s="194"/>
      <c r="G31" s="194"/>
      <c r="H31" s="194"/>
      <c r="I31" s="107"/>
    </row>
    <row r="32" spans="2:9" ht="15.75" thickBot="1" x14ac:dyDescent="0.3">
      <c r="B32" s="52"/>
      <c r="C32" s="94"/>
      <c r="D32" s="94"/>
      <c r="E32" s="94"/>
      <c r="F32" s="94"/>
      <c r="G32" s="94"/>
      <c r="H32" s="94"/>
      <c r="I32" s="115"/>
    </row>
    <row r="33" spans="2:9" x14ac:dyDescent="0.25">
      <c r="B33" s="21"/>
      <c r="C33" s="21"/>
      <c r="D33" s="21"/>
      <c r="E33" s="21"/>
      <c r="F33" s="21"/>
      <c r="G33" s="21"/>
      <c r="H33" s="21"/>
      <c r="I33" s="21"/>
    </row>
    <row r="35" spans="2:9" x14ac:dyDescent="0.25">
      <c r="B35" s="202" t="s">
        <v>150</v>
      </c>
      <c r="C35" s="202"/>
    </row>
    <row r="37" spans="2:9" x14ac:dyDescent="0.25">
      <c r="B37" s="1" t="s">
        <v>148</v>
      </c>
      <c r="C37" t="s">
        <v>151</v>
      </c>
    </row>
    <row r="38" spans="2:9" x14ac:dyDescent="0.25">
      <c r="B38" s="1"/>
    </row>
    <row r="39" spans="2:9" x14ac:dyDescent="0.25">
      <c r="B39" s="1" t="s">
        <v>149</v>
      </c>
      <c r="C39" t="s">
        <v>152</v>
      </c>
    </row>
    <row r="40" spans="2:9" x14ac:dyDescent="0.25">
      <c r="B40" s="1"/>
      <c r="C40" t="s">
        <v>162</v>
      </c>
    </row>
    <row r="42" spans="2:9" x14ac:dyDescent="0.25">
      <c r="B42" t="s">
        <v>154</v>
      </c>
    </row>
    <row r="43" spans="2:9" x14ac:dyDescent="0.25">
      <c r="C43" t="s">
        <v>155</v>
      </c>
    </row>
    <row r="44" spans="2:9" x14ac:dyDescent="0.25">
      <c r="C44" t="s">
        <v>163</v>
      </c>
    </row>
    <row r="46" spans="2:9" x14ac:dyDescent="0.25">
      <c r="B46" s="1" t="s">
        <v>160</v>
      </c>
      <c r="C46" t="s">
        <v>164</v>
      </c>
    </row>
    <row r="48" spans="2:9" x14ac:dyDescent="0.25">
      <c r="B48" s="1" t="s">
        <v>153</v>
      </c>
      <c r="C48" s="203" t="s">
        <v>156</v>
      </c>
    </row>
    <row r="50" spans="1:5" x14ac:dyDescent="0.25">
      <c r="B50" s="1" t="s">
        <v>157</v>
      </c>
      <c r="C50" t="s">
        <v>161</v>
      </c>
    </row>
    <row r="52" spans="1:5" x14ac:dyDescent="0.25">
      <c r="B52" s="1" t="s">
        <v>158</v>
      </c>
      <c r="C52" t="s">
        <v>159</v>
      </c>
    </row>
    <row r="54" spans="1:5" x14ac:dyDescent="0.25">
      <c r="C54" s="642"/>
      <c r="D54" s="643"/>
      <c r="E54" s="643"/>
    </row>
    <row r="56" spans="1:5" x14ac:dyDescent="0.25">
      <c r="A56" s="27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4"/>
  <sheetViews>
    <sheetView tabSelected="1" topLeftCell="A38" zoomScale="110" zoomScaleNormal="110" workbookViewId="0">
      <selection activeCell="H63" sqref="H63"/>
    </sheetView>
  </sheetViews>
  <sheetFormatPr baseColWidth="10" defaultRowHeight="15" x14ac:dyDescent="0.25"/>
  <cols>
    <col min="1" max="1" width="6.42578125" customWidth="1"/>
    <col min="2" max="2" width="52.7109375" customWidth="1"/>
    <col min="3" max="3" width="11.5703125" bestFit="1" customWidth="1"/>
    <col min="4" max="5" width="13" bestFit="1" customWidth="1"/>
    <col min="6" max="8" width="11.85546875" bestFit="1" customWidth="1"/>
  </cols>
  <sheetData>
    <row r="2" spans="2:11" ht="61.5" customHeight="1" x14ac:dyDescent="0.25">
      <c r="B2" s="242">
        <v>2</v>
      </c>
      <c r="C2" s="126" t="s">
        <v>181</v>
      </c>
      <c r="D2" s="120"/>
      <c r="E2" s="120"/>
      <c r="I2" s="120"/>
      <c r="J2" s="120"/>
      <c r="K2" s="120"/>
    </row>
    <row r="3" spans="2:11" ht="22.5" customHeight="1" x14ac:dyDescent="0.25">
      <c r="B3" s="247" t="s">
        <v>213</v>
      </c>
      <c r="C3" s="247" t="s">
        <v>182</v>
      </c>
      <c r="D3" s="163"/>
      <c r="E3" s="163"/>
      <c r="F3" s="163"/>
      <c r="G3" s="163"/>
      <c r="H3" s="163"/>
      <c r="I3" s="163"/>
      <c r="J3" s="163"/>
      <c r="K3" s="163"/>
    </row>
    <row r="4" spans="2:11" ht="15.75" x14ac:dyDescent="0.25">
      <c r="B4" s="121"/>
      <c r="C4" s="121"/>
      <c r="D4" s="121"/>
      <c r="E4" s="121"/>
      <c r="F4" s="121"/>
      <c r="G4" s="674" t="s">
        <v>101</v>
      </c>
      <c r="H4" s="675"/>
      <c r="I4" s="122"/>
      <c r="J4" s="122"/>
      <c r="K4" s="123"/>
    </row>
    <row r="5" spans="2:11" ht="15.75" x14ac:dyDescent="0.25">
      <c r="B5" s="670"/>
      <c r="C5" s="671"/>
      <c r="D5" s="671"/>
      <c r="E5" s="671"/>
      <c r="F5" s="672"/>
      <c r="G5" s="673"/>
      <c r="H5" s="666"/>
      <c r="I5" s="124"/>
      <c r="J5" s="162"/>
      <c r="K5" s="161"/>
    </row>
    <row r="6" spans="2:11" ht="15.75" x14ac:dyDescent="0.25">
      <c r="B6" s="660" t="s">
        <v>262</v>
      </c>
      <c r="C6" s="661"/>
      <c r="D6" s="661"/>
      <c r="E6" s="661"/>
      <c r="F6" s="661"/>
      <c r="G6" s="662">
        <v>25000</v>
      </c>
      <c r="H6" s="663"/>
      <c r="I6" s="124"/>
      <c r="J6" s="161"/>
      <c r="K6" s="161"/>
    </row>
    <row r="7" spans="2:11" ht="15.75" x14ac:dyDescent="0.25">
      <c r="B7" s="660" t="s">
        <v>261</v>
      </c>
      <c r="C7" s="661"/>
      <c r="D7" s="661"/>
      <c r="E7" s="661"/>
      <c r="F7" s="661"/>
      <c r="G7" s="662">
        <v>6500</v>
      </c>
      <c r="H7" s="663"/>
      <c r="I7" s="124"/>
      <c r="J7" s="161"/>
      <c r="K7" s="161"/>
    </row>
    <row r="8" spans="2:11" ht="15.75" x14ac:dyDescent="0.25">
      <c r="B8" s="664"/>
      <c r="C8" s="661"/>
      <c r="D8" s="661"/>
      <c r="E8" s="661"/>
      <c r="F8" s="661"/>
      <c r="G8" s="665"/>
      <c r="H8" s="666"/>
      <c r="I8" s="124"/>
      <c r="J8" s="161"/>
      <c r="K8" s="161"/>
    </row>
    <row r="9" spans="2:11" ht="15.75" x14ac:dyDescent="0.25">
      <c r="B9" s="128"/>
      <c r="C9" s="128"/>
      <c r="D9" s="128"/>
      <c r="E9" s="128"/>
      <c r="F9" s="128"/>
      <c r="G9" s="129"/>
      <c r="H9" s="129"/>
      <c r="I9" s="125"/>
      <c r="J9" s="127"/>
      <c r="K9" s="127"/>
    </row>
    <row r="10" spans="2:11" ht="15.75" x14ac:dyDescent="0.25">
      <c r="B10" s="128"/>
      <c r="C10" s="128"/>
      <c r="D10" s="128"/>
      <c r="E10" s="128"/>
      <c r="F10" s="128"/>
      <c r="G10" s="129"/>
      <c r="H10" s="129"/>
      <c r="I10" s="125"/>
      <c r="J10" s="127"/>
      <c r="K10" s="127"/>
    </row>
    <row r="11" spans="2:11" ht="15.75" x14ac:dyDescent="0.25">
      <c r="B11" s="128"/>
      <c r="C11" s="128"/>
      <c r="D11" s="128"/>
      <c r="E11" s="128"/>
      <c r="F11" s="128"/>
      <c r="G11" s="129"/>
      <c r="H11" s="129"/>
      <c r="I11" s="125"/>
      <c r="J11" s="127"/>
      <c r="K11" s="127"/>
    </row>
    <row r="12" spans="2:11" ht="15.75" x14ac:dyDescent="0.25">
      <c r="B12" s="128"/>
      <c r="C12" s="128"/>
      <c r="D12" s="128"/>
      <c r="E12" s="128"/>
      <c r="F12" s="128"/>
      <c r="G12" s="129"/>
      <c r="H12" s="129"/>
      <c r="I12" s="125"/>
      <c r="J12" s="127"/>
      <c r="K12" s="127"/>
    </row>
    <row r="13" spans="2:11" ht="15.75" x14ac:dyDescent="0.25">
      <c r="B13" s="667" t="s">
        <v>102</v>
      </c>
      <c r="C13" s="668"/>
      <c r="D13" s="668"/>
      <c r="E13" s="669"/>
      <c r="F13" s="128"/>
      <c r="G13" s="129"/>
      <c r="H13" s="129"/>
      <c r="I13" s="125"/>
      <c r="J13" s="127"/>
      <c r="K13" s="127"/>
    </row>
    <row r="14" spans="2:11" ht="16.5" x14ac:dyDescent="0.25">
      <c r="B14" s="130"/>
      <c r="C14" s="140" t="s">
        <v>98</v>
      </c>
      <c r="D14" s="141"/>
      <c r="E14" s="142"/>
      <c r="G14" s="129"/>
      <c r="H14" s="129"/>
      <c r="I14" s="125"/>
      <c r="J14" s="127"/>
      <c r="K14" s="127"/>
    </row>
    <row r="15" spans="2:11" ht="15" customHeight="1" x14ac:dyDescent="0.25">
      <c r="B15" s="130"/>
      <c r="C15" s="143" t="s">
        <v>99</v>
      </c>
      <c r="D15" s="144"/>
      <c r="E15" s="145"/>
      <c r="G15" s="129"/>
      <c r="H15" s="129"/>
      <c r="I15" s="125"/>
      <c r="J15" s="127"/>
      <c r="K15" s="127"/>
    </row>
    <row r="16" spans="2:11" ht="16.5" x14ac:dyDescent="0.25">
      <c r="B16" s="130"/>
      <c r="C16" s="146" t="s">
        <v>100</v>
      </c>
      <c r="D16" s="147"/>
      <c r="E16" s="148"/>
      <c r="G16" s="129"/>
      <c r="H16" s="129"/>
      <c r="I16" s="125"/>
      <c r="J16" s="127"/>
      <c r="K16" s="127"/>
    </row>
    <row r="17" spans="2:11" x14ac:dyDescent="0.25">
      <c r="I17" s="125"/>
      <c r="J17" s="127"/>
      <c r="K17" s="127"/>
    </row>
    <row r="19" spans="2:11" x14ac:dyDescent="0.25">
      <c r="B19" s="174" t="s">
        <v>133</v>
      </c>
      <c r="C19" s="159" t="s">
        <v>103</v>
      </c>
      <c r="D19" s="159" t="s">
        <v>104</v>
      </c>
      <c r="E19" s="159" t="s">
        <v>112</v>
      </c>
    </row>
    <row r="20" spans="2:11" x14ac:dyDescent="0.25">
      <c r="B20" s="177" t="s">
        <v>115</v>
      </c>
      <c r="C20" s="167">
        <f>+C52</f>
        <v>88000</v>
      </c>
      <c r="D20" s="167">
        <f>+D52</f>
        <v>158000</v>
      </c>
      <c r="E20" s="167">
        <f>+E52</f>
        <v>196000</v>
      </c>
    </row>
    <row r="24" spans="2:11" x14ac:dyDescent="0.25">
      <c r="C24" s="132" t="s">
        <v>105</v>
      </c>
    </row>
    <row r="25" spans="2:11" x14ac:dyDescent="0.25">
      <c r="B25" s="156"/>
    </row>
    <row r="26" spans="2:11" x14ac:dyDescent="0.25">
      <c r="B26" s="410" t="s">
        <v>263</v>
      </c>
      <c r="C26" s="168" t="s">
        <v>45</v>
      </c>
      <c r="D26" s="169" t="s">
        <v>103</v>
      </c>
      <c r="E26" s="169" t="s">
        <v>104</v>
      </c>
      <c r="F26" s="169" t="s">
        <v>112</v>
      </c>
      <c r="G26" s="20"/>
      <c r="H26" s="20"/>
      <c r="I26" s="20" t="s">
        <v>45</v>
      </c>
    </row>
    <row r="27" spans="2:11" x14ac:dyDescent="0.25">
      <c r="B27" s="170" t="s">
        <v>260</v>
      </c>
      <c r="C27" s="168"/>
      <c r="D27" s="171">
        <v>6500</v>
      </c>
      <c r="E27" s="171">
        <v>0</v>
      </c>
      <c r="F27" s="171">
        <v>0</v>
      </c>
      <c r="G27" s="20"/>
      <c r="H27" s="20"/>
      <c r="I27" s="20"/>
    </row>
    <row r="28" spans="2:11" x14ac:dyDescent="0.25">
      <c r="B28" s="170" t="s">
        <v>111</v>
      </c>
      <c r="C28" s="160"/>
      <c r="D28" s="171">
        <f>C20*10%</f>
        <v>8800</v>
      </c>
      <c r="E28" s="171">
        <f>D20*10%</f>
        <v>15800</v>
      </c>
      <c r="F28" s="171">
        <f>E20*10%</f>
        <v>19600</v>
      </c>
      <c r="G28" s="151"/>
      <c r="H28" s="151"/>
      <c r="I28" s="151" t="s">
        <v>45</v>
      </c>
    </row>
    <row r="29" spans="2:11" x14ac:dyDescent="0.25">
      <c r="B29" s="170" t="s">
        <v>264</v>
      </c>
      <c r="C29" s="411"/>
      <c r="D29" s="412">
        <f>+D27+D28</f>
        <v>15300</v>
      </c>
      <c r="E29" s="412">
        <f t="shared" ref="E29:F29" si="0">+E27+E28</f>
        <v>15800</v>
      </c>
      <c r="F29" s="412">
        <f t="shared" si="0"/>
        <v>19600</v>
      </c>
      <c r="G29" s="151"/>
      <c r="H29" s="151"/>
      <c r="I29" s="151"/>
    </row>
    <row r="30" spans="2:11" x14ac:dyDescent="0.25">
      <c r="B30" s="158"/>
      <c r="C30" s="152"/>
      <c r="E30" s="151"/>
      <c r="F30" s="151"/>
      <c r="G30" s="151"/>
      <c r="H30" s="151"/>
      <c r="I30" s="151"/>
    </row>
    <row r="31" spans="2:11" ht="24.75" x14ac:dyDescent="0.25">
      <c r="B31" s="157" t="s">
        <v>107</v>
      </c>
      <c r="C31" s="135" t="s">
        <v>106</v>
      </c>
      <c r="D31" s="153">
        <v>2021</v>
      </c>
      <c r="E31" s="154">
        <v>2022</v>
      </c>
      <c r="F31" s="154">
        <v>2023</v>
      </c>
      <c r="G31" s="154">
        <v>2024</v>
      </c>
      <c r="H31" s="154">
        <v>2025</v>
      </c>
      <c r="I31" s="155">
        <v>2026</v>
      </c>
    </row>
    <row r="32" spans="2:11" x14ac:dyDescent="0.25">
      <c r="B32" s="133"/>
      <c r="C32" s="131"/>
    </row>
    <row r="33" spans="2:9" x14ac:dyDescent="0.25">
      <c r="B33" s="1">
        <v>2021</v>
      </c>
      <c r="C33" s="135">
        <v>0</v>
      </c>
      <c r="D33" s="20">
        <v>0</v>
      </c>
      <c r="E33" s="20">
        <f>C33</f>
        <v>0</v>
      </c>
      <c r="F33" s="20">
        <f>E33</f>
        <v>0</v>
      </c>
      <c r="G33" s="20">
        <f>F33</f>
        <v>0</v>
      </c>
      <c r="H33" s="20">
        <f>G33</f>
        <v>0</v>
      </c>
      <c r="I33" s="20">
        <f>H33</f>
        <v>0</v>
      </c>
    </row>
    <row r="34" spans="2:9" x14ac:dyDescent="0.25">
      <c r="B34" s="1">
        <v>2022</v>
      </c>
      <c r="C34" s="20">
        <v>2</v>
      </c>
      <c r="D34" s="137"/>
      <c r="E34" s="136">
        <f>(D28*C34)+(D27*C34)</f>
        <v>30600</v>
      </c>
      <c r="F34" s="136">
        <f>E28*C34</f>
        <v>31600</v>
      </c>
      <c r="G34" s="136">
        <f>F28*C34</f>
        <v>39200</v>
      </c>
      <c r="H34" s="136">
        <f>F28*C34</f>
        <v>39200</v>
      </c>
      <c r="I34" s="136">
        <f>F28*C34</f>
        <v>39200</v>
      </c>
    </row>
    <row r="35" spans="2:9" x14ac:dyDescent="0.25">
      <c r="B35" s="1">
        <v>2023</v>
      </c>
      <c r="C35" s="20">
        <v>4</v>
      </c>
      <c r="D35" s="137"/>
      <c r="E35" s="137"/>
      <c r="F35" s="136">
        <f>(D28*C35)+(D27*C35)</f>
        <v>61200</v>
      </c>
      <c r="G35" s="136">
        <f>E28*C35</f>
        <v>63200</v>
      </c>
      <c r="H35" s="136">
        <f>F28*C35</f>
        <v>78400</v>
      </c>
      <c r="I35" s="136">
        <f>F28*C35</f>
        <v>78400</v>
      </c>
    </row>
    <row r="36" spans="2:9" x14ac:dyDescent="0.25">
      <c r="B36" s="1">
        <v>2024</v>
      </c>
      <c r="C36" s="20">
        <v>4</v>
      </c>
      <c r="D36" s="137"/>
      <c r="E36" s="137"/>
      <c r="F36" s="137"/>
      <c r="G36" s="136">
        <f>(D28*C36)+(D27*C36)</f>
        <v>61200</v>
      </c>
      <c r="H36" s="136">
        <f>E28*C36</f>
        <v>63200</v>
      </c>
      <c r="I36" s="136">
        <f>F28*C36</f>
        <v>78400</v>
      </c>
    </row>
    <row r="37" spans="2:9" x14ac:dyDescent="0.25">
      <c r="B37" s="1">
        <v>2025</v>
      </c>
      <c r="C37" s="20">
        <v>4</v>
      </c>
      <c r="D37" s="137"/>
      <c r="E37" s="137"/>
      <c r="F37" s="137"/>
      <c r="G37" s="138"/>
      <c r="H37" s="136">
        <f>(D28*C37)+(D27*C37)</f>
        <v>61200</v>
      </c>
      <c r="I37" s="136">
        <f>E28*C37</f>
        <v>63200</v>
      </c>
    </row>
    <row r="38" spans="2:9" x14ac:dyDescent="0.25">
      <c r="B38" s="1">
        <v>2026</v>
      </c>
      <c r="C38" s="20">
        <v>5</v>
      </c>
      <c r="D38" s="137"/>
      <c r="E38" s="137"/>
      <c r="F38" s="137"/>
      <c r="G38" s="138"/>
      <c r="H38" s="138"/>
      <c r="I38" s="136">
        <f>(C38*D28)+(D27*C38)</f>
        <v>76500</v>
      </c>
    </row>
    <row r="40" spans="2:9" x14ac:dyDescent="0.25">
      <c r="B40" s="164" t="s">
        <v>267</v>
      </c>
      <c r="C40" s="139"/>
      <c r="D40" s="165">
        <f>SUM(D33:D37)</f>
        <v>0</v>
      </c>
      <c r="E40" s="165">
        <f>SUM(E33:E37)</f>
        <v>30600</v>
      </c>
      <c r="F40" s="165">
        <f>SUM(F33:F37)</f>
        <v>92800</v>
      </c>
      <c r="G40" s="165">
        <f>SUM(G33:G37)</f>
        <v>163600</v>
      </c>
      <c r="H40" s="165">
        <f>SUM(H33:H37)</f>
        <v>242000</v>
      </c>
      <c r="I40" s="166">
        <f>SUM(I33:I38)</f>
        <v>335700</v>
      </c>
    </row>
    <row r="41" spans="2:9" x14ac:dyDescent="0.25">
      <c r="B41" s="409"/>
      <c r="C41" s="21"/>
      <c r="D41" s="23"/>
      <c r="E41" s="23"/>
      <c r="F41" s="23"/>
      <c r="G41" s="23"/>
      <c r="H41" s="23"/>
      <c r="I41" s="23"/>
    </row>
    <row r="43" spans="2:9" x14ac:dyDescent="0.25">
      <c r="B43" s="1" t="s">
        <v>259</v>
      </c>
    </row>
    <row r="45" spans="2:9" x14ac:dyDescent="0.25">
      <c r="B45" s="174" t="s">
        <v>180</v>
      </c>
      <c r="C45" s="159" t="s">
        <v>103</v>
      </c>
      <c r="D45" s="159" t="s">
        <v>104</v>
      </c>
      <c r="E45" s="159" t="s">
        <v>112</v>
      </c>
      <c r="F45" s="159" t="s">
        <v>125</v>
      </c>
    </row>
    <row r="46" spans="2:9" x14ac:dyDescent="0.25">
      <c r="B46" s="174"/>
      <c r="C46" s="159" t="s">
        <v>45</v>
      </c>
      <c r="D46" s="159" t="s">
        <v>45</v>
      </c>
      <c r="E46" s="159" t="s">
        <v>45</v>
      </c>
      <c r="F46" s="243"/>
    </row>
    <row r="47" spans="2:9" ht="16.899999999999999" customHeight="1" x14ac:dyDescent="0.25">
      <c r="B47" s="176" t="s">
        <v>257</v>
      </c>
      <c r="C47" s="167">
        <v>80000</v>
      </c>
      <c r="D47" s="167">
        <v>130000</v>
      </c>
      <c r="E47" s="167">
        <v>160000</v>
      </c>
      <c r="F47" s="244" t="s">
        <v>126</v>
      </c>
      <c r="G47" s="181" t="s">
        <v>121</v>
      </c>
    </row>
    <row r="48" spans="2:9" ht="16.149999999999999" customHeight="1" x14ac:dyDescent="0.25">
      <c r="B48" s="178" t="s">
        <v>120</v>
      </c>
      <c r="C48" s="167">
        <v>0</v>
      </c>
      <c r="D48" s="167">
        <v>8000</v>
      </c>
      <c r="E48" s="167">
        <v>10000</v>
      </c>
      <c r="F48" s="244" t="s">
        <v>126</v>
      </c>
      <c r="G48" s="181" t="s">
        <v>122</v>
      </c>
    </row>
    <row r="49" spans="2:10" x14ac:dyDescent="0.25">
      <c r="B49" s="178" t="s">
        <v>116</v>
      </c>
      <c r="C49" s="167">
        <v>5000</v>
      </c>
      <c r="D49" s="167">
        <v>15000</v>
      </c>
      <c r="E49" s="167">
        <v>20000</v>
      </c>
      <c r="F49" s="244" t="s">
        <v>126</v>
      </c>
      <c r="G49" s="181" t="s">
        <v>123</v>
      </c>
    </row>
    <row r="50" spans="2:10" x14ac:dyDescent="0.25">
      <c r="B50" s="175" t="s">
        <v>119</v>
      </c>
      <c r="C50" s="167">
        <v>0</v>
      </c>
      <c r="D50" s="167">
        <v>0</v>
      </c>
      <c r="E50" s="167">
        <v>0</v>
      </c>
      <c r="F50" s="244" t="s">
        <v>126</v>
      </c>
      <c r="G50" s="181"/>
    </row>
    <row r="51" spans="2:10" x14ac:dyDescent="0.25">
      <c r="B51" s="178" t="s">
        <v>117</v>
      </c>
      <c r="C51" s="167">
        <v>3000</v>
      </c>
      <c r="D51" s="167">
        <v>5000</v>
      </c>
      <c r="E51" s="167">
        <v>6000</v>
      </c>
      <c r="F51" s="244" t="s">
        <v>126</v>
      </c>
    </row>
    <row r="52" spans="2:10" x14ac:dyDescent="0.25">
      <c r="B52" s="190" t="s">
        <v>132</v>
      </c>
      <c r="C52" s="180">
        <f>SUM(C47:C51)</f>
        <v>88000</v>
      </c>
      <c r="D52" s="180">
        <f>SUM(D47:D51)</f>
        <v>158000</v>
      </c>
      <c r="E52" s="180">
        <f>SUM(E47:E51)</f>
        <v>196000</v>
      </c>
      <c r="F52" s="245"/>
      <c r="G52" s="181" t="s">
        <v>258</v>
      </c>
    </row>
    <row r="53" spans="2:10" x14ac:dyDescent="0.25">
      <c r="B53" s="178" t="s">
        <v>124</v>
      </c>
      <c r="C53" s="167">
        <v>0</v>
      </c>
      <c r="D53" s="167">
        <v>16000</v>
      </c>
      <c r="E53" s="167">
        <v>20000</v>
      </c>
      <c r="F53" s="245" t="s">
        <v>127</v>
      </c>
      <c r="G53" t="s">
        <v>45</v>
      </c>
    </row>
    <row r="54" spans="2:10" x14ac:dyDescent="0.25">
      <c r="B54" s="175" t="s">
        <v>118</v>
      </c>
      <c r="C54" s="167">
        <v>3000</v>
      </c>
      <c r="D54" s="167"/>
      <c r="E54" s="167"/>
      <c r="F54" s="245" t="s">
        <v>127</v>
      </c>
    </row>
    <row r="55" spans="2:10" x14ac:dyDescent="0.25">
      <c r="B55" s="175"/>
      <c r="C55" s="167"/>
      <c r="D55" s="167"/>
      <c r="E55" s="167"/>
      <c r="F55" s="245"/>
    </row>
    <row r="56" spans="2:10" ht="22.5" customHeight="1" x14ac:dyDescent="0.25">
      <c r="B56" s="179" t="s">
        <v>113</v>
      </c>
      <c r="C56" s="180">
        <f>SUM(C52:C55)</f>
        <v>91000</v>
      </c>
      <c r="D56" s="180">
        <f>SUM(D52:D55)</f>
        <v>174000</v>
      </c>
      <c r="E56" s="180">
        <f>SUM(E52:E55)</f>
        <v>216000</v>
      </c>
      <c r="F56" s="70"/>
    </row>
    <row r="58" spans="2:10" ht="27.75" customHeight="1" x14ac:dyDescent="0.25">
      <c r="B58" s="294"/>
    </row>
    <row r="59" spans="2:10" ht="27" customHeight="1" x14ac:dyDescent="0.25">
      <c r="B59" s="295" t="s">
        <v>212</v>
      </c>
    </row>
    <row r="60" spans="2:10" ht="49.15" customHeight="1" x14ac:dyDescent="0.25">
      <c r="B60" s="446"/>
      <c r="C60" s="447"/>
      <c r="D60" s="447"/>
      <c r="E60" s="290" t="s">
        <v>273</v>
      </c>
      <c r="F60" s="153">
        <v>2021</v>
      </c>
      <c r="G60" s="154">
        <v>2022</v>
      </c>
      <c r="H60" s="154">
        <v>2023</v>
      </c>
      <c r="I60" s="154">
        <v>2024</v>
      </c>
      <c r="J60" s="155">
        <v>2025</v>
      </c>
    </row>
    <row r="61" spans="2:10" ht="15.6" customHeight="1" x14ac:dyDescent="0.25">
      <c r="B61" s="296" t="s">
        <v>120</v>
      </c>
      <c r="C61" s="21"/>
      <c r="D61" s="21"/>
      <c r="E61" s="449"/>
      <c r="F61" s="21"/>
      <c r="G61" s="21"/>
      <c r="H61" s="21"/>
      <c r="I61" s="21" t="s">
        <v>45</v>
      </c>
      <c r="J61" s="22"/>
    </row>
    <row r="62" spans="2:10" x14ac:dyDescent="0.25">
      <c r="B62" s="304" t="s">
        <v>365</v>
      </c>
      <c r="C62" s="21"/>
      <c r="D62" s="21"/>
      <c r="E62" s="450">
        <f>SUM(F62:J62)</f>
        <v>20000</v>
      </c>
      <c r="F62" s="305" t="s">
        <v>45</v>
      </c>
      <c r="G62" s="283">
        <v>10000</v>
      </c>
      <c r="H62" s="283">
        <v>10000</v>
      </c>
      <c r="I62" s="305" t="s">
        <v>45</v>
      </c>
      <c r="J62" s="306" t="s">
        <v>45</v>
      </c>
    </row>
    <row r="63" spans="2:10" x14ac:dyDescent="0.25">
      <c r="B63" s="307"/>
      <c r="C63" s="21"/>
      <c r="D63" s="21"/>
      <c r="E63" s="451"/>
      <c r="F63" s="21"/>
      <c r="G63" s="173"/>
      <c r="H63" s="173"/>
      <c r="I63" s="173"/>
      <c r="J63" s="433"/>
    </row>
    <row r="64" spans="2:10" ht="13.15" customHeight="1" x14ac:dyDescent="0.25">
      <c r="B64" s="296" t="s">
        <v>215</v>
      </c>
      <c r="C64" s="21"/>
      <c r="D64" s="21"/>
      <c r="E64" s="451"/>
      <c r="F64" s="21"/>
      <c r="G64" s="173"/>
      <c r="H64" s="173"/>
      <c r="I64" s="21"/>
      <c r="J64" s="22"/>
    </row>
    <row r="65" spans="2:10" x14ac:dyDescent="0.25">
      <c r="B65" s="304" t="s">
        <v>224</v>
      </c>
      <c r="C65" s="21"/>
      <c r="D65" s="21"/>
      <c r="E65" s="450">
        <f>SUM(F65:J65)</f>
        <v>19500</v>
      </c>
      <c r="F65" s="23">
        <v>5000</v>
      </c>
      <c r="G65" s="283">
        <v>14500</v>
      </c>
      <c r="H65" s="305" t="s">
        <v>45</v>
      </c>
      <c r="I65" s="302"/>
      <c r="J65" s="303"/>
    </row>
    <row r="66" spans="2:10" x14ac:dyDescent="0.25">
      <c r="B66" s="307"/>
      <c r="C66" s="21"/>
      <c r="D66" s="21"/>
      <c r="E66" s="451"/>
      <c r="F66" s="21"/>
      <c r="G66" s="173"/>
      <c r="H66" s="173"/>
      <c r="I66" s="21"/>
      <c r="J66" s="22"/>
    </row>
    <row r="67" spans="2:10" x14ac:dyDescent="0.25">
      <c r="B67" s="296" t="s">
        <v>274</v>
      </c>
      <c r="C67" s="21"/>
      <c r="D67" s="21"/>
      <c r="E67" s="451"/>
      <c r="F67" s="21"/>
      <c r="G67" s="21"/>
      <c r="H67" s="21"/>
      <c r="I67" s="21"/>
      <c r="J67" s="22"/>
    </row>
    <row r="68" spans="2:10" x14ac:dyDescent="0.25">
      <c r="B68" s="304" t="s">
        <v>223</v>
      </c>
      <c r="C68" s="21"/>
      <c r="D68" s="173"/>
      <c r="E68" s="450">
        <f>SUM(F68:J68)</f>
        <v>27500</v>
      </c>
      <c r="F68" s="283">
        <v>5000</v>
      </c>
      <c r="G68" s="283">
        <v>22500</v>
      </c>
      <c r="H68" s="305" t="s">
        <v>45</v>
      </c>
      <c r="I68" s="302"/>
      <c r="J68" s="303"/>
    </row>
    <row r="69" spans="2:10" x14ac:dyDescent="0.25">
      <c r="B69" s="307"/>
      <c r="C69" s="21"/>
      <c r="D69" s="21"/>
      <c r="E69" s="451"/>
      <c r="F69" s="21"/>
      <c r="G69" s="173"/>
      <c r="H69" s="173"/>
      <c r="I69" s="21"/>
      <c r="J69" s="22"/>
    </row>
    <row r="70" spans="2:10" ht="15.6" customHeight="1" x14ac:dyDescent="0.25">
      <c r="B70" s="296" t="s">
        <v>220</v>
      </c>
      <c r="C70" s="21"/>
      <c r="D70" s="21"/>
      <c r="E70" s="451"/>
      <c r="F70" s="21"/>
      <c r="G70" s="21"/>
      <c r="H70" s="21"/>
      <c r="I70" s="21"/>
      <c r="J70" s="22"/>
    </row>
    <row r="71" spans="2:10" x14ac:dyDescent="0.25">
      <c r="B71" s="304" t="s">
        <v>224</v>
      </c>
      <c r="C71" s="21"/>
      <c r="D71" s="21"/>
      <c r="E71" s="450">
        <v>3000</v>
      </c>
      <c r="F71" s="23">
        <f>+$E71</f>
        <v>3000</v>
      </c>
      <c r="G71" s="302"/>
      <c r="H71" s="302"/>
      <c r="I71" s="302"/>
      <c r="J71" s="303"/>
    </row>
    <row r="72" spans="2:10" x14ac:dyDescent="0.25">
      <c r="B72" s="307"/>
      <c r="C72" s="21"/>
      <c r="D72" s="21"/>
      <c r="E72" s="451"/>
      <c r="F72" s="21"/>
      <c r="G72" s="21"/>
      <c r="H72" s="21"/>
      <c r="I72" s="21"/>
      <c r="J72" s="22"/>
    </row>
    <row r="73" spans="2:10" x14ac:dyDescent="0.25">
      <c r="B73" s="448" t="s">
        <v>241</v>
      </c>
      <c r="C73" s="139"/>
      <c r="D73" s="139"/>
      <c r="E73" s="452">
        <f t="shared" ref="E73:J73" si="1">SUM(E62:E72)</f>
        <v>70000</v>
      </c>
      <c r="F73" s="292">
        <f t="shared" si="1"/>
        <v>13000</v>
      </c>
      <c r="G73" s="292">
        <f t="shared" si="1"/>
        <v>47000</v>
      </c>
      <c r="H73" s="292">
        <f t="shared" si="1"/>
        <v>10000</v>
      </c>
      <c r="I73" s="292">
        <f t="shared" si="1"/>
        <v>0</v>
      </c>
      <c r="J73" s="293">
        <f t="shared" si="1"/>
        <v>0</v>
      </c>
    </row>
    <row r="74" spans="2:10" x14ac:dyDescent="0.25">
      <c r="B74" s="294"/>
    </row>
  </sheetData>
  <mergeCells count="10">
    <mergeCell ref="B5:F5"/>
    <mergeCell ref="G5:H5"/>
    <mergeCell ref="B6:F6"/>
    <mergeCell ref="G6:H6"/>
    <mergeCell ref="G4:H4"/>
    <mergeCell ref="B7:F7"/>
    <mergeCell ref="G7:H7"/>
    <mergeCell ref="B8:F8"/>
    <mergeCell ref="G8:H8"/>
    <mergeCell ref="B13:E13"/>
  </mergeCells>
  <pageMargins left="0.7" right="0.7" top="0.75" bottom="0.75" header="0.3" footer="0.3"/>
  <pageSetup paperSize="9" orientation="portrait" r:id="rId1"/>
  <ignoredErrors>
    <ignoredError sqref="C52:D5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25" workbookViewId="0">
      <selection activeCell="D53" sqref="D53"/>
    </sheetView>
  </sheetViews>
  <sheetFormatPr baseColWidth="10" defaultRowHeight="15" x14ac:dyDescent="0.25"/>
  <cols>
    <col min="2" max="2" width="44.42578125" customWidth="1"/>
    <col min="12" max="12" width="2.140625" customWidth="1"/>
  </cols>
  <sheetData>
    <row r="1" spans="1:14" ht="18.75" x14ac:dyDescent="0.25">
      <c r="B1" s="242">
        <v>3</v>
      </c>
      <c r="C1" s="126" t="s">
        <v>179</v>
      </c>
    </row>
    <row r="4" spans="1:14" ht="15.75" x14ac:dyDescent="0.25">
      <c r="A4" s="278" t="s">
        <v>213</v>
      </c>
    </row>
    <row r="5" spans="1:14" ht="15.75" thickBot="1" x14ac:dyDescent="0.3"/>
    <row r="6" spans="1:14" ht="16.5" thickBot="1" x14ac:dyDescent="0.3">
      <c r="B6" s="219" t="s">
        <v>171</v>
      </c>
      <c r="C6" s="220"/>
      <c r="D6" s="221"/>
    </row>
    <row r="8" spans="1:14" x14ac:dyDescent="0.25">
      <c r="B8" s="222" t="s">
        <v>172</v>
      </c>
      <c r="C8" s="139"/>
      <c r="D8" s="139"/>
      <c r="E8" s="139"/>
      <c r="F8" s="139"/>
      <c r="G8" s="223">
        <v>2021</v>
      </c>
      <c r="H8" s="223">
        <v>2022</v>
      </c>
      <c r="I8" s="223">
        <v>2023</v>
      </c>
      <c r="J8" s="223">
        <v>2024</v>
      </c>
      <c r="K8" s="223">
        <v>2025</v>
      </c>
      <c r="L8" s="223"/>
      <c r="M8" s="223" t="s">
        <v>147</v>
      </c>
      <c r="N8" s="224"/>
    </row>
    <row r="10" spans="1:14" ht="16.5" x14ac:dyDescent="0.25">
      <c r="B10" s="215" t="s">
        <v>196</v>
      </c>
      <c r="C10" s="216" t="s">
        <v>143</v>
      </c>
      <c r="D10" s="217"/>
      <c r="E10" s="217"/>
      <c r="F10" s="200"/>
      <c r="G10" s="201">
        <v>0</v>
      </c>
      <c r="H10" s="201">
        <v>25584</v>
      </c>
      <c r="I10" s="201">
        <v>25584</v>
      </c>
      <c r="J10" s="201">
        <v>25584</v>
      </c>
      <c r="K10" s="201">
        <v>25584</v>
      </c>
      <c r="M10" s="225" t="s">
        <v>170</v>
      </c>
    </row>
    <row r="11" spans="1:14" ht="16.5" x14ac:dyDescent="0.25">
      <c r="B11" s="218" t="s">
        <v>196</v>
      </c>
      <c r="C11" s="198" t="s">
        <v>144</v>
      </c>
      <c r="D11" s="199"/>
      <c r="E11" s="199"/>
      <c r="F11" s="200"/>
      <c r="G11" s="201">
        <f>SUM(L11:W11)</f>
        <v>0</v>
      </c>
      <c r="H11" s="201">
        <v>25440</v>
      </c>
      <c r="I11" s="201">
        <v>25440</v>
      </c>
      <c r="J11" s="201">
        <v>25440</v>
      </c>
      <c r="K11" s="201">
        <v>25440</v>
      </c>
    </row>
    <row r="12" spans="1:14" ht="16.5" x14ac:dyDescent="0.25">
      <c r="B12" s="218" t="s">
        <v>196</v>
      </c>
      <c r="C12" s="198" t="s">
        <v>145</v>
      </c>
      <c r="D12" s="199"/>
      <c r="E12" s="199"/>
      <c r="F12" s="200"/>
      <c r="G12" s="201">
        <f>SUM(L12:W12)</f>
        <v>0</v>
      </c>
      <c r="H12" s="201">
        <v>38400</v>
      </c>
      <c r="I12" s="201">
        <v>76800</v>
      </c>
      <c r="J12" s="201">
        <v>76800</v>
      </c>
      <c r="K12" s="201">
        <v>76800</v>
      </c>
    </row>
    <row r="13" spans="1:14" ht="16.5" x14ac:dyDescent="0.25">
      <c r="B13" s="218" t="s">
        <v>196</v>
      </c>
      <c r="C13" s="204" t="s">
        <v>173</v>
      </c>
      <c r="D13" s="205"/>
      <c r="E13" s="205"/>
      <c r="F13" s="200"/>
      <c r="G13" s="201">
        <v>0</v>
      </c>
      <c r="H13" s="201">
        <v>36000</v>
      </c>
      <c r="I13" s="201">
        <v>66000</v>
      </c>
      <c r="J13" s="201">
        <v>66000</v>
      </c>
      <c r="K13" s="201">
        <v>66000</v>
      </c>
      <c r="M13" t="s">
        <v>195</v>
      </c>
    </row>
    <row r="14" spans="1:14" ht="16.5" x14ac:dyDescent="0.25">
      <c r="B14" s="218" t="s">
        <v>196</v>
      </c>
      <c r="C14" s="204" t="s">
        <v>146</v>
      </c>
      <c r="D14" s="205"/>
      <c r="E14" s="205"/>
      <c r="F14" s="200"/>
      <c r="G14" s="201">
        <f>SUM(L14:W14)</f>
        <v>0</v>
      </c>
      <c r="H14" s="201">
        <v>16000</v>
      </c>
      <c r="I14" s="201">
        <v>38000</v>
      </c>
      <c r="J14" s="201">
        <v>50000</v>
      </c>
      <c r="K14" s="201">
        <v>62000</v>
      </c>
      <c r="M14" t="s">
        <v>197</v>
      </c>
    </row>
    <row r="15" spans="1:14" ht="16.5" x14ac:dyDescent="0.25">
      <c r="B15" s="227" t="s">
        <v>196</v>
      </c>
      <c r="C15" s="228" t="s">
        <v>175</v>
      </c>
      <c r="D15" s="229"/>
      <c r="E15" s="229"/>
      <c r="F15" s="230"/>
      <c r="G15" s="231">
        <f>SUM(L15:W15)</f>
        <v>0</v>
      </c>
      <c r="H15" s="231">
        <v>27000</v>
      </c>
      <c r="I15" s="231">
        <v>27000</v>
      </c>
      <c r="J15" s="231">
        <v>27000</v>
      </c>
      <c r="K15" s="231">
        <v>27000</v>
      </c>
      <c r="M15" t="s">
        <v>176</v>
      </c>
    </row>
    <row r="16" spans="1:14" x14ac:dyDescent="0.25">
      <c r="B16" s="232"/>
      <c r="C16" s="233"/>
      <c r="D16" s="233"/>
      <c r="E16" s="233"/>
      <c r="F16" s="233"/>
      <c r="G16" s="233"/>
      <c r="H16" s="233"/>
      <c r="I16" s="233"/>
      <c r="J16" s="234"/>
      <c r="K16" s="234"/>
    </row>
    <row r="17" spans="1:11" x14ac:dyDescent="0.25">
      <c r="B17" s="235" t="s">
        <v>174</v>
      </c>
      <c r="C17" s="236"/>
      <c r="D17" s="236"/>
      <c r="E17" s="236"/>
      <c r="F17" s="236"/>
      <c r="G17" s="236"/>
      <c r="H17" s="237">
        <f>SUM(H10:H16)</f>
        <v>168424</v>
      </c>
      <c r="I17" s="237">
        <f>SUM(I10:I16)</f>
        <v>258824</v>
      </c>
      <c r="J17" s="238">
        <f>SUM(J10:J16)</f>
        <v>270824</v>
      </c>
      <c r="K17" s="238">
        <f>SUM(K10:K16)</f>
        <v>282824</v>
      </c>
    </row>
    <row r="18" spans="1:11" x14ac:dyDescent="0.25">
      <c r="B18" s="239"/>
      <c r="C18" s="240"/>
      <c r="D18" s="240"/>
      <c r="E18" s="240"/>
      <c r="F18" s="240"/>
      <c r="G18" s="240"/>
      <c r="H18" s="240"/>
      <c r="I18" s="240"/>
      <c r="J18" s="241"/>
      <c r="K18" s="241"/>
    </row>
    <row r="21" spans="1:11" x14ac:dyDescent="0.25">
      <c r="A21" s="226" t="s">
        <v>170</v>
      </c>
      <c r="B21" s="206" t="s">
        <v>165</v>
      </c>
      <c r="C21" s="207"/>
      <c r="D21" s="207"/>
      <c r="E21" s="208"/>
    </row>
    <row r="22" spans="1:11" x14ac:dyDescent="0.25">
      <c r="B22" s="209" t="s">
        <v>166</v>
      </c>
      <c r="C22" s="210"/>
      <c r="D22" s="210"/>
      <c r="E22" s="211"/>
    </row>
    <row r="23" spans="1:11" x14ac:dyDescent="0.25">
      <c r="B23" s="209" t="s">
        <v>167</v>
      </c>
      <c r="C23" s="210"/>
      <c r="D23" s="210"/>
      <c r="E23" s="211"/>
    </row>
    <row r="24" spans="1:11" x14ac:dyDescent="0.25">
      <c r="B24" s="209" t="s">
        <v>168</v>
      </c>
      <c r="C24" s="210"/>
      <c r="D24" s="210"/>
      <c r="E24" s="211"/>
    </row>
    <row r="25" spans="1:11" x14ac:dyDescent="0.25">
      <c r="B25" s="212" t="s">
        <v>169</v>
      </c>
      <c r="C25" s="213"/>
      <c r="D25" s="213"/>
      <c r="E25" s="214"/>
    </row>
    <row r="28" spans="1:11" ht="16.5" x14ac:dyDescent="0.25">
      <c r="B28" s="189" t="s">
        <v>194</v>
      </c>
    </row>
    <row r="29" spans="1:11" x14ac:dyDescent="0.25">
      <c r="B29" s="156"/>
    </row>
    <row r="30" spans="1:11" x14ac:dyDescent="0.25">
      <c r="B30" s="156"/>
    </row>
    <row r="31" spans="1:11" x14ac:dyDescent="0.25">
      <c r="B31" s="188" t="s">
        <v>128</v>
      </c>
      <c r="C31" s="168" t="s">
        <v>110</v>
      </c>
      <c r="D31" s="169" t="s">
        <v>103</v>
      </c>
      <c r="E31" s="169" t="s">
        <v>129</v>
      </c>
      <c r="F31" s="16"/>
      <c r="G31" s="20"/>
      <c r="H31" s="20"/>
      <c r="I31" s="20"/>
      <c r="J31" s="20" t="s">
        <v>45</v>
      </c>
    </row>
    <row r="32" spans="1:11" x14ac:dyDescent="0.25">
      <c r="B32" s="170" t="s">
        <v>45</v>
      </c>
      <c r="C32" s="160"/>
      <c r="D32" s="171">
        <v>8000</v>
      </c>
      <c r="E32" s="171">
        <v>3000</v>
      </c>
      <c r="F32" s="182"/>
      <c r="G32" s="151"/>
      <c r="H32" s="151"/>
      <c r="I32" s="151"/>
      <c r="J32" s="151" t="s">
        <v>45</v>
      </c>
    </row>
    <row r="33" spans="1:10" x14ac:dyDescent="0.25">
      <c r="B33" s="183"/>
      <c r="C33" s="21"/>
      <c r="D33" s="182"/>
      <c r="E33" s="182"/>
      <c r="F33" s="182"/>
      <c r="G33" s="151"/>
      <c r="H33" s="151"/>
      <c r="I33" s="151"/>
      <c r="J33" s="151"/>
    </row>
    <row r="34" spans="1:10" x14ac:dyDescent="0.25">
      <c r="B34" s="158"/>
      <c r="C34" s="152"/>
      <c r="E34" s="151"/>
      <c r="F34" s="151"/>
      <c r="G34" s="151"/>
      <c r="H34" s="151"/>
      <c r="I34" s="151"/>
      <c r="J34" s="151"/>
    </row>
    <row r="35" spans="1:10" ht="24.75" x14ac:dyDescent="0.25">
      <c r="B35" s="271" t="s">
        <v>131</v>
      </c>
      <c r="C35" s="263" t="s">
        <v>106</v>
      </c>
      <c r="D35" s="153">
        <v>2021</v>
      </c>
      <c r="E35" s="154">
        <v>2022</v>
      </c>
      <c r="F35" s="154">
        <v>2023</v>
      </c>
      <c r="G35" s="154">
        <v>2024</v>
      </c>
      <c r="H35" s="154">
        <v>2025</v>
      </c>
      <c r="I35" s="155">
        <v>2026</v>
      </c>
    </row>
    <row r="36" spans="1:10" x14ac:dyDescent="0.25">
      <c r="B36" s="272"/>
      <c r="C36" s="264"/>
      <c r="D36" s="21"/>
      <c r="E36" s="21"/>
      <c r="F36" s="21"/>
      <c r="G36" s="21"/>
      <c r="H36" s="21"/>
      <c r="I36" s="22"/>
    </row>
    <row r="37" spans="1:10" x14ac:dyDescent="0.25">
      <c r="B37" s="273">
        <v>2021</v>
      </c>
      <c r="C37" s="265">
        <v>0</v>
      </c>
      <c r="D37" s="266">
        <v>0</v>
      </c>
      <c r="E37" s="266">
        <f>C37</f>
        <v>0</v>
      </c>
      <c r="F37" s="266">
        <f>E37</f>
        <v>0</v>
      </c>
      <c r="G37" s="266">
        <f>F37</f>
        <v>0</v>
      </c>
      <c r="H37" s="266">
        <f>G37</f>
        <v>0</v>
      </c>
      <c r="I37" s="267">
        <f>H37</f>
        <v>0</v>
      </c>
    </row>
    <row r="38" spans="1:10" x14ac:dyDescent="0.25">
      <c r="B38" s="274">
        <v>2022</v>
      </c>
      <c r="C38" s="266">
        <v>2</v>
      </c>
      <c r="D38" s="236"/>
      <c r="E38" s="268">
        <f>D32*C38</f>
        <v>16000</v>
      </c>
      <c r="F38" s="268">
        <f>E32*C38</f>
        <v>6000</v>
      </c>
      <c r="G38" s="268">
        <f>E32*C38</f>
        <v>6000</v>
      </c>
      <c r="H38" s="268">
        <f>E32*C38</f>
        <v>6000</v>
      </c>
      <c r="I38" s="269">
        <f>E32*C38</f>
        <v>6000</v>
      </c>
    </row>
    <row r="39" spans="1:10" x14ac:dyDescent="0.25">
      <c r="B39" s="274">
        <v>2023</v>
      </c>
      <c r="C39" s="266">
        <v>4</v>
      </c>
      <c r="D39" s="236"/>
      <c r="E39" s="236"/>
      <c r="F39" s="268">
        <f>D32*C39</f>
        <v>32000</v>
      </c>
      <c r="G39" s="268">
        <f>E32*C39</f>
        <v>12000</v>
      </c>
      <c r="H39" s="268">
        <f>E32*C39</f>
        <v>12000</v>
      </c>
      <c r="I39" s="269">
        <f>E32*C39</f>
        <v>12000</v>
      </c>
    </row>
    <row r="40" spans="1:10" x14ac:dyDescent="0.25">
      <c r="B40" s="274">
        <v>2024</v>
      </c>
      <c r="C40" s="266">
        <v>4</v>
      </c>
      <c r="D40" s="236"/>
      <c r="E40" s="236"/>
      <c r="F40" s="236"/>
      <c r="G40" s="268">
        <f>D32*C40</f>
        <v>32000</v>
      </c>
      <c r="H40" s="268">
        <f>E32*C40</f>
        <v>12000</v>
      </c>
      <c r="I40" s="269">
        <f>E32*C40</f>
        <v>12000</v>
      </c>
    </row>
    <row r="41" spans="1:10" x14ac:dyDescent="0.25">
      <c r="B41" s="274">
        <v>2025</v>
      </c>
      <c r="C41" s="266">
        <v>4</v>
      </c>
      <c r="D41" s="236"/>
      <c r="E41" s="236"/>
      <c r="F41" s="236"/>
      <c r="G41" s="270"/>
      <c r="H41" s="268">
        <f>D32*C41</f>
        <v>32000</v>
      </c>
      <c r="I41" s="269">
        <f>E32*C41</f>
        <v>12000</v>
      </c>
    </row>
    <row r="42" spans="1:10" x14ac:dyDescent="0.25">
      <c r="B42" s="274">
        <v>2026</v>
      </c>
      <c r="C42" s="266">
        <v>5</v>
      </c>
      <c r="D42" s="236"/>
      <c r="E42" s="236"/>
      <c r="F42" s="236"/>
      <c r="G42" s="270"/>
      <c r="H42" s="270"/>
      <c r="I42" s="269">
        <f>D32*C42</f>
        <v>40000</v>
      </c>
    </row>
    <row r="43" spans="1:10" x14ac:dyDescent="0.25">
      <c r="B43" s="275"/>
      <c r="C43" s="21"/>
      <c r="D43" s="21"/>
      <c r="E43" s="21"/>
      <c r="F43" s="21"/>
      <c r="G43" s="21"/>
      <c r="H43" s="21"/>
      <c r="I43" s="22"/>
    </row>
    <row r="44" spans="1:10" x14ac:dyDescent="0.25">
      <c r="B44" s="184" t="s">
        <v>130</v>
      </c>
      <c r="C44" s="185"/>
      <c r="D44" s="186">
        <f>SUM(D37:D41)</f>
        <v>0</v>
      </c>
      <c r="E44" s="186">
        <f>SUM(E37:E41)</f>
        <v>16000</v>
      </c>
      <c r="F44" s="186">
        <f>SUM(F37:F41)</f>
        <v>38000</v>
      </c>
      <c r="G44" s="186">
        <f>SUM(G37:G41)</f>
        <v>50000</v>
      </c>
      <c r="H44" s="186">
        <f>SUM(H37:H41)</f>
        <v>62000</v>
      </c>
      <c r="I44" s="187">
        <f>SUM(I38:I42)</f>
        <v>82000</v>
      </c>
    </row>
    <row r="47" spans="1:10" ht="15.75" x14ac:dyDescent="0.25">
      <c r="A47" s="278" t="s">
        <v>212</v>
      </c>
    </row>
    <row r="48" spans="1:10" ht="15.75" x14ac:dyDescent="0.25">
      <c r="A48" s="278"/>
      <c r="B48" s="310"/>
      <c r="C48" s="139"/>
      <c r="D48" s="311">
        <v>2021</v>
      </c>
      <c r="E48" s="311">
        <v>2022</v>
      </c>
      <c r="F48" s="311">
        <v>2023</v>
      </c>
      <c r="G48" s="311">
        <v>2024</v>
      </c>
      <c r="H48" s="312">
        <v>2025</v>
      </c>
    </row>
    <row r="49" spans="1:8" ht="15.75" x14ac:dyDescent="0.25">
      <c r="A49" s="278"/>
      <c r="B49" s="297"/>
      <c r="C49" s="21"/>
      <c r="D49" s="298"/>
      <c r="E49" s="298"/>
      <c r="F49" s="298"/>
      <c r="G49" s="298"/>
      <c r="H49" s="299"/>
    </row>
    <row r="50" spans="1:8" x14ac:dyDescent="0.25">
      <c r="B50" s="300" t="s">
        <v>8</v>
      </c>
      <c r="C50" s="21"/>
      <c r="D50" s="21"/>
      <c r="E50" s="21"/>
      <c r="F50" s="21"/>
      <c r="G50" s="21"/>
      <c r="H50" s="22"/>
    </row>
    <row r="51" spans="1:8" x14ac:dyDescent="0.25">
      <c r="A51" s="285" t="s">
        <v>45</v>
      </c>
      <c r="B51" s="300" t="s">
        <v>218</v>
      </c>
      <c r="C51" s="21"/>
      <c r="D51" s="301">
        <v>15000</v>
      </c>
      <c r="E51" s="302"/>
      <c r="F51" s="302"/>
      <c r="G51" s="302"/>
      <c r="H51" s="303"/>
    </row>
    <row r="52" spans="1:8" x14ac:dyDescent="0.25">
      <c r="B52" s="300" t="s">
        <v>217</v>
      </c>
      <c r="C52" s="21"/>
      <c r="D52" s="301">
        <v>4100</v>
      </c>
      <c r="E52" s="302"/>
      <c r="F52" s="302"/>
      <c r="G52" s="302"/>
      <c r="H52" s="303"/>
    </row>
    <row r="53" spans="1:8" x14ac:dyDescent="0.25">
      <c r="B53" s="297"/>
      <c r="C53" s="21"/>
      <c r="D53" s="21"/>
      <c r="E53" s="21"/>
      <c r="F53" s="21"/>
      <c r="G53" s="21"/>
      <c r="H53" s="22"/>
    </row>
    <row r="54" spans="1:8" x14ac:dyDescent="0.25">
      <c r="B54" s="308"/>
      <c r="C54" s="309"/>
      <c r="D54" s="291">
        <f>SUM(D51:D53)</f>
        <v>19100</v>
      </c>
      <c r="E54" s="292">
        <f>SUM(E51:E53)</f>
        <v>0</v>
      </c>
      <c r="F54" s="292">
        <f t="shared" ref="F54:H54" si="0">SUM(F51:F53)</f>
        <v>0</v>
      </c>
      <c r="G54" s="292">
        <f t="shared" si="0"/>
        <v>0</v>
      </c>
      <c r="H54" s="292">
        <f t="shared" si="0"/>
        <v>0</v>
      </c>
    </row>
  </sheetData>
  <pageMargins left="0.7" right="0.7" top="0.75" bottom="0.75" header="0.3" footer="0.3"/>
  <ignoredErrors>
    <ignoredError sqref="M10" numberStoredAsText="1"/>
    <ignoredError sqref="G11:G12 G1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4" workbookViewId="0">
      <selection activeCell="H16" sqref="H16"/>
    </sheetView>
  </sheetViews>
  <sheetFormatPr baseColWidth="10" defaultRowHeight="15" x14ac:dyDescent="0.25"/>
  <cols>
    <col min="2" max="2" width="13" customWidth="1"/>
    <col min="4" max="4" width="14.5703125" customWidth="1"/>
    <col min="5" max="5" width="13.42578125" customWidth="1"/>
    <col min="6" max="6" width="18" customWidth="1"/>
    <col min="8" max="8" width="15.28515625" customWidth="1"/>
    <col min="9" max="9" width="13.42578125" customWidth="1"/>
    <col min="10" max="10" width="14.85546875" customWidth="1"/>
    <col min="11" max="11" width="13.85546875" customWidth="1"/>
  </cols>
  <sheetData>
    <row r="1" spans="1:11" ht="18.75" x14ac:dyDescent="0.25">
      <c r="B1" s="242">
        <v>4</v>
      </c>
      <c r="C1" s="126" t="s">
        <v>178</v>
      </c>
    </row>
    <row r="4" spans="1:11" ht="15.75" x14ac:dyDescent="0.25">
      <c r="A4" s="278" t="s">
        <v>213</v>
      </c>
    </row>
    <row r="6" spans="1:11" x14ac:dyDescent="0.25">
      <c r="B6" s="1" t="s">
        <v>137</v>
      </c>
    </row>
    <row r="8" spans="1:11" ht="66.75" customHeight="1" x14ac:dyDescent="0.25">
      <c r="B8" s="160"/>
      <c r="C8" s="256" t="s">
        <v>226</v>
      </c>
      <c r="D8" s="676" t="s">
        <v>199</v>
      </c>
      <c r="E8" s="677"/>
      <c r="F8" s="257" t="s">
        <v>201</v>
      </c>
      <c r="G8" s="256" t="s">
        <v>138</v>
      </c>
      <c r="H8" s="256" t="s">
        <v>204</v>
      </c>
      <c r="I8" s="256" t="s">
        <v>198</v>
      </c>
      <c r="J8" s="256" t="s">
        <v>203</v>
      </c>
      <c r="K8" s="256" t="s">
        <v>139</v>
      </c>
    </row>
    <row r="9" spans="1:11" ht="14.45" customHeight="1" x14ac:dyDescent="0.25">
      <c r="B9" s="160"/>
      <c r="C9" s="256" t="s">
        <v>202</v>
      </c>
      <c r="D9" s="407" t="s">
        <v>200</v>
      </c>
      <c r="E9" s="408" t="s">
        <v>202</v>
      </c>
      <c r="F9" s="257" t="s">
        <v>200</v>
      </c>
      <c r="G9" s="256" t="s">
        <v>202</v>
      </c>
      <c r="H9" s="256" t="s">
        <v>271</v>
      </c>
      <c r="I9" s="256" t="s">
        <v>198</v>
      </c>
      <c r="J9" s="256" t="s">
        <v>202</v>
      </c>
      <c r="K9" s="256" t="s">
        <v>271</v>
      </c>
    </row>
    <row r="10" spans="1:11" x14ac:dyDescent="0.25">
      <c r="B10" s="258"/>
      <c r="C10" s="259"/>
      <c r="D10" s="260" t="s">
        <v>45</v>
      </c>
      <c r="E10" s="261" t="s">
        <v>45</v>
      </c>
      <c r="F10" s="259"/>
      <c r="G10" s="262" t="s">
        <v>205</v>
      </c>
      <c r="H10" s="262" t="s">
        <v>206</v>
      </c>
      <c r="I10" s="262" t="s">
        <v>268</v>
      </c>
      <c r="J10" s="262" t="s">
        <v>270</v>
      </c>
      <c r="K10" s="262" t="s">
        <v>269</v>
      </c>
    </row>
    <row r="11" spans="1:11" x14ac:dyDescent="0.25">
      <c r="B11" s="160"/>
      <c r="C11" s="314"/>
      <c r="D11" s="160"/>
      <c r="E11" s="160"/>
      <c r="F11" s="160"/>
      <c r="G11" s="160"/>
      <c r="H11" s="197"/>
      <c r="I11" s="160"/>
      <c r="J11" s="160"/>
      <c r="K11" s="160"/>
    </row>
    <row r="12" spans="1:11" x14ac:dyDescent="0.25">
      <c r="B12" s="160" t="s">
        <v>140</v>
      </c>
      <c r="C12" s="315">
        <v>3800</v>
      </c>
      <c r="D12" s="196">
        <v>0.05</v>
      </c>
      <c r="E12" s="414">
        <f>+C12*D12</f>
        <v>190</v>
      </c>
      <c r="F12" s="196">
        <v>0.5</v>
      </c>
      <c r="G12" s="197">
        <f>+E12*F12</f>
        <v>95</v>
      </c>
      <c r="H12" s="413">
        <v>20</v>
      </c>
      <c r="I12" s="197">
        <v>10</v>
      </c>
      <c r="J12" s="195">
        <f>+G12*I12</f>
        <v>950</v>
      </c>
      <c r="K12" s="315">
        <f>+J12*H12</f>
        <v>19000</v>
      </c>
    </row>
    <row r="13" spans="1:11" x14ac:dyDescent="0.25">
      <c r="B13" s="160" t="s">
        <v>141</v>
      </c>
      <c r="C13" s="315">
        <v>20000</v>
      </c>
      <c r="D13" s="196">
        <v>0.05</v>
      </c>
      <c r="E13" s="414">
        <f t="shared" ref="E13:E14" si="0">+C13*D13</f>
        <v>1000</v>
      </c>
      <c r="F13" s="196">
        <v>0.5</v>
      </c>
      <c r="G13" s="197">
        <f t="shared" ref="G13:G14" si="1">+E13*F13</f>
        <v>500</v>
      </c>
      <c r="H13" s="413">
        <v>20</v>
      </c>
      <c r="I13" s="197">
        <v>10</v>
      </c>
      <c r="J13" s="195">
        <f t="shared" ref="J13:J14" si="2">+G13*I13</f>
        <v>5000</v>
      </c>
      <c r="K13" s="315">
        <f t="shared" ref="K13:K14" si="3">+J13*H13</f>
        <v>100000</v>
      </c>
    </row>
    <row r="14" spans="1:11" x14ac:dyDescent="0.25">
      <c r="B14" s="160" t="s">
        <v>142</v>
      </c>
      <c r="C14" s="315">
        <v>100000</v>
      </c>
      <c r="D14" s="196">
        <v>0.05</v>
      </c>
      <c r="E14" s="414">
        <f t="shared" si="0"/>
        <v>5000</v>
      </c>
      <c r="F14" s="196">
        <v>0.03</v>
      </c>
      <c r="G14" s="197">
        <f t="shared" si="1"/>
        <v>150</v>
      </c>
      <c r="H14" s="413">
        <v>20</v>
      </c>
      <c r="I14" s="197">
        <v>10</v>
      </c>
      <c r="J14" s="195">
        <f t="shared" si="2"/>
        <v>1500</v>
      </c>
      <c r="K14" s="315">
        <f t="shared" si="3"/>
        <v>30000</v>
      </c>
    </row>
    <row r="15" spans="1:11" x14ac:dyDescent="0.25">
      <c r="C15" s="65"/>
      <c r="H15" s="20"/>
    </row>
    <row r="16" spans="1:11" x14ac:dyDescent="0.25">
      <c r="C16" s="65"/>
      <c r="E16" t="s">
        <v>45</v>
      </c>
      <c r="H16" s="20"/>
    </row>
    <row r="17" spans="1:8" x14ac:dyDescent="0.25">
      <c r="A17" s="13"/>
      <c r="B17" s="13" t="s">
        <v>370</v>
      </c>
      <c r="C17" s="280"/>
      <c r="D17" s="13"/>
      <c r="F17" s="13" t="s">
        <v>371</v>
      </c>
      <c r="H17" s="640"/>
    </row>
    <row r="18" spans="1:8" x14ac:dyDescent="0.25">
      <c r="A18" s="13"/>
      <c r="B18" s="13"/>
      <c r="C18" s="280"/>
      <c r="D18" s="13"/>
      <c r="E18" s="13"/>
      <c r="F18" s="13"/>
      <c r="G18" s="13"/>
      <c r="H18" s="640"/>
    </row>
    <row r="19" spans="1:8" x14ac:dyDescent="0.25">
      <c r="A19" s="13"/>
      <c r="B19" s="13"/>
      <c r="C19" s="280"/>
      <c r="D19" s="13"/>
      <c r="E19" s="13"/>
      <c r="F19" s="13"/>
      <c r="G19" s="13"/>
      <c r="H19" s="640"/>
    </row>
    <row r="20" spans="1:8" x14ac:dyDescent="0.25">
      <c r="A20" s="13"/>
      <c r="B20" s="13"/>
      <c r="C20" s="280"/>
      <c r="D20" s="13"/>
      <c r="E20" s="13"/>
      <c r="F20" s="13"/>
      <c r="G20" s="13"/>
      <c r="H20" s="640"/>
    </row>
    <row r="21" spans="1:8" x14ac:dyDescent="0.25">
      <c r="A21" s="13"/>
      <c r="B21" s="13"/>
      <c r="C21" s="280"/>
      <c r="D21" s="13"/>
      <c r="E21" s="13"/>
      <c r="F21" s="13"/>
      <c r="G21" s="13"/>
      <c r="H21" s="640"/>
    </row>
    <row r="22" spans="1:8" ht="15.75" x14ac:dyDescent="0.25">
      <c r="A22" s="641" t="s">
        <v>212</v>
      </c>
      <c r="B22" s="13"/>
      <c r="C22" s="13" t="s">
        <v>369</v>
      </c>
      <c r="D22" s="13"/>
      <c r="E22" s="13"/>
      <c r="F22" s="13"/>
      <c r="G22" s="13"/>
      <c r="H22" s="13"/>
    </row>
    <row r="23" spans="1:8" x14ac:dyDescent="0.25">
      <c r="A23" s="13"/>
      <c r="B23" s="13"/>
      <c r="C23" s="13"/>
      <c r="D23" s="13"/>
      <c r="E23" s="13"/>
      <c r="F23" s="13"/>
      <c r="G23" s="13"/>
      <c r="H23" s="13"/>
    </row>
    <row r="24" spans="1:8" x14ac:dyDescent="0.25">
      <c r="A24" s="13"/>
      <c r="B24" s="13"/>
      <c r="C24" s="13"/>
      <c r="D24" s="13"/>
      <c r="E24" s="13"/>
      <c r="F24" s="13"/>
      <c r="G24" s="13"/>
      <c r="H24" s="13"/>
    </row>
    <row r="25" spans="1:8" x14ac:dyDescent="0.25">
      <c r="A25" s="13"/>
      <c r="B25" s="13"/>
      <c r="C25" s="13"/>
      <c r="D25" s="13"/>
      <c r="E25" s="13"/>
      <c r="F25" s="13"/>
      <c r="G25" s="13"/>
      <c r="H25" s="13"/>
    </row>
  </sheetData>
  <mergeCells count="1">
    <mergeCell ref="D8:E8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INDEX</vt:lpstr>
      <vt:lpstr>TdF Equilibré</vt:lpstr>
      <vt:lpstr>TdF Besoins</vt:lpstr>
      <vt:lpstr>Résultat par entité</vt:lpstr>
      <vt:lpstr>CA estimé 2021</vt:lpstr>
      <vt:lpstr>BM 1 Co-working</vt:lpstr>
      <vt:lpstr>BM 2 Franchise</vt:lpstr>
      <vt:lpstr>BM 3 Formation</vt:lpstr>
      <vt:lpstr>BM 4 QVT</vt:lpstr>
      <vt:lpstr>CHARGES FIXES</vt:lpstr>
      <vt:lpstr>MKT</vt:lpstr>
      <vt:lpstr>Loyers et TF</vt:lpstr>
      <vt:lpstr>Tréso &amp; Emprunts</vt:lpstr>
      <vt:lpstr>Cptes Intercos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camesnic</dc:creator>
  <cp:lastModifiedBy>Utilisateur Windows</cp:lastModifiedBy>
  <cp:lastPrinted>2021-08-25T13:07:48Z</cp:lastPrinted>
  <dcterms:created xsi:type="dcterms:W3CDTF">2014-09-12T15:08:03Z</dcterms:created>
  <dcterms:modified xsi:type="dcterms:W3CDTF">2021-09-28T16:23:56Z</dcterms:modified>
</cp:coreProperties>
</file>