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13-Khépri Santé\EONA RV 20_05-2021\"/>
    </mc:Choice>
  </mc:AlternateContent>
  <bookViews>
    <workbookView xWindow="0" yWindow="0" windowWidth="9930" windowHeight="6690" tabRatio="777" activeTab="7"/>
  </bookViews>
  <sheets>
    <sheet name="INDEX" sheetId="18" r:id="rId1"/>
    <sheet name="TdF Equilibré" sheetId="15" r:id="rId2"/>
    <sheet name="TdF Besoins" sheetId="20" r:id="rId3"/>
    <sheet name="Résultat par entité" sheetId="2" r:id="rId4"/>
    <sheet name="BM 1 Co-working Nogent" sheetId="11" r:id="rId5"/>
    <sheet name="BM 2 Franchise" sheetId="9" r:id="rId6"/>
    <sheet name="BM 3 Formation" sheetId="12" r:id="rId7"/>
    <sheet name="FORMATION" sheetId="22" r:id="rId8"/>
    <sheet name="BM 4 QVT" sheetId="13" r:id="rId9"/>
    <sheet name="Tréso &amp; Emprunts" sheetId="7" r:id="rId10"/>
    <sheet name="CHARGES FIXES" sheetId="17" r:id="rId11"/>
    <sheet name="MKT" sheetId="16" r:id="rId12"/>
    <sheet name="Loyers et TF" sheetId="6" r:id="rId13"/>
    <sheet name="Cptes Intercos" sheetId="5" r:id="rId14"/>
    <sheet name="BP Franchisé" sheetId="2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2" l="1"/>
  <c r="K29" i="2"/>
  <c r="J17" i="20"/>
  <c r="L12" i="20"/>
  <c r="D32" i="20"/>
  <c r="J41" i="7"/>
  <c r="J39" i="7"/>
  <c r="K41" i="7"/>
  <c r="I41" i="7"/>
  <c r="D64" i="2"/>
  <c r="E64" i="2"/>
  <c r="E66" i="2" l="1"/>
  <c r="D61" i="2"/>
  <c r="E61" i="2"/>
  <c r="D57" i="2"/>
  <c r="D56" i="2"/>
  <c r="D52" i="2"/>
  <c r="D42" i="2"/>
  <c r="D41" i="2"/>
  <c r="D34" i="2"/>
  <c r="D29" i="2"/>
  <c r="D28" i="2"/>
  <c r="D21" i="2"/>
  <c r="D22" i="2"/>
  <c r="D23" i="2"/>
  <c r="D24" i="2"/>
  <c r="D20" i="2"/>
  <c r="D11" i="2"/>
  <c r="D13" i="2"/>
  <c r="E43" i="2"/>
  <c r="D43" i="2" s="1"/>
  <c r="E40" i="2"/>
  <c r="E59" i="2"/>
  <c r="E54" i="2"/>
  <c r="E50" i="2"/>
  <c r="E32" i="2"/>
  <c r="E26" i="2"/>
  <c r="E39" i="2"/>
  <c r="D39" i="2" s="1"/>
  <c r="E35" i="2"/>
  <c r="D35" i="2" s="1"/>
  <c r="E12" i="2"/>
  <c r="D12" i="2" s="1"/>
  <c r="E10" i="2"/>
  <c r="D10" i="2" s="1"/>
  <c r="G20" i="17"/>
  <c r="E20" i="17"/>
  <c r="H47" i="2"/>
  <c r="D47" i="2" s="1"/>
  <c r="H40" i="2"/>
  <c r="H30" i="2"/>
  <c r="D30" i="2" s="1"/>
  <c r="E71" i="9"/>
  <c r="G68" i="9"/>
  <c r="G65" i="9"/>
  <c r="E37" i="2" l="1"/>
  <c r="D40" i="2"/>
  <c r="E15" i="2"/>
  <c r="E45" i="2"/>
  <c r="F11" i="22"/>
  <c r="E70" i="2" l="1"/>
  <c r="K84" i="21"/>
  <c r="H84" i="21"/>
  <c r="M57" i="21"/>
  <c r="K57" i="21"/>
  <c r="H57" i="21"/>
  <c r="H8" i="21"/>
  <c r="M50" i="21"/>
  <c r="K50" i="21"/>
  <c r="H50" i="21"/>
  <c r="M49" i="21"/>
  <c r="K49" i="21"/>
  <c r="H49" i="21"/>
  <c r="M47" i="21"/>
  <c r="K47" i="21"/>
  <c r="M46" i="21"/>
  <c r="K46" i="21"/>
  <c r="M45" i="21"/>
  <c r="K45" i="21"/>
  <c r="M44" i="21"/>
  <c r="K44" i="21"/>
  <c r="M43" i="21"/>
  <c r="K43" i="21"/>
  <c r="H47" i="21"/>
  <c r="H46" i="21"/>
  <c r="H45" i="21"/>
  <c r="H44" i="21"/>
  <c r="H43" i="21"/>
  <c r="K48" i="21" l="1"/>
  <c r="K53" i="21" s="1"/>
  <c r="H48" i="21"/>
  <c r="H53" i="21" s="1"/>
  <c r="M48" i="21"/>
  <c r="M53" i="21" s="1"/>
  <c r="F15" i="11"/>
  <c r="F16" i="11"/>
  <c r="F17" i="11"/>
  <c r="F18" i="11"/>
  <c r="F19" i="11"/>
  <c r="F20" i="11"/>
  <c r="F21" i="11"/>
  <c r="C22" i="11"/>
  <c r="D22" i="11"/>
  <c r="F10" i="2" s="1"/>
  <c r="E22" i="11"/>
  <c r="F12" i="2" s="1"/>
  <c r="M71" i="21"/>
  <c r="K71" i="21"/>
  <c r="H71" i="21"/>
  <c r="M69" i="21"/>
  <c r="K69" i="21"/>
  <c r="H69" i="21"/>
  <c r="M65" i="21"/>
  <c r="K65" i="21"/>
  <c r="H65" i="21"/>
  <c r="M61" i="21"/>
  <c r="K61" i="21"/>
  <c r="H61" i="21"/>
  <c r="M30" i="21"/>
  <c r="K30" i="21"/>
  <c r="H30" i="21"/>
  <c r="M26" i="21"/>
  <c r="K26" i="21"/>
  <c r="H26" i="21"/>
  <c r="M23" i="21"/>
  <c r="K23" i="21"/>
  <c r="H23" i="21"/>
  <c r="M14" i="21"/>
  <c r="K14" i="21"/>
  <c r="H14" i="21"/>
  <c r="M10" i="21"/>
  <c r="K10" i="21"/>
  <c r="H10" i="21"/>
  <c r="M7" i="21"/>
  <c r="K7" i="21"/>
  <c r="H7" i="21"/>
  <c r="J19" i="15"/>
  <c r="E68" i="9"/>
  <c r="H52" i="12"/>
  <c r="G52" i="12"/>
  <c r="F52" i="12"/>
  <c r="O39" i="20"/>
  <c r="N39" i="20"/>
  <c r="M39" i="20"/>
  <c r="J37" i="20"/>
  <c r="J34" i="20"/>
  <c r="P33" i="20"/>
  <c r="L33" i="20" s="1"/>
  <c r="L39" i="20" s="1"/>
  <c r="J33" i="20"/>
  <c r="P19" i="20"/>
  <c r="P24" i="20" s="1"/>
  <c r="L28" i="7"/>
  <c r="K28" i="7"/>
  <c r="H32" i="20" s="1"/>
  <c r="H39" i="20" s="1"/>
  <c r="J28" i="7"/>
  <c r="G30" i="15" s="1"/>
  <c r="I28" i="7"/>
  <c r="F32" i="20" s="1"/>
  <c r="H28" i="7"/>
  <c r="E32" i="20" s="1"/>
  <c r="G28" i="7"/>
  <c r="J32" i="20" s="1"/>
  <c r="F28" i="7"/>
  <c r="F30" i="15" l="1"/>
  <c r="G32" i="20"/>
  <c r="F22" i="2"/>
  <c r="F22" i="11"/>
  <c r="M20" i="21"/>
  <c r="K20" i="21"/>
  <c r="H36" i="21"/>
  <c r="H20" i="21"/>
  <c r="H30" i="15"/>
  <c r="H37" i="15" s="1"/>
  <c r="D30" i="15"/>
  <c r="E30" i="15"/>
  <c r="K32" i="20"/>
  <c r="P39" i="20"/>
  <c r="P41" i="20" s="1"/>
  <c r="P43" i="20" s="1"/>
  <c r="AB59" i="2"/>
  <c r="AA59" i="2"/>
  <c r="AB54" i="2"/>
  <c r="AA54" i="2"/>
  <c r="AB45" i="2"/>
  <c r="AA45" i="2"/>
  <c r="AB37" i="2"/>
  <c r="AA37" i="2"/>
  <c r="Y57" i="2"/>
  <c r="H18" i="20" s="1"/>
  <c r="T57" i="2"/>
  <c r="G18" i="20" s="1"/>
  <c r="W59" i="2"/>
  <c r="V59" i="2"/>
  <c r="W54" i="2"/>
  <c r="V54" i="2"/>
  <c r="W45" i="2"/>
  <c r="V45" i="2"/>
  <c r="W37" i="2"/>
  <c r="V37" i="2"/>
  <c r="R59" i="2"/>
  <c r="Q59" i="2"/>
  <c r="R54" i="2"/>
  <c r="Q54" i="2"/>
  <c r="R45" i="2"/>
  <c r="Q45" i="2"/>
  <c r="R37" i="2"/>
  <c r="Q37" i="2"/>
  <c r="P52" i="2"/>
  <c r="O52" i="2" s="1"/>
  <c r="M54" i="2"/>
  <c r="L54" i="2"/>
  <c r="M59" i="2"/>
  <c r="L59" i="2"/>
  <c r="M45" i="2"/>
  <c r="L45" i="2"/>
  <c r="M37" i="2"/>
  <c r="L37" i="2"/>
  <c r="H59" i="2"/>
  <c r="G59" i="2"/>
  <c r="H54" i="2"/>
  <c r="G54" i="2"/>
  <c r="G50" i="2"/>
  <c r="F50" i="2"/>
  <c r="H45" i="2"/>
  <c r="G45" i="2"/>
  <c r="H37" i="2"/>
  <c r="G37" i="2"/>
  <c r="F41" i="2"/>
  <c r="AA43" i="17"/>
  <c r="P57" i="2" s="1"/>
  <c r="O57" i="2" s="1"/>
  <c r="F18" i="20" s="1"/>
  <c r="R43" i="17"/>
  <c r="K57" i="2" s="1"/>
  <c r="J57" i="2" s="1"/>
  <c r="E18" i="20" s="1"/>
  <c r="H43" i="17"/>
  <c r="F57" i="2" s="1"/>
  <c r="D18" i="20" s="1"/>
  <c r="K18" i="20" s="1"/>
  <c r="J18" i="20" s="1"/>
  <c r="AA39" i="17"/>
  <c r="AA38" i="17" s="1"/>
  <c r="R39" i="17"/>
  <c r="R38" i="17" s="1"/>
  <c r="H39" i="17"/>
  <c r="H38" i="17" s="1"/>
  <c r="AA36" i="17"/>
  <c r="P40" i="2" s="1"/>
  <c r="R36" i="17"/>
  <c r="K40" i="2" s="1"/>
  <c r="J40" i="2" s="1"/>
  <c r="H36" i="17"/>
  <c r="F40" i="2" s="1"/>
  <c r="AA35" i="17"/>
  <c r="P43" i="2" s="1"/>
  <c r="O43" i="2" s="1"/>
  <c r="R35" i="17"/>
  <c r="K43" i="2" s="1"/>
  <c r="J43" i="2" s="1"/>
  <c r="H35" i="17"/>
  <c r="F43" i="2" s="1"/>
  <c r="AA34" i="17"/>
  <c r="P39" i="2" s="1"/>
  <c r="O39" i="2" s="1"/>
  <c r="R34" i="17"/>
  <c r="K39" i="2" s="1"/>
  <c r="J39" i="2" s="1"/>
  <c r="H34" i="17"/>
  <c r="F39" i="2" s="1"/>
  <c r="AA33" i="17"/>
  <c r="P42" i="2" s="1"/>
  <c r="U42" i="2" s="1"/>
  <c r="R33" i="17"/>
  <c r="K42" i="2" s="1"/>
  <c r="J42" i="2" s="1"/>
  <c r="H33" i="17"/>
  <c r="AA32" i="17"/>
  <c r="R32" i="17"/>
  <c r="H32" i="17"/>
  <c r="AA29" i="17"/>
  <c r="P35" i="2" s="1"/>
  <c r="O35" i="2" s="1"/>
  <c r="R29" i="17"/>
  <c r="K35" i="2" s="1"/>
  <c r="J35" i="2" s="1"/>
  <c r="H29" i="17"/>
  <c r="F35" i="2" s="1"/>
  <c r="AA28" i="17"/>
  <c r="AA27" i="17" s="1"/>
  <c r="R28" i="17"/>
  <c r="H28" i="17"/>
  <c r="X25" i="17"/>
  <c r="O25" i="17"/>
  <c r="H25" i="17"/>
  <c r="X24" i="17"/>
  <c r="O24" i="17"/>
  <c r="H24" i="17"/>
  <c r="X23" i="17"/>
  <c r="O23" i="17"/>
  <c r="E23" i="17"/>
  <c r="X22" i="17"/>
  <c r="O22" i="17"/>
  <c r="G22" i="17"/>
  <c r="H22" i="17" s="1"/>
  <c r="E22" i="17"/>
  <c r="X21" i="17"/>
  <c r="O21" i="17"/>
  <c r="G21" i="17"/>
  <c r="H21" i="17" s="1"/>
  <c r="E21" i="17"/>
  <c r="X20" i="17"/>
  <c r="O20" i="17"/>
  <c r="AA16" i="17"/>
  <c r="Z25" i="17" s="1"/>
  <c r="AA25" i="17" s="1"/>
  <c r="R16" i="17"/>
  <c r="Q25" i="17" s="1"/>
  <c r="R25" i="17" s="1"/>
  <c r="AA15" i="17"/>
  <c r="Z24" i="17" s="1"/>
  <c r="AA24" i="17" s="1"/>
  <c r="R15" i="17"/>
  <c r="Q24" i="17" s="1"/>
  <c r="R24" i="17" s="1"/>
  <c r="H15" i="17"/>
  <c r="G23" i="17" s="1"/>
  <c r="H23" i="17" s="1"/>
  <c r="AA14" i="17"/>
  <c r="Z23" i="17" s="1"/>
  <c r="AA23" i="17" s="1"/>
  <c r="R14" i="17"/>
  <c r="Q23" i="17" s="1"/>
  <c r="R23" i="17" s="1"/>
  <c r="AA13" i="17"/>
  <c r="Z22" i="17" s="1"/>
  <c r="AA22" i="17" s="1"/>
  <c r="R13" i="17"/>
  <c r="Q22" i="17" s="1"/>
  <c r="R22" i="17" s="1"/>
  <c r="AA12" i="17"/>
  <c r="Z21" i="17" s="1"/>
  <c r="AA21" i="17" s="1"/>
  <c r="P48" i="2" s="1"/>
  <c r="R12" i="17"/>
  <c r="Q21" i="17" s="1"/>
  <c r="R21" i="17" s="1"/>
  <c r="K48" i="2" s="1"/>
  <c r="AA11" i="17"/>
  <c r="Z20" i="17" s="1"/>
  <c r="AA20" i="17" s="1"/>
  <c r="R48" i="2" s="1"/>
  <c r="W48" i="2" s="1"/>
  <c r="AB48" i="2" s="1"/>
  <c r="R11" i="17"/>
  <c r="H11" i="17"/>
  <c r="Q48" i="2" l="1"/>
  <c r="V48" i="2" s="1"/>
  <c r="AA48" i="2" s="1"/>
  <c r="L48" i="2"/>
  <c r="H10" i="17"/>
  <c r="R10" i="17"/>
  <c r="F52" i="2"/>
  <c r="F54" i="2" s="1"/>
  <c r="R31" i="17"/>
  <c r="H27" i="17"/>
  <c r="AA31" i="17"/>
  <c r="R27" i="17"/>
  <c r="H31" i="17"/>
  <c r="P47" i="2"/>
  <c r="U47" i="2" s="1"/>
  <c r="Z47" i="2" s="1"/>
  <c r="U43" i="2"/>
  <c r="Z43" i="2" s="1"/>
  <c r="U39" i="2"/>
  <c r="Z39" i="2" s="1"/>
  <c r="U48" i="2"/>
  <c r="U50" i="2" s="1"/>
  <c r="Z42" i="2"/>
  <c r="T42" i="2"/>
  <c r="O40" i="2"/>
  <c r="U40" i="2"/>
  <c r="F42" i="2"/>
  <c r="P54" i="2"/>
  <c r="AA10" i="17"/>
  <c r="K52" i="2"/>
  <c r="R47" i="2"/>
  <c r="P34" i="2"/>
  <c r="U52" i="2"/>
  <c r="M47" i="2"/>
  <c r="Q47" i="2"/>
  <c r="K47" i="2"/>
  <c r="O42" i="2"/>
  <c r="K34" i="2"/>
  <c r="L47" i="2"/>
  <c r="L50" i="2" s="1"/>
  <c r="K41" i="2"/>
  <c r="J41" i="2" s="1"/>
  <c r="F34" i="2"/>
  <c r="P41" i="2"/>
  <c r="AA19" i="17"/>
  <c r="H20" i="17"/>
  <c r="Q20" i="17"/>
  <c r="R20" i="17" s="1"/>
  <c r="P50" i="2" l="1"/>
  <c r="O48" i="2"/>
  <c r="F45" i="2"/>
  <c r="T43" i="2"/>
  <c r="F37" i="2"/>
  <c r="T39" i="2"/>
  <c r="O41" i="2"/>
  <c r="U41" i="2"/>
  <c r="P37" i="2"/>
  <c r="O34" i="2"/>
  <c r="U34" i="2"/>
  <c r="W47" i="2"/>
  <c r="R50" i="2"/>
  <c r="Z48" i="2"/>
  <c r="Z50" i="2" s="1"/>
  <c r="T48" i="2"/>
  <c r="K54" i="2"/>
  <c r="J52" i="2"/>
  <c r="Z52" i="2"/>
  <c r="Z54" i="2" s="1"/>
  <c r="T52" i="2"/>
  <c r="U54" i="2"/>
  <c r="J47" i="2"/>
  <c r="K50" i="2"/>
  <c r="R19" i="17"/>
  <c r="M48" i="2"/>
  <c r="J48" i="2" s="1"/>
  <c r="H19" i="17"/>
  <c r="H48" i="2"/>
  <c r="D48" i="2" s="1"/>
  <c r="V47" i="2"/>
  <c r="Q50" i="2"/>
  <c r="O47" i="2"/>
  <c r="P45" i="2"/>
  <c r="Z40" i="2"/>
  <c r="T40" i="2"/>
  <c r="K37" i="2"/>
  <c r="J34" i="2"/>
  <c r="K45" i="2"/>
  <c r="E65" i="9"/>
  <c r="E62" i="9"/>
  <c r="U32" i="2"/>
  <c r="Z32" i="2"/>
  <c r="P32" i="2"/>
  <c r="K32" i="2"/>
  <c r="M30" i="2"/>
  <c r="M32" i="2" s="1"/>
  <c r="G14" i="16"/>
  <c r="AB30" i="2" s="1"/>
  <c r="Y30" i="2" s="1"/>
  <c r="F14" i="16"/>
  <c r="W30" i="2" s="1"/>
  <c r="W32" i="2" s="1"/>
  <c r="E14" i="16"/>
  <c r="R30" i="2" s="1"/>
  <c r="R32" i="2" s="1"/>
  <c r="D14" i="16"/>
  <c r="C14" i="16"/>
  <c r="M50" i="2" l="1"/>
  <c r="J30" i="2"/>
  <c r="AB47" i="2"/>
  <c r="AB50" i="2" s="1"/>
  <c r="W50" i="2"/>
  <c r="H50" i="2"/>
  <c r="T34" i="2"/>
  <c r="U37" i="2"/>
  <c r="Z34" i="2"/>
  <c r="Z37" i="2" s="1"/>
  <c r="Z41" i="2"/>
  <c r="Z45" i="2" s="1"/>
  <c r="T41" i="2"/>
  <c r="U45" i="2"/>
  <c r="AA47" i="2"/>
  <c r="AA50" i="2" s="1"/>
  <c r="V50" i="2"/>
  <c r="T47" i="2"/>
  <c r="O30" i="2"/>
  <c r="T30" i="2"/>
  <c r="AB32" i="2"/>
  <c r="D20" i="15"/>
  <c r="J20" i="15" s="1"/>
  <c r="E14" i="13"/>
  <c r="G14" i="13" s="1"/>
  <c r="J14" i="13" s="1"/>
  <c r="K14" i="13" s="1"/>
  <c r="E13" i="13"/>
  <c r="G13" i="13" s="1"/>
  <c r="J13" i="13" s="1"/>
  <c r="K13" i="13" s="1"/>
  <c r="E12" i="13"/>
  <c r="G12" i="13" s="1"/>
  <c r="J12" i="13" s="1"/>
  <c r="K12" i="13" s="1"/>
  <c r="V13" i="2" l="1"/>
  <c r="T13" i="2" s="1"/>
  <c r="AA13" i="2"/>
  <c r="Y13" i="2" s="1"/>
  <c r="Q13" i="2"/>
  <c r="O13" i="2" s="1"/>
  <c r="L13" i="2"/>
  <c r="J13" i="2" s="1"/>
  <c r="H41" i="7" l="1"/>
  <c r="G41" i="7"/>
  <c r="D17" i="7"/>
  <c r="V15" i="7"/>
  <c r="U15" i="7"/>
  <c r="T15" i="7"/>
  <c r="S15" i="7"/>
  <c r="S14" i="7"/>
  <c r="T14" i="7"/>
  <c r="U14" i="7"/>
  <c r="S12" i="7"/>
  <c r="W11" i="7"/>
  <c r="W17" i="7" s="1"/>
  <c r="V11" i="7"/>
  <c r="U11" i="7"/>
  <c r="T11" i="7"/>
  <c r="S11" i="7"/>
  <c r="S10" i="7"/>
  <c r="D10" i="15" l="1"/>
  <c r="D12" i="20"/>
  <c r="H16" i="15"/>
  <c r="G16" i="15"/>
  <c r="F16" i="15"/>
  <c r="E16" i="15"/>
  <c r="D16" i="15"/>
  <c r="E52" i="12"/>
  <c r="F29" i="2" s="1"/>
  <c r="J29" i="2"/>
  <c r="AA29" i="2"/>
  <c r="Y29" i="2" s="1"/>
  <c r="V29" i="2"/>
  <c r="T29" i="2" s="1"/>
  <c r="Q29" i="2"/>
  <c r="O29" i="2" s="1"/>
  <c r="J73" i="9"/>
  <c r="AA28" i="2" s="1"/>
  <c r="I73" i="9"/>
  <c r="V28" i="2" s="1"/>
  <c r="H73" i="9"/>
  <c r="Q28" i="2" s="1"/>
  <c r="G73" i="9"/>
  <c r="L28" i="2" s="1"/>
  <c r="J28" i="2" s="1"/>
  <c r="E73" i="9"/>
  <c r="K12" i="20" l="1"/>
  <c r="J12" i="20" s="1"/>
  <c r="V32" i="2"/>
  <c r="T28" i="2"/>
  <c r="AA32" i="2"/>
  <c r="Y28" i="2"/>
  <c r="Q32" i="2"/>
  <c r="O28" i="2"/>
  <c r="L32" i="2"/>
  <c r="F73" i="9"/>
  <c r="G28" i="2" s="1"/>
  <c r="Y32" i="2" l="1"/>
  <c r="AB26" i="2"/>
  <c r="AB64" i="2" s="1"/>
  <c r="AA26" i="2"/>
  <c r="AA64" i="2" s="1"/>
  <c r="Y21" i="2"/>
  <c r="Y23" i="2"/>
  <c r="Y24" i="2"/>
  <c r="Y20" i="2"/>
  <c r="T32" i="2"/>
  <c r="W26" i="2"/>
  <c r="W64" i="2" s="1"/>
  <c r="V26" i="2"/>
  <c r="V64" i="2" s="1"/>
  <c r="R26" i="2"/>
  <c r="R64" i="2" s="1"/>
  <c r="Q26" i="2"/>
  <c r="Q64" i="2" s="1"/>
  <c r="M26" i="2"/>
  <c r="M64" i="2" s="1"/>
  <c r="L26" i="2"/>
  <c r="L64" i="2" s="1"/>
  <c r="J23" i="2"/>
  <c r="J24" i="2"/>
  <c r="H32" i="2"/>
  <c r="G32" i="2"/>
  <c r="F32" i="2"/>
  <c r="O17" i="20"/>
  <c r="O19" i="20" s="1"/>
  <c r="O24" i="20" s="1"/>
  <c r="O41" i="20" s="1"/>
  <c r="O43" i="20" s="1"/>
  <c r="N17" i="20"/>
  <c r="N19" i="20" s="1"/>
  <c r="N24" i="20" s="1"/>
  <c r="N41" i="20" s="1"/>
  <c r="N43" i="20" s="1"/>
  <c r="M17" i="20"/>
  <c r="L17" i="20" s="1"/>
  <c r="L19" i="20" s="1"/>
  <c r="L24" i="20" s="1"/>
  <c r="L41" i="20" s="1"/>
  <c r="L43" i="20" s="1"/>
  <c r="G26" i="2"/>
  <c r="H26" i="2"/>
  <c r="AB15" i="2"/>
  <c r="W15" i="2"/>
  <c r="R15" i="2"/>
  <c r="M15" i="2"/>
  <c r="H15" i="2"/>
  <c r="I36" i="12"/>
  <c r="I17" i="12"/>
  <c r="P12" i="2" s="1"/>
  <c r="P22" i="2" s="1"/>
  <c r="P26" i="2" s="1"/>
  <c r="K17" i="12"/>
  <c r="Z12" i="2" s="1"/>
  <c r="Z22" i="2" s="1"/>
  <c r="Y22" i="2" s="1"/>
  <c r="R66" i="2" l="1"/>
  <c r="R70" i="2" s="1"/>
  <c r="AB66" i="2"/>
  <c r="AB70" i="2" s="1"/>
  <c r="W66" i="2"/>
  <c r="W70" i="2" s="1"/>
  <c r="M66" i="2"/>
  <c r="M68" i="2" s="1"/>
  <c r="M70" i="2" s="1"/>
  <c r="M19" i="20"/>
  <c r="M24" i="20" s="1"/>
  <c r="M41" i="20" s="1"/>
  <c r="M43" i="20" s="1"/>
  <c r="G64" i="2"/>
  <c r="H64" i="2"/>
  <c r="H66" i="2" s="1"/>
  <c r="H70" i="2" s="1"/>
  <c r="O32" i="2"/>
  <c r="Y26" i="2"/>
  <c r="J32" i="2"/>
  <c r="Z26" i="2"/>
  <c r="O22" i="2"/>
  <c r="O26" i="2" s="1"/>
  <c r="D32" i="2"/>
  <c r="J17" i="12" l="1"/>
  <c r="U12" i="2" s="1"/>
  <c r="U22" i="2" s="1"/>
  <c r="H17" i="12"/>
  <c r="K12" i="2" s="1"/>
  <c r="K22" i="2" s="1"/>
  <c r="G15" i="12"/>
  <c r="G14" i="12"/>
  <c r="G12" i="12"/>
  <c r="G11" i="12"/>
  <c r="D52" i="9"/>
  <c r="E52" i="9"/>
  <c r="C52" i="9"/>
  <c r="I40" i="12"/>
  <c r="I38" i="12"/>
  <c r="I37" i="12"/>
  <c r="H37" i="12"/>
  <c r="H36" i="12"/>
  <c r="G36" i="12"/>
  <c r="D42" i="12"/>
  <c r="I39" i="12"/>
  <c r="H39" i="12"/>
  <c r="H38" i="12"/>
  <c r="G38" i="12"/>
  <c r="G37" i="12"/>
  <c r="F37" i="12"/>
  <c r="F36" i="12"/>
  <c r="E36" i="12"/>
  <c r="E35" i="12"/>
  <c r="D56" i="9" l="1"/>
  <c r="D20" i="9"/>
  <c r="E28" i="9" s="1"/>
  <c r="C56" i="9"/>
  <c r="C20" i="9"/>
  <c r="D28" i="9" s="1"/>
  <c r="E56" i="9"/>
  <c r="E20" i="9"/>
  <c r="F28" i="9" s="1"/>
  <c r="E34" i="9"/>
  <c r="T22" i="2"/>
  <c r="T26" i="2" s="1"/>
  <c r="U26" i="2"/>
  <c r="K26" i="2"/>
  <c r="J22" i="2"/>
  <c r="J26" i="2" s="1"/>
  <c r="E42" i="12"/>
  <c r="I42" i="12"/>
  <c r="F35" i="12"/>
  <c r="G35" i="12" s="1"/>
  <c r="H35" i="12" s="1"/>
  <c r="F29" i="9" l="1"/>
  <c r="M56" i="21"/>
  <c r="M55" i="21" s="1"/>
  <c r="M75" i="21" s="1"/>
  <c r="M78" i="21" s="1"/>
  <c r="M81" i="21" s="1"/>
  <c r="M87" i="21" s="1"/>
  <c r="D29" i="9"/>
  <c r="H56" i="21"/>
  <c r="H55" i="21" s="1"/>
  <c r="H75" i="21" s="1"/>
  <c r="H78" i="21" s="1"/>
  <c r="H81" i="21" s="1"/>
  <c r="E29" i="9"/>
  <c r="K56" i="21"/>
  <c r="K55" i="21" s="1"/>
  <c r="K75" i="21" s="1"/>
  <c r="K78" i="21" s="1"/>
  <c r="K81" i="21" s="1"/>
  <c r="F35" i="9"/>
  <c r="I38" i="9"/>
  <c r="G36" i="9"/>
  <c r="H37" i="9"/>
  <c r="G42" i="12"/>
  <c r="F42" i="12"/>
  <c r="I35" i="12"/>
  <c r="H42" i="12"/>
  <c r="M35" i="21" l="1"/>
  <c r="M36" i="21" s="1"/>
  <c r="K87" i="21"/>
  <c r="H87" i="21"/>
  <c r="K35" i="21"/>
  <c r="K36" i="21" s="1"/>
  <c r="Y10" i="2"/>
  <c r="T10" i="2"/>
  <c r="Y12" i="2"/>
  <c r="T12" i="2"/>
  <c r="O12" i="2"/>
  <c r="O10" i="2"/>
  <c r="I35" i="9"/>
  <c r="I34" i="9"/>
  <c r="H35" i="9"/>
  <c r="H34" i="9"/>
  <c r="D40" i="9"/>
  <c r="G11" i="2" s="1"/>
  <c r="G15" i="2" s="1"/>
  <c r="G66" i="2" s="1"/>
  <c r="G70" i="2" s="1"/>
  <c r="I37" i="9"/>
  <c r="I36" i="9"/>
  <c r="H36" i="9"/>
  <c r="F34" i="9"/>
  <c r="G35" i="9"/>
  <c r="G34" i="9"/>
  <c r="E33" i="9"/>
  <c r="F33" i="9" s="1"/>
  <c r="Y52" i="2"/>
  <c r="Y48" i="2"/>
  <c r="Y47" i="2"/>
  <c r="Y43" i="2"/>
  <c r="Y42" i="2"/>
  <c r="Y41" i="2"/>
  <c r="Y40" i="2"/>
  <c r="Y39" i="2"/>
  <c r="Y34" i="2"/>
  <c r="E40" i="9" l="1"/>
  <c r="L11" i="2" s="1"/>
  <c r="J11" i="2" s="1"/>
  <c r="G33" i="9"/>
  <c r="F40" i="9"/>
  <c r="Q11" i="2" s="1"/>
  <c r="O11" i="2" s="1"/>
  <c r="O15" i="2" s="1"/>
  <c r="E17" i="7"/>
  <c r="V17" i="7"/>
  <c r="Z56" i="2" s="1"/>
  <c r="U17" i="7"/>
  <c r="U56" i="2" s="1"/>
  <c r="T17" i="7"/>
  <c r="AA42" i="17" s="1"/>
  <c r="S17" i="7"/>
  <c r="R42" i="17" s="1"/>
  <c r="R17" i="7"/>
  <c r="H42" i="17" s="1"/>
  <c r="P17" i="7"/>
  <c r="K17" i="7"/>
  <c r="L18" i="7" s="1"/>
  <c r="J17" i="7"/>
  <c r="I17" i="7"/>
  <c r="H17" i="7"/>
  <c r="G17" i="7"/>
  <c r="F17" i="7"/>
  <c r="E58" i="6"/>
  <c r="H58" i="6" s="1"/>
  <c r="E57" i="6"/>
  <c r="H57" i="6" s="1"/>
  <c r="H54" i="6"/>
  <c r="H53" i="6"/>
  <c r="H50" i="6"/>
  <c r="H49" i="6"/>
  <c r="H46" i="6"/>
  <c r="H45" i="6"/>
  <c r="H47" i="6" s="1"/>
  <c r="I38" i="6"/>
  <c r="H35" i="6"/>
  <c r="H34" i="6"/>
  <c r="H31" i="6"/>
  <c r="H30" i="6"/>
  <c r="H32" i="6" s="1"/>
  <c r="J32" i="6" s="1"/>
  <c r="H27" i="6"/>
  <c r="H26" i="6"/>
  <c r="I22" i="6"/>
  <c r="H19" i="6"/>
  <c r="H18" i="6"/>
  <c r="H15" i="6"/>
  <c r="H14" i="6"/>
  <c r="H11" i="6"/>
  <c r="H10" i="6"/>
  <c r="D17" i="5"/>
  <c r="D19" i="5" s="1"/>
  <c r="C11" i="5"/>
  <c r="Y54" i="2"/>
  <c r="Y50" i="2"/>
  <c r="Y45" i="2"/>
  <c r="Y37" i="2"/>
  <c r="Z15" i="2"/>
  <c r="T54" i="2"/>
  <c r="T50" i="2"/>
  <c r="T45" i="2"/>
  <c r="T37" i="2"/>
  <c r="H28" i="6" l="1"/>
  <c r="J28" i="6" s="1"/>
  <c r="H20" i="6"/>
  <c r="J20" i="6" s="1"/>
  <c r="H36" i="6"/>
  <c r="J36" i="6" s="1"/>
  <c r="F43" i="15"/>
  <c r="F45" i="20"/>
  <c r="P56" i="2"/>
  <c r="AA41" i="17"/>
  <c r="AA9" i="17" s="1"/>
  <c r="T56" i="2"/>
  <c r="T59" i="2" s="1"/>
  <c r="T64" i="2" s="1"/>
  <c r="U59" i="2"/>
  <c r="U64" i="2" s="1"/>
  <c r="Z59" i="2"/>
  <c r="Z64" i="2" s="1"/>
  <c r="Z66" i="2" s="1"/>
  <c r="Z70" i="2" s="1"/>
  <c r="Y56" i="2"/>
  <c r="Y59" i="2" s="1"/>
  <c r="Y64" i="2" s="1"/>
  <c r="K56" i="2"/>
  <c r="R41" i="17"/>
  <c r="R9" i="17" s="1"/>
  <c r="F56" i="2"/>
  <c r="H41" i="17"/>
  <c r="H9" i="17" s="1"/>
  <c r="J18" i="7"/>
  <c r="G18" i="7"/>
  <c r="H16" i="6"/>
  <c r="J16" i="6" s="1"/>
  <c r="H55" i="6"/>
  <c r="K18" i="7"/>
  <c r="F18" i="7"/>
  <c r="H18" i="7"/>
  <c r="H12" i="6"/>
  <c r="J12" i="6" s="1"/>
  <c r="J22" i="6" s="1"/>
  <c r="H51" i="6"/>
  <c r="I18" i="7"/>
  <c r="H33" i="9"/>
  <c r="G40" i="9"/>
  <c r="V11" i="2" s="1"/>
  <c r="K57" i="6"/>
  <c r="K59" i="6" s="1"/>
  <c r="H59" i="6"/>
  <c r="J58" i="6"/>
  <c r="J59" i="6" s="1"/>
  <c r="I58" i="6"/>
  <c r="I59" i="6" s="1"/>
  <c r="L15" i="2"/>
  <c r="L66" i="2" s="1"/>
  <c r="L68" i="2" s="1"/>
  <c r="L70" i="2" s="1"/>
  <c r="Q15" i="2"/>
  <c r="Q66" i="2" s="1"/>
  <c r="Q70" i="2" s="1"/>
  <c r="J10" i="2"/>
  <c r="J38" i="6" l="1"/>
  <c r="F29" i="15"/>
  <c r="F37" i="15" s="1"/>
  <c r="F31" i="20"/>
  <c r="F39" i="20" s="1"/>
  <c r="D29" i="15"/>
  <c r="D37" i="15" s="1"/>
  <c r="D31" i="20"/>
  <c r="E29" i="15"/>
  <c r="E37" i="15" s="1"/>
  <c r="E31" i="20"/>
  <c r="E39" i="20" s="1"/>
  <c r="G29" i="15"/>
  <c r="G37" i="15" s="1"/>
  <c r="G31" i="20"/>
  <c r="G39" i="20" s="1"/>
  <c r="J56" i="2"/>
  <c r="J59" i="2" s="1"/>
  <c r="K59" i="2"/>
  <c r="K64" i="2" s="1"/>
  <c r="D59" i="2"/>
  <c r="F59" i="2"/>
  <c r="P59" i="2"/>
  <c r="P64" i="2" s="1"/>
  <c r="O56" i="2"/>
  <c r="O59" i="2" s="1"/>
  <c r="L59" i="6"/>
  <c r="D26" i="2"/>
  <c r="F26" i="2"/>
  <c r="T11" i="2"/>
  <c r="V15" i="2"/>
  <c r="V66" i="2" s="1"/>
  <c r="V70" i="2" s="1"/>
  <c r="I33" i="9"/>
  <c r="I40" i="9" s="1"/>
  <c r="H40" i="9"/>
  <c r="AA11" i="2" s="1"/>
  <c r="F15" i="2"/>
  <c r="O54" i="2"/>
  <c r="J54" i="2"/>
  <c r="D54" i="2"/>
  <c r="O50" i="2"/>
  <c r="J50" i="2"/>
  <c r="D50" i="2"/>
  <c r="O45" i="2"/>
  <c r="J45" i="2"/>
  <c r="D45" i="2"/>
  <c r="O37" i="2"/>
  <c r="J37" i="2"/>
  <c r="D37" i="2"/>
  <c r="D15" i="2"/>
  <c r="D66" i="2" l="1"/>
  <c r="F64" i="2"/>
  <c r="F66" i="2" s="1"/>
  <c r="F70" i="2" s="1"/>
  <c r="D43" i="15"/>
  <c r="D45" i="20"/>
  <c r="K31" i="20"/>
  <c r="D39" i="20"/>
  <c r="J39" i="20" s="1"/>
  <c r="J64" i="2"/>
  <c r="O64" i="2"/>
  <c r="Y11" i="2"/>
  <c r="Y15" i="2" s="1"/>
  <c r="H45" i="20" s="1"/>
  <c r="AA15" i="2"/>
  <c r="AA66" i="2" s="1"/>
  <c r="AA70" i="2" s="1"/>
  <c r="J31" i="20" l="1"/>
  <c r="K39" i="20"/>
  <c r="Y66" i="2"/>
  <c r="Y70" i="2" s="1"/>
  <c r="H17" i="20" s="1"/>
  <c r="H19" i="20" s="1"/>
  <c r="H24" i="20" s="1"/>
  <c r="H41" i="20" s="1"/>
  <c r="H43" i="15"/>
  <c r="D68" i="2"/>
  <c r="D70" i="2" s="1"/>
  <c r="D72" i="2" s="1"/>
  <c r="K17" i="20" l="1"/>
  <c r="D17" i="20"/>
  <c r="D19" i="20" s="1"/>
  <c r="D24" i="20" s="1"/>
  <c r="D41" i="20" s="1"/>
  <c r="D15" i="15"/>
  <c r="D17" i="15" s="1"/>
  <c r="D22" i="15" s="1"/>
  <c r="D39" i="15" s="1"/>
  <c r="H15" i="15"/>
  <c r="H17" i="15" s="1"/>
  <c r="H22" i="15" s="1"/>
  <c r="H39" i="15" s="1"/>
  <c r="Y72" i="2"/>
  <c r="J12" i="2"/>
  <c r="J15" i="2" s="1"/>
  <c r="E45" i="20" s="1"/>
  <c r="K15" i="2"/>
  <c r="K66" i="2" s="1"/>
  <c r="K68" i="2" s="1"/>
  <c r="K70" i="2" s="1"/>
  <c r="J19" i="20" l="1"/>
  <c r="J24" i="20" s="1"/>
  <c r="E46" i="20"/>
  <c r="F46" i="20"/>
  <c r="J41" i="20"/>
  <c r="D43" i="20"/>
  <c r="J66" i="2"/>
  <c r="J68" i="2" s="1"/>
  <c r="J70" i="2" s="1"/>
  <c r="E17" i="20" s="1"/>
  <c r="E19" i="20" s="1"/>
  <c r="E24" i="20" s="1"/>
  <c r="E41" i="20" s="1"/>
  <c r="E43" i="15"/>
  <c r="O66" i="2"/>
  <c r="O70" i="2" s="1"/>
  <c r="F17" i="20" s="1"/>
  <c r="F19" i="20" s="1"/>
  <c r="F24" i="20" s="1"/>
  <c r="F41" i="20" s="1"/>
  <c r="P15" i="2"/>
  <c r="P66" i="2" s="1"/>
  <c r="P70" i="2" s="1"/>
  <c r="T15" i="2"/>
  <c r="G45" i="20" s="1"/>
  <c r="U15" i="2"/>
  <c r="U66" i="2" s="1"/>
  <c r="U70" i="2" s="1"/>
  <c r="G46" i="20" l="1"/>
  <c r="H46" i="20"/>
  <c r="J43" i="20"/>
  <c r="E12" i="20"/>
  <c r="E43" i="20" s="1"/>
  <c r="F12" i="20" s="1"/>
  <c r="F43" i="20" s="1"/>
  <c r="G12" i="20" s="1"/>
  <c r="E10" i="15"/>
  <c r="F15" i="15"/>
  <c r="F17" i="15" s="1"/>
  <c r="F22" i="15" s="1"/>
  <c r="F39" i="15" s="1"/>
  <c r="O72" i="2"/>
  <c r="E15" i="15"/>
  <c r="E17" i="15" s="1"/>
  <c r="E22" i="15" s="1"/>
  <c r="E39" i="15" s="1"/>
  <c r="J72" i="2"/>
  <c r="T66" i="2"/>
  <c r="T70" i="2" s="1"/>
  <c r="G17" i="20" s="1"/>
  <c r="G19" i="20" s="1"/>
  <c r="G24" i="20" s="1"/>
  <c r="G41" i="20" s="1"/>
  <c r="G43" i="15"/>
  <c r="E44" i="15"/>
  <c r="F44" i="15"/>
  <c r="G43" i="20" l="1"/>
  <c r="H12" i="20" s="1"/>
  <c r="H43" i="20" s="1"/>
  <c r="E41" i="15"/>
  <c r="F10" i="15" s="1"/>
  <c r="F41" i="15" s="1"/>
  <c r="G10" i="15" s="1"/>
  <c r="G15" i="15"/>
  <c r="G17" i="15" s="1"/>
  <c r="G22" i="15" s="1"/>
  <c r="G39" i="15" s="1"/>
  <c r="T72" i="2"/>
  <c r="G44" i="15"/>
  <c r="H44" i="15"/>
  <c r="G41" i="15" l="1"/>
  <c r="H10" i="15" s="1"/>
  <c r="H41" i="15" s="1"/>
  <c r="K19" i="20"/>
  <c r="K24" i="20" s="1"/>
  <c r="K41" i="20" s="1"/>
  <c r="K43" i="20" s="1"/>
</calcChain>
</file>

<file path=xl/comments1.xml><?xml version="1.0" encoding="utf-8"?>
<comments xmlns="http://schemas.openxmlformats.org/spreadsheetml/2006/main">
  <authors>
    <author>franck delaunoy</author>
  </authors>
  <commentList>
    <comment ref="P11" authorId="0" shapeId="0">
      <text>
        <r>
          <rPr>
            <sz val="9"/>
            <color indexed="81"/>
            <rFont val="Tahoma"/>
            <family val="2"/>
          </rPr>
          <t xml:space="preserve">45,94 € jusqu'au 12/05/2022, puis 965,95 € jusqu'à la maturité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Premières échéances non payées capitalisées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S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12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S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B21" authorId="0" shapeId="0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sharedStrings.xml><?xml version="1.0" encoding="utf-8"?>
<sst xmlns="http://schemas.openxmlformats.org/spreadsheetml/2006/main" count="1013" uniqueCount="465">
  <si>
    <t xml:space="preserve">COMPTE DE RESULTAT PREVISIONNEL </t>
  </si>
  <si>
    <t>PRODUITS</t>
  </si>
  <si>
    <t xml:space="preserve">Chiffre d'affaires HT </t>
  </si>
  <si>
    <t>CHARGES</t>
  </si>
  <si>
    <t>total achats  ( charges variables)</t>
  </si>
  <si>
    <t>Eau gaz électricité</t>
  </si>
  <si>
    <t>Loyer et charges locatives</t>
  </si>
  <si>
    <t>Assurances</t>
  </si>
  <si>
    <t>Honoraires</t>
  </si>
  <si>
    <t>Frais postaux téléphone internet</t>
  </si>
  <si>
    <t>total charges externes</t>
  </si>
  <si>
    <t>Charges sur salaires</t>
  </si>
  <si>
    <t>total masse salariale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</si>
  <si>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</si>
  <si>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</si>
  <si>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</si>
  <si>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</si>
  <si>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</si>
  <si>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RESULTAT AVANT IS</t>
  </si>
  <si>
    <t>Impôts sur les bénéfices</t>
  </si>
  <si>
    <t xml:space="preserve">      6-3</t>
  </si>
  <si>
    <t>FRANCHISEUR KHEPRI SANTE</t>
  </si>
  <si>
    <t>16 MOIS</t>
  </si>
  <si>
    <t>12 MOIS</t>
  </si>
  <si>
    <t>Salaires brut du personnel</t>
  </si>
  <si>
    <t>Consommables ( fourn bureau/ hygiène et nettoyage…)</t>
  </si>
  <si>
    <t>KHEPRI FORMATION</t>
  </si>
  <si>
    <t>KHEPRI SANTE</t>
  </si>
  <si>
    <t>KHEPRI INVEST</t>
  </si>
  <si>
    <t>TOTAL</t>
  </si>
  <si>
    <t>Business model</t>
  </si>
  <si>
    <t>Donner le détail du calcul dans un onglet séparé</t>
  </si>
  <si>
    <t>Location de salles</t>
  </si>
  <si>
    <t>RESSOURCES</t>
  </si>
  <si>
    <t>BESOIN EN FONDS DE ROULEMENT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</si>
  <si>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</si>
  <si>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</si>
  <si>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</si>
  <si>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</si>
  <si>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</si>
  <si>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</si>
  <si>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 xml:space="preserve"> </t>
  </si>
  <si>
    <t>Opération : Achat matériel HEALY financé par KHEPRI Formation</t>
  </si>
  <si>
    <t>Pas de TVA</t>
  </si>
  <si>
    <t>Total : 30/06/2021</t>
  </si>
  <si>
    <t>OK Acofi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</si>
  <si>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</si>
  <si>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</si>
  <si>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</si>
  <si>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</si>
  <si>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</si>
  <si>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</si>
  <si>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</si>
  <si>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</si>
  <si>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</si>
  <si>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</si>
  <si>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</si>
  <si>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</si>
  <si>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</si>
  <si>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</si>
  <si>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</si>
  <si>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</si>
  <si>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</si>
  <si>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</si>
  <si>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</si>
  <si>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</si>
  <si>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</si>
  <si>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</si>
  <si>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</si>
  <si>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</si>
  <si>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</si>
  <si>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</si>
  <si>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</si>
  <si>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</si>
  <si>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</si>
  <si>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</si>
  <si>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</si>
  <si>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>mensualités</t>
  </si>
  <si>
    <t xml:space="preserve">intèrets </t>
  </si>
  <si>
    <t>au 30/06/21</t>
  </si>
  <si>
    <t>au 31/12/22</t>
  </si>
  <si>
    <t>au 31/12/23</t>
  </si>
  <si>
    <t>au 31/12/24</t>
  </si>
  <si>
    <t>au 31/12/25</t>
  </si>
  <si>
    <t>annuels</t>
  </si>
  <si>
    <t>2021 - ANNEE 1</t>
  </si>
  <si>
    <t>2022 - ANNEE 2</t>
  </si>
  <si>
    <t>2023 - ANNEE 3</t>
  </si>
  <si>
    <t>2024 - ANNEE 4</t>
  </si>
  <si>
    <t>2025 - ANNEE 5</t>
  </si>
  <si>
    <t>Au 31/08/2020</t>
  </si>
  <si>
    <t>Remboursements annuels :</t>
  </si>
  <si>
    <t>16 mois</t>
  </si>
  <si>
    <t>12 mois</t>
  </si>
  <si>
    <t>4% du CA pour redevance de fonctionnement</t>
  </si>
  <si>
    <t>4% du CA global du franchisé</t>
  </si>
  <si>
    <t>2% du CA pour redevance enseigne et publicité</t>
  </si>
  <si>
    <t>Démarrage</t>
  </si>
  <si>
    <t>Redevance globale sur CA = 10%</t>
  </si>
  <si>
    <t>An 1</t>
  </si>
  <si>
    <t>An 2</t>
  </si>
  <si>
    <t>Redevance payée au franchiseur</t>
  </si>
  <si>
    <t>Nbre de créations</t>
  </si>
  <si>
    <t>année création</t>
  </si>
  <si>
    <t>Réponse : l'écart correspond à un rattrage exceptionnel sur l'antériorité ; non reconductible donc.</t>
  </si>
  <si>
    <t>Modèle</t>
  </si>
  <si>
    <t>Redevance du franchisé : 10% du CAHT</t>
  </si>
  <si>
    <t>An 3 et suiv.</t>
  </si>
  <si>
    <t xml:space="preserve">Total  CA du franchisé /an </t>
  </si>
  <si>
    <t xml:space="preserve">Evolution du CA </t>
  </si>
  <si>
    <t>PPRS - Programme personnalisé de remise en santé ( cures)</t>
  </si>
  <si>
    <t>Abonnement soins clients</t>
  </si>
  <si>
    <t>Ateliers collectifs</t>
  </si>
  <si>
    <t>Ventes de Produits Tarae</t>
  </si>
  <si>
    <t>QVT - Accompagnement collaborateurs</t>
  </si>
  <si>
    <t>Logiciel  de réservation de salles (cf. présentation Khépri santé)</t>
  </si>
  <si>
    <t>Logiciel de calcul visiapy (cf. présentation Khépri santé)</t>
  </si>
  <si>
    <t>Logiciel de remise en santé (cf. présentation Khépri santé)</t>
  </si>
  <si>
    <t>Formation et conseil aux entreprises  - Santé au travail</t>
  </si>
  <si>
    <t xml:space="preserve">Activité </t>
  </si>
  <si>
    <t>obligatoire</t>
  </si>
  <si>
    <t>facultative</t>
  </si>
  <si>
    <t>Montant des formations facturées</t>
  </si>
  <si>
    <t>An 2 et suiv.</t>
  </si>
  <si>
    <t>Total CA Formations franchisés</t>
  </si>
  <si>
    <t>Année création</t>
  </si>
  <si>
    <t>Sous total CA - Activités obligatoires</t>
  </si>
  <si>
    <t>Estimation de CA (en euros) / Activités obligatoires</t>
  </si>
  <si>
    <t>Prévision de CA pour l'accompagnement individuel des collaborateurs d'entreprises</t>
  </si>
  <si>
    <t>Clients</t>
  </si>
  <si>
    <t>CA</t>
  </si>
  <si>
    <t>Entreprise 1</t>
  </si>
  <si>
    <t>Entreprise 2</t>
  </si>
  <si>
    <t>Particuliers</t>
  </si>
  <si>
    <t xml:space="preserve">Formation des Franchisés </t>
  </si>
  <si>
    <t>Commentaires</t>
  </si>
  <si>
    <t>CA 2019 = 175 k€</t>
  </si>
  <si>
    <t>CA 2020 = 113 k€</t>
  </si>
  <si>
    <t>Structure du CA Co Working Siège</t>
  </si>
  <si>
    <t xml:space="preserve">   ==&gt; Avant Covid  ==&gt; taux de remplissage 70%</t>
  </si>
  <si>
    <t xml:space="preserve">  ==&gt; Confinement Covid ==&gt; baisse du CA de 32%  ==&gt; taux de remplissage 45,20%</t>
  </si>
  <si>
    <t>CA 2023 = 180 k€</t>
  </si>
  <si>
    <r>
      <rPr>
        <b/>
        <sz val="11"/>
        <color theme="1"/>
        <rFont val="Calibri"/>
        <family val="2"/>
        <scheme val="minor"/>
      </rPr>
      <t>CA 2021 = 157 k€ sur 16 mois car clôture au 31/12 2021</t>
    </r>
    <r>
      <rPr>
        <sz val="11"/>
        <color theme="1"/>
        <rFont val="Calibri"/>
        <family val="2"/>
        <scheme val="minor"/>
      </rPr>
      <t xml:space="preserve">, soit un CA de 116 k€ sur 12 mois. </t>
    </r>
  </si>
  <si>
    <t xml:space="preserve">  ==&gt; taux de remplissage 47,20%  ==&gt; reprise lente ==&gt; Covid : confinement partiel et couvre feu</t>
  </si>
  <si>
    <t xml:space="preserve">  ==&gt; taux de remplissage 72% ==&gt;  avec un salaire  brut de 1800 €, l'unique activité de Co working permet d'atteindre le point mort</t>
  </si>
  <si>
    <t>CA 2024 = 190 k€</t>
  </si>
  <si>
    <t>CA 2025 = 200  k€</t>
  </si>
  <si>
    <t xml:space="preserve">  ==&gt; taux de remplissage 80 % </t>
  </si>
  <si>
    <t>CA 2022 = 170 k€</t>
  </si>
  <si>
    <t xml:space="preserve">  ==&gt; taux de remplissage 76%</t>
  </si>
  <si>
    <t xml:space="preserve"> ==&gt; dans cette période le tarif horaire est passé de 18 € ttc à 14,50 €</t>
  </si>
  <si>
    <t xml:space="preserve"> ==&gt; le tarif horaire actuel est de 16,50 € </t>
  </si>
  <si>
    <t xml:space="preserve">  ==&gt; taux de remplissage 68% ==&gt; le tarif horaire à compter du 01 janvier 2022 sera de 17 € ttc</t>
  </si>
  <si>
    <t>(1)</t>
  </si>
  <si>
    <t xml:space="preserve">RECAPITULATIF CA FORMATION SIEGE </t>
  </si>
  <si>
    <t xml:space="preserve">DESIGNATION </t>
  </si>
  <si>
    <t xml:space="preserve">Total Formation Siège </t>
  </si>
  <si>
    <t xml:space="preserve"> ==&gt; arrivée des médecins en 2022 </t>
  </si>
  <si>
    <t>BUSINESS MODEL DU CO WORKING</t>
  </si>
  <si>
    <t>BUSINESS MODEL QUALITE DE VIE AU TRAVAIL (QVT)</t>
  </si>
  <si>
    <t>BUSINESS MODEL FORMATION</t>
  </si>
  <si>
    <t>Estimation de CA du Franchisé</t>
  </si>
  <si>
    <t>BUSINESS MODEL REDEVANCE FRANCHISE</t>
  </si>
  <si>
    <t>Redevance</t>
  </si>
  <si>
    <t>Activité de réservation de salle Nogent</t>
  </si>
  <si>
    <t>Modèle existant - Nogent :</t>
  </si>
  <si>
    <t>BM 1 - NOGENT - Activité Co-working - Activité KHEPRI FORMATION - Activité existante</t>
  </si>
  <si>
    <t>KHEPRI                             SANTE</t>
  </si>
  <si>
    <t>KHEPRI        INVEST</t>
  </si>
  <si>
    <t>Formation</t>
  </si>
  <si>
    <t>Franchise</t>
  </si>
  <si>
    <t>Holding</t>
  </si>
  <si>
    <t>Activités</t>
  </si>
  <si>
    <t>BM 2 - FRANCHISES - Co-working + autres activités</t>
  </si>
  <si>
    <t>FOCUS CA Formation dispensée aux franchisés :</t>
  </si>
  <si>
    <t>Début au 2nd semestre 2022</t>
  </si>
  <si>
    <t>BM 3 / Formation</t>
  </si>
  <si>
    <t>Cf. Focus ci-dessous</t>
  </si>
  <si>
    <t>Nb consultations par client</t>
  </si>
  <si>
    <t>Population cible estimée</t>
  </si>
  <si>
    <t>%</t>
  </si>
  <si>
    <t>Taux de transformation      (part de marché  KHEPRI estimée)</t>
  </si>
  <si>
    <t>Nb</t>
  </si>
  <si>
    <t>Nb total de consultations</t>
  </si>
  <si>
    <t>Quote-part d'honoraires acquise à KHEPRI SANTE</t>
  </si>
  <si>
    <t>(i)</t>
  </si>
  <si>
    <t>(ii)</t>
  </si>
  <si>
    <t>BM 3 - Formation</t>
  </si>
  <si>
    <t>BM 4 - Qualité de Vie au Travail</t>
  </si>
  <si>
    <t>Nb de mois</t>
  </si>
  <si>
    <t>Honoraires de formation</t>
  </si>
  <si>
    <t>Honoraires de consultation</t>
  </si>
  <si>
    <t>CHARGES :</t>
  </si>
  <si>
    <t>PRODUITS :</t>
  </si>
  <si>
    <t>total achats  ( charges de sous-traitance)</t>
  </si>
  <si>
    <t>Diagnostic franchiseur (Axe Réseau)</t>
  </si>
  <si>
    <t>Certification Qualiopi</t>
  </si>
  <si>
    <t>SITE WEB</t>
  </si>
  <si>
    <t>BM 3 - Formation (site Web) ET Qualiopi</t>
  </si>
  <si>
    <t>Site Web Khépri Santé</t>
  </si>
  <si>
    <t>BM 2 - FRANCHISES -Logiciels et honoraires Réseau</t>
  </si>
  <si>
    <t>BM 4 - Qualité de Vie au Travail - Evelyne</t>
  </si>
  <si>
    <t>Logiciel de remise en santé (Khépri santé)</t>
  </si>
  <si>
    <t>Honoraires (Khépri Santé)</t>
  </si>
  <si>
    <t>EMPLOIS</t>
  </si>
  <si>
    <t>Effectif de l'Entreprise cliente</t>
  </si>
  <si>
    <t>Capacité d'Auto-Financement :</t>
  </si>
  <si>
    <t>- Résultats comptables</t>
  </si>
  <si>
    <t>- Amortissements des immobilisations</t>
  </si>
  <si>
    <t>Trésorerie de début de période</t>
  </si>
  <si>
    <t>C.A.F.</t>
  </si>
  <si>
    <t>Total des ressources</t>
  </si>
  <si>
    <t>Augmentation du BFR</t>
  </si>
  <si>
    <t>Total des emplois</t>
  </si>
  <si>
    <t>Solde Ressources - Emplois</t>
  </si>
  <si>
    <t>(i) - (ii)</t>
  </si>
  <si>
    <t>Trésorerie de fin de période</t>
  </si>
  <si>
    <t>TRESORERIE GROUPE</t>
  </si>
  <si>
    <t>31/12/2020</t>
  </si>
  <si>
    <t>30/06/2021</t>
  </si>
  <si>
    <t>Total</t>
  </si>
  <si>
    <t>Capitaux empruntés :</t>
  </si>
  <si>
    <t>Niveau d'activité - Chiffre d'affaires</t>
  </si>
  <si>
    <t>Augmentation du chiffre d'affaires</t>
  </si>
  <si>
    <t>Montant au capital restant dû en fin de période :</t>
  </si>
  <si>
    <t>BNP</t>
  </si>
  <si>
    <t>12/05/2026</t>
  </si>
  <si>
    <t>Échéance</t>
  </si>
  <si>
    <t>Totaux</t>
  </si>
  <si>
    <t>Montant initial</t>
  </si>
  <si>
    <t>Cadrage du tableau avec la situation intermédiaire de KHEPRI Formation au 30/06/2021 :</t>
  </si>
  <si>
    <t>EMPRUNTS KHEPRI FORMATION</t>
  </si>
  <si>
    <t>Service de la dette : intérêts et assurances</t>
  </si>
  <si>
    <t>Les intérets dans la situation au 30/06/2021 ne sont pas passés d'où la difference entre 104 k€ et 103 k€.</t>
  </si>
  <si>
    <t>au 31/12/21</t>
  </si>
  <si>
    <t>2021 (16 mois)</t>
  </si>
  <si>
    <t>Co-working/remplissage de salles</t>
  </si>
  <si>
    <t>CA estimé pris en compte dans le business plan</t>
  </si>
  <si>
    <t>FOCUS SUR LA COMPOSITION DU CA DES FRANCHISES :</t>
  </si>
  <si>
    <t>Droits d'entrée</t>
  </si>
  <si>
    <t>Droit d'entrée du Franchisé</t>
  </si>
  <si>
    <t>Trésorerie de départ du Franchisé</t>
  </si>
  <si>
    <t>MODELE :</t>
  </si>
  <si>
    <t>TOTAL :</t>
  </si>
  <si>
    <t>Fonds d'amorçage en c/c Investisseur</t>
  </si>
  <si>
    <t>Apport Investisseur contre cession 70% du capital</t>
  </si>
  <si>
    <t>Total droits d'entrée et redevances annuelles</t>
  </si>
  <si>
    <t>(iii)</t>
  </si>
  <si>
    <t>(v) = (ii) x (iv)</t>
  </si>
  <si>
    <t>(iv) = (i) x (iii)</t>
  </si>
  <si>
    <t>€</t>
  </si>
  <si>
    <t>Redevance sur CA et Droits d'entrée</t>
  </si>
  <si>
    <t>CHARGES VARIABLES</t>
  </si>
  <si>
    <t>PPRS - Programme personnalisé de remise en santé ( cures) :</t>
  </si>
  <si>
    <t>MKT - Dépenses Corporate : marketing et publicité 2 000 € par mois</t>
  </si>
  <si>
    <t>MARKETING Marque</t>
  </si>
  <si>
    <t>Coût mensuel :</t>
  </si>
  <si>
    <t>Nombre de mois de développement</t>
  </si>
  <si>
    <t>Oct. --&gt; Déc.</t>
  </si>
  <si>
    <t>Janv. --&gt; Déc.</t>
  </si>
  <si>
    <t>Période</t>
  </si>
  <si>
    <t>Coût Marketing Marque (€)</t>
  </si>
  <si>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</si>
  <si>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</si>
  <si>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</si>
  <si>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</si>
  <si>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ANNUEL</t>
  </si>
  <si>
    <t>Affectation</t>
  </si>
  <si>
    <t>CHARGES FIXES POUR L'EXERCICE 2021</t>
  </si>
  <si>
    <t>CHARGES FIXES POUR UN MOIS</t>
  </si>
  <si>
    <t>Personnel</t>
  </si>
  <si>
    <t>Salaire directrice générale</t>
  </si>
  <si>
    <t>Salaire assistante administrative (Valérie Grelat)</t>
  </si>
  <si>
    <t>Salaire chargée de communication (Carole Fournaise)</t>
  </si>
  <si>
    <t>Salaire chargé marketing digital (temps partiel : 60 h/mois)</t>
  </si>
  <si>
    <t>Salaire business développeur (temps partiel : 60 h/mois)</t>
  </si>
  <si>
    <t>Salaire secretaire comptable (tps partiel : 75h/mois)</t>
  </si>
  <si>
    <t>Salaire assistante administrative (aide sylae) (Valérie Grelat)</t>
  </si>
  <si>
    <t>Salaires Informaticien (tps partiel : 60h/mois)</t>
  </si>
  <si>
    <t>Salaire chargée de communication (aide sylae) (Carole Fournaise)</t>
  </si>
  <si>
    <t>Charges sociales</t>
  </si>
  <si>
    <t>Salaire marketing digital (temps partiel : 60 h/mois)</t>
  </si>
  <si>
    <t>Salaire secretaire comptable (temps partiel : 75h/mois)</t>
  </si>
  <si>
    <t>Salaire assistante de direction (temps partiel : 75h/mois)</t>
  </si>
  <si>
    <t>Achats / Founitures diverses</t>
  </si>
  <si>
    <t>Energie (électricité….)</t>
  </si>
  <si>
    <t>excercice de 16 mois</t>
  </si>
  <si>
    <t>Consommables ( f. bureau  Hygiène &amp; nettoyage …)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</si>
  <si>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</si>
  <si>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</si>
  <si>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</si>
  <si>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</si>
  <si>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</si>
  <si>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</si>
  <si>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</si>
  <si>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</si>
  <si>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</si>
  <si>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Impôts</t>
  </si>
  <si>
    <t>CFE / CVAE</t>
  </si>
  <si>
    <t>Autres Frais géneraux</t>
  </si>
  <si>
    <t xml:space="preserve">Dotations Amortissements </t>
  </si>
  <si>
    <t>Intérêts sur emprunts</t>
  </si>
  <si>
    <t>Intérets sur emprunts</t>
  </si>
  <si>
    <t>Contrôle :</t>
  </si>
  <si>
    <t>Résultat par entité</t>
  </si>
  <si>
    <t>Charges Fixes</t>
  </si>
  <si>
    <t>BM 2 - Franchise</t>
  </si>
  <si>
    <t>BM 1 - Co-working</t>
  </si>
  <si>
    <t>MKT - Dépenses de Marketing Marque</t>
  </si>
  <si>
    <t>Loyers et Taxe Foncière</t>
  </si>
  <si>
    <t>Trésorerie &amp; Emprunts</t>
  </si>
  <si>
    <t>Comptes Intragroupes</t>
  </si>
  <si>
    <t>Charges</t>
  </si>
  <si>
    <t>Trésorerie</t>
  </si>
  <si>
    <t>Résultat</t>
  </si>
  <si>
    <t>Besoins de financement</t>
  </si>
  <si>
    <t>INDEX des tableaux</t>
  </si>
  <si>
    <t>CA estimé 2021</t>
  </si>
  <si>
    <t>Co-working</t>
  </si>
  <si>
    <t>De Septembre 2020 à Juin 2021</t>
  </si>
  <si>
    <t>Remboursement de c/c - Dividendes</t>
  </si>
  <si>
    <t>PRÊT D'HONNEUR</t>
  </si>
  <si>
    <t>10/03/2024</t>
  </si>
  <si>
    <t>France Active 94</t>
  </si>
  <si>
    <t>Remboursement des emprunts bancaires (KHEPRI Formation)</t>
  </si>
  <si>
    <t>Remboursement des BSA "Air" (KHEPRI Invest)</t>
  </si>
  <si>
    <t>Remboursement d'un prêt d'honneur (KHEPRI Formation)</t>
  </si>
  <si>
    <t>Remboursement c/c Evelyne Révellat (KHEPRI Invest)</t>
  </si>
  <si>
    <t>Amorçage</t>
  </si>
  <si>
    <t>BM2 - Franchise</t>
  </si>
  <si>
    <t>BM3 - Formation - Site Web et Caliopi</t>
  </si>
  <si>
    <t>MKT -Investissement Marketing Marque</t>
  </si>
  <si>
    <t>Désintéresse-ment des  porteurs de BSA</t>
  </si>
  <si>
    <t>Récurrent Pro Forma</t>
  </si>
  <si>
    <t>TOTAL           16 mois</t>
  </si>
  <si>
    <t>Tableau de financement Equilibré</t>
  </si>
  <si>
    <t>Tableau de financement Besoins</t>
  </si>
  <si>
    <t>Dividendes</t>
  </si>
  <si>
    <t>TABLEAU DE FINANCEMENT - BESOINS</t>
  </si>
  <si>
    <t>TABLEAU DE FINANCEMENT EQUILIBRE</t>
  </si>
  <si>
    <t>CA ESTIME 2021</t>
  </si>
  <si>
    <t>Chiffre d'affaires</t>
  </si>
  <si>
    <t>Logiciel de calcul QVT (Khépri santé)</t>
  </si>
  <si>
    <t>OK GL vu</t>
  </si>
  <si>
    <t xml:space="preserve">31/08/2020 </t>
  </si>
  <si>
    <t>08/09/2020 - Il s'agirait d'un deuxième achat de matériel HEALY au premier semestre 2021 --&gt; Confirmé avec Evelyne</t>
  </si>
  <si>
    <t>Cf. Logiciel QVT en BM2 - Franchise</t>
  </si>
  <si>
    <t>Montant du CA estimé (1 client Entreprise catégorie 1) :</t>
  </si>
  <si>
    <t>19 K€ par an retenu</t>
  </si>
  <si>
    <t xml:space="preserve">Le BP "Type" d'un franchisé                            </t>
  </si>
  <si>
    <t>Plan de financement prévisionnel (HT)</t>
  </si>
  <si>
    <t>BESOINS</t>
  </si>
  <si>
    <t>Fin Ex.1</t>
  </si>
  <si>
    <t>Fin Ex.2</t>
  </si>
  <si>
    <t>Immobilisations incorporelles</t>
  </si>
  <si>
    <t>Frais de premier établissement</t>
  </si>
  <si>
    <t>Immobilisations corporelles</t>
  </si>
  <si>
    <t>Constructions - travaux</t>
  </si>
  <si>
    <t>Immobilisations financières</t>
  </si>
  <si>
    <t>Dépôts, cautions</t>
  </si>
  <si>
    <t>Titres, participations</t>
  </si>
  <si>
    <t>Remboursement du capital de l'emprunt</t>
  </si>
  <si>
    <t>Besoin en fonds de roulement au démarrage</t>
  </si>
  <si>
    <t>Variation du besoin en fonds de roulement</t>
  </si>
  <si>
    <t>TOTAL DES BESOINS</t>
  </si>
  <si>
    <t>Capitaux propres</t>
  </si>
  <si>
    <t>NACRE</t>
  </si>
  <si>
    <t>Emprunts</t>
  </si>
  <si>
    <t>PCE</t>
  </si>
  <si>
    <t>Aides diverses</t>
  </si>
  <si>
    <t>ARA</t>
  </si>
  <si>
    <t>AGEFIPH</t>
  </si>
  <si>
    <t xml:space="preserve">Autres ressources </t>
  </si>
  <si>
    <t>Capacité d'autofinancement</t>
  </si>
  <si>
    <t>TOTAL DES RESSOURCES</t>
  </si>
  <si>
    <t>Compte de résultat prévisionnel (HT)</t>
  </si>
  <si>
    <t>Ex.1</t>
  </si>
  <si>
    <t>Ex.2</t>
  </si>
  <si>
    <t>Ex.3</t>
  </si>
  <si>
    <t>TOTAL DES PRODUITS (a)</t>
  </si>
  <si>
    <t>Achats</t>
  </si>
  <si>
    <t>Marchandises</t>
  </si>
  <si>
    <t>Fournitures diverses / administratives</t>
  </si>
  <si>
    <t>Emballages / Transports achats</t>
  </si>
  <si>
    <t>Charges externes</t>
  </si>
  <si>
    <t>Loyer</t>
  </si>
  <si>
    <t>Impôts et taxes</t>
  </si>
  <si>
    <t>Charges de personnel</t>
  </si>
  <si>
    <t>Prélèvement de l'exploitant</t>
  </si>
  <si>
    <t>Charges financières</t>
  </si>
  <si>
    <r>
      <t>Intérêts des emprunts</t>
    </r>
    <r>
      <rPr>
        <strike/>
        <sz val="11"/>
        <rFont val="Times New Roman"/>
        <family val="1"/>
      </rPr>
      <t/>
    </r>
  </si>
  <si>
    <t>Autres charges</t>
  </si>
  <si>
    <t>Charges exceptionnelles</t>
  </si>
  <si>
    <t>Dotation aux amortissements et provisions</t>
  </si>
  <si>
    <t>Impôts sur les bénéfices (cas des sociétés)</t>
  </si>
  <si>
    <t>TOTAL DES CHARGES (b)</t>
  </si>
  <si>
    <t>RESULTAT</t>
  </si>
  <si>
    <t>(a - b)</t>
  </si>
  <si>
    <t>CAPACITE D'AUTOFINANCEMENT</t>
  </si>
  <si>
    <t>Dotations aux amortissements et aux provisions + résultat</t>
  </si>
  <si>
    <t>REMBT D'EMPRUNT</t>
  </si>
  <si>
    <t>AUTOFINANCEMENT NET</t>
  </si>
  <si>
    <t>Prix de vente : 350€ par jour</t>
  </si>
  <si>
    <t>Droit de franchise</t>
  </si>
  <si>
    <t>Matériel &amp; mobilier</t>
  </si>
  <si>
    <t>Autre</t>
  </si>
  <si>
    <t>Redevance versée au Franchiseur (10% CA)</t>
  </si>
  <si>
    <t>Apport des associés</t>
  </si>
  <si>
    <t>Emprunt bancaire</t>
  </si>
  <si>
    <t>Autres prêts</t>
  </si>
  <si>
    <t>Financement formation OPCO</t>
  </si>
  <si>
    <t>Rémunération 2 personnes</t>
  </si>
  <si>
    <t>Charges sociales liées</t>
  </si>
  <si>
    <t>Service de la dette et frais bancaires</t>
  </si>
  <si>
    <t>Journée formation /module ==&gt; 1 jour ==&gt; 350 €</t>
  </si>
  <si>
    <t>12 jours</t>
  </si>
  <si>
    <t>12 bilans</t>
  </si>
  <si>
    <t>109 jours</t>
  </si>
  <si>
    <t>cf. ci-dessous</t>
  </si>
  <si>
    <t>Formation aux entreprises =&gt; 1 jour =&gt; 350 €</t>
  </si>
  <si>
    <t>103 jours</t>
  </si>
  <si>
    <t>Formation Webinaire/conférences =&gt; 25 € par personne</t>
  </si>
  <si>
    <t>7 conf. X 155 pers.</t>
  </si>
  <si>
    <t>Formation sur mesure / personne ==&gt; formation / 1 jour : 2 132 €</t>
  </si>
  <si>
    <t>Bilan de compétence ==&gt; 4 jours ==&gt; 530 € X 4 jours ==&gt; 2 120 €</t>
  </si>
  <si>
    <t>70 % marge en moyenne sur toutes les formations :</t>
  </si>
  <si>
    <t>Commission sur vente de Produits Tarae - HYPOTHESE - A DETERMINER AVCE LES SYNERGIES</t>
  </si>
  <si>
    <t>Formation par KHEPRI Formation</t>
  </si>
  <si>
    <t>Prix de vente : 2132€ pour 12 jours, groupes de 6 personnes</t>
  </si>
  <si>
    <t>Qté année 1</t>
  </si>
  <si>
    <t>BM 3 - Formation (sous traitance Formateur 30% du CA en moyenne)</t>
  </si>
  <si>
    <t>Nombre de stagiaires</t>
  </si>
  <si>
    <t>Nb d'heures de formation par stagiaire</t>
  </si>
  <si>
    <t>43 jours, soit 2 mois</t>
  </si>
  <si>
    <t>Prix de vente d'1 heure pour le stagiaire</t>
  </si>
  <si>
    <t>- heures de formation</t>
  </si>
  <si>
    <t>- coût infrastructure</t>
  </si>
  <si>
    <t>Prix du stage pour 1 stagiaire :</t>
  </si>
  <si>
    <t>par heure</t>
  </si>
  <si>
    <t>- coût logiciel</t>
  </si>
  <si>
    <t>- coût secrétariat</t>
  </si>
  <si>
    <t>Actualisation du tableau au 20 février 2022 : transfert des montants figurant en colonne 2021 en colonne 2022.</t>
  </si>
  <si>
    <t>Prévisionnel superseded :</t>
  </si>
  <si>
    <t>Réalisé en 2021</t>
  </si>
  <si>
    <t>Montants rapprochés des états financiers ACOFI provisoires au 18/02/2022.</t>
  </si>
  <si>
    <t>PROJET</t>
  </si>
  <si>
    <t>début des prestations différée</t>
  </si>
  <si>
    <t xml:space="preserve">retard dans les projets </t>
  </si>
  <si>
    <t>Mars --&gt; Déc.</t>
  </si>
  <si>
    <t>BM 2 - FRANCHISES - Co-working +  activités annexes</t>
  </si>
  <si>
    <t>Impots (CFE/ CVAE) divers</t>
  </si>
  <si>
    <t>Autres charges (sous-traitance et maintenance) (frais bque) divers</t>
  </si>
  <si>
    <t>realisé=1+2</t>
  </si>
  <si>
    <t>total  résultat exceptionnel</t>
  </si>
  <si>
    <t>TOTAL CHARGES ET RESULTAT EXCEPTIONNEL</t>
  </si>
  <si>
    <t>REALISE</t>
  </si>
  <si>
    <t>Précédente estimation</t>
  </si>
  <si>
    <t>31/12/2021</t>
  </si>
  <si>
    <t>Avant Rachat</t>
  </si>
  <si>
    <t>Après Rachat</t>
  </si>
  <si>
    <t>Apport Rachat</t>
  </si>
  <si>
    <t>FOCUS PREMIERE ANNEE 2022</t>
  </si>
  <si>
    <t xml:space="preserve">TOTAL   2022           </t>
  </si>
  <si>
    <t>(iii) = (i) + (ii)</t>
  </si>
  <si>
    <t>KHEPRI                               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</si>
</sst>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_€"/>
    <numFmt numFmtId="166" formatCode="#,##0.00\ [$€-1]"/>
    <numFmt numFmtId="167" formatCode="#,##0\ _€"/>
    <numFmt numFmtId="168" formatCode="#,##0\ &quot;€&quot;"/>
    <numFmt numFmtId="169" formatCode="#,##0.00&quot; €&quot;"/>
    <numFmt numFmtId="170" formatCode="#,##0&quot; €&quot;"/>
    <numFmt numFmtId="171" formatCode="_-* #,##0\ _€_-;\-* #,##0\ _€_-;_-* &quot;-&quot;??\ _€_-;_-@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1"/>
      <name val="Calibri"/>
      <family val="2"/>
      <scheme val="minor"/>
    </font>
    <font>
      <b/>
      <i/>
      <u/>
      <sz val="10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sz val="7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rgb="FFDD0806"/>
      <name val="Calibri"/>
      <family val="2"/>
    </font>
    <font>
      <sz val="6"/>
      <color rgb="FF000000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Calibri"/>
      <family val="2"/>
      <scheme val="minor"/>
    </font>
    <font>
      <i/>
      <sz val="7"/>
      <color rgb="FF0000FF"/>
      <name val="Arial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  <font>
      <b/>
      <u/>
      <sz val="2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trike/>
      <sz val="11"/>
      <name val="Times New Roman"/>
      <family val="1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A58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 style="thin">
        <color indexed="64"/>
      </left>
      <right/>
      <top style="thin">
        <color indexed="64"/>
      </top>
      <bottom style="thin">
        <color rgb="FF00A58D"/>
      </bottom>
      <diagonal/>
    </border>
    <border>
      <left/>
      <right/>
      <top style="thin">
        <color indexed="64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 style="thin">
        <color rgb="FF00A58D"/>
      </bottom>
      <diagonal/>
    </border>
    <border>
      <left style="thin">
        <color indexed="64"/>
      </left>
      <right/>
      <top style="thin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64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/>
    <xf numFmtId="164" fontId="2" fillId="3" borderId="0" xfId="0" applyNumberFormat="1" applyFont="1" applyFill="1" applyBorder="1"/>
    <xf numFmtId="164" fontId="0" fillId="3" borderId="0" xfId="0" applyNumberFormat="1" applyFill="1" applyBorder="1"/>
    <xf numFmtId="164" fontId="0" fillId="0" borderId="0" xfId="1" applyNumberFormat="1" applyFont="1" applyBorder="1"/>
    <xf numFmtId="164" fontId="0" fillId="3" borderId="0" xfId="1" applyNumberFormat="1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164" fontId="2" fillId="3" borderId="8" xfId="0" applyNumberFormat="1" applyFont="1" applyFill="1" applyBorder="1"/>
    <xf numFmtId="164" fontId="0" fillId="3" borderId="8" xfId="0" applyNumberFormat="1" applyFill="1" applyBorder="1"/>
    <xf numFmtId="164" fontId="0" fillId="0" borderId="8" xfId="1" applyNumberFormat="1" applyFont="1" applyBorder="1"/>
    <xf numFmtId="164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2" fillId="3" borderId="16" xfId="0" applyNumberFormat="1" applyFont="1" applyFill="1" applyBorder="1"/>
    <xf numFmtId="164" fontId="0" fillId="3" borderId="16" xfId="0" applyNumberFormat="1" applyFill="1" applyBorder="1"/>
    <xf numFmtId="164" fontId="0" fillId="0" borderId="16" xfId="1" applyNumberFormat="1" applyFont="1" applyBorder="1"/>
    <xf numFmtId="164" fontId="0" fillId="3" borderId="16" xfId="1" applyNumberFormat="1" applyFont="1" applyFill="1" applyBorder="1"/>
    <xf numFmtId="0" fontId="0" fillId="0" borderId="17" xfId="0" applyBorder="1"/>
    <xf numFmtId="0" fontId="2" fillId="5" borderId="0" xfId="0" applyFont="1" applyFill="1" applyAlignment="1">
      <alignment horizontal="right"/>
    </xf>
    <xf numFmtId="164" fontId="2" fillId="5" borderId="8" xfId="0" applyNumberFormat="1" applyFont="1" applyFill="1" applyBorder="1"/>
    <xf numFmtId="164" fontId="2" fillId="5" borderId="0" xfId="0" applyNumberFormat="1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Border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2" fillId="0" borderId="16" xfId="0" applyNumberFormat="1" applyFont="1" applyBorder="1"/>
    <xf numFmtId="165" fontId="2" fillId="0" borderId="20" xfId="0" applyNumberFormat="1" applyFont="1" applyBorder="1"/>
    <xf numFmtId="2" fontId="0" fillId="0" borderId="0" xfId="0" applyNumberFormat="1" applyAlignment="1">
      <alignment horizontal="center"/>
    </xf>
    <xf numFmtId="165" fontId="0" fillId="0" borderId="10" xfId="0" applyNumberFormat="1" applyBorder="1"/>
    <xf numFmtId="165" fontId="2" fillId="0" borderId="1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16" xfId="0" applyNumberFormat="1" applyFill="1" applyBorder="1"/>
    <xf numFmtId="165" fontId="0" fillId="4" borderId="0" xfId="0" applyNumberFormat="1" applyFill="1"/>
    <xf numFmtId="165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5" fontId="0" fillId="0" borderId="18" xfId="0" applyNumberFormat="1" applyBorder="1"/>
    <xf numFmtId="165" fontId="2" fillId="0" borderId="18" xfId="0" applyNumberFormat="1" applyFont="1" applyBorder="1"/>
    <xf numFmtId="165" fontId="2" fillId="0" borderId="10" xfId="0" applyNumberFormat="1" applyFont="1" applyBorder="1"/>
    <xf numFmtId="165" fontId="2" fillId="0" borderId="1" xfId="0" applyNumberFormat="1" applyFont="1" applyBorder="1"/>
    <xf numFmtId="165" fontId="11" fillId="0" borderId="12" xfId="0" applyNumberFormat="1" applyFont="1" applyBorder="1"/>
    <xf numFmtId="10" fontId="12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2" fillId="5" borderId="13" xfId="0" applyFont="1" applyFill="1" applyBorder="1" applyAlignment="1">
      <alignment horizontal="center" vertical="center" wrapText="1"/>
    </xf>
    <xf numFmtId="0" fontId="0" fillId="0" borderId="20" xfId="0" applyBorder="1"/>
    <xf numFmtId="164" fontId="0" fillId="0" borderId="20" xfId="0" applyNumberFormat="1" applyBorder="1"/>
    <xf numFmtId="164" fontId="2" fillId="3" borderId="20" xfId="0" applyNumberFormat="1" applyFont="1" applyFill="1" applyBorder="1"/>
    <xf numFmtId="164" fontId="0" fillId="3" borderId="20" xfId="0" applyNumberFormat="1" applyFill="1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5" borderId="16" xfId="0" applyNumberFormat="1" applyFont="1" applyFill="1" applyBorder="1"/>
    <xf numFmtId="164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6" fontId="28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31" fillId="7" borderId="0" xfId="0" applyFont="1" applyFill="1" applyBorder="1" applyAlignment="1">
      <alignment vertical="center"/>
    </xf>
    <xf numFmtId="0" fontId="33" fillId="0" borderId="0" xfId="0" applyFont="1"/>
    <xf numFmtId="0" fontId="30" fillId="0" borderId="0" xfId="0" applyFont="1" applyAlignment="1">
      <alignment horizontal="center" wrapText="1"/>
    </xf>
    <xf numFmtId="164" fontId="4" fillId="0" borderId="0" xfId="0" applyNumberFormat="1" applyFont="1"/>
    <xf numFmtId="0" fontId="0" fillId="10" borderId="0" xfId="0" applyFill="1"/>
    <xf numFmtId="0" fontId="4" fillId="10" borderId="0" xfId="0" applyFont="1" applyFill="1"/>
    <xf numFmtId="0" fontId="0" fillId="0" borderId="26" xfId="0" applyBorder="1"/>
    <xf numFmtId="0" fontId="19" fillId="11" borderId="23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19" fillId="11" borderId="28" xfId="0" applyFont="1" applyFill="1" applyBorder="1" applyAlignment="1">
      <alignment vertical="center"/>
    </xf>
    <xf numFmtId="0" fontId="20" fillId="11" borderId="0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19" fillId="11" borderId="24" xfId="0" applyFont="1" applyFill="1" applyBorder="1" applyAlignment="1">
      <alignment vertical="center"/>
    </xf>
    <xf numFmtId="0" fontId="20" fillId="11" borderId="5" xfId="0" applyFont="1" applyFill="1" applyBorder="1" applyAlignment="1">
      <alignment vertical="center"/>
    </xf>
    <xf numFmtId="0" fontId="20" fillId="11" borderId="6" xfId="0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/>
    <xf numFmtId="164" fontId="0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top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19" fillId="7" borderId="22" xfId="0" applyFont="1" applyFill="1" applyBorder="1" applyAlignment="1">
      <alignment horizontal="center" vertical="center"/>
    </xf>
    <xf numFmtId="0" fontId="0" fillId="0" borderId="22" xfId="0" applyBorder="1"/>
    <xf numFmtId="0" fontId="24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16" fillId="0" borderId="25" xfId="0" applyFont="1" applyBorder="1"/>
    <xf numFmtId="164" fontId="0" fillId="0" borderId="26" xfId="0" applyNumberFormat="1" applyBorder="1"/>
    <xf numFmtId="164" fontId="0" fillId="0" borderId="27" xfId="0" applyNumberFormat="1" applyBorder="1"/>
    <xf numFmtId="164" fontId="34" fillId="7" borderId="22" xfId="1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32" fillId="0" borderId="22" xfId="0" applyFont="1" applyBorder="1" applyAlignment="1">
      <alignment vertical="top" wrapText="1"/>
    </xf>
    <xf numFmtId="164" fontId="0" fillId="0" borderId="22" xfId="1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31" fillId="7" borderId="22" xfId="0" applyFont="1" applyFill="1" applyBorder="1" applyAlignment="1">
      <alignment vertical="center" wrapText="1"/>
    </xf>
    <xf numFmtId="0" fontId="36" fillId="0" borderId="22" xfId="0" applyFont="1" applyBorder="1"/>
    <xf numFmtId="0" fontId="10" fillId="0" borderId="22" xfId="0" applyFont="1" applyBorder="1"/>
    <xf numFmtId="0" fontId="16" fillId="0" borderId="22" xfId="0" applyFont="1" applyBorder="1"/>
    <xf numFmtId="0" fontId="36" fillId="0" borderId="22" xfId="0" applyFont="1" applyBorder="1" applyAlignment="1">
      <alignment wrapText="1"/>
    </xf>
    <xf numFmtId="0" fontId="7" fillId="10" borderId="22" xfId="0" applyFont="1" applyFill="1" applyBorder="1"/>
    <xf numFmtId="164" fontId="34" fillId="11" borderId="22" xfId="1" applyNumberFormat="1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top" wrapText="1"/>
    </xf>
    <xf numFmtId="0" fontId="7" fillId="10" borderId="25" xfId="0" applyFont="1" applyFill="1" applyBorder="1" applyAlignment="1">
      <alignment wrapText="1"/>
    </xf>
    <xf numFmtId="0" fontId="0" fillId="10" borderId="26" xfId="0" applyFill="1" applyBorder="1"/>
    <xf numFmtId="164" fontId="2" fillId="10" borderId="26" xfId="0" applyNumberFormat="1" applyFont="1" applyFill="1" applyBorder="1"/>
    <xf numFmtId="164" fontId="2" fillId="10" borderId="27" xfId="0" applyNumberFormat="1" applyFont="1" applyFill="1" applyBorder="1"/>
    <xf numFmtId="0" fontId="32" fillId="10" borderId="22" xfId="0" applyFont="1" applyFill="1" applyBorder="1" applyAlignment="1">
      <alignment vertical="top" wrapText="1"/>
    </xf>
    <xf numFmtId="0" fontId="37" fillId="7" borderId="0" xfId="0" applyFont="1" applyFill="1" applyBorder="1" applyAlignment="1">
      <alignment vertical="center"/>
    </xf>
    <xf numFmtId="0" fontId="36" fillId="10" borderId="22" xfId="0" applyFont="1" applyFill="1" applyBorder="1" applyAlignment="1">
      <alignment wrapText="1"/>
    </xf>
    <xf numFmtId="0" fontId="0" fillId="0" borderId="15" xfId="0" applyBorder="1"/>
    <xf numFmtId="3" fontId="0" fillId="0" borderId="22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8" fillId="7" borderId="21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/>
    </xf>
    <xf numFmtId="0" fontId="39" fillId="0" borderId="0" xfId="0" applyFont="1"/>
    <xf numFmtId="0" fontId="0" fillId="0" borderId="0" xfId="0" applyAlignment="1"/>
    <xf numFmtId="0" fontId="18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8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6" xfId="0" applyFont="1" applyBorder="1"/>
    <xf numFmtId="0" fontId="20" fillId="0" borderId="30" xfId="0" applyFont="1" applyBorder="1" applyAlignment="1">
      <alignment horizontal="left" vertical="center" wrapText="1"/>
    </xf>
    <xf numFmtId="0" fontId="18" fillId="7" borderId="31" xfId="0" applyFont="1" applyFill="1" applyBorder="1" applyAlignment="1">
      <alignment vertical="center"/>
    </xf>
    <xf numFmtId="0" fontId="17" fillId="7" borderId="31" xfId="0" applyFont="1" applyFill="1" applyBorder="1" applyAlignment="1">
      <alignment vertical="center"/>
    </xf>
    <xf numFmtId="0" fontId="20" fillId="0" borderId="32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0" fontId="20" fillId="0" borderId="33" xfId="0" applyFont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/>
    </xf>
    <xf numFmtId="0" fontId="0" fillId="10" borderId="23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28" xfId="0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0" fillId="10" borderId="4" xfId="0" applyNumberFormat="1" applyFill="1" applyBorder="1"/>
    <xf numFmtId="0" fontId="0" fillId="10" borderId="24" xfId="0" applyFill="1" applyBorder="1"/>
    <xf numFmtId="0" fontId="0" fillId="10" borderId="5" xfId="0" applyFill="1" applyBorder="1"/>
    <xf numFmtId="0" fontId="0" fillId="10" borderId="6" xfId="0" applyFill="1" applyBorder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/>
    <xf numFmtId="0" fontId="2" fillId="12" borderId="0" xfId="0" applyFont="1" applyFill="1"/>
    <xf numFmtId="0" fontId="0" fillId="12" borderId="0" xfId="0" applyFill="1"/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0" xfId="0" applyNumberFormat="1" applyFont="1" applyBorder="1"/>
    <xf numFmtId="164" fontId="4" fillId="0" borderId="4" xfId="0" applyNumberFormat="1" applyFont="1" applyBorder="1"/>
    <xf numFmtId="0" fontId="4" fillId="10" borderId="0" xfId="0" applyFont="1" applyFill="1" applyBorder="1"/>
    <xf numFmtId="0" fontId="33" fillId="0" borderId="23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0" fillId="0" borderId="0" xfId="0" applyFill="1" applyAlignment="1">
      <alignment horizontal="right"/>
    </xf>
    <xf numFmtId="164" fontId="0" fillId="0" borderId="8" xfId="0" applyNumberFormat="1" applyFill="1" applyBorder="1"/>
    <xf numFmtId="164" fontId="0" fillId="0" borderId="16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0" fontId="36" fillId="0" borderId="0" xfId="0" applyFont="1"/>
    <xf numFmtId="0" fontId="2" fillId="5" borderId="3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4" fillId="0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2" fillId="0" borderId="26" xfId="0" applyNumberFormat="1" applyFont="1" applyBorder="1"/>
    <xf numFmtId="164" fontId="2" fillId="0" borderId="27" xfId="0" applyNumberFormat="1" applyFont="1" applyBorder="1"/>
    <xf numFmtId="0" fontId="0" fillId="0" borderId="0" xfId="0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22" xfId="0" applyFont="1" applyBorder="1" applyAlignment="1">
      <alignment horizontal="left" vertical="center" wrapText="1"/>
    </xf>
    <xf numFmtId="0" fontId="0" fillId="0" borderId="28" xfId="0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28" xfId="0" applyFont="1" applyBorder="1"/>
    <xf numFmtId="164" fontId="36" fillId="0" borderId="0" xfId="1" applyNumberFormat="1" applyFont="1" applyBorder="1"/>
    <xf numFmtId="0" fontId="0" fillId="4" borderId="0" xfId="0" applyFill="1" applyBorder="1"/>
    <xf numFmtId="0" fontId="0" fillId="4" borderId="4" xfId="0" applyFill="1" applyBorder="1"/>
    <xf numFmtId="0" fontId="16" fillId="0" borderId="28" xfId="0" applyFont="1" applyBorder="1" applyAlignment="1">
      <alignment horizontal="left" vertical="center"/>
    </xf>
    <xf numFmtId="164" fontId="0" fillId="4" borderId="0" xfId="0" applyNumberFormat="1" applyFill="1" applyBorder="1"/>
    <xf numFmtId="164" fontId="0" fillId="4" borderId="4" xfId="0" applyNumberFormat="1" applyFill="1" applyBorder="1"/>
    <xf numFmtId="0" fontId="0" fillId="0" borderId="28" xfId="0" applyBorder="1" applyAlignment="1">
      <alignment horizontal="left" vertical="center"/>
    </xf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7" fontId="0" fillId="0" borderId="0" xfId="0" applyNumberFormat="1"/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" fillId="5" borderId="0" xfId="0" applyFont="1" applyFill="1" applyAlignment="1">
      <alignment horizontal="center" vertical="center"/>
    </xf>
    <xf numFmtId="167" fontId="44" fillId="0" borderId="0" xfId="0" applyNumberFormat="1" applyFont="1"/>
    <xf numFmtId="0" fontId="44" fillId="0" borderId="0" xfId="0" quotePrefix="1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44" fillId="0" borderId="0" xfId="0" applyFont="1" applyFill="1"/>
    <xf numFmtId="0" fontId="3" fillId="6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6" borderId="0" xfId="0" quotePrefix="1" applyFont="1" applyFill="1" applyAlignment="1">
      <alignment horizontal="center"/>
    </xf>
    <xf numFmtId="0" fontId="8" fillId="13" borderId="0" xfId="0" quotePrefix="1" applyFont="1" applyFill="1" applyAlignment="1">
      <alignment horizontal="center"/>
    </xf>
    <xf numFmtId="0" fontId="42" fillId="0" borderId="10" xfId="0" applyFont="1" applyBorder="1"/>
    <xf numFmtId="167" fontId="42" fillId="0" borderId="11" xfId="0" applyNumberFormat="1" applyFont="1" applyBorder="1"/>
    <xf numFmtId="0" fontId="3" fillId="13" borderId="0" xfId="0" applyFont="1" applyFill="1" applyAlignment="1">
      <alignment horizontal="right"/>
    </xf>
    <xf numFmtId="0" fontId="3" fillId="14" borderId="10" xfId="0" applyFont="1" applyFill="1" applyBorder="1" applyAlignment="1">
      <alignment vertical="center"/>
    </xf>
    <xf numFmtId="0" fontId="8" fillId="14" borderId="11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4" fontId="8" fillId="14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67" fontId="3" fillId="14" borderId="39" xfId="0" applyNumberFormat="1" applyFont="1" applyFill="1" applyBorder="1" applyAlignment="1">
      <alignment vertical="center"/>
    </xf>
    <xf numFmtId="167" fontId="44" fillId="0" borderId="38" xfId="0" applyNumberFormat="1" applyFont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167" fontId="44" fillId="0" borderId="38" xfId="0" applyNumberFormat="1" applyFont="1" applyBorder="1"/>
    <xf numFmtId="167" fontId="44" fillId="0" borderId="38" xfId="1" applyNumberFormat="1" applyFont="1" applyBorder="1"/>
    <xf numFmtId="167" fontId="3" fillId="0" borderId="38" xfId="1" applyNumberFormat="1" applyFont="1" applyBorder="1"/>
    <xf numFmtId="167" fontId="3" fillId="5" borderId="38" xfId="1" applyNumberFormat="1" applyFont="1" applyFill="1" applyBorder="1"/>
    <xf numFmtId="0" fontId="3" fillId="6" borderId="38" xfId="0" applyFont="1" applyFill="1" applyBorder="1" applyAlignment="1">
      <alignment horizontal="center" vertical="center"/>
    </xf>
    <xf numFmtId="167" fontId="44" fillId="0" borderId="38" xfId="1" applyNumberFormat="1" applyFont="1" applyFill="1" applyBorder="1"/>
    <xf numFmtId="167" fontId="3" fillId="6" borderId="38" xfId="1" applyNumberFormat="1" applyFont="1" applyFill="1" applyBorder="1"/>
    <xf numFmtId="167" fontId="3" fillId="13" borderId="38" xfId="0" applyNumberFormat="1" applyFont="1" applyFill="1" applyBorder="1"/>
    <xf numFmtId="167" fontId="3" fillId="0" borderId="38" xfId="0" applyNumberFormat="1" applyFont="1" applyBorder="1"/>
    <xf numFmtId="0" fontId="2" fillId="0" borderId="23" xfId="0" applyFont="1" applyBorder="1"/>
    <xf numFmtId="0" fontId="8" fillId="0" borderId="2" xfId="0" applyFont="1" applyBorder="1" applyAlignment="1">
      <alignment horizontal="center"/>
    </xf>
    <xf numFmtId="167" fontId="2" fillId="0" borderId="2" xfId="0" applyNumberFormat="1" applyFont="1" applyBorder="1"/>
    <xf numFmtId="167" fontId="2" fillId="0" borderId="3" xfId="0" applyNumberFormat="1" applyFont="1" applyBorder="1"/>
    <xf numFmtId="0" fontId="0" fillId="0" borderId="24" xfId="0" applyBorder="1"/>
    <xf numFmtId="0" fontId="5" fillId="0" borderId="5" xfId="0" applyFont="1" applyBorder="1" applyAlignment="1">
      <alignment horizontal="center"/>
    </xf>
    <xf numFmtId="167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8" fillId="14" borderId="40" xfId="0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4" borderId="10" xfId="0" applyNumberFormat="1" applyFill="1" applyBorder="1"/>
    <xf numFmtId="167" fontId="0" fillId="4" borderId="11" xfId="0" applyNumberFormat="1" applyFill="1" applyBorder="1"/>
    <xf numFmtId="167" fontId="0" fillId="4" borderId="12" xfId="0" applyNumberFormat="1" applyFill="1" applyBorder="1"/>
    <xf numFmtId="41" fontId="2" fillId="4" borderId="11" xfId="0" applyNumberFormat="1" applyFont="1" applyFill="1" applyBorder="1"/>
    <xf numFmtId="41" fontId="2" fillId="4" borderId="11" xfId="1" applyNumberFormat="1" applyFont="1" applyFill="1" applyBorder="1"/>
    <xf numFmtId="164" fontId="0" fillId="4" borderId="12" xfId="1" applyNumberFormat="1" applyFont="1" applyFill="1" applyBorder="1"/>
    <xf numFmtId="0" fontId="2" fillId="4" borderId="10" xfId="0" applyFont="1" applyFill="1" applyBorder="1" applyAlignment="1">
      <alignment horizontal="right"/>
    </xf>
    <xf numFmtId="167" fontId="2" fillId="4" borderId="11" xfId="0" applyNumberFormat="1" applyFont="1" applyFill="1" applyBorder="1" applyAlignment="1">
      <alignment horizontal="center"/>
    </xf>
    <xf numFmtId="0" fontId="0" fillId="0" borderId="11" xfId="0" applyBorder="1"/>
    <xf numFmtId="0" fontId="13" fillId="0" borderId="0" xfId="0" applyFont="1" applyBorder="1"/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0" fontId="5" fillId="4" borderId="0" xfId="0" applyNumberFormat="1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0" fontId="0" fillId="0" borderId="0" xfId="0" applyBorder="1" applyAlignment="1">
      <alignment horizontal="left" vertical="center" wrapText="1"/>
    </xf>
    <xf numFmtId="167" fontId="0" fillId="0" borderId="0" xfId="0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4" fontId="0" fillId="0" borderId="0" xfId="0" quotePrefix="1" applyNumberFormat="1" applyBorder="1" applyAlignment="1">
      <alignment horizontal="center"/>
    </xf>
    <xf numFmtId="0" fontId="15" fillId="0" borderId="0" xfId="0" applyFont="1" applyBorder="1" applyAlignment="1">
      <alignment wrapText="1"/>
    </xf>
    <xf numFmtId="167" fontId="0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42" fillId="0" borderId="13" xfId="0" applyFont="1" applyBorder="1"/>
    <xf numFmtId="0" fontId="47" fillId="0" borderId="14" xfId="0" applyFont="1" applyBorder="1"/>
    <xf numFmtId="0" fontId="42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7" fontId="0" fillId="0" borderId="20" xfId="0" applyNumberFormat="1" applyBorder="1"/>
    <xf numFmtId="0" fontId="0" fillId="0" borderId="16" xfId="0" applyBorder="1" applyAlignment="1">
      <alignment horizontal="center" vertical="center"/>
    </xf>
    <xf numFmtId="0" fontId="42" fillId="0" borderId="0" xfId="0" quotePrefix="1" applyFont="1" applyBorder="1" applyAlignment="1">
      <alignment horizontal="center"/>
    </xf>
    <xf numFmtId="0" fontId="42" fillId="0" borderId="0" xfId="0" applyFont="1" applyBorder="1"/>
    <xf numFmtId="167" fontId="38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0" xfId="0" applyFont="1" applyBorder="1"/>
    <xf numFmtId="0" fontId="30" fillId="0" borderId="22" xfId="0" applyFont="1" applyBorder="1" applyAlignment="1">
      <alignment vertical="top" wrapText="1"/>
    </xf>
    <xf numFmtId="0" fontId="2" fillId="0" borderId="22" xfId="0" applyFont="1" applyBorder="1"/>
    <xf numFmtId="164" fontId="2" fillId="0" borderId="22" xfId="1" applyNumberFormat="1" applyFont="1" applyBorder="1" applyAlignment="1">
      <alignment horizontal="center" vertical="center"/>
    </xf>
    <xf numFmtId="167" fontId="0" fillId="0" borderId="22" xfId="2" applyNumberFormat="1" applyFon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164" fontId="0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0" fillId="4" borderId="16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168" fontId="0" fillId="0" borderId="0" xfId="0" applyNumberFormat="1"/>
    <xf numFmtId="0" fontId="8" fillId="0" borderId="24" xfId="0" applyFont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0" fillId="0" borderId="4" xfId="0" applyFill="1" applyBorder="1"/>
    <xf numFmtId="167" fontId="2" fillId="0" borderId="2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" xfId="0" applyBorder="1"/>
    <xf numFmtId="0" fontId="2" fillId="0" borderId="25" xfId="0" applyFont="1" applyBorder="1" applyAlignment="1">
      <alignment horizontal="left" vertical="center"/>
    </xf>
    <xf numFmtId="0" fontId="0" fillId="0" borderId="34" xfId="0" applyBorder="1"/>
    <xf numFmtId="164" fontId="0" fillId="0" borderId="38" xfId="1" applyNumberFormat="1" applyFont="1" applyBorder="1"/>
    <xf numFmtId="0" fontId="0" fillId="0" borderId="38" xfId="0" applyBorder="1"/>
    <xf numFmtId="164" fontId="2" fillId="0" borderId="22" xfId="0" applyNumberFormat="1" applyFont="1" applyBorder="1"/>
    <xf numFmtId="0" fontId="48" fillId="0" borderId="0" xfId="0" applyFont="1"/>
    <xf numFmtId="0" fontId="49" fillId="0" borderId="0" xfId="0" applyFont="1"/>
    <xf numFmtId="0" fontId="0" fillId="15" borderId="0" xfId="0" applyFill="1"/>
    <xf numFmtId="0" fontId="26" fillId="0" borderId="0" xfId="0" applyFont="1"/>
    <xf numFmtId="0" fontId="52" fillId="0" borderId="0" xfId="0" applyFont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5" fillId="0" borderId="0" xfId="0" applyNumberFormat="1" applyFont="1" applyAlignment="1">
      <alignment vertical="center"/>
    </xf>
    <xf numFmtId="0" fontId="56" fillId="16" borderId="43" xfId="0" applyFont="1" applyFill="1" applyBorder="1" applyAlignment="1">
      <alignment vertical="center"/>
    </xf>
    <xf numFmtId="0" fontId="57" fillId="16" borderId="44" xfId="0" applyFont="1" applyFill="1" applyBorder="1" applyAlignment="1">
      <alignment horizontal="center" vertical="center"/>
    </xf>
    <xf numFmtId="169" fontId="57" fillId="16" borderId="36" xfId="0" applyNumberFormat="1" applyFont="1" applyFill="1" applyBorder="1" applyAlignment="1">
      <alignment vertical="center"/>
    </xf>
    <xf numFmtId="170" fontId="58" fillId="16" borderId="45" xfId="0" applyNumberFormat="1" applyFont="1" applyFill="1" applyBorder="1" applyAlignment="1">
      <alignment vertical="center"/>
    </xf>
    <xf numFmtId="170" fontId="58" fillId="16" borderId="0" xfId="0" applyNumberFormat="1" applyFont="1" applyFill="1" applyAlignment="1">
      <alignment horizontal="center" vertical="center"/>
    </xf>
    <xf numFmtId="170" fontId="56" fillId="16" borderId="45" xfId="0" applyNumberFormat="1" applyFont="1" applyFill="1" applyBorder="1" applyAlignment="1">
      <alignment vertical="center"/>
    </xf>
    <xf numFmtId="0" fontId="59" fillId="17" borderId="43" xfId="0" applyFont="1" applyFill="1" applyBorder="1" applyAlignment="1">
      <alignment vertical="center"/>
    </xf>
    <xf numFmtId="0" fontId="60" fillId="17" borderId="43" xfId="0" applyFont="1" applyFill="1" applyBorder="1" applyAlignment="1">
      <alignment horizontal="center" vertical="center"/>
    </xf>
    <xf numFmtId="0" fontId="60" fillId="17" borderId="46" xfId="0" applyFont="1" applyFill="1" applyBorder="1" applyAlignment="1">
      <alignment horizontal="center" vertical="center"/>
    </xf>
    <xf numFmtId="0" fontId="60" fillId="17" borderId="47" xfId="0" applyFont="1" applyFill="1" applyBorder="1" applyAlignment="1">
      <alignment horizontal="center" vertical="center"/>
    </xf>
    <xf numFmtId="169" fontId="60" fillId="17" borderId="46" xfId="0" applyNumberFormat="1" applyFont="1" applyFill="1" applyBorder="1" applyAlignment="1">
      <alignment vertical="center"/>
    </xf>
    <xf numFmtId="3" fontId="59" fillId="17" borderId="36" xfId="0" applyNumberFormat="1" applyFont="1" applyFill="1" applyBorder="1" applyAlignment="1">
      <alignment vertical="center"/>
    </xf>
    <xf numFmtId="3" fontId="59" fillId="17" borderId="0" xfId="0" applyNumberFormat="1" applyFont="1" applyFill="1" applyAlignment="1">
      <alignment horizontal="center" vertical="center"/>
    </xf>
    <xf numFmtId="0" fontId="48" fillId="7" borderId="0" xfId="0" applyFont="1" applyFill="1"/>
    <xf numFmtId="0" fontId="61" fillId="7" borderId="36" xfId="0" applyFont="1" applyFill="1" applyBorder="1" applyAlignment="1">
      <alignment vertical="center"/>
    </xf>
    <xf numFmtId="0" fontId="61" fillId="7" borderId="48" xfId="0" applyFont="1" applyFill="1" applyBorder="1" applyAlignment="1">
      <alignment horizontal="center" vertical="center"/>
    </xf>
    <xf numFmtId="0" fontId="62" fillId="7" borderId="48" xfId="0" applyFont="1" applyFill="1" applyBorder="1" applyAlignment="1">
      <alignment horizontal="center" vertical="center"/>
    </xf>
    <xf numFmtId="171" fontId="63" fillId="7" borderId="43" xfId="0" applyNumberFormat="1" applyFont="1" applyFill="1" applyBorder="1" applyAlignment="1">
      <alignment vertical="center"/>
    </xf>
    <xf numFmtId="171" fontId="63" fillId="7" borderId="48" xfId="0" applyNumberFormat="1" applyFont="1" applyFill="1" applyBorder="1" applyAlignment="1">
      <alignment vertical="center"/>
    </xf>
    <xf numFmtId="171" fontId="64" fillId="0" borderId="0" xfId="0" applyNumberFormat="1" applyFont="1" applyAlignment="1">
      <alignment horizontal="center" vertical="center"/>
    </xf>
    <xf numFmtId="0" fontId="61" fillId="7" borderId="36" xfId="0" applyFont="1" applyFill="1" applyBorder="1" applyAlignment="1">
      <alignment horizontal="center" vertical="center"/>
    </xf>
    <xf numFmtId="0" fontId="62" fillId="7" borderId="36" xfId="0" applyFont="1" applyFill="1" applyBorder="1" applyAlignment="1">
      <alignment horizontal="center" vertical="center"/>
    </xf>
    <xf numFmtId="171" fontId="64" fillId="7" borderId="0" xfId="0" applyNumberFormat="1" applyFont="1" applyFill="1" applyAlignment="1">
      <alignment horizontal="center" vertical="center"/>
    </xf>
    <xf numFmtId="0" fontId="65" fillId="7" borderId="0" xfId="0" applyFont="1" applyFill="1"/>
    <xf numFmtId="0" fontId="61" fillId="18" borderId="36" xfId="0" applyFont="1" applyFill="1" applyBorder="1" applyAlignment="1">
      <alignment vertical="center"/>
    </xf>
    <xf numFmtId="0" fontId="61" fillId="18" borderId="36" xfId="0" applyFont="1" applyFill="1" applyBorder="1" applyAlignment="1">
      <alignment horizontal="center" vertical="center"/>
    </xf>
    <xf numFmtId="0" fontId="62" fillId="18" borderId="36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171" fontId="63" fillId="18" borderId="43" xfId="0" applyNumberFormat="1" applyFont="1" applyFill="1" applyBorder="1" applyAlignment="1">
      <alignment vertical="center"/>
    </xf>
    <xf numFmtId="171" fontId="63" fillId="18" borderId="48" xfId="0" applyNumberFormat="1" applyFont="1" applyFill="1" applyBorder="1" applyAlignment="1">
      <alignment vertical="center"/>
    </xf>
    <xf numFmtId="171" fontId="64" fillId="18" borderId="0" xfId="0" applyNumberFormat="1" applyFont="1" applyFill="1" applyAlignment="1">
      <alignment horizontal="center" vertical="center"/>
    </xf>
    <xf numFmtId="0" fontId="65" fillId="0" borderId="0" xfId="0" applyFont="1"/>
    <xf numFmtId="0" fontId="61" fillId="18" borderId="48" xfId="0" applyFont="1" applyFill="1" applyBorder="1" applyAlignment="1">
      <alignment horizontal="center" vertical="center"/>
    </xf>
    <xf numFmtId="171" fontId="64" fillId="19" borderId="0" xfId="0" applyNumberFormat="1" applyFont="1" applyFill="1" applyAlignment="1">
      <alignment horizontal="center" vertical="center"/>
    </xf>
    <xf numFmtId="0" fontId="66" fillId="7" borderId="36" xfId="0" applyFont="1" applyFill="1" applyBorder="1" applyAlignment="1">
      <alignment vertical="center"/>
    </xf>
    <xf numFmtId="0" fontId="61" fillId="7" borderId="36" xfId="0" applyFont="1" applyFill="1" applyBorder="1" applyAlignment="1">
      <alignment vertical="center" wrapText="1"/>
    </xf>
    <xf numFmtId="0" fontId="61" fillId="0" borderId="36" xfId="0" applyFont="1" applyBorder="1" applyAlignment="1">
      <alignment vertical="center"/>
    </xf>
    <xf numFmtId="0" fontId="62" fillId="0" borderId="36" xfId="0" applyFont="1" applyBorder="1" applyAlignment="1">
      <alignment horizontal="center" vertical="center"/>
    </xf>
    <xf numFmtId="171" fontId="63" fillId="0" borderId="43" xfId="0" applyNumberFormat="1" applyFont="1" applyBorder="1" applyAlignment="1">
      <alignment vertical="center"/>
    </xf>
    <xf numFmtId="171" fontId="67" fillId="18" borderId="48" xfId="0" applyNumberFormat="1" applyFont="1" applyFill="1" applyBorder="1" applyAlignment="1">
      <alignment vertical="center"/>
    </xf>
    <xf numFmtId="0" fontId="66" fillId="0" borderId="36" xfId="0" applyFont="1" applyBorder="1" applyAlignment="1">
      <alignment vertical="center"/>
    </xf>
    <xf numFmtId="0" fontId="61" fillId="0" borderId="36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169" fontId="68" fillId="0" borderId="0" xfId="0" applyNumberFormat="1" applyFont="1" applyAlignment="1">
      <alignment vertical="center"/>
    </xf>
    <xf numFmtId="169" fontId="69" fillId="0" borderId="0" xfId="0" applyNumberFormat="1" applyFont="1" applyAlignment="1">
      <alignment horizontal="center" vertical="center"/>
    </xf>
    <xf numFmtId="0" fontId="68" fillId="17" borderId="43" xfId="0" applyFont="1" applyFill="1" applyBorder="1" applyAlignment="1">
      <alignment horizontal="center" vertical="center"/>
    </xf>
    <xf numFmtId="0" fontId="68" fillId="17" borderId="46" xfId="0" applyFont="1" applyFill="1" applyBorder="1" applyAlignment="1">
      <alignment horizontal="center" vertical="center"/>
    </xf>
    <xf numFmtId="0" fontId="68" fillId="17" borderId="47" xfId="0" applyFont="1" applyFill="1" applyBorder="1" applyAlignment="1">
      <alignment horizontal="center" vertical="center"/>
    </xf>
    <xf numFmtId="169" fontId="68" fillId="17" borderId="46" xfId="0" applyNumberFormat="1" applyFont="1" applyFill="1" applyBorder="1" applyAlignment="1">
      <alignment vertical="center"/>
    </xf>
    <xf numFmtId="3" fontId="70" fillId="17" borderId="0" xfId="0" applyNumberFormat="1" applyFont="1" applyFill="1" applyAlignment="1">
      <alignment horizontal="center" vertical="center"/>
    </xf>
    <xf numFmtId="9" fontId="68" fillId="7" borderId="48" xfId="0" applyNumberFormat="1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61" fillId="18" borderId="36" xfId="0" applyFont="1" applyFill="1" applyBorder="1" applyAlignment="1">
      <alignment vertical="center" wrapText="1"/>
    </xf>
    <xf numFmtId="9" fontId="68" fillId="18" borderId="48" xfId="0" applyNumberFormat="1" applyFont="1" applyFill="1" applyBorder="1" applyAlignment="1">
      <alignment horizontal="center" vertical="center"/>
    </xf>
    <xf numFmtId="9" fontId="68" fillId="19" borderId="36" xfId="0" applyNumberFormat="1" applyFont="1" applyFill="1" applyBorder="1" applyAlignment="1">
      <alignment horizontal="center" vertical="center"/>
    </xf>
    <xf numFmtId="0" fontId="68" fillId="18" borderId="48" xfId="0" applyFont="1" applyFill="1" applyBorder="1" applyAlignment="1">
      <alignment horizontal="center" vertical="center"/>
    </xf>
    <xf numFmtId="171" fontId="63" fillId="19" borderId="43" xfId="0" applyNumberFormat="1" applyFont="1" applyFill="1" applyBorder="1" applyAlignment="1">
      <alignment vertical="center"/>
    </xf>
    <xf numFmtId="171" fontId="63" fillId="19" borderId="36" xfId="0" applyNumberFormat="1" applyFont="1" applyFill="1" applyBorder="1" applyAlignment="1">
      <alignment vertical="center"/>
    </xf>
    <xf numFmtId="9" fontId="68" fillId="0" borderId="36" xfId="0" applyNumberFormat="1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171" fontId="63" fillId="0" borderId="36" xfId="0" applyNumberFormat="1" applyFont="1" applyBorder="1" applyAlignment="1">
      <alignment vertical="center"/>
    </xf>
    <xf numFmtId="0" fontId="66" fillId="7" borderId="36" xfId="0" applyFont="1" applyFill="1" applyBorder="1" applyAlignment="1">
      <alignment vertical="center" wrapText="1"/>
    </xf>
    <xf numFmtId="0" fontId="62" fillId="0" borderId="36" xfId="0" applyFont="1" applyBorder="1" applyAlignment="1">
      <alignment vertical="center"/>
    </xf>
    <xf numFmtId="0" fontId="61" fillId="0" borderId="36" xfId="0" applyFont="1" applyBorder="1" applyAlignment="1">
      <alignment vertical="center" wrapText="1"/>
    </xf>
    <xf numFmtId="0" fontId="0" fillId="15" borderId="0" xfId="0" applyFill="1" applyAlignment="1">
      <alignment vertical="center"/>
    </xf>
    <xf numFmtId="0" fontId="66" fillId="0" borderId="36" xfId="0" applyFont="1" applyBorder="1" applyAlignment="1">
      <alignment vertical="center" wrapText="1"/>
    </xf>
    <xf numFmtId="9" fontId="68" fillId="0" borderId="0" xfId="0" applyNumberFormat="1" applyFont="1" applyAlignment="1">
      <alignment horizontal="center" vertical="center"/>
    </xf>
    <xf numFmtId="0" fontId="59" fillId="17" borderId="45" xfId="0" applyFont="1" applyFill="1" applyBorder="1" applyAlignment="1">
      <alignment vertical="center"/>
    </xf>
    <xf numFmtId="169" fontId="68" fillId="17" borderId="44" xfId="0" applyNumberFormat="1" applyFont="1" applyFill="1" applyBorder="1" applyAlignment="1">
      <alignment vertical="center"/>
    </xf>
    <xf numFmtId="0" fontId="62" fillId="0" borderId="48" xfId="0" applyFont="1" applyBorder="1" applyAlignment="1">
      <alignment horizontal="center" vertical="center"/>
    </xf>
    <xf numFmtId="169" fontId="62" fillId="0" borderId="36" xfId="0" applyNumberFormat="1" applyFont="1" applyBorder="1" applyAlignment="1">
      <alignment horizontal="center" vertical="center"/>
    </xf>
    <xf numFmtId="171" fontId="63" fillId="0" borderId="48" xfId="0" applyNumberFormat="1" applyFont="1" applyBorder="1" applyAlignment="1">
      <alignment vertical="center"/>
    </xf>
    <xf numFmtId="171" fontId="64" fillId="20" borderId="0" xfId="0" applyNumberFormat="1" applyFont="1" applyFill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15" borderId="0" xfId="0" applyFont="1" applyFill="1" applyAlignment="1">
      <alignment vertical="center"/>
    </xf>
    <xf numFmtId="1" fontId="68" fillId="0" borderId="0" xfId="0" applyNumberFormat="1" applyFont="1" applyAlignment="1">
      <alignment horizontal="center" vertical="center"/>
    </xf>
    <xf numFmtId="169" fontId="68" fillId="17" borderId="47" xfId="0" applyNumberFormat="1" applyFont="1" applyFill="1" applyBorder="1" applyAlignment="1">
      <alignment vertical="center"/>
    </xf>
    <xf numFmtId="0" fontId="62" fillId="0" borderId="4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/>
    </xf>
    <xf numFmtId="0" fontId="61" fillId="0" borderId="51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9" fontId="62" fillId="0" borderId="0" xfId="0" applyNumberFormat="1" applyFont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169" fontId="73" fillId="0" borderId="0" xfId="0" applyNumberFormat="1" applyFont="1" applyAlignment="1">
      <alignment horizontal="center" vertical="center"/>
    </xf>
    <xf numFmtId="171" fontId="74" fillId="0" borderId="0" xfId="0" applyNumberFormat="1" applyFont="1" applyAlignment="1">
      <alignment horizontal="center" vertical="center"/>
    </xf>
    <xf numFmtId="0" fontId="75" fillId="17" borderId="45" xfId="0" applyFont="1" applyFill="1" applyBorder="1" applyAlignment="1">
      <alignment horizontal="left" vertical="center"/>
    </xf>
    <xf numFmtId="0" fontId="61" fillId="0" borderId="22" xfId="0" applyFont="1" applyBorder="1" applyAlignment="1">
      <alignment vertical="center"/>
    </xf>
    <xf numFmtId="0" fontId="61" fillId="0" borderId="52" xfId="0" applyFont="1" applyBorder="1" applyAlignment="1">
      <alignment vertical="center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169" fontId="62" fillId="0" borderId="47" xfId="0" applyNumberFormat="1" applyFont="1" applyBorder="1" applyAlignment="1">
      <alignment horizontal="center" vertical="center"/>
    </xf>
    <xf numFmtId="0" fontId="75" fillId="17" borderId="43" xfId="0" applyFont="1" applyFill="1" applyBorder="1" applyAlignment="1">
      <alignment horizontal="left" vertical="center"/>
    </xf>
    <xf numFmtId="0" fontId="62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37" fontId="11" fillId="0" borderId="0" xfId="0" applyNumberFormat="1" applyFont="1"/>
    <xf numFmtId="0" fontId="2" fillId="0" borderId="14" xfId="0" applyFont="1" applyBorder="1" applyAlignment="1">
      <alignment horizontal="center"/>
    </xf>
    <xf numFmtId="167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0" fontId="2" fillId="4" borderId="10" xfId="0" applyFont="1" applyFill="1" applyBorder="1"/>
    <xf numFmtId="167" fontId="2" fillId="4" borderId="11" xfId="0" applyNumberFormat="1" applyFont="1" applyFill="1" applyBorder="1"/>
    <xf numFmtId="41" fontId="2" fillId="4" borderId="12" xfId="0" applyNumberFormat="1" applyFont="1" applyFill="1" applyBorder="1"/>
    <xf numFmtId="0" fontId="4" fillId="0" borderId="26" xfId="0" applyFont="1" applyBorder="1" applyAlignment="1">
      <alignment horizontal="center" vertical="center" wrapText="1"/>
    </xf>
    <xf numFmtId="167" fontId="3" fillId="14" borderId="56" xfId="0" applyNumberFormat="1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167" fontId="0" fillId="0" borderId="38" xfId="0" applyNumberFormat="1" applyBorder="1" applyAlignment="1">
      <alignment vertical="center"/>
    </xf>
    <xf numFmtId="167" fontId="44" fillId="0" borderId="40" xfId="0" applyNumberFormat="1" applyFont="1" applyBorder="1"/>
    <xf numFmtId="167" fontId="0" fillId="0" borderId="38" xfId="0" applyNumberFormat="1" applyBorder="1"/>
    <xf numFmtId="0" fontId="0" fillId="0" borderId="38" xfId="0" applyBorder="1" applyAlignment="1">
      <alignment vertical="center"/>
    </xf>
    <xf numFmtId="167" fontId="3" fillId="14" borderId="57" xfId="0" applyNumberFormat="1" applyFont="1" applyFill="1" applyBorder="1" applyAlignment="1">
      <alignment vertical="center"/>
    </xf>
    <xf numFmtId="167" fontId="3" fillId="14" borderId="58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0" fontId="4" fillId="0" borderId="22" xfId="0" applyFont="1" applyBorder="1" applyAlignment="1">
      <alignment horizontal="center" vertical="center" wrapText="1"/>
    </xf>
    <xf numFmtId="167" fontId="44" fillId="6" borderId="38" xfId="0" applyNumberFormat="1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167" fontId="3" fillId="14" borderId="6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5" borderId="28" xfId="0" applyFill="1" applyBorder="1" applyAlignment="1">
      <alignment vertical="center"/>
    </xf>
    <xf numFmtId="167" fontId="0" fillId="0" borderId="28" xfId="0" applyNumberFormat="1" applyBorder="1" applyAlignment="1">
      <alignment vertical="center"/>
    </xf>
    <xf numFmtId="167" fontId="44" fillId="0" borderId="28" xfId="0" applyNumberFormat="1" applyFont="1" applyBorder="1" applyAlignment="1">
      <alignment vertical="center"/>
    </xf>
    <xf numFmtId="167" fontId="3" fillId="0" borderId="28" xfId="1" applyNumberFormat="1" applyFont="1" applyBorder="1"/>
    <xf numFmtId="167" fontId="3" fillId="5" borderId="28" xfId="1" applyNumberFormat="1" applyFont="1" applyFill="1" applyBorder="1"/>
    <xf numFmtId="167" fontId="44" fillId="0" borderId="28" xfId="0" applyNumberFormat="1" applyFont="1" applyBorder="1"/>
    <xf numFmtId="0" fontId="3" fillId="6" borderId="28" xfId="0" applyFont="1" applyFill="1" applyBorder="1" applyAlignment="1">
      <alignment horizontal="center" vertical="center"/>
    </xf>
    <xf numFmtId="167" fontId="44" fillId="0" borderId="28" xfId="1" applyNumberFormat="1" applyFont="1" applyBorder="1"/>
    <xf numFmtId="167" fontId="44" fillId="0" borderId="28" xfId="1" applyNumberFormat="1" applyFont="1" applyFill="1" applyBorder="1"/>
    <xf numFmtId="167" fontId="3" fillId="6" borderId="28" xfId="1" applyNumberFormat="1" applyFont="1" applyFill="1" applyBorder="1"/>
    <xf numFmtId="167" fontId="3" fillId="13" borderId="28" xfId="0" applyNumberFormat="1" applyFont="1" applyFill="1" applyBorder="1"/>
    <xf numFmtId="167" fontId="3" fillId="14" borderId="1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44" fillId="0" borderId="0" xfId="0" applyNumberFormat="1" applyFont="1" applyBorder="1" applyAlignment="1">
      <alignment vertical="center"/>
    </xf>
    <xf numFmtId="167" fontId="3" fillId="0" borderId="0" xfId="1" applyNumberFormat="1" applyFont="1" applyBorder="1"/>
    <xf numFmtId="167" fontId="3" fillId="5" borderId="0" xfId="1" applyNumberFormat="1" applyFont="1" applyFill="1" applyBorder="1"/>
    <xf numFmtId="167" fontId="44" fillId="0" borderId="0" xfId="0" applyNumberFormat="1" applyFont="1" applyBorder="1"/>
    <xf numFmtId="167" fontId="44" fillId="6" borderId="0" xfId="0" applyNumberFormat="1" applyFont="1" applyFill="1" applyBorder="1"/>
    <xf numFmtId="167" fontId="3" fillId="6" borderId="0" xfId="1" applyNumberFormat="1" applyFont="1" applyFill="1" applyBorder="1"/>
    <xf numFmtId="167" fontId="3" fillId="13" borderId="0" xfId="0" applyNumberFormat="1" applyFont="1" applyFill="1" applyBorder="1"/>
    <xf numFmtId="167" fontId="3" fillId="14" borderId="61" xfId="0" applyNumberFormat="1" applyFont="1" applyFill="1" applyBorder="1" applyAlignment="1">
      <alignment vertical="center"/>
    </xf>
    <xf numFmtId="0" fontId="9" fillId="21" borderId="34" xfId="0" applyFont="1" applyFill="1" applyBorder="1" applyAlignment="1">
      <alignment horizontal="center" vertical="center"/>
    </xf>
    <xf numFmtId="14" fontId="8" fillId="21" borderId="38" xfId="0" applyNumberFormat="1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/>
    </xf>
    <xf numFmtId="0" fontId="42" fillId="0" borderId="16" xfId="0" applyFont="1" applyBorder="1"/>
    <xf numFmtId="0" fontId="5" fillId="0" borderId="20" xfId="0" applyFont="1" applyBorder="1" applyAlignment="1">
      <alignment horizontal="center"/>
    </xf>
    <xf numFmtId="167" fontId="0" fillId="0" borderId="0" xfId="0" quotePrefix="1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/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/>
    <xf numFmtId="167" fontId="42" fillId="0" borderId="0" xfId="0" applyNumberFormat="1" applyFont="1" applyBorder="1"/>
    <xf numFmtId="165" fontId="0" fillId="0" borderId="0" xfId="0" applyNumberFormat="1" applyFill="1"/>
    <xf numFmtId="165" fontId="0" fillId="0" borderId="0" xfId="0" quotePrefix="1" applyNumberFormat="1"/>
    <xf numFmtId="0" fontId="0" fillId="0" borderId="0" xfId="0" applyFill="1" applyAlignment="1">
      <alignment horizontal="center"/>
    </xf>
    <xf numFmtId="0" fontId="41" fillId="0" borderId="0" xfId="0" applyFont="1" applyFill="1"/>
    <xf numFmtId="0" fontId="77" fillId="0" borderId="0" xfId="0" applyFont="1" applyAlignment="1">
      <alignment vertical="center"/>
    </xf>
    <xf numFmtId="0" fontId="0" fillId="0" borderId="65" xfId="0" applyBorder="1"/>
    <xf numFmtId="0" fontId="77" fillId="0" borderId="0" xfId="0" applyFont="1"/>
    <xf numFmtId="0" fontId="36" fillId="0" borderId="0" xfId="0" applyFont="1" applyBorder="1" applyAlignment="1">
      <alignment wrapText="1"/>
    </xf>
    <xf numFmtId="167" fontId="22" fillId="19" borderId="0" xfId="0" applyNumberFormat="1" applyFont="1" applyFill="1"/>
    <xf numFmtId="0" fontId="17" fillId="7" borderId="22" xfId="0" applyFont="1" applyFill="1" applyBorder="1" applyAlignment="1">
      <alignment horizontal="right" vertical="center"/>
    </xf>
    <xf numFmtId="0" fontId="17" fillId="7" borderId="34" xfId="0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" fontId="40" fillId="0" borderId="0" xfId="0" quotePrefix="1" applyNumberFormat="1" applyFont="1" applyFill="1" applyBorder="1" applyAlignment="1">
      <alignment horizontal="center" vertical="center"/>
    </xf>
    <xf numFmtId="0" fontId="0" fillId="0" borderId="0" xfId="0" quotePrefix="1"/>
    <xf numFmtId="167" fontId="0" fillId="0" borderId="0" xfId="0" applyNumberFormat="1" applyFill="1" applyBorder="1"/>
    <xf numFmtId="0" fontId="0" fillId="4" borderId="0" xfId="0" applyFill="1"/>
    <xf numFmtId="167" fontId="0" fillId="4" borderId="0" xfId="0" applyNumberFormat="1" applyFill="1"/>
    <xf numFmtId="17" fontId="0" fillId="4" borderId="0" xfId="0" applyNumberFormat="1" applyFill="1"/>
    <xf numFmtId="0" fontId="2" fillId="4" borderId="11" xfId="0" applyFont="1" applyFill="1" applyBorder="1"/>
    <xf numFmtId="167" fontId="2" fillId="4" borderId="12" xfId="0" applyNumberFormat="1" applyFont="1" applyFill="1" applyBorder="1"/>
    <xf numFmtId="0" fontId="2" fillId="4" borderId="0" xfId="0" applyFont="1" applyFill="1"/>
    <xf numFmtId="0" fontId="61" fillId="23" borderId="36" xfId="0" applyFont="1" applyFill="1" applyBorder="1" applyAlignment="1">
      <alignment vertical="center"/>
    </xf>
    <xf numFmtId="0" fontId="61" fillId="23" borderId="48" xfId="0" applyFont="1" applyFill="1" applyBorder="1" applyAlignment="1">
      <alignment horizontal="center" vertical="center"/>
    </xf>
    <xf numFmtId="0" fontId="62" fillId="23" borderId="48" xfId="0" applyFont="1" applyFill="1" applyBorder="1" applyAlignment="1">
      <alignment horizontal="center" vertical="center"/>
    </xf>
    <xf numFmtId="171" fontId="63" fillId="23" borderId="43" xfId="0" applyNumberFormat="1" applyFont="1" applyFill="1" applyBorder="1" applyAlignment="1">
      <alignment vertical="center"/>
    </xf>
    <xf numFmtId="171" fontId="63" fillId="23" borderId="48" xfId="0" applyNumberFormat="1" applyFont="1" applyFill="1" applyBorder="1" applyAlignment="1">
      <alignment vertical="center"/>
    </xf>
    <xf numFmtId="9" fontId="68" fillId="23" borderId="48" xfId="0" applyNumberFormat="1" applyFont="1" applyFill="1" applyBorder="1" applyAlignment="1">
      <alignment horizontal="center" vertical="center"/>
    </xf>
    <xf numFmtId="0" fontId="68" fillId="23" borderId="48" xfId="0" applyFont="1" applyFill="1" applyBorder="1" applyAlignment="1">
      <alignment horizontal="center" vertical="center"/>
    </xf>
    <xf numFmtId="0" fontId="0" fillId="24" borderId="25" xfId="0" applyFill="1" applyBorder="1"/>
    <xf numFmtId="167" fontId="0" fillId="24" borderId="26" xfId="0" applyNumberFormat="1" applyFill="1" applyBorder="1"/>
    <xf numFmtId="167" fontId="0" fillId="24" borderId="27" xfId="0" applyNumberFormat="1" applyFill="1" applyBorder="1"/>
    <xf numFmtId="0" fontId="16" fillId="5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164" fontId="0" fillId="10" borderId="0" xfId="1" applyNumberFormat="1" applyFont="1" applyFill="1" applyBorder="1" applyAlignment="1">
      <alignment horizontal="center" vertical="center"/>
    </xf>
    <xf numFmtId="164" fontId="0" fillId="10" borderId="0" xfId="0" applyNumberFormat="1" applyFill="1" applyBorder="1" applyAlignment="1">
      <alignment horizontal="center" vertical="center"/>
    </xf>
    <xf numFmtId="164" fontId="2" fillId="10" borderId="0" xfId="0" applyNumberFormat="1" applyFont="1" applyFill="1" applyBorder="1"/>
    <xf numFmtId="164" fontId="0" fillId="10" borderId="0" xfId="0" applyNumberFormat="1" applyFill="1" applyBorder="1"/>
    <xf numFmtId="164" fontId="0" fillId="10" borderId="0" xfId="1" applyNumberFormat="1" applyFont="1" applyFill="1" applyBorder="1"/>
    <xf numFmtId="41" fontId="0" fillId="0" borderId="0" xfId="0" applyNumberFormat="1" applyBorder="1"/>
    <xf numFmtId="41" fontId="0" fillId="0" borderId="0" xfId="0" applyNumberFormat="1"/>
    <xf numFmtId="41" fontId="0" fillId="0" borderId="0" xfId="0" applyNumberFormat="1" applyFill="1" applyBorder="1"/>
    <xf numFmtId="41" fontId="42" fillId="0" borderId="0" xfId="0" applyNumberFormat="1" applyFont="1" applyBorder="1"/>
    <xf numFmtId="41" fontId="42" fillId="0" borderId="11" xfId="0" applyNumberFormat="1" applyFont="1" applyBorder="1"/>
    <xf numFmtId="41" fontId="42" fillId="0" borderId="12" xfId="0" applyNumberFormat="1" applyFont="1" applyBorder="1"/>
    <xf numFmtId="41" fontId="0" fillId="0" borderId="18" xfId="0" applyNumberFormat="1" applyBorder="1"/>
    <xf numFmtId="41" fontId="0" fillId="0" borderId="19" xfId="0" applyNumberFormat="1" applyBorder="1"/>
    <xf numFmtId="0" fontId="8" fillId="0" borderId="34" xfId="0" applyFont="1" applyBorder="1" applyAlignment="1">
      <alignment horizontal="center" vertical="center"/>
    </xf>
    <xf numFmtId="41" fontId="0" fillId="0" borderId="38" xfId="0" applyNumberFormat="1" applyBorder="1"/>
    <xf numFmtId="41" fontId="0" fillId="0" borderId="56" xfId="0" applyNumberFormat="1" applyBorder="1"/>
    <xf numFmtId="0" fontId="8" fillId="0" borderId="67" xfId="0" applyFont="1" applyBorder="1" applyAlignment="1">
      <alignment horizontal="center" vertical="center"/>
    </xf>
    <xf numFmtId="41" fontId="0" fillId="0" borderId="68" xfId="0" applyNumberFormat="1" applyBorder="1"/>
    <xf numFmtId="41" fontId="0" fillId="0" borderId="68" xfId="0" applyNumberFormat="1" applyFill="1" applyBorder="1"/>
    <xf numFmtId="41" fontId="0" fillId="0" borderId="61" xfId="0" applyNumberFormat="1" applyBorder="1"/>
    <xf numFmtId="0" fontId="8" fillId="0" borderId="22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164" fontId="0" fillId="4" borderId="38" xfId="1" applyNumberFormat="1" applyFont="1" applyFill="1" applyBorder="1" applyAlignment="1">
      <alignment horizontal="center" vertical="center"/>
    </xf>
    <xf numFmtId="164" fontId="0" fillId="0" borderId="38" xfId="1" applyNumberFormat="1" applyFont="1" applyFill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2" fillId="3" borderId="38" xfId="0" applyNumberFormat="1" applyFont="1" applyFill="1" applyBorder="1"/>
    <xf numFmtId="164" fontId="0" fillId="0" borderId="38" xfId="0" applyNumberFormat="1" applyBorder="1"/>
    <xf numFmtId="164" fontId="0" fillId="0" borderId="38" xfId="0" applyNumberFormat="1" applyFill="1" applyBorder="1"/>
    <xf numFmtId="164" fontId="0" fillId="3" borderId="38" xfId="1" applyNumberFormat="1" applyFont="1" applyFill="1" applyBorder="1"/>
    <xf numFmtId="164" fontId="0" fillId="3" borderId="38" xfId="0" applyNumberFormat="1" applyFill="1" applyBorder="1"/>
    <xf numFmtId="164" fontId="2" fillId="5" borderId="38" xfId="0" applyNumberFormat="1" applyFont="1" applyFill="1" applyBorder="1"/>
    <xf numFmtId="0" fontId="8" fillId="0" borderId="2" xfId="0" applyFont="1" applyBorder="1" applyAlignment="1">
      <alignment horizontal="center" vertical="center"/>
    </xf>
    <xf numFmtId="41" fontId="8" fillId="0" borderId="40" xfId="0" quotePrefix="1" applyNumberFormat="1" applyFont="1" applyBorder="1" applyAlignment="1">
      <alignment horizontal="center"/>
    </xf>
    <xf numFmtId="41" fontId="8" fillId="0" borderId="5" xfId="0" quotePrefix="1" applyNumberFormat="1" applyFont="1" applyBorder="1" applyAlignment="1">
      <alignment horizontal="center"/>
    </xf>
    <xf numFmtId="41" fontId="8" fillId="0" borderId="70" xfId="0" quotePrefix="1" applyNumberFormat="1" applyFont="1" applyBorder="1" applyAlignment="1">
      <alignment horizontal="center"/>
    </xf>
    <xf numFmtId="0" fontId="0" fillId="0" borderId="25" xfId="0" applyBorder="1" applyAlignment="1">
      <alignment horizontal="left" vertical="center"/>
    </xf>
    <xf numFmtId="0" fontId="0" fillId="4" borderId="18" xfId="0" applyFill="1" applyBorder="1"/>
    <xf numFmtId="0" fontId="2" fillId="21" borderId="34" xfId="0" applyFont="1" applyFill="1" applyBorder="1" applyAlignment="1">
      <alignment horizontal="center" vertical="center" wrapText="1"/>
    </xf>
    <xf numFmtId="0" fontId="2" fillId="21" borderId="4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21" borderId="26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4" fillId="9" borderId="2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3" fillId="0" borderId="22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4" fillId="9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43" fontId="23" fillId="0" borderId="22" xfId="1" applyFont="1" applyFill="1" applyBorder="1" applyAlignment="1">
      <alignment horizontal="center"/>
    </xf>
    <xf numFmtId="43" fontId="25" fillId="0" borderId="22" xfId="1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left" wrapText="1"/>
    </xf>
    <xf numFmtId="166" fontId="25" fillId="0" borderId="22" xfId="0" applyNumberFormat="1" applyFont="1" applyFill="1" applyBorder="1" applyAlignment="1">
      <alignment horizontal="center"/>
    </xf>
    <xf numFmtId="166" fontId="28" fillId="10" borderId="25" xfId="0" applyNumberFormat="1" applyFont="1" applyFill="1" applyBorder="1" applyAlignment="1">
      <alignment horizontal="center"/>
    </xf>
    <xf numFmtId="166" fontId="28" fillId="10" borderId="26" xfId="0" applyNumberFormat="1" applyFont="1" applyFill="1" applyBorder="1" applyAlignment="1">
      <alignment horizontal="center"/>
    </xf>
    <xf numFmtId="166" fontId="28" fillId="10" borderId="27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42" fillId="0" borderId="25" xfId="0" quotePrefix="1" applyFont="1" applyBorder="1" applyAlignment="1">
      <alignment horizontal="center"/>
    </xf>
    <xf numFmtId="0" fontId="42" fillId="0" borderId="26" xfId="0" quotePrefix="1" applyFont="1" applyBorder="1" applyAlignment="1">
      <alignment horizontal="center"/>
    </xf>
    <xf numFmtId="0" fontId="42" fillId="0" borderId="66" xfId="0" quotePrefix="1" applyFont="1" applyBorder="1" applyAlignment="1">
      <alignment horizontal="center"/>
    </xf>
    <xf numFmtId="0" fontId="50" fillId="0" borderId="10" xfId="0" applyFont="1" applyBorder="1" applyAlignment="1">
      <alignment horizontal="center" vertical="center"/>
    </xf>
    <xf numFmtId="0" fontId="51" fillId="0" borderId="11" xfId="0" applyFont="1" applyBorder="1"/>
    <xf numFmtId="0" fontId="51" fillId="0" borderId="12" xfId="0" applyFont="1" applyBorder="1"/>
    <xf numFmtId="0" fontId="50" fillId="0" borderId="41" xfId="0" applyFont="1" applyBorder="1" applyAlignment="1">
      <alignment horizontal="center" vertical="center"/>
    </xf>
    <xf numFmtId="0" fontId="51" fillId="0" borderId="41" xfId="0" applyFont="1" applyBorder="1"/>
    <xf numFmtId="0" fontId="51" fillId="0" borderId="42" xfId="0" applyFont="1" applyBorder="1"/>
    <xf numFmtId="0" fontId="54" fillId="0" borderId="1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36" fillId="0" borderId="25" xfId="0" applyFont="1" applyBorder="1" applyAlignment="1">
      <alignment horizontal="left" wrapText="1"/>
    </xf>
    <xf numFmtId="0" fontId="36" fillId="0" borderId="26" xfId="0" applyFont="1" applyBorder="1" applyAlignment="1">
      <alignment horizontal="left" wrapText="1"/>
    </xf>
    <xf numFmtId="0" fontId="36" fillId="0" borderId="27" xfId="0" applyFont="1" applyBorder="1" applyAlignment="1">
      <alignment horizontal="left" wrapText="1"/>
    </xf>
    <xf numFmtId="0" fontId="36" fillId="10" borderId="25" xfId="0" applyFont="1" applyFill="1" applyBorder="1" applyAlignment="1">
      <alignment horizontal="left" wrapText="1"/>
    </xf>
    <xf numFmtId="0" fontId="36" fillId="10" borderId="26" xfId="0" applyFont="1" applyFill="1" applyBorder="1" applyAlignment="1">
      <alignment horizontal="left" wrapText="1"/>
    </xf>
    <xf numFmtId="0" fontId="36" fillId="10" borderId="27" xfId="0" applyFont="1" applyFill="1" applyBorder="1" applyAlignment="1">
      <alignment horizontal="left" wrapText="1"/>
    </xf>
    <xf numFmtId="0" fontId="79" fillId="22" borderId="22" xfId="0" applyFont="1" applyFill="1" applyBorder="1" applyAlignment="1">
      <alignment horizontal="left"/>
    </xf>
    <xf numFmtId="0" fontId="80" fillId="22" borderId="22" xfId="0" applyFont="1" applyFill="1" applyBorder="1" applyAlignment="1">
      <alignment horizontal="center"/>
    </xf>
    <xf numFmtId="0" fontId="79" fillId="22" borderId="0" xfId="0" applyFont="1" applyFill="1" applyAlignment="1">
      <alignment horizontal="center"/>
    </xf>
    <xf numFmtId="0" fontId="28" fillId="9" borderId="22" xfId="0" applyFont="1" applyFill="1" applyBorder="1" applyAlignment="1">
      <alignment horizontal="left"/>
    </xf>
    <xf numFmtId="167" fontId="28" fillId="9" borderId="22" xfId="0" applyNumberFormat="1" applyFont="1" applyFill="1" applyBorder="1" applyAlignment="1">
      <alignment horizontal="right"/>
    </xf>
    <xf numFmtId="41" fontId="28" fillId="9" borderId="22" xfId="0" applyNumberFormat="1" applyFont="1" applyFill="1" applyBorder="1" applyAlignment="1">
      <alignment horizontal="right"/>
    </xf>
    <xf numFmtId="0" fontId="36" fillId="0" borderId="25" xfId="0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36" fillId="0" borderId="27" xfId="0" applyFont="1" applyBorder="1" applyAlignment="1">
      <alignment horizontal="left"/>
    </xf>
    <xf numFmtId="41" fontId="26" fillId="0" borderId="22" xfId="0" applyNumberFormat="1" applyFont="1" applyBorder="1" applyAlignment="1">
      <alignment horizontal="right"/>
    </xf>
    <xf numFmtId="41" fontId="26" fillId="0" borderId="25" xfId="0" applyNumberFormat="1" applyFont="1" applyBorder="1" applyAlignment="1">
      <alignment horizontal="center"/>
    </xf>
    <xf numFmtId="41" fontId="26" fillId="0" borderId="26" xfId="0" applyNumberFormat="1" applyFont="1" applyBorder="1" applyAlignment="1">
      <alignment horizontal="center"/>
    </xf>
    <xf numFmtId="41" fontId="26" fillId="0" borderId="27" xfId="0" applyNumberFormat="1" applyFont="1" applyBorder="1" applyAlignment="1">
      <alignment horizontal="center"/>
    </xf>
    <xf numFmtId="41" fontId="26" fillId="10" borderId="25" xfId="0" applyNumberFormat="1" applyFont="1" applyFill="1" applyBorder="1" applyAlignment="1">
      <alignment horizontal="center"/>
    </xf>
    <xf numFmtId="41" fontId="26" fillId="10" borderId="26" xfId="0" applyNumberFormat="1" applyFont="1" applyFill="1" applyBorder="1" applyAlignment="1">
      <alignment horizontal="center"/>
    </xf>
    <xf numFmtId="41" fontId="26" fillId="10" borderId="27" xfId="0" applyNumberFormat="1" applyFont="1" applyFill="1" applyBorder="1" applyAlignment="1">
      <alignment horizontal="center"/>
    </xf>
    <xf numFmtId="167" fontId="26" fillId="8" borderId="25" xfId="0" applyNumberFormat="1" applyFont="1" applyFill="1" applyBorder="1" applyAlignment="1">
      <alignment horizontal="center"/>
    </xf>
    <xf numFmtId="167" fontId="26" fillId="8" borderId="26" xfId="0" applyNumberFormat="1" applyFont="1" applyFill="1" applyBorder="1" applyAlignment="1">
      <alignment horizontal="center"/>
    </xf>
    <xf numFmtId="167" fontId="26" fillId="8" borderId="27" xfId="0" applyNumberFormat="1" applyFont="1" applyFill="1" applyBorder="1" applyAlignment="1">
      <alignment horizontal="center"/>
    </xf>
    <xf numFmtId="167" fontId="28" fillId="8" borderId="26" xfId="0" applyNumberFormat="1" applyFont="1" applyFill="1" applyBorder="1" applyAlignment="1">
      <alignment horizontal="right"/>
    </xf>
    <xf numFmtId="167" fontId="28" fillId="8" borderId="25" xfId="0" applyNumberFormat="1" applyFont="1" applyFill="1" applyBorder="1" applyAlignment="1">
      <alignment horizontal="right"/>
    </xf>
    <xf numFmtId="167" fontId="28" fillId="8" borderId="27" xfId="0" applyNumberFormat="1" applyFont="1" applyFill="1" applyBorder="1" applyAlignment="1">
      <alignment horizontal="right"/>
    </xf>
    <xf numFmtId="167" fontId="26" fillId="8" borderId="2" xfId="0" applyNumberFormat="1" applyFont="1" applyFill="1" applyBorder="1" applyAlignment="1">
      <alignment horizontal="center"/>
    </xf>
    <xf numFmtId="167" fontId="84" fillId="19" borderId="25" xfId="0" applyNumberFormat="1" applyFont="1" applyFill="1" applyBorder="1" applyAlignment="1">
      <alignment horizontal="left"/>
    </xf>
    <xf numFmtId="167" fontId="84" fillId="19" borderId="26" xfId="0" applyNumberFormat="1" applyFont="1" applyFill="1" applyBorder="1" applyAlignment="1">
      <alignment horizontal="left"/>
    </xf>
    <xf numFmtId="167" fontId="84" fillId="19" borderId="27" xfId="0" applyNumberFormat="1" applyFont="1" applyFill="1" applyBorder="1" applyAlignment="1">
      <alignment horizontal="left"/>
    </xf>
    <xf numFmtId="167" fontId="83" fillId="0" borderId="25" xfId="0" applyNumberFormat="1" applyFont="1" applyBorder="1" applyAlignment="1">
      <alignment horizontal="left"/>
    </xf>
    <xf numFmtId="167" fontId="83" fillId="0" borderId="26" xfId="0" applyNumberFormat="1" applyFont="1" applyBorder="1" applyAlignment="1">
      <alignment horizontal="left"/>
    </xf>
    <xf numFmtId="167" fontId="83" fillId="0" borderId="27" xfId="0" applyNumberFormat="1" applyFont="1" applyBorder="1" applyAlignment="1">
      <alignment horizontal="left"/>
    </xf>
    <xf numFmtId="167" fontId="28" fillId="0" borderId="25" xfId="0" applyNumberFormat="1" applyFont="1" applyBorder="1" applyAlignment="1">
      <alignment horizontal="right"/>
    </xf>
    <xf numFmtId="167" fontId="28" fillId="0" borderId="26" xfId="0" applyNumberFormat="1" applyFont="1" applyBorder="1" applyAlignment="1">
      <alignment horizontal="right"/>
    </xf>
    <xf numFmtId="167" fontId="28" fillId="0" borderId="27" xfId="0" applyNumberFormat="1" applyFont="1" applyBorder="1" applyAlignment="1">
      <alignment horizontal="right"/>
    </xf>
    <xf numFmtId="167" fontId="28" fillId="0" borderId="22" xfId="0" applyNumberFormat="1" applyFont="1" applyBorder="1" applyAlignment="1">
      <alignment horizontal="right"/>
    </xf>
    <xf numFmtId="167" fontId="83" fillId="0" borderId="26" xfId="0" applyNumberFormat="1" applyFont="1" applyBorder="1" applyAlignment="1">
      <alignment horizontal="center"/>
    </xf>
    <xf numFmtId="167" fontId="22" fillId="19" borderId="26" xfId="0" applyNumberFormat="1" applyFont="1" applyFill="1" applyBorder="1" applyAlignment="1">
      <alignment horizontal="center"/>
    </xf>
    <xf numFmtId="167" fontId="28" fillId="0" borderId="25" xfId="0" applyNumberFormat="1" applyFont="1" applyBorder="1" applyAlignment="1">
      <alignment horizontal="left"/>
    </xf>
    <xf numFmtId="167" fontId="28" fillId="0" borderId="26" xfId="0" applyNumberFormat="1" applyFont="1" applyBorder="1" applyAlignment="1">
      <alignment horizontal="left"/>
    </xf>
    <xf numFmtId="167" fontId="28" fillId="0" borderId="27" xfId="0" applyNumberFormat="1" applyFont="1" applyBorder="1" applyAlignment="1">
      <alignment horizontal="left"/>
    </xf>
    <xf numFmtId="167" fontId="22" fillId="0" borderId="26" xfId="0" applyNumberFormat="1" applyFont="1" applyBorder="1" applyAlignment="1">
      <alignment horizontal="center"/>
    </xf>
    <xf numFmtId="167" fontId="79" fillId="22" borderId="25" xfId="0" applyNumberFormat="1" applyFont="1" applyFill="1" applyBorder="1" applyAlignment="1">
      <alignment horizontal="left"/>
    </xf>
    <xf numFmtId="167" fontId="79" fillId="22" borderId="26" xfId="0" applyNumberFormat="1" applyFont="1" applyFill="1" applyBorder="1" applyAlignment="1">
      <alignment horizontal="left"/>
    </xf>
    <xf numFmtId="167" fontId="79" fillId="22" borderId="27" xfId="0" applyNumberFormat="1" applyFont="1" applyFill="1" applyBorder="1" applyAlignment="1">
      <alignment horizontal="left"/>
    </xf>
    <xf numFmtId="167" fontId="79" fillId="22" borderId="22" xfId="0" applyNumberFormat="1" applyFont="1" applyFill="1" applyBorder="1" applyAlignment="1">
      <alignment horizontal="center"/>
    </xf>
    <xf numFmtId="167" fontId="28" fillId="9" borderId="22" xfId="0" applyNumberFormat="1" applyFont="1" applyFill="1" applyBorder="1" applyAlignment="1">
      <alignment horizontal="left"/>
    </xf>
    <xf numFmtId="167" fontId="79" fillId="22" borderId="22" xfId="0" applyNumberFormat="1" applyFont="1" applyFill="1" applyBorder="1" applyAlignment="1">
      <alignment horizontal="left"/>
    </xf>
    <xf numFmtId="167" fontId="82" fillId="22" borderId="22" xfId="0" applyNumberFormat="1" applyFont="1" applyFill="1" applyBorder="1" applyAlignment="1">
      <alignment horizontal="left"/>
    </xf>
    <xf numFmtId="167" fontId="26" fillId="0" borderId="22" xfId="0" applyNumberFormat="1" applyFont="1" applyBorder="1" applyAlignment="1">
      <alignment horizontal="left"/>
    </xf>
    <xf numFmtId="167" fontId="26" fillId="0" borderId="22" xfId="0" applyNumberFormat="1" applyFont="1" applyBorder="1" applyAlignment="1">
      <alignment horizontal="right"/>
    </xf>
    <xf numFmtId="167" fontId="26" fillId="0" borderId="25" xfId="0" applyNumberFormat="1" applyFont="1" applyBorder="1" applyAlignment="1">
      <alignment horizontal="right"/>
    </xf>
    <xf numFmtId="167" fontId="26" fillId="0" borderId="2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right"/>
    </xf>
    <xf numFmtId="0" fontId="26" fillId="0" borderId="22" xfId="0" applyFont="1" applyBorder="1" applyAlignment="1">
      <alignment horizontal="left"/>
    </xf>
    <xf numFmtId="167" fontId="26" fillId="0" borderId="22" xfId="1" applyNumberFormat="1" applyFont="1" applyBorder="1" applyAlignment="1">
      <alignment horizontal="right"/>
    </xf>
    <xf numFmtId="0" fontId="26" fillId="0" borderId="25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166" fontId="26" fillId="9" borderId="22" xfId="0" applyNumberFormat="1" applyFont="1" applyFill="1" applyBorder="1" applyAlignment="1">
      <alignment horizontal="right"/>
    </xf>
    <xf numFmtId="166" fontId="26" fillId="9" borderId="22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51" fillId="0" borderId="0" xfId="0" applyFont="1" applyAlignment="1">
      <alignment horizontal="center"/>
    </xf>
    <xf numFmtId="0" fontId="21" fillId="22" borderId="0" xfId="0" applyFont="1" applyFill="1" applyAlignment="1">
      <alignment horizontal="left" vertical="center"/>
    </xf>
    <xf numFmtId="0" fontId="79" fillId="0" borderId="0" xfId="0" applyFont="1" applyFill="1" applyAlignment="1">
      <alignment horizontal="center"/>
    </xf>
    <xf numFmtId="0" fontId="79" fillId="22" borderId="0" xfId="0" applyFont="1" applyFill="1" applyAlignment="1">
      <alignment horizontal="left"/>
    </xf>
    <xf numFmtId="0" fontId="78" fillId="0" borderId="0" xfId="0" applyFont="1" applyAlignment="1">
      <alignment horizontal="center"/>
    </xf>
    <xf numFmtId="167" fontId="22" fillId="0" borderId="25" xfId="0" applyNumberFormat="1" applyFont="1" applyBorder="1" applyAlignment="1">
      <alignment horizontal="left"/>
    </xf>
    <xf numFmtId="167" fontId="22" fillId="0" borderId="26" xfId="0" applyNumberFormat="1" applyFont="1" applyBorder="1" applyAlignment="1">
      <alignment horizontal="left"/>
    </xf>
    <xf numFmtId="167" fontId="22" fillId="0" borderId="27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center"/>
    </xf>
    <xf numFmtId="167" fontId="26" fillId="0" borderId="26" xfId="0" applyNumberFormat="1" applyFont="1" applyBorder="1" applyAlignment="1">
      <alignment horizontal="center"/>
    </xf>
    <xf numFmtId="167" fontId="26" fillId="0" borderId="27" xfId="0" applyNumberFormat="1" applyFont="1" applyBorder="1" applyAlignment="1">
      <alignment horizontal="center"/>
    </xf>
    <xf numFmtId="167" fontId="22" fillId="0" borderId="22" xfId="0" applyNumberFormat="1" applyFont="1" applyBorder="1" applyAlignment="1">
      <alignment horizontal="left"/>
    </xf>
    <xf numFmtId="167" fontId="26" fillId="0" borderId="25" xfId="0" applyNumberFormat="1" applyFont="1" applyBorder="1" applyAlignment="1">
      <alignment horizontal="left"/>
    </xf>
    <xf numFmtId="167" fontId="26" fillId="0" borderId="26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left"/>
    </xf>
    <xf numFmtId="167" fontId="26" fillId="0" borderId="2" xfId="0" applyNumberFormat="1" applyFont="1" applyBorder="1" applyAlignment="1">
      <alignment horizontal="center"/>
    </xf>
    <xf numFmtId="167" fontId="79" fillId="22" borderId="5" xfId="0" applyNumberFormat="1" applyFont="1" applyFill="1" applyBorder="1" applyAlignment="1">
      <alignment horizontal="left"/>
    </xf>
    <xf numFmtId="167" fontId="79" fillId="22" borderId="5" xfId="0" applyNumberFormat="1" applyFont="1" applyFill="1" applyBorder="1" applyAlignment="1">
      <alignment horizontal="center"/>
    </xf>
    <xf numFmtId="167" fontId="26" fillId="22" borderId="22" xfId="0" applyNumberFormat="1" applyFont="1" applyFill="1" applyBorder="1" applyAlignment="1">
      <alignment horizontal="right"/>
    </xf>
    <xf numFmtId="0" fontId="22" fillId="0" borderId="65" xfId="0" applyFont="1" applyBorder="1" applyAlignment="1">
      <alignment horizontal="center"/>
    </xf>
    <xf numFmtId="0" fontId="76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79" fillId="22" borderId="5" xfId="0" applyFont="1" applyFill="1" applyBorder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317499</xdr:colOff>
      <xdr:row>0</xdr:row>
      <xdr:rowOff>152401</xdr:rowOff>
    </xdr:from>
    <xdr:to>
      <xdr:col>12</xdr:col>
      <xdr:colOff>510539</xdr:colOff>
      <xdr:row>4</xdr:row>
      <xdr:rowOff>91440</xdr:rowOff>
    </xdr:to>
    <xdr:sp macro="" textlink="">
      <xdr:nvSpPr>
        <xdr:cNvPr id="3" name="Flèche : courbe vers le bas 2">
          <a:extLst>
            <a:ext uri="{FF2B5EF4-FFF2-40B4-BE49-F238E27FC236}">
              <a16:creationId xmlns:a16="http://schemas.microsoft.com/office/drawing/2014/main" xmlns="" id="{B9E70E8F-FA54-4675-82A8-E3FB1FCC135C}"/>
            </a:ext>
          </a:extLst>
        </xdr:cNvPr>
        <xdr:cNvSpPr/>
      </xdr:nvSpPr>
      <xdr:spPr>
        <a:xfrm>
          <a:off x="6127749" y="152401"/>
          <a:ext cx="6013873" cy="701039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752472</xdr:colOff>
      <xdr:row>13</xdr:row>
      <xdr:rowOff>76203</xdr:rowOff>
    </xdr:from>
    <xdr:to>
      <xdr:col>14</xdr:col>
      <xdr:colOff>590549</xdr:colOff>
      <xdr:row>42</xdr:row>
      <xdr:rowOff>28577</xdr:rowOff>
    </xdr:to>
    <xdr:sp macro="" textlink="">
      <xdr:nvSpPr>
        <xdr:cNvPr id="2" name="Demi-tou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 rot="5400000">
          <a:off x="9520236" y="5434014"/>
          <a:ext cx="6038849" cy="600077"/>
        </a:xfrm>
        <a:prstGeom prst="uturnArrow">
          <a:avLst>
            <a:gd name="adj1" fmla="val 2396"/>
            <a:gd name="adj2" fmla="val 22584"/>
            <a:gd name="adj3" fmla="val 44103"/>
            <a:gd name="adj4" fmla="val 25000"/>
            <a:gd name="adj5" fmla="val 980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workbookViewId="0">
      <selection activeCell="B18" sqref="B18"/>
    </sheetView>
  </sheetViews>
  <sheetFormatPr baseColWidth="10" defaultRowHeight="15" x14ac:dyDescent="0.25"/>
  <cols>
    <col min="1" max="1" width="7.85546875" customWidth="1"/>
    <col min="2" max="2" width="7.5703125" customWidth="1"/>
  </cols>
  <sheetData>
    <row r="3" spans="2:6" ht="15.75" x14ac:dyDescent="0.25">
      <c r="C3" s="2" t="s">
        <v>316</v>
      </c>
    </row>
    <row r="5" spans="2:6" x14ac:dyDescent="0.25">
      <c r="B5" s="20">
        <v>1</v>
      </c>
      <c r="C5" t="s">
        <v>335</v>
      </c>
      <c r="F5" s="552" t="s">
        <v>315</v>
      </c>
    </row>
    <row r="6" spans="2:6" x14ac:dyDescent="0.25">
      <c r="B6" s="20">
        <v>2</v>
      </c>
      <c r="C6" t="s">
        <v>336</v>
      </c>
      <c r="F6" s="552" t="s">
        <v>315</v>
      </c>
    </row>
    <row r="7" spans="2:6" x14ac:dyDescent="0.25">
      <c r="B7" s="20">
        <v>3</v>
      </c>
      <c r="C7" t="s">
        <v>317</v>
      </c>
      <c r="F7" s="552" t="s">
        <v>341</v>
      </c>
    </row>
    <row r="8" spans="2:6" x14ac:dyDescent="0.25">
      <c r="B8" s="20">
        <v>4</v>
      </c>
      <c r="C8" t="s">
        <v>304</v>
      </c>
      <c r="F8" s="552" t="s">
        <v>314</v>
      </c>
    </row>
    <row r="9" spans="2:6" x14ac:dyDescent="0.25">
      <c r="B9" s="20">
        <v>5</v>
      </c>
      <c r="C9" t="s">
        <v>307</v>
      </c>
      <c r="F9" s="552" t="s">
        <v>341</v>
      </c>
    </row>
    <row r="10" spans="2:6" x14ac:dyDescent="0.25">
      <c r="B10" s="20">
        <v>6</v>
      </c>
      <c r="C10" t="s">
        <v>306</v>
      </c>
      <c r="F10" s="552" t="s">
        <v>341</v>
      </c>
    </row>
    <row r="11" spans="2:6" x14ac:dyDescent="0.25">
      <c r="B11" s="20">
        <v>7</v>
      </c>
      <c r="C11" t="s">
        <v>187</v>
      </c>
      <c r="F11" s="552" t="s">
        <v>341</v>
      </c>
    </row>
    <row r="12" spans="2:6" x14ac:dyDescent="0.25">
      <c r="B12" s="20">
        <v>8</v>
      </c>
      <c r="C12" t="s">
        <v>188</v>
      </c>
      <c r="F12" s="552" t="s">
        <v>341</v>
      </c>
    </row>
    <row r="13" spans="2:6" x14ac:dyDescent="0.25">
      <c r="B13" s="20">
        <v>9</v>
      </c>
      <c r="C13" t="s">
        <v>305</v>
      </c>
      <c r="F13" s="552" t="s">
        <v>312</v>
      </c>
    </row>
    <row r="14" spans="2:6" x14ac:dyDescent="0.25">
      <c r="B14" s="20">
        <v>10</v>
      </c>
      <c r="C14" t="s">
        <v>308</v>
      </c>
      <c r="F14" s="552" t="s">
        <v>312</v>
      </c>
    </row>
    <row r="15" spans="2:6" x14ac:dyDescent="0.25">
      <c r="B15" s="20">
        <v>11</v>
      </c>
      <c r="C15" t="s">
        <v>309</v>
      </c>
      <c r="F15" s="552" t="s">
        <v>312</v>
      </c>
    </row>
    <row r="16" spans="2:6" x14ac:dyDescent="0.25">
      <c r="B16" s="20">
        <v>12</v>
      </c>
      <c r="C16" t="s">
        <v>310</v>
      </c>
      <c r="F16" s="552" t="s">
        <v>313</v>
      </c>
    </row>
    <row r="17" spans="2:6" x14ac:dyDescent="0.25">
      <c r="B17" s="20">
        <v>13</v>
      </c>
      <c r="C17" t="s">
        <v>311</v>
      </c>
      <c r="F17" s="552" t="s">
        <v>313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6"/>
  <sheetViews>
    <sheetView workbookViewId="0">
      <selection activeCell="M33" sqref="M33"/>
    </sheetView>
  </sheetViews>
  <sheetFormatPr baseColWidth="10" defaultRowHeight="15" x14ac:dyDescent="0.25"/>
  <cols>
    <col min="1" max="1" width="4.28515625" customWidth="1"/>
    <col min="2" max="2" width="7.85546875" customWidth="1"/>
    <col min="3" max="3" width="15.42578125" customWidth="1"/>
    <col min="4" max="4" width="15.7109375" customWidth="1"/>
    <col min="5" max="5" width="13.28515625" customWidth="1"/>
    <col min="6" max="7" width="13" bestFit="1" customWidth="1"/>
    <col min="8" max="8" width="11.7109375" bestFit="1" customWidth="1"/>
    <col min="9" max="9" width="12.5703125" customWidth="1"/>
    <col min="10" max="10" width="12.7109375" bestFit="1" customWidth="1"/>
    <col min="13" max="13" width="3.28515625" customWidth="1"/>
    <col min="14" max="14" width="12" bestFit="1" customWidth="1"/>
    <col min="15" max="15" width="13.7109375" customWidth="1"/>
    <col min="17" max="17" width="0.85546875" customWidth="1"/>
  </cols>
  <sheetData>
    <row r="2" spans="2:24" ht="18.75" x14ac:dyDescent="0.3">
      <c r="C2" s="56" t="s">
        <v>41</v>
      </c>
    </row>
    <row r="3" spans="2:24" ht="15.75" thickBot="1" x14ac:dyDescent="0.3"/>
    <row r="4" spans="2:24" ht="18" x14ac:dyDescent="0.25">
      <c r="B4" s="381" t="s">
        <v>231</v>
      </c>
      <c r="C4" s="382"/>
      <c r="D4" s="383"/>
      <c r="E4" s="92"/>
      <c r="F4" s="92"/>
      <c r="G4" s="92"/>
      <c r="H4" s="92"/>
      <c r="I4" s="92"/>
      <c r="J4" s="92"/>
      <c r="K4" s="92"/>
      <c r="L4" s="92"/>
      <c r="M4" s="92"/>
      <c r="N4" s="384"/>
      <c r="O4" s="384"/>
      <c r="P4" s="384"/>
      <c r="Q4" s="92"/>
      <c r="R4" s="92"/>
      <c r="S4" s="92"/>
      <c r="T4" s="92"/>
      <c r="U4" s="92"/>
      <c r="V4" s="92"/>
      <c r="W4" s="92"/>
      <c r="X4" s="185"/>
    </row>
    <row r="5" spans="2:24" ht="18.75" x14ac:dyDescent="0.3">
      <c r="B5" s="42"/>
      <c r="C5" s="360"/>
      <c r="D5" s="21"/>
      <c r="E5" s="21"/>
      <c r="F5" s="21"/>
      <c r="G5" s="21"/>
      <c r="H5" s="21"/>
      <c r="I5" s="21"/>
      <c r="J5" s="21"/>
      <c r="K5" s="21"/>
      <c r="L5" s="21"/>
      <c r="M5" s="21"/>
      <c r="N5" s="254"/>
      <c r="O5" s="254"/>
      <c r="P5" s="254"/>
      <c r="Q5" s="21"/>
      <c r="R5" s="21"/>
      <c r="S5" s="21"/>
      <c r="T5" s="21"/>
      <c r="U5" s="21"/>
      <c r="V5" s="21"/>
      <c r="W5" s="21"/>
      <c r="X5" s="102"/>
    </row>
    <row r="6" spans="2:24" x14ac:dyDescent="0.25">
      <c r="B6" s="42"/>
      <c r="C6" s="55" t="s">
        <v>224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55" t="s">
        <v>232</v>
      </c>
      <c r="O6" s="254"/>
      <c r="P6" s="254"/>
      <c r="Q6" s="254"/>
      <c r="R6" s="254" t="s">
        <v>92</v>
      </c>
      <c r="S6" s="254" t="s">
        <v>93</v>
      </c>
      <c r="T6" s="254" t="s">
        <v>93</v>
      </c>
      <c r="U6" s="254" t="s">
        <v>93</v>
      </c>
      <c r="V6" s="254" t="s">
        <v>93</v>
      </c>
      <c r="W6" s="254" t="s">
        <v>93</v>
      </c>
      <c r="X6" s="102"/>
    </row>
    <row r="7" spans="2:24" x14ac:dyDescent="0.25">
      <c r="B7" s="42"/>
      <c r="C7" s="21"/>
      <c r="D7" s="21"/>
      <c r="E7" s="733" t="s">
        <v>235</v>
      </c>
      <c r="F7" s="734"/>
      <c r="G7" s="735"/>
      <c r="H7" s="16">
        <v>2022</v>
      </c>
      <c r="I7" s="16">
        <v>2023</v>
      </c>
      <c r="J7" s="16">
        <v>2024</v>
      </c>
      <c r="K7" s="16">
        <v>2025</v>
      </c>
      <c r="L7" s="16">
        <v>2026</v>
      </c>
      <c r="M7" s="21"/>
      <c r="N7" s="254"/>
      <c r="O7" s="254"/>
      <c r="P7" s="21"/>
      <c r="Q7" s="21"/>
      <c r="R7" s="361" t="s">
        <v>78</v>
      </c>
      <c r="S7" s="361" t="s">
        <v>78</v>
      </c>
      <c r="T7" s="361" t="s">
        <v>78</v>
      </c>
      <c r="U7" s="361" t="s">
        <v>78</v>
      </c>
      <c r="V7" s="361" t="s">
        <v>78</v>
      </c>
      <c r="W7" s="361" t="s">
        <v>78</v>
      </c>
      <c r="X7" s="102"/>
    </row>
    <row r="8" spans="2:24" x14ac:dyDescent="0.25">
      <c r="B8" s="385"/>
      <c r="C8" s="21"/>
      <c r="D8" s="362" t="s">
        <v>229</v>
      </c>
      <c r="E8" s="363" t="s">
        <v>90</v>
      </c>
      <c r="F8" s="363" t="s">
        <v>79</v>
      </c>
      <c r="G8" s="363" t="s">
        <v>234</v>
      </c>
      <c r="H8" s="363" t="s">
        <v>80</v>
      </c>
      <c r="I8" s="364" t="s">
        <v>81</v>
      </c>
      <c r="J8" s="364" t="s">
        <v>82</v>
      </c>
      <c r="K8" s="364" t="s">
        <v>83</v>
      </c>
      <c r="L8" s="364" t="s">
        <v>83</v>
      </c>
      <c r="M8" s="21"/>
      <c r="N8" s="365" t="s">
        <v>227</v>
      </c>
      <c r="O8" s="254"/>
      <c r="P8" s="366" t="s">
        <v>77</v>
      </c>
      <c r="Q8" s="21"/>
      <c r="R8" s="361" t="s">
        <v>84</v>
      </c>
      <c r="S8" s="361" t="s">
        <v>84</v>
      </c>
      <c r="T8" s="361" t="s">
        <v>84</v>
      </c>
      <c r="U8" s="361" t="s">
        <v>84</v>
      </c>
      <c r="V8" s="361" t="s">
        <v>84</v>
      </c>
      <c r="W8" s="361" t="s">
        <v>84</v>
      </c>
      <c r="X8" s="102"/>
    </row>
    <row r="9" spans="2:24" x14ac:dyDescent="0.25">
      <c r="B9" s="385"/>
      <c r="C9" s="21"/>
      <c r="D9" s="367"/>
      <c r="E9" s="21"/>
      <c r="F9" s="21"/>
      <c r="G9" s="21"/>
      <c r="H9" s="21"/>
      <c r="I9" s="21"/>
      <c r="J9" s="21"/>
      <c r="K9" s="21"/>
      <c r="L9" s="21"/>
      <c r="M9" s="21"/>
      <c r="N9" s="254"/>
      <c r="O9" s="21"/>
      <c r="P9" s="368"/>
      <c r="Q9" s="368"/>
      <c r="R9" s="369">
        <v>2021</v>
      </c>
      <c r="S9" s="369">
        <v>2022</v>
      </c>
      <c r="T9" s="369">
        <v>2023</v>
      </c>
      <c r="U9" s="369">
        <v>2024</v>
      </c>
      <c r="V9" s="369">
        <v>2025</v>
      </c>
      <c r="W9" s="369">
        <v>2026</v>
      </c>
      <c r="X9" s="386"/>
    </row>
    <row r="10" spans="2:24" x14ac:dyDescent="0.25">
      <c r="B10" s="385">
        <v>1</v>
      </c>
      <c r="C10" s="21" t="s">
        <v>225</v>
      </c>
      <c r="D10" s="370">
        <v>15235.5</v>
      </c>
      <c r="E10" s="26">
        <v>15421.38</v>
      </c>
      <c r="F10" s="26">
        <v>8496.64</v>
      </c>
      <c r="G10" s="26">
        <v>4274.01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1"/>
      <c r="N10" s="365">
        <v>44732</v>
      </c>
      <c r="O10" s="21"/>
      <c r="P10" s="368">
        <v>734.69</v>
      </c>
      <c r="Q10" s="368"/>
      <c r="R10" s="368">
        <v>518</v>
      </c>
      <c r="S10" s="368">
        <f>30.48+103.26</f>
        <v>133.74</v>
      </c>
      <c r="T10" s="371">
        <v>0</v>
      </c>
      <c r="U10" s="371">
        <v>0</v>
      </c>
      <c r="V10" s="371">
        <v>0</v>
      </c>
      <c r="W10" s="371">
        <v>0</v>
      </c>
      <c r="X10" s="386"/>
    </row>
    <row r="11" spans="2:24" ht="15" customHeight="1" x14ac:dyDescent="0.25">
      <c r="B11" s="387">
        <v>2</v>
      </c>
      <c r="C11" s="372" t="s">
        <v>225</v>
      </c>
      <c r="D11" s="373">
        <v>44815.32</v>
      </c>
      <c r="E11" s="374">
        <v>44815.32</v>
      </c>
      <c r="F11" s="374">
        <v>44815.32</v>
      </c>
      <c r="G11" s="375">
        <v>44815.32</v>
      </c>
      <c r="H11" s="376">
        <v>38363.15</v>
      </c>
      <c r="I11" s="375">
        <v>27236.45</v>
      </c>
      <c r="J11" s="375">
        <v>16026</v>
      </c>
      <c r="K11" s="375">
        <v>4731.1899999999996</v>
      </c>
      <c r="L11" s="26">
        <v>0</v>
      </c>
      <c r="M11" s="21"/>
      <c r="N11" s="377" t="s">
        <v>226</v>
      </c>
      <c r="O11" s="378" t="s">
        <v>41</v>
      </c>
      <c r="P11" s="368">
        <v>750</v>
      </c>
      <c r="Q11" s="368"/>
      <c r="R11" s="368">
        <v>540</v>
      </c>
      <c r="S11" s="368">
        <f>324.02+215.16</f>
        <v>539.17999999999995</v>
      </c>
      <c r="T11" s="368">
        <f>249.54+215.16</f>
        <v>464.7</v>
      </c>
      <c r="U11" s="368">
        <f>165.79+215.16</f>
        <v>380.95</v>
      </c>
      <c r="V11" s="368">
        <f>81.43+215.16</f>
        <v>296.59000000000003</v>
      </c>
      <c r="W11" s="368">
        <f>8.88+89.65</f>
        <v>98.53</v>
      </c>
      <c r="X11" s="386"/>
    </row>
    <row r="12" spans="2:24" x14ac:dyDescent="0.25">
      <c r="B12" s="385">
        <v>3</v>
      </c>
      <c r="C12" s="21" t="s">
        <v>225</v>
      </c>
      <c r="D12" s="370">
        <v>9902</v>
      </c>
      <c r="E12" s="26">
        <v>9902</v>
      </c>
      <c r="F12" s="26">
        <v>6230</v>
      </c>
      <c r="G12" s="26">
        <v>3917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1"/>
      <c r="N12" s="365">
        <v>44854</v>
      </c>
      <c r="O12" s="21"/>
      <c r="P12" s="368">
        <v>405.68</v>
      </c>
      <c r="Q12" s="368"/>
      <c r="R12" s="368">
        <v>507</v>
      </c>
      <c r="S12" s="368">
        <f>43.96+95</f>
        <v>138.96</v>
      </c>
      <c r="T12" s="371">
        <v>0</v>
      </c>
      <c r="U12" s="371">
        <v>0</v>
      </c>
      <c r="V12" s="371">
        <v>0</v>
      </c>
      <c r="W12" s="371">
        <v>0</v>
      </c>
      <c r="X12" s="386"/>
    </row>
    <row r="13" spans="2:24" x14ac:dyDescent="0.25">
      <c r="B13" s="385">
        <v>4</v>
      </c>
      <c r="C13" s="21" t="s">
        <v>225</v>
      </c>
      <c r="D13" s="370">
        <v>20601.72</v>
      </c>
      <c r="E13" s="26">
        <v>20807.75</v>
      </c>
      <c r="F13" s="26">
        <v>16697.68</v>
      </c>
      <c r="G13" s="26">
        <v>14198.79</v>
      </c>
      <c r="H13" s="26">
        <v>9125.4699999999993</v>
      </c>
      <c r="I13" s="26">
        <v>3949.76</v>
      </c>
      <c r="J13" s="26">
        <v>0</v>
      </c>
      <c r="K13" s="26">
        <v>0</v>
      </c>
      <c r="L13" s="26">
        <v>0</v>
      </c>
      <c r="M13" s="21"/>
      <c r="N13" s="365">
        <v>45545</v>
      </c>
      <c r="O13" s="21"/>
      <c r="P13" s="368">
        <v>442.11</v>
      </c>
      <c r="Q13" s="368"/>
      <c r="R13" s="368">
        <v>679</v>
      </c>
      <c r="S13" s="368">
        <v>237.64</v>
      </c>
      <c r="T13" s="368">
        <v>135.25</v>
      </c>
      <c r="U13" s="368">
        <v>32.99</v>
      </c>
      <c r="V13" s="371">
        <v>0</v>
      </c>
      <c r="W13" s="371">
        <v>0</v>
      </c>
      <c r="X13" s="386"/>
    </row>
    <row r="14" spans="2:24" x14ac:dyDescent="0.25">
      <c r="B14" s="385">
        <v>5</v>
      </c>
      <c r="C14" s="21" t="s">
        <v>225</v>
      </c>
      <c r="D14" s="370">
        <v>20601.72</v>
      </c>
      <c r="E14" s="26">
        <v>20807.75</v>
      </c>
      <c r="F14" s="26">
        <v>16697.68</v>
      </c>
      <c r="G14" s="26">
        <v>14198.79</v>
      </c>
      <c r="H14" s="26">
        <v>9125.4699999999993</v>
      </c>
      <c r="I14" s="26">
        <v>3949.76</v>
      </c>
      <c r="J14" s="26">
        <v>0</v>
      </c>
      <c r="K14" s="26">
        <v>0</v>
      </c>
      <c r="L14" s="26">
        <v>0</v>
      </c>
      <c r="M14" s="21"/>
      <c r="N14" s="365">
        <v>45545</v>
      </c>
      <c r="O14" s="21"/>
      <c r="P14" s="368">
        <v>456.04</v>
      </c>
      <c r="Q14" s="368"/>
      <c r="R14" s="368">
        <v>679</v>
      </c>
      <c r="S14" s="368">
        <f>237.64+161.52</f>
        <v>399.15999999999997</v>
      </c>
      <c r="T14" s="368">
        <f>135.25+161.52</f>
        <v>296.77</v>
      </c>
      <c r="U14" s="368">
        <f>32.99+121.14</f>
        <v>154.13</v>
      </c>
      <c r="V14" s="371">
        <v>0</v>
      </c>
      <c r="W14" s="371">
        <v>0</v>
      </c>
      <c r="X14" s="386"/>
    </row>
    <row r="15" spans="2:24" x14ac:dyDescent="0.25">
      <c r="B15" s="385">
        <v>6</v>
      </c>
      <c r="C15" s="21" t="s">
        <v>225</v>
      </c>
      <c r="D15" s="370">
        <v>12000</v>
      </c>
      <c r="E15" s="26">
        <v>11284</v>
      </c>
      <c r="F15" s="26">
        <v>11284</v>
      </c>
      <c r="G15" s="26">
        <v>9840</v>
      </c>
      <c r="H15" s="26">
        <v>6897</v>
      </c>
      <c r="I15" s="26">
        <v>3879</v>
      </c>
      <c r="J15" s="26">
        <v>785</v>
      </c>
      <c r="K15" s="26">
        <v>0</v>
      </c>
      <c r="L15" s="26">
        <v>0</v>
      </c>
      <c r="M15" s="21"/>
      <c r="N15" s="365">
        <v>45748</v>
      </c>
      <c r="O15" s="21"/>
      <c r="P15" s="368">
        <v>268</v>
      </c>
      <c r="Q15" s="368"/>
      <c r="R15" s="368">
        <v>491</v>
      </c>
      <c r="S15" s="368">
        <f>218.54+61.44</f>
        <v>279.98</v>
      </c>
      <c r="T15" s="368">
        <f>144.29+61.44</f>
        <v>205.73</v>
      </c>
      <c r="U15" s="368">
        <f>68.12+61.44</f>
        <v>129.56</v>
      </c>
      <c r="V15" s="368">
        <f>5.46+20.48</f>
        <v>25.94</v>
      </c>
      <c r="W15" s="371">
        <v>0</v>
      </c>
      <c r="X15" s="386"/>
    </row>
    <row r="16" spans="2:24" ht="15.75" thickBot="1" x14ac:dyDescent="0.3">
      <c r="B16" s="42"/>
      <c r="C16" s="21"/>
      <c r="D16" s="379"/>
      <c r="E16" s="21"/>
      <c r="F16" s="26"/>
      <c r="G16" s="26"/>
      <c r="H16" s="21"/>
      <c r="I16" s="21"/>
      <c r="J16" s="21"/>
      <c r="K16" s="21"/>
      <c r="L16" s="21"/>
      <c r="M16" s="21"/>
      <c r="N16" s="254"/>
      <c r="O16" s="21"/>
      <c r="P16" s="368"/>
      <c r="Q16" s="368"/>
      <c r="R16" s="368"/>
      <c r="S16" s="368"/>
      <c r="T16" s="368"/>
      <c r="U16" s="368"/>
      <c r="V16" s="368"/>
      <c r="W16" s="368"/>
      <c r="X16" s="386"/>
    </row>
    <row r="17" spans="2:24" ht="15.75" thickBot="1" x14ac:dyDescent="0.3">
      <c r="B17" s="42"/>
      <c r="C17" s="357" t="s">
        <v>228</v>
      </c>
      <c r="D17" s="358">
        <f>SUM(D10:D15)</f>
        <v>123156.26000000001</v>
      </c>
      <c r="E17" s="354">
        <f>SUM(E10:E15)</f>
        <v>123038.2</v>
      </c>
      <c r="F17" s="355">
        <f t="shared" ref="F17:K17" si="0">SUM(F10:F16)</f>
        <v>104221.32</v>
      </c>
      <c r="G17" s="355">
        <f t="shared" si="0"/>
        <v>91243.91</v>
      </c>
      <c r="H17" s="355">
        <f t="shared" si="0"/>
        <v>63511.090000000004</v>
      </c>
      <c r="I17" s="355">
        <f t="shared" si="0"/>
        <v>39014.97</v>
      </c>
      <c r="J17" s="355">
        <f t="shared" si="0"/>
        <v>16811</v>
      </c>
      <c r="K17" s="355">
        <f t="shared" si="0"/>
        <v>4731.1899999999996</v>
      </c>
      <c r="L17" s="356">
        <v>0</v>
      </c>
      <c r="M17" s="21"/>
      <c r="N17" s="254"/>
      <c r="O17" s="21"/>
      <c r="P17" s="350">
        <f>SUM(P10:P16)</f>
        <v>3056.52</v>
      </c>
      <c r="Q17" s="368"/>
      <c r="R17" s="351">
        <f t="shared" ref="R17:W17" si="1">SUM(R10:R15)</f>
        <v>3414</v>
      </c>
      <c r="S17" s="352">
        <f t="shared" si="1"/>
        <v>1728.6599999999999</v>
      </c>
      <c r="T17" s="352">
        <f t="shared" si="1"/>
        <v>1102.45</v>
      </c>
      <c r="U17" s="352">
        <f t="shared" si="1"/>
        <v>697.62999999999988</v>
      </c>
      <c r="V17" s="352">
        <f t="shared" si="1"/>
        <v>322.53000000000003</v>
      </c>
      <c r="W17" s="353">
        <f t="shared" si="1"/>
        <v>98.53</v>
      </c>
      <c r="X17" s="386"/>
    </row>
    <row r="18" spans="2:24" x14ac:dyDescent="0.25">
      <c r="B18" s="42"/>
      <c r="C18" s="55" t="s">
        <v>91</v>
      </c>
      <c r="D18" s="21"/>
      <c r="E18" s="21"/>
      <c r="F18" s="26">
        <f>E17-F17</f>
        <v>18816.87999999999</v>
      </c>
      <c r="G18" s="26">
        <f t="shared" ref="G18:L18" si="2">F17-G17</f>
        <v>12977.410000000003</v>
      </c>
      <c r="H18" s="26">
        <f t="shared" si="2"/>
        <v>27732.82</v>
      </c>
      <c r="I18" s="26">
        <f t="shared" si="2"/>
        <v>24496.120000000003</v>
      </c>
      <c r="J18" s="26">
        <f t="shared" si="2"/>
        <v>22203.97</v>
      </c>
      <c r="K18" s="26">
        <f t="shared" si="2"/>
        <v>12079.810000000001</v>
      </c>
      <c r="L18" s="26">
        <f t="shared" si="2"/>
        <v>4731.1899999999996</v>
      </c>
      <c r="M18" s="21"/>
      <c r="N18" s="254"/>
      <c r="O18" s="21"/>
      <c r="P18" s="368"/>
      <c r="Q18" s="368"/>
      <c r="R18" s="368"/>
      <c r="S18" s="368"/>
      <c r="T18" s="368"/>
      <c r="U18" s="368"/>
      <c r="V18" s="368"/>
      <c r="W18" s="368"/>
      <c r="X18" s="386"/>
    </row>
    <row r="19" spans="2:24" x14ac:dyDescent="0.25">
      <c r="B19" s="42"/>
      <c r="C19" s="21"/>
      <c r="D19" s="21"/>
      <c r="E19" s="21"/>
      <c r="F19" s="26"/>
      <c r="G19" s="26"/>
      <c r="H19" s="21"/>
      <c r="I19" s="21"/>
      <c r="J19" s="21"/>
      <c r="K19" s="21"/>
      <c r="L19" s="21"/>
      <c r="M19" s="21"/>
      <c r="N19" s="254"/>
      <c r="O19" s="21"/>
      <c r="P19" s="368"/>
      <c r="Q19" s="368"/>
      <c r="R19" s="368"/>
      <c r="S19" s="368"/>
      <c r="T19" s="368"/>
      <c r="U19" s="368"/>
      <c r="V19" s="368"/>
      <c r="W19" s="368"/>
      <c r="X19" s="386"/>
    </row>
    <row r="20" spans="2:24" x14ac:dyDescent="0.25">
      <c r="B20" s="42"/>
      <c r="C20" s="380" t="s">
        <v>230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54"/>
      <c r="O20" s="21"/>
      <c r="P20" s="21"/>
      <c r="Q20" s="21"/>
      <c r="R20" s="21"/>
      <c r="S20" s="21"/>
      <c r="T20" s="21"/>
      <c r="U20" s="21"/>
      <c r="V20" s="21"/>
      <c r="W20" s="21"/>
      <c r="X20" s="102"/>
    </row>
    <row r="21" spans="2:24" x14ac:dyDescent="0.25">
      <c r="B21" s="42"/>
      <c r="C21" s="21" t="s">
        <v>233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4"/>
      <c r="O21" s="21"/>
      <c r="P21" s="21"/>
      <c r="Q21" s="21"/>
      <c r="R21" s="21"/>
      <c r="S21" s="21"/>
      <c r="T21" s="21"/>
      <c r="U21" s="21"/>
      <c r="V21" s="21"/>
      <c r="W21" s="21"/>
      <c r="X21" s="102"/>
    </row>
    <row r="22" spans="2:24" ht="15.75" thickBot="1" x14ac:dyDescent="0.3">
      <c r="B22" s="48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110"/>
    </row>
    <row r="23" spans="2:24" ht="15.75" thickBot="1" x14ac:dyDescent="0.3">
      <c r="N23" s="20"/>
    </row>
    <row r="24" spans="2:24" x14ac:dyDescent="0.25">
      <c r="B24" s="381" t="s">
        <v>321</v>
      </c>
      <c r="C24" s="92"/>
      <c r="D24" s="92"/>
      <c r="E24" s="736" t="s">
        <v>235</v>
      </c>
      <c r="F24" s="737"/>
      <c r="G24" s="738"/>
      <c r="H24" s="550">
        <v>2022</v>
      </c>
      <c r="I24" s="550">
        <v>2023</v>
      </c>
      <c r="J24" s="550">
        <v>2024</v>
      </c>
      <c r="K24" s="550">
        <v>2025</v>
      </c>
      <c r="L24" s="550">
        <v>2026</v>
      </c>
      <c r="M24" s="92"/>
      <c r="N24" s="384"/>
      <c r="O24" s="92"/>
      <c r="P24" s="185"/>
    </row>
    <row r="25" spans="2:24" x14ac:dyDescent="0.25">
      <c r="B25" s="608"/>
      <c r="C25" s="21"/>
      <c r="D25" s="21"/>
      <c r="E25" s="363" t="s">
        <v>90</v>
      </c>
      <c r="F25" s="363" t="s">
        <v>79</v>
      </c>
      <c r="G25" s="363" t="s">
        <v>234</v>
      </c>
      <c r="H25" s="363" t="s">
        <v>80</v>
      </c>
      <c r="I25" s="364" t="s">
        <v>81</v>
      </c>
      <c r="J25" s="364" t="s">
        <v>82</v>
      </c>
      <c r="K25" s="364" t="s">
        <v>83</v>
      </c>
      <c r="L25" s="364" t="s">
        <v>83</v>
      </c>
      <c r="M25" s="21"/>
      <c r="N25" s="365" t="s">
        <v>227</v>
      </c>
      <c r="O25" s="254"/>
      <c r="P25" s="609" t="s">
        <v>77</v>
      </c>
    </row>
    <row r="26" spans="2:24" ht="15.75" thickBot="1" x14ac:dyDescent="0.3">
      <c r="B26" s="4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54"/>
      <c r="O26" s="21"/>
      <c r="P26" s="102"/>
    </row>
    <row r="27" spans="2:24" ht="15.75" thickBot="1" x14ac:dyDescent="0.3">
      <c r="B27" s="42"/>
      <c r="C27" s="553" t="s">
        <v>323</v>
      </c>
      <c r="D27" s="554">
        <v>10000</v>
      </c>
      <c r="E27" s="554">
        <v>7678.51</v>
      </c>
      <c r="F27" s="554">
        <v>5892.81</v>
      </c>
      <c r="G27" s="554">
        <v>4821.3900000000003</v>
      </c>
      <c r="H27" s="554">
        <v>2678.55</v>
      </c>
      <c r="I27" s="554">
        <v>535.71</v>
      </c>
      <c r="J27" s="354">
        <v>0</v>
      </c>
      <c r="K27" s="354">
        <v>0</v>
      </c>
      <c r="L27" s="555">
        <v>0</v>
      </c>
      <c r="M27" s="368"/>
      <c r="N27" s="610" t="s">
        <v>322</v>
      </c>
      <c r="O27" s="368"/>
      <c r="P27" s="74">
        <v>178.57</v>
      </c>
      <c r="Q27" s="298"/>
      <c r="R27" s="298"/>
      <c r="S27" s="298"/>
      <c r="T27" s="298"/>
      <c r="U27" s="298"/>
      <c r="V27" s="298"/>
    </row>
    <row r="28" spans="2:24" x14ac:dyDescent="0.25">
      <c r="B28" s="42"/>
      <c r="C28" s="21"/>
      <c r="D28" s="368"/>
      <c r="E28" s="368"/>
      <c r="F28" s="26">
        <f>E27-F27</f>
        <v>1785.6999999999998</v>
      </c>
      <c r="G28" s="26">
        <f t="shared" ref="G28" si="3">F27-G27</f>
        <v>1071.42</v>
      </c>
      <c r="H28" s="26">
        <f t="shared" ref="H28" si="4">G27-H27</f>
        <v>2142.84</v>
      </c>
      <c r="I28" s="26">
        <f t="shared" ref="I28" si="5">H27-I27</f>
        <v>2142.84</v>
      </c>
      <c r="J28" s="26">
        <f t="shared" ref="J28" si="6">I27-J27</f>
        <v>535.71</v>
      </c>
      <c r="K28" s="26">
        <f t="shared" ref="K28" si="7">J27-K27</f>
        <v>0</v>
      </c>
      <c r="L28" s="26">
        <f t="shared" ref="L28" si="8">K27-L27</f>
        <v>0</v>
      </c>
      <c r="M28" s="368"/>
      <c r="N28" s="611"/>
      <c r="O28" s="368"/>
      <c r="P28" s="386"/>
      <c r="Q28" s="298"/>
      <c r="R28" s="298"/>
      <c r="S28" s="298"/>
      <c r="T28" s="298"/>
      <c r="U28" s="298"/>
      <c r="V28" s="298"/>
    </row>
    <row r="29" spans="2:24" ht="15.75" thickBot="1" x14ac:dyDescent="0.3">
      <c r="B29" s="48"/>
      <c r="C29" s="90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3"/>
      <c r="O29" s="612"/>
      <c r="P29" s="614"/>
      <c r="Q29" s="298"/>
      <c r="R29" s="298"/>
      <c r="S29" s="298"/>
      <c r="T29" s="298"/>
      <c r="U29" s="298"/>
      <c r="V29" s="298"/>
    </row>
    <row r="30" spans="2:24" ht="15.75" thickBot="1" x14ac:dyDescent="0.3">
      <c r="N30" s="20"/>
    </row>
    <row r="31" spans="2:24" x14ac:dyDescent="0.25">
      <c r="B31" s="381" t="s">
        <v>217</v>
      </c>
      <c r="C31" s="92"/>
      <c r="D31" s="92"/>
      <c r="E31" s="92"/>
      <c r="F31" s="92"/>
      <c r="G31" s="92"/>
      <c r="H31" s="92"/>
      <c r="I31" s="92"/>
      <c r="J31" s="92"/>
      <c r="K31" s="185"/>
      <c r="N31" s="20"/>
    </row>
    <row r="32" spans="2:24" x14ac:dyDescent="0.25">
      <c r="B32" s="42"/>
      <c r="C32" s="21"/>
      <c r="D32" s="21"/>
      <c r="E32" s="21"/>
      <c r="F32" s="21"/>
      <c r="G32" s="21"/>
      <c r="H32" s="21"/>
      <c r="I32" s="21"/>
      <c r="J32" s="21"/>
      <c r="K32" s="102"/>
      <c r="N32" s="20"/>
    </row>
    <row r="33" spans="2:16" x14ac:dyDescent="0.25">
      <c r="B33" s="42"/>
      <c r="C33" s="21"/>
      <c r="D33" s="21"/>
      <c r="E33" s="21"/>
      <c r="F33" s="388" t="s">
        <v>47</v>
      </c>
      <c r="G33" s="388" t="s">
        <v>218</v>
      </c>
      <c r="H33" s="388" t="s">
        <v>219</v>
      </c>
      <c r="I33" s="739" t="s">
        <v>457</v>
      </c>
      <c r="J33" s="740"/>
      <c r="K33" s="741"/>
      <c r="L33" s="21"/>
      <c r="M33" s="21"/>
      <c r="N33" s="388"/>
      <c r="O33" s="388"/>
      <c r="P33" s="388"/>
    </row>
    <row r="34" spans="2:16" x14ac:dyDescent="0.25">
      <c r="B34" s="42"/>
      <c r="C34" s="21"/>
      <c r="D34" s="21"/>
      <c r="E34" s="21"/>
      <c r="F34" s="388"/>
      <c r="G34" s="388"/>
      <c r="H34" s="388"/>
      <c r="I34" s="669" t="s">
        <v>458</v>
      </c>
      <c r="J34" s="689" t="s">
        <v>460</v>
      </c>
      <c r="K34" s="672" t="s">
        <v>459</v>
      </c>
      <c r="L34" s="21"/>
      <c r="M34" s="21"/>
      <c r="N34" s="388"/>
      <c r="O34" s="388"/>
      <c r="P34" s="388"/>
    </row>
    <row r="35" spans="2:16" x14ac:dyDescent="0.25">
      <c r="B35" s="42"/>
      <c r="C35" s="21"/>
      <c r="D35" s="21"/>
      <c r="E35" s="21"/>
      <c r="F35" s="388"/>
      <c r="G35" s="388"/>
      <c r="H35" s="388"/>
      <c r="I35" s="690" t="s">
        <v>185</v>
      </c>
      <c r="J35" s="691" t="s">
        <v>186</v>
      </c>
      <c r="K35" s="692" t="s">
        <v>463</v>
      </c>
      <c r="L35" s="661"/>
      <c r="M35" s="21"/>
      <c r="N35" s="388"/>
      <c r="O35" s="388"/>
      <c r="P35" s="388"/>
    </row>
    <row r="36" spans="2:16" x14ac:dyDescent="0.25">
      <c r="B36" s="42"/>
      <c r="C36" s="21"/>
      <c r="D36" s="21"/>
      <c r="E36" s="21"/>
      <c r="F36" s="21"/>
      <c r="G36" s="21"/>
      <c r="H36" s="21"/>
      <c r="I36" s="670"/>
      <c r="J36" s="661"/>
      <c r="K36" s="673"/>
      <c r="L36" s="661"/>
      <c r="M36" s="21"/>
      <c r="N36" s="21"/>
      <c r="O36" s="21"/>
      <c r="P36" s="21"/>
    </row>
    <row r="37" spans="2:16" x14ac:dyDescent="0.25">
      <c r="B37" s="42"/>
      <c r="C37" s="21"/>
      <c r="D37" s="389" t="s">
        <v>26</v>
      </c>
      <c r="E37" s="21"/>
      <c r="F37" s="368">
        <v>11205</v>
      </c>
      <c r="G37" s="368">
        <v>4696</v>
      </c>
      <c r="H37" s="368">
        <v>955</v>
      </c>
      <c r="I37" s="670">
        <v>2551</v>
      </c>
      <c r="J37" s="663">
        <v>0</v>
      </c>
      <c r="K37" s="673">
        <v>2551</v>
      </c>
      <c r="L37" s="664"/>
      <c r="M37" s="21"/>
      <c r="N37" s="368"/>
      <c r="O37" s="368"/>
      <c r="P37" s="390"/>
    </row>
    <row r="38" spans="2:16" x14ac:dyDescent="0.25">
      <c r="B38" s="42"/>
      <c r="C38" s="21"/>
      <c r="D38" s="389"/>
      <c r="E38" s="21"/>
      <c r="F38" s="368"/>
      <c r="G38" s="368"/>
      <c r="H38" s="368"/>
      <c r="I38" s="670"/>
      <c r="J38" s="661"/>
      <c r="K38" s="673"/>
      <c r="L38" s="664"/>
      <c r="M38" s="21"/>
      <c r="N38" s="368"/>
      <c r="O38" s="368"/>
      <c r="P38" s="368"/>
    </row>
    <row r="39" spans="2:16" x14ac:dyDescent="0.25">
      <c r="B39" s="42"/>
      <c r="C39" s="21"/>
      <c r="D39" s="389" t="s">
        <v>28</v>
      </c>
      <c r="E39" s="21"/>
      <c r="F39" s="368"/>
      <c r="G39" s="368">
        <v>8316</v>
      </c>
      <c r="H39" s="368">
        <v>3000</v>
      </c>
      <c r="I39" s="670">
        <v>-166.88</v>
      </c>
      <c r="J39" s="661">
        <f>23399.98+93600.02</f>
        <v>117000</v>
      </c>
      <c r="K39" s="674">
        <v>116833</v>
      </c>
      <c r="L39" s="664"/>
      <c r="M39" s="21"/>
      <c r="N39" s="368"/>
      <c r="O39" s="368"/>
      <c r="P39" s="368"/>
    </row>
    <row r="40" spans="2:16" ht="15.75" thickBot="1" x14ac:dyDescent="0.3">
      <c r="B40" s="42"/>
      <c r="C40" s="21"/>
      <c r="D40" s="389"/>
      <c r="E40" s="21"/>
      <c r="F40" s="368"/>
      <c r="G40" s="368"/>
      <c r="H40" s="368"/>
      <c r="I40" s="671"/>
      <c r="J40" s="661"/>
      <c r="K40" s="675"/>
      <c r="L40" s="664"/>
      <c r="M40" s="21"/>
      <c r="N40" s="368"/>
      <c r="O40" s="368"/>
      <c r="P40" s="368"/>
    </row>
    <row r="41" spans="2:16" ht="15.75" thickBot="1" x14ac:dyDescent="0.3">
      <c r="B41" s="42"/>
      <c r="C41" s="21"/>
      <c r="D41" s="320" t="s">
        <v>220</v>
      </c>
      <c r="E41" s="359"/>
      <c r="F41" s="321" t="s">
        <v>41</v>
      </c>
      <c r="G41" s="321">
        <f>SUM(G37:G40)</f>
        <v>13012</v>
      </c>
      <c r="H41" s="321">
        <f>SUM(H37:H40)</f>
        <v>3955</v>
      </c>
      <c r="I41" s="665">
        <f>SUM(I37:I40)</f>
        <v>2384.12</v>
      </c>
      <c r="J41" s="665">
        <f>SUM(J37:J40)</f>
        <v>117000</v>
      </c>
      <c r="K41" s="666">
        <f>SUM(K37:K40)</f>
        <v>119384</v>
      </c>
      <c r="L41" s="664"/>
      <c r="M41" s="21"/>
      <c r="N41" s="615"/>
      <c r="O41" s="615"/>
      <c r="P41" s="615"/>
    </row>
    <row r="42" spans="2:16" ht="15.75" thickBot="1" x14ac:dyDescent="0.3">
      <c r="B42" s="48"/>
      <c r="C42" s="90"/>
      <c r="D42" s="90"/>
      <c r="E42" s="90"/>
      <c r="F42" s="90"/>
      <c r="G42" s="90"/>
      <c r="H42" s="90"/>
      <c r="I42" s="667"/>
      <c r="J42" s="667"/>
      <c r="K42" s="668"/>
      <c r="L42" s="662"/>
    </row>
    <row r="43" spans="2:16" x14ac:dyDescent="0.25">
      <c r="I43" s="662"/>
      <c r="J43" s="662"/>
      <c r="K43" s="662"/>
      <c r="L43" s="662"/>
    </row>
    <row r="44" spans="2:16" x14ac:dyDescent="0.25">
      <c r="I44" s="662"/>
      <c r="J44" s="662"/>
      <c r="K44" s="662"/>
      <c r="L44" s="662"/>
    </row>
    <row r="45" spans="2:16" x14ac:dyDescent="0.25">
      <c r="I45" s="662"/>
      <c r="J45" s="662"/>
      <c r="K45" s="662"/>
      <c r="L45" s="662"/>
    </row>
    <row r="46" spans="2:16" x14ac:dyDescent="0.25">
      <c r="I46" s="662"/>
      <c r="J46" s="662"/>
      <c r="K46" s="662"/>
      <c r="L46" s="662"/>
    </row>
  </sheetData>
  <mergeCells count="3">
    <mergeCell ref="E7:G7"/>
    <mergeCell ref="E24:G24"/>
    <mergeCell ref="I33:K33"/>
  </mergeCells>
  <pageMargins left="0.7" right="0.7" top="0.75" bottom="0.75" header="0.3" footer="0.3"/>
  <pageSetup paperSize="9" orientation="portrait" r:id="rId1"/>
  <ignoredErrors>
    <ignoredError sqref="R17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4"/>
  <sheetViews>
    <sheetView topLeftCell="A7" workbookViewId="0">
      <pane xSplit="2" ySplit="1" topLeftCell="C8" activePane="bottomRight" state="frozen"/>
      <selection activeCell="A7" sqref="A7"/>
      <selection pane="topRight" activeCell="C7" sqref="C7"/>
      <selection pane="bottomLeft" activeCell="A8" sqref="A8"/>
      <selection pane="bottomRight" activeCell="B20" sqref="B20:H20"/>
    </sheetView>
  </sheetViews>
  <sheetFormatPr baseColWidth="10" defaultRowHeight="15" x14ac:dyDescent="0.25"/>
  <cols>
    <col min="1" max="1" width="2.5703125" customWidth="1"/>
    <col min="2" max="2" width="21.140625" customWidth="1"/>
    <col min="3" max="3" width="6" bestFit="1" customWidth="1"/>
    <col min="4" max="4" width="7.28515625" customWidth="1"/>
    <col min="5" max="5" width="9.28515625" customWidth="1"/>
    <col min="6" max="6" width="9" customWidth="1"/>
    <col min="8" max="8" width="13.28515625" customWidth="1"/>
    <col min="9" max="9" width="18.85546875" customWidth="1"/>
    <col min="10" max="10" width="12.28515625" customWidth="1"/>
    <col min="11" max="11" width="1" customWidth="1"/>
    <col min="12" max="12" width="23.7109375" customWidth="1"/>
    <col min="13" max="13" width="7.28515625" customWidth="1"/>
    <col min="14" max="14" width="8.28515625" customWidth="1"/>
    <col min="15" max="15" width="8.140625" customWidth="1"/>
    <col min="16" max="16" width="9.42578125" customWidth="1"/>
    <col min="19" max="19" width="15.42578125" customWidth="1"/>
    <col min="20" max="20" width="1.140625" customWidth="1"/>
    <col min="21" max="21" width="23.7109375" customWidth="1"/>
    <col min="22" max="22" width="7.28515625" customWidth="1"/>
    <col min="23" max="23" width="8.28515625" customWidth="1"/>
    <col min="24" max="24" width="8.140625" customWidth="1"/>
    <col min="25" max="25" width="9.42578125" customWidth="1"/>
    <col min="28" max="28" width="15.42578125" customWidth="1"/>
  </cols>
  <sheetData>
    <row r="1" spans="1:28" ht="15.75" x14ac:dyDescent="0.25">
      <c r="A1" s="437"/>
      <c r="B1" s="438" t="s">
        <v>262</v>
      </c>
      <c r="C1" s="437"/>
      <c r="D1" s="437"/>
      <c r="E1" s="437"/>
      <c r="F1" s="437"/>
      <c r="G1" s="437"/>
      <c r="H1" s="437"/>
      <c r="K1" s="439"/>
      <c r="L1" s="438" t="s">
        <v>262</v>
      </c>
      <c r="M1" s="437"/>
      <c r="N1" s="437"/>
      <c r="O1" s="437"/>
      <c r="P1" s="437"/>
      <c r="Q1" s="437"/>
      <c r="R1" s="437"/>
      <c r="S1" s="437"/>
      <c r="T1" s="439"/>
      <c r="U1" s="438" t="s">
        <v>262</v>
      </c>
      <c r="V1" s="437"/>
      <c r="W1" s="437"/>
      <c r="X1" s="437"/>
      <c r="Y1" s="437"/>
      <c r="Z1" s="437"/>
      <c r="AA1" s="437"/>
      <c r="AB1" s="437"/>
    </row>
    <row r="2" spans="1:28" ht="15.75" x14ac:dyDescent="0.25">
      <c r="A2" s="437"/>
      <c r="B2" s="438" t="s">
        <v>263</v>
      </c>
      <c r="C2" s="437"/>
      <c r="D2" s="437"/>
      <c r="E2" s="437"/>
      <c r="F2" s="437"/>
      <c r="G2" s="437"/>
      <c r="H2" s="437"/>
      <c r="K2" s="439"/>
      <c r="L2" s="438" t="s">
        <v>263</v>
      </c>
      <c r="M2" s="437"/>
      <c r="N2" s="437"/>
      <c r="O2" s="437"/>
      <c r="P2" s="437"/>
      <c r="Q2" s="437"/>
      <c r="R2" s="437"/>
      <c r="S2" s="437"/>
      <c r="T2" s="439"/>
      <c r="U2" s="438" t="s">
        <v>263</v>
      </c>
      <c r="V2" s="437"/>
      <c r="W2" s="437"/>
      <c r="X2" s="437"/>
      <c r="Y2" s="437"/>
      <c r="Z2" s="437"/>
      <c r="AA2" s="437"/>
      <c r="AB2" s="437"/>
    </row>
    <row r="3" spans="1:28" ht="15.75" x14ac:dyDescent="0.25">
      <c r="A3" s="437"/>
      <c r="B3" s="437"/>
      <c r="C3" s="437"/>
      <c r="D3" s="437"/>
      <c r="E3" s="437"/>
      <c r="F3" s="437"/>
      <c r="G3" s="437"/>
      <c r="H3" s="437"/>
      <c r="K3" s="439"/>
      <c r="L3" s="437"/>
      <c r="M3" s="437"/>
      <c r="N3" s="437"/>
      <c r="O3" s="437"/>
      <c r="P3" s="437"/>
      <c r="Q3" s="437"/>
      <c r="R3" s="437"/>
      <c r="S3" s="437"/>
      <c r="T3" s="439"/>
      <c r="U3" s="437"/>
      <c r="V3" s="437"/>
      <c r="W3" s="437"/>
      <c r="X3" s="437"/>
      <c r="Y3" s="437"/>
      <c r="Z3" s="437"/>
      <c r="AA3" s="437"/>
      <c r="AB3" s="437"/>
    </row>
    <row r="4" spans="1:28" ht="16.5" thickBot="1" x14ac:dyDescent="0.3">
      <c r="A4" s="437"/>
      <c r="B4" s="437"/>
      <c r="C4" s="437"/>
      <c r="D4" s="437"/>
      <c r="E4" s="437"/>
      <c r="F4" s="437"/>
      <c r="G4" s="437"/>
      <c r="H4" s="437"/>
      <c r="K4" s="439"/>
      <c r="L4" s="437"/>
      <c r="M4" s="437"/>
      <c r="N4" s="437"/>
      <c r="O4" s="437"/>
      <c r="P4" s="437"/>
      <c r="Q4" s="437"/>
      <c r="R4" s="437"/>
      <c r="S4" s="437"/>
      <c r="T4" s="439"/>
      <c r="U4" s="437"/>
      <c r="V4" s="437"/>
      <c r="W4" s="437"/>
      <c r="X4" s="437"/>
      <c r="Y4" s="437"/>
      <c r="Z4" s="437"/>
      <c r="AA4" s="437"/>
      <c r="AB4" s="437"/>
    </row>
    <row r="5" spans="1:28" ht="16.5" thickBot="1" x14ac:dyDescent="0.3">
      <c r="A5" s="437"/>
      <c r="B5" s="742" t="s">
        <v>264</v>
      </c>
      <c r="C5" s="743"/>
      <c r="D5" s="743"/>
      <c r="E5" s="743"/>
      <c r="F5" s="743"/>
      <c r="G5" s="743"/>
      <c r="H5" s="744"/>
      <c r="K5" s="439"/>
      <c r="L5" s="745" t="s">
        <v>265</v>
      </c>
      <c r="M5" s="746"/>
      <c r="N5" s="746"/>
      <c r="O5" s="746"/>
      <c r="P5" s="746"/>
      <c r="Q5" s="746"/>
      <c r="R5" s="747"/>
      <c r="S5" s="440"/>
      <c r="T5" s="439"/>
      <c r="U5" s="745" t="s">
        <v>265</v>
      </c>
      <c r="V5" s="746"/>
      <c r="W5" s="746"/>
      <c r="X5" s="746"/>
      <c r="Y5" s="746"/>
      <c r="Z5" s="746"/>
      <c r="AA5" s="747"/>
      <c r="AB5" s="440"/>
    </row>
    <row r="6" spans="1:28" ht="16.5" thickBot="1" x14ac:dyDescent="0.3">
      <c r="A6" s="437"/>
      <c r="B6" s="441"/>
      <c r="C6" s="441"/>
      <c r="D6" s="441"/>
      <c r="E6" s="441"/>
      <c r="F6" s="441"/>
      <c r="G6" s="441"/>
      <c r="H6" s="441"/>
      <c r="K6" s="439"/>
      <c r="L6" s="441"/>
      <c r="M6" s="441"/>
      <c r="N6" s="441"/>
      <c r="O6" s="441"/>
      <c r="P6" s="441"/>
      <c r="Q6" s="441"/>
      <c r="R6" s="441"/>
      <c r="S6" s="441"/>
      <c r="T6" s="439"/>
      <c r="U6" s="441"/>
      <c r="V6" s="441"/>
      <c r="W6" s="441"/>
      <c r="X6" s="441"/>
      <c r="Y6" s="441"/>
      <c r="Z6" s="441"/>
      <c r="AA6" s="441"/>
      <c r="AB6" s="441"/>
    </row>
    <row r="7" spans="1:28" ht="23.25" thickBot="1" x14ac:dyDescent="0.3">
      <c r="A7" s="437"/>
      <c r="B7" s="442">
        <v>2021</v>
      </c>
      <c r="C7" s="748" t="s">
        <v>266</v>
      </c>
      <c r="D7" s="748"/>
      <c r="E7" s="748"/>
      <c r="F7" s="748"/>
      <c r="G7" s="748"/>
      <c r="H7" s="749"/>
      <c r="I7" s="443" t="s">
        <v>267</v>
      </c>
      <c r="K7" s="439"/>
      <c r="L7" s="442">
        <v>2022</v>
      </c>
      <c r="M7" s="748" t="s">
        <v>266</v>
      </c>
      <c r="N7" s="748"/>
      <c r="O7" s="748"/>
      <c r="P7" s="748"/>
      <c r="Q7" s="748"/>
      <c r="R7" s="749"/>
      <c r="S7" s="443" t="s">
        <v>267</v>
      </c>
      <c r="T7" s="439"/>
      <c r="U7" s="442">
        <v>2023</v>
      </c>
      <c r="V7" s="748" t="s">
        <v>266</v>
      </c>
      <c r="W7" s="748"/>
      <c r="X7" s="748"/>
      <c r="Y7" s="748"/>
      <c r="Z7" s="748"/>
      <c r="AA7" s="749"/>
      <c r="AB7" s="443" t="s">
        <v>267</v>
      </c>
    </row>
    <row r="8" spans="1:28" ht="15.75" x14ac:dyDescent="0.25">
      <c r="A8" s="437"/>
      <c r="B8" s="444"/>
      <c r="C8" s="445"/>
      <c r="D8" s="445"/>
      <c r="E8" s="445"/>
      <c r="F8" s="445"/>
      <c r="G8" s="446"/>
      <c r="H8" s="446"/>
      <c r="I8" s="446"/>
      <c r="K8" s="439"/>
      <c r="L8" s="444"/>
      <c r="M8" s="445"/>
      <c r="N8" s="445"/>
      <c r="O8" s="445"/>
      <c r="P8" s="445"/>
      <c r="Q8" s="446"/>
      <c r="R8" s="446"/>
      <c r="S8" s="446"/>
      <c r="T8" s="439"/>
      <c r="U8" s="444"/>
      <c r="V8" s="445"/>
      <c r="W8" s="445"/>
      <c r="X8" s="445"/>
      <c r="Y8" s="445"/>
      <c r="Z8" s="446"/>
      <c r="AA8" s="446"/>
      <c r="AB8" s="446"/>
    </row>
    <row r="9" spans="1:28" ht="15.75" x14ac:dyDescent="0.25">
      <c r="A9" s="437"/>
      <c r="B9" s="447" t="s">
        <v>268</v>
      </c>
      <c r="C9" s="448"/>
      <c r="D9" s="448"/>
      <c r="E9" s="448"/>
      <c r="F9" s="448"/>
      <c r="G9" s="449"/>
      <c r="H9" s="450">
        <f>H10+H19+H27+H31+H41+H38</f>
        <v>186814</v>
      </c>
      <c r="I9" s="451"/>
      <c r="K9" s="439"/>
      <c r="L9" s="447" t="s">
        <v>269</v>
      </c>
      <c r="M9" s="448"/>
      <c r="N9" s="448"/>
      <c r="O9" s="448"/>
      <c r="P9" s="448"/>
      <c r="Q9" s="449"/>
      <c r="R9" s="452">
        <f>R10+R19+R27+R31+R41+R38</f>
        <v>348418.66</v>
      </c>
      <c r="S9" s="451"/>
      <c r="T9" s="439"/>
      <c r="U9" s="447" t="s">
        <v>269</v>
      </c>
      <c r="V9" s="448"/>
      <c r="W9" s="448"/>
      <c r="X9" s="448"/>
      <c r="Y9" s="448"/>
      <c r="Z9" s="449"/>
      <c r="AA9" s="452">
        <f>AA10+AA19+AA27+AA31+AA41+AA38</f>
        <v>384102.45</v>
      </c>
      <c r="AB9" s="451"/>
    </row>
    <row r="10" spans="1:28" ht="15.75" x14ac:dyDescent="0.25">
      <c r="A10" s="437"/>
      <c r="B10" s="453" t="s">
        <v>270</v>
      </c>
      <c r="C10" s="454"/>
      <c r="D10" s="455"/>
      <c r="E10" s="455"/>
      <c r="F10" s="456"/>
      <c r="G10" s="457"/>
      <c r="H10" s="458">
        <f>SUM(H11:H17)</f>
        <v>11400</v>
      </c>
      <c r="I10" s="459"/>
      <c r="K10" s="439"/>
      <c r="L10" s="453" t="s">
        <v>270</v>
      </c>
      <c r="M10" s="454"/>
      <c r="N10" s="455"/>
      <c r="O10" s="455"/>
      <c r="P10" s="456"/>
      <c r="Q10" s="457"/>
      <c r="R10" s="458">
        <f>SUM(R11:R16)</f>
        <v>148900</v>
      </c>
      <c r="S10" s="459"/>
      <c r="T10" s="439"/>
      <c r="U10" s="453" t="s">
        <v>270</v>
      </c>
      <c r="V10" s="454"/>
      <c r="W10" s="455"/>
      <c r="X10" s="455"/>
      <c r="Y10" s="456"/>
      <c r="Z10" s="457"/>
      <c r="AA10" s="458">
        <f>SUM(AA11:AA16)</f>
        <v>174000</v>
      </c>
      <c r="AB10" s="459"/>
    </row>
    <row r="11" spans="1:28" ht="15.75" x14ac:dyDescent="0.25">
      <c r="A11" s="460"/>
      <c r="B11" s="461" t="s">
        <v>271</v>
      </c>
      <c r="C11" s="462"/>
      <c r="D11" s="462"/>
      <c r="E11" s="463">
        <v>3</v>
      </c>
      <c r="F11" s="463" t="s">
        <v>62</v>
      </c>
      <c r="G11" s="464">
        <v>3800</v>
      </c>
      <c r="H11" s="465">
        <f t="shared" ref="H11:H15" si="0">G11*E11</f>
        <v>11400</v>
      </c>
      <c r="I11" s="466" t="s">
        <v>28</v>
      </c>
      <c r="K11" s="439"/>
      <c r="L11" s="461" t="s">
        <v>271</v>
      </c>
      <c r="M11" s="462"/>
      <c r="N11" s="462"/>
      <c r="O11" s="463">
        <v>12</v>
      </c>
      <c r="P11" s="463" t="s">
        <v>62</v>
      </c>
      <c r="Q11" s="464">
        <v>3800</v>
      </c>
      <c r="R11" s="465">
        <f t="shared" ref="R11:R16" si="1">Q11*O11</f>
        <v>45600</v>
      </c>
      <c r="S11" s="466" t="s">
        <v>28</v>
      </c>
      <c r="T11" s="439"/>
      <c r="U11" s="461" t="s">
        <v>271</v>
      </c>
      <c r="V11" s="462"/>
      <c r="W11" s="462"/>
      <c r="X11" s="463">
        <v>12</v>
      </c>
      <c r="Y11" s="463" t="s">
        <v>62</v>
      </c>
      <c r="Z11" s="464">
        <v>3800</v>
      </c>
      <c r="AA11" s="465">
        <f t="shared" ref="AA11:AA16" si="2">Z11*X11</f>
        <v>45600</v>
      </c>
      <c r="AB11" s="466" t="s">
        <v>28</v>
      </c>
    </row>
    <row r="12" spans="1:28" ht="15.75" x14ac:dyDescent="0.25">
      <c r="A12" s="460"/>
      <c r="B12" s="637" t="s">
        <v>447</v>
      </c>
      <c r="C12" s="638"/>
      <c r="D12" s="638"/>
      <c r="E12" s="639">
        <v>0</v>
      </c>
      <c r="F12" s="639" t="s">
        <v>62</v>
      </c>
      <c r="G12" s="640"/>
      <c r="H12" s="641">
        <v>0</v>
      </c>
      <c r="I12" s="466"/>
      <c r="K12" s="439"/>
      <c r="L12" s="461" t="s">
        <v>272</v>
      </c>
      <c r="M12" s="467"/>
      <c r="N12" s="467"/>
      <c r="O12" s="468">
        <v>9</v>
      </c>
      <c r="P12" s="463" t="s">
        <v>62</v>
      </c>
      <c r="Q12" s="464">
        <v>2500</v>
      </c>
      <c r="R12" s="465">
        <f t="shared" si="1"/>
        <v>22500</v>
      </c>
      <c r="S12" s="469" t="s">
        <v>26</v>
      </c>
      <c r="T12" s="439"/>
      <c r="U12" s="461" t="s">
        <v>272</v>
      </c>
      <c r="V12" s="467"/>
      <c r="W12" s="467"/>
      <c r="X12" s="468">
        <v>12</v>
      </c>
      <c r="Y12" s="463" t="s">
        <v>62</v>
      </c>
      <c r="Z12" s="464">
        <v>2500</v>
      </c>
      <c r="AA12" s="465">
        <f t="shared" si="2"/>
        <v>30000</v>
      </c>
      <c r="AB12" s="469" t="s">
        <v>26</v>
      </c>
    </row>
    <row r="13" spans="1:28" ht="15.75" x14ac:dyDescent="0.25">
      <c r="A13" s="470"/>
      <c r="B13" s="471" t="s">
        <v>272</v>
      </c>
      <c r="C13" s="472"/>
      <c r="D13" s="472"/>
      <c r="E13" s="473">
        <v>9</v>
      </c>
      <c r="F13" s="474" t="s">
        <v>62</v>
      </c>
      <c r="G13" s="475">
        <v>1250</v>
      </c>
      <c r="H13" s="476"/>
      <c r="I13" s="477" t="s">
        <v>26</v>
      </c>
      <c r="K13" s="439"/>
      <c r="L13" s="461" t="s">
        <v>273</v>
      </c>
      <c r="M13" s="462"/>
      <c r="N13" s="462"/>
      <c r="O13" s="463">
        <v>10</v>
      </c>
      <c r="P13" s="463" t="s">
        <v>62</v>
      </c>
      <c r="Q13" s="464">
        <v>2500</v>
      </c>
      <c r="R13" s="465">
        <f t="shared" si="1"/>
        <v>25000</v>
      </c>
      <c r="S13" s="466" t="s">
        <v>27</v>
      </c>
      <c r="T13" s="439"/>
      <c r="U13" s="461" t="s">
        <v>273</v>
      </c>
      <c r="V13" s="462"/>
      <c r="W13" s="462"/>
      <c r="X13" s="463">
        <v>12</v>
      </c>
      <c r="Y13" s="463" t="s">
        <v>62</v>
      </c>
      <c r="Z13" s="464">
        <v>2500</v>
      </c>
      <c r="AA13" s="465">
        <f t="shared" si="2"/>
        <v>30000</v>
      </c>
      <c r="AB13" s="466" t="s">
        <v>27</v>
      </c>
    </row>
    <row r="14" spans="1:28" ht="15.75" x14ac:dyDescent="0.25">
      <c r="A14" s="478"/>
      <c r="B14" s="471" t="s">
        <v>273</v>
      </c>
      <c r="C14" s="479"/>
      <c r="D14" s="479"/>
      <c r="E14" s="474">
        <v>10</v>
      </c>
      <c r="F14" s="474" t="s">
        <v>62</v>
      </c>
      <c r="G14" s="475">
        <v>1250</v>
      </c>
      <c r="H14" s="476"/>
      <c r="I14" s="480" t="s">
        <v>27</v>
      </c>
      <c r="K14" s="439"/>
      <c r="L14" s="481" t="s">
        <v>274</v>
      </c>
      <c r="M14" s="467"/>
      <c r="N14" s="467"/>
      <c r="O14" s="468">
        <v>12</v>
      </c>
      <c r="P14" s="468" t="s">
        <v>62</v>
      </c>
      <c r="Q14" s="464">
        <v>2400</v>
      </c>
      <c r="R14" s="465">
        <f t="shared" si="1"/>
        <v>28800</v>
      </c>
      <c r="S14" s="466" t="s">
        <v>27</v>
      </c>
      <c r="T14" s="439"/>
      <c r="U14" s="481" t="s">
        <v>274</v>
      </c>
      <c r="V14" s="467"/>
      <c r="W14" s="467"/>
      <c r="X14" s="468">
        <v>12</v>
      </c>
      <c r="Y14" s="468" t="s">
        <v>62</v>
      </c>
      <c r="Z14" s="464">
        <v>2400</v>
      </c>
      <c r="AA14" s="465">
        <f t="shared" si="2"/>
        <v>28800</v>
      </c>
      <c r="AB14" s="466" t="s">
        <v>27</v>
      </c>
    </row>
    <row r="15" spans="1:28" ht="18" x14ac:dyDescent="0.25">
      <c r="A15" s="470"/>
      <c r="B15" s="482" t="s">
        <v>275</v>
      </c>
      <c r="C15" s="467"/>
      <c r="D15" s="467"/>
      <c r="E15" s="468">
        <v>0</v>
      </c>
      <c r="F15" s="468" t="s">
        <v>62</v>
      </c>
      <c r="G15" s="464">
        <v>2400</v>
      </c>
      <c r="H15" s="465">
        <f t="shared" si="0"/>
        <v>0</v>
      </c>
      <c r="I15" s="466" t="s">
        <v>27</v>
      </c>
      <c r="K15" s="439"/>
      <c r="L15" s="483" t="s">
        <v>276</v>
      </c>
      <c r="M15" s="467"/>
      <c r="N15" s="467"/>
      <c r="O15" s="484">
        <v>6</v>
      </c>
      <c r="P15" s="468" t="s">
        <v>62</v>
      </c>
      <c r="Q15" s="485">
        <v>900</v>
      </c>
      <c r="R15" s="465">
        <f t="shared" si="1"/>
        <v>5400</v>
      </c>
      <c r="S15" s="466" t="s">
        <v>27</v>
      </c>
      <c r="T15" s="439"/>
      <c r="U15" s="483" t="s">
        <v>276</v>
      </c>
      <c r="V15" s="467"/>
      <c r="W15" s="467"/>
      <c r="X15" s="484">
        <v>12</v>
      </c>
      <c r="Y15" s="468" t="s">
        <v>62</v>
      </c>
      <c r="Z15" s="485">
        <v>900</v>
      </c>
      <c r="AA15" s="465">
        <f t="shared" si="2"/>
        <v>10800</v>
      </c>
      <c r="AB15" s="466" t="s">
        <v>27</v>
      </c>
    </row>
    <row r="16" spans="1:28" ht="15.75" x14ac:dyDescent="0.25">
      <c r="A16" s="470"/>
      <c r="B16" s="471" t="s">
        <v>277</v>
      </c>
      <c r="C16" s="472"/>
      <c r="D16" s="472"/>
      <c r="E16" s="473">
        <v>9</v>
      </c>
      <c r="F16" s="474" t="s">
        <v>62</v>
      </c>
      <c r="G16" s="475">
        <v>-924</v>
      </c>
      <c r="H16" s="486"/>
      <c r="I16" s="480" t="s">
        <v>27</v>
      </c>
      <c r="K16" s="439"/>
      <c r="L16" s="487" t="s">
        <v>278</v>
      </c>
      <c r="M16" s="488"/>
      <c r="N16" s="467"/>
      <c r="O16" s="484">
        <v>9</v>
      </c>
      <c r="P16" s="468" t="s">
        <v>62</v>
      </c>
      <c r="Q16" s="485">
        <v>2400</v>
      </c>
      <c r="R16" s="465">
        <f t="shared" si="1"/>
        <v>21600</v>
      </c>
      <c r="S16" s="466" t="s">
        <v>27</v>
      </c>
      <c r="T16" s="439"/>
      <c r="U16" s="487" t="s">
        <v>278</v>
      </c>
      <c r="V16" s="488"/>
      <c r="W16" s="467"/>
      <c r="X16" s="484">
        <v>12</v>
      </c>
      <c r="Y16" s="468" t="s">
        <v>62</v>
      </c>
      <c r="Z16" s="485">
        <v>2400</v>
      </c>
      <c r="AA16" s="465">
        <f t="shared" si="2"/>
        <v>28800</v>
      </c>
      <c r="AB16" s="466" t="s">
        <v>27</v>
      </c>
    </row>
    <row r="17" spans="1:28" ht="15.75" x14ac:dyDescent="0.25">
      <c r="A17" s="478"/>
      <c r="B17" s="471" t="s">
        <v>279</v>
      </c>
      <c r="C17" s="479"/>
      <c r="D17" s="479"/>
      <c r="E17" s="474">
        <v>10</v>
      </c>
      <c r="F17" s="474" t="s">
        <v>62</v>
      </c>
      <c r="G17" s="475">
        <v>-924</v>
      </c>
      <c r="H17" s="486"/>
      <c r="I17" s="480" t="s">
        <v>27</v>
      </c>
      <c r="K17" s="439"/>
      <c r="L17" s="489"/>
      <c r="M17" s="490"/>
      <c r="N17" s="490"/>
      <c r="O17" s="490"/>
      <c r="P17" s="490"/>
      <c r="Q17" s="491"/>
      <c r="R17" s="491"/>
      <c r="S17" s="492"/>
      <c r="T17" s="439"/>
      <c r="U17" s="489"/>
      <c r="V17" s="490"/>
      <c r="W17" s="490"/>
      <c r="X17" s="490"/>
      <c r="Y17" s="490"/>
      <c r="Z17" s="491"/>
      <c r="AA17" s="491"/>
      <c r="AB17" s="492"/>
    </row>
    <row r="18" spans="1:28" ht="15.75" x14ac:dyDescent="0.25">
      <c r="A18" s="437"/>
      <c r="B18" s="489"/>
      <c r="C18" s="490"/>
      <c r="D18" s="490"/>
      <c r="E18" s="490"/>
      <c r="F18" s="490"/>
      <c r="G18" s="491"/>
      <c r="H18" s="491"/>
      <c r="I18" s="492"/>
      <c r="K18" s="439"/>
      <c r="T18" s="439"/>
    </row>
    <row r="19" spans="1:28" ht="15.75" x14ac:dyDescent="0.25">
      <c r="A19" s="437"/>
      <c r="B19" s="453" t="s">
        <v>280</v>
      </c>
      <c r="C19" s="493"/>
      <c r="D19" s="494"/>
      <c r="E19" s="494"/>
      <c r="F19" s="495"/>
      <c r="G19" s="496"/>
      <c r="H19" s="458">
        <f>SUM(H20:H25)</f>
        <v>0</v>
      </c>
      <c r="I19" s="497"/>
      <c r="K19" s="439"/>
      <c r="L19" s="453" t="s">
        <v>280</v>
      </c>
      <c r="M19" s="493"/>
      <c r="N19" s="494"/>
      <c r="O19" s="494"/>
      <c r="P19" s="495"/>
      <c r="Q19" s="496"/>
      <c r="R19" s="458">
        <f>SUM(R20:R25)</f>
        <v>59290</v>
      </c>
      <c r="S19" s="497"/>
      <c r="T19" s="439"/>
      <c r="U19" s="453" t="s">
        <v>280</v>
      </c>
      <c r="V19" s="493"/>
      <c r="W19" s="494"/>
      <c r="X19" s="494"/>
      <c r="Y19" s="495"/>
      <c r="Z19" s="496"/>
      <c r="AA19" s="458">
        <f>SUM(AA20:AA25)</f>
        <v>69600</v>
      </c>
      <c r="AB19" s="497"/>
    </row>
    <row r="20" spans="1:28" ht="15.75" x14ac:dyDescent="0.25">
      <c r="A20" s="460"/>
      <c r="B20" s="637" t="s">
        <v>271</v>
      </c>
      <c r="C20" s="642">
        <v>0.4</v>
      </c>
      <c r="D20" s="642" t="s">
        <v>180</v>
      </c>
      <c r="E20" s="643">
        <f>E11</f>
        <v>3</v>
      </c>
      <c r="F20" s="642" t="s">
        <v>62</v>
      </c>
      <c r="G20" s="640">
        <f>H12</f>
        <v>0</v>
      </c>
      <c r="H20" s="641">
        <f t="shared" ref="H20:H25" si="3">C20*G20</f>
        <v>0</v>
      </c>
      <c r="I20" s="466" t="s">
        <v>28</v>
      </c>
      <c r="K20" s="439"/>
      <c r="L20" s="461" t="s">
        <v>271</v>
      </c>
      <c r="M20" s="498">
        <v>0.4</v>
      </c>
      <c r="N20" s="498" t="s">
        <v>180</v>
      </c>
      <c r="O20" s="499">
        <f t="shared" ref="O20:O25" si="4">O11</f>
        <v>12</v>
      </c>
      <c r="P20" s="498" t="s">
        <v>62</v>
      </c>
      <c r="Q20" s="464">
        <f t="shared" ref="Q20:Q25" si="5">R11</f>
        <v>45600</v>
      </c>
      <c r="R20" s="465">
        <f t="shared" ref="R20:R25" si="6">M20*Q20</f>
        <v>18240</v>
      </c>
      <c r="S20" s="466" t="s">
        <v>28</v>
      </c>
      <c r="T20" s="439"/>
      <c r="U20" s="461" t="s">
        <v>271</v>
      </c>
      <c r="V20" s="498">
        <v>0.4</v>
      </c>
      <c r="W20" s="498" t="s">
        <v>180</v>
      </c>
      <c r="X20" s="499">
        <f t="shared" ref="X20:X25" si="7">X11</f>
        <v>12</v>
      </c>
      <c r="Y20" s="498" t="s">
        <v>62</v>
      </c>
      <c r="Z20" s="464">
        <f t="shared" ref="Z20:Z25" si="8">AA11</f>
        <v>45600</v>
      </c>
      <c r="AA20" s="465">
        <f t="shared" ref="AA20:AA25" si="9">V20*Z20</f>
        <v>18240</v>
      </c>
      <c r="AB20" s="466" t="s">
        <v>28</v>
      </c>
    </row>
    <row r="21" spans="1:28" ht="18" x14ac:dyDescent="0.25">
      <c r="A21" s="437"/>
      <c r="B21" s="500" t="s">
        <v>272</v>
      </c>
      <c r="C21" s="501">
        <v>0.1</v>
      </c>
      <c r="D21" s="502" t="s">
        <v>180</v>
      </c>
      <c r="E21" s="503">
        <f t="shared" ref="E21:E23" si="10">E13</f>
        <v>9</v>
      </c>
      <c r="F21" s="501" t="s">
        <v>62</v>
      </c>
      <c r="G21" s="504">
        <f t="shared" ref="G21:G23" si="11">H13</f>
        <v>0</v>
      </c>
      <c r="H21" s="505">
        <f t="shared" si="3"/>
        <v>0</v>
      </c>
      <c r="I21" s="477" t="s">
        <v>26</v>
      </c>
      <c r="K21" s="439"/>
      <c r="L21" s="482" t="s">
        <v>272</v>
      </c>
      <c r="M21" s="498">
        <v>0.4</v>
      </c>
      <c r="N21" s="506" t="s">
        <v>180</v>
      </c>
      <c r="O21" s="507">
        <f t="shared" si="4"/>
        <v>9</v>
      </c>
      <c r="P21" s="498" t="s">
        <v>62</v>
      </c>
      <c r="Q21" s="485">
        <f t="shared" si="5"/>
        <v>22500</v>
      </c>
      <c r="R21" s="508">
        <f>M21*Q21</f>
        <v>9000</v>
      </c>
      <c r="S21" s="469" t="s">
        <v>26</v>
      </c>
      <c r="T21" s="439"/>
      <c r="U21" s="482" t="s">
        <v>272</v>
      </c>
      <c r="V21" s="498">
        <v>0.4</v>
      </c>
      <c r="W21" s="506" t="s">
        <v>180</v>
      </c>
      <c r="X21" s="507">
        <f t="shared" si="7"/>
        <v>12</v>
      </c>
      <c r="Y21" s="498" t="s">
        <v>62</v>
      </c>
      <c r="Z21" s="485">
        <f t="shared" si="8"/>
        <v>30000</v>
      </c>
      <c r="AA21" s="508">
        <f>V21*Z21</f>
        <v>12000</v>
      </c>
      <c r="AB21" s="469" t="s">
        <v>26</v>
      </c>
    </row>
    <row r="22" spans="1:28" ht="27" x14ac:dyDescent="0.25">
      <c r="A22" s="437"/>
      <c r="B22" s="500" t="s">
        <v>273</v>
      </c>
      <c r="C22" s="501">
        <v>0.1</v>
      </c>
      <c r="D22" s="502" t="s">
        <v>180</v>
      </c>
      <c r="E22" s="503">
        <f t="shared" si="10"/>
        <v>10</v>
      </c>
      <c r="F22" s="501" t="s">
        <v>62</v>
      </c>
      <c r="G22" s="504">
        <f t="shared" si="11"/>
        <v>0</v>
      </c>
      <c r="H22" s="505">
        <f t="shared" si="3"/>
        <v>0</v>
      </c>
      <c r="I22" s="480" t="s">
        <v>27</v>
      </c>
      <c r="K22" s="439"/>
      <c r="L22" s="509" t="s">
        <v>273</v>
      </c>
      <c r="M22" s="498">
        <v>0.4</v>
      </c>
      <c r="N22" s="506" t="s">
        <v>180</v>
      </c>
      <c r="O22" s="507">
        <f t="shared" si="4"/>
        <v>10</v>
      </c>
      <c r="P22" s="498" t="s">
        <v>62</v>
      </c>
      <c r="Q22" s="485">
        <f t="shared" si="5"/>
        <v>25000</v>
      </c>
      <c r="R22" s="508">
        <f>M22*Q22</f>
        <v>10000</v>
      </c>
      <c r="S22" s="466" t="s">
        <v>27</v>
      </c>
      <c r="T22" s="439"/>
      <c r="U22" s="509" t="s">
        <v>273</v>
      </c>
      <c r="V22" s="498">
        <v>0.4</v>
      </c>
      <c r="W22" s="506" t="s">
        <v>180</v>
      </c>
      <c r="X22" s="507">
        <f t="shared" si="7"/>
        <v>12</v>
      </c>
      <c r="Y22" s="498" t="s">
        <v>62</v>
      </c>
      <c r="Z22" s="485">
        <f t="shared" si="8"/>
        <v>30000</v>
      </c>
      <c r="AA22" s="508">
        <f>V22*Z22</f>
        <v>12000</v>
      </c>
      <c r="AB22" s="466" t="s">
        <v>27</v>
      </c>
    </row>
    <row r="23" spans="1:28" ht="18" x14ac:dyDescent="0.25">
      <c r="A23" s="437"/>
      <c r="B23" s="482" t="s">
        <v>275</v>
      </c>
      <c r="C23" s="498">
        <v>0.4</v>
      </c>
      <c r="D23" s="506" t="s">
        <v>180</v>
      </c>
      <c r="E23" s="499">
        <f t="shared" si="10"/>
        <v>0</v>
      </c>
      <c r="F23" s="498" t="s">
        <v>62</v>
      </c>
      <c r="G23" s="485">
        <f t="shared" si="11"/>
        <v>0</v>
      </c>
      <c r="H23" s="508">
        <f t="shared" si="3"/>
        <v>0</v>
      </c>
      <c r="I23" s="466" t="s">
        <v>27</v>
      </c>
      <c r="K23" s="439"/>
      <c r="L23" s="482" t="s">
        <v>281</v>
      </c>
      <c r="M23" s="498">
        <v>0.4</v>
      </c>
      <c r="N23" s="506" t="s">
        <v>180</v>
      </c>
      <c r="O23" s="507">
        <f t="shared" si="4"/>
        <v>12</v>
      </c>
      <c r="P23" s="498" t="s">
        <v>62</v>
      </c>
      <c r="Q23" s="485">
        <f t="shared" si="5"/>
        <v>28800</v>
      </c>
      <c r="R23" s="508">
        <f>M23*Q23</f>
        <v>11520</v>
      </c>
      <c r="S23" s="466" t="s">
        <v>27</v>
      </c>
      <c r="T23" s="439"/>
      <c r="U23" s="482" t="s">
        <v>281</v>
      </c>
      <c r="V23" s="498">
        <v>0.4</v>
      </c>
      <c r="W23" s="506" t="s">
        <v>180</v>
      </c>
      <c r="X23" s="507">
        <f t="shared" si="7"/>
        <v>12</v>
      </c>
      <c r="Y23" s="498" t="s">
        <v>62</v>
      </c>
      <c r="Z23" s="485">
        <f t="shared" si="8"/>
        <v>28800</v>
      </c>
      <c r="AA23" s="508">
        <f>V23*Z23</f>
        <v>11520</v>
      </c>
      <c r="AB23" s="466" t="s">
        <v>27</v>
      </c>
    </row>
    <row r="24" spans="1:28" ht="18" x14ac:dyDescent="0.25">
      <c r="A24" s="437"/>
      <c r="B24" s="510"/>
      <c r="C24" s="498"/>
      <c r="D24" s="506"/>
      <c r="E24" s="499"/>
      <c r="F24" s="498"/>
      <c r="G24" s="485"/>
      <c r="H24" s="508">
        <f t="shared" si="3"/>
        <v>0</v>
      </c>
      <c r="I24" s="466"/>
      <c r="K24" s="439"/>
      <c r="L24" s="511" t="s">
        <v>282</v>
      </c>
      <c r="M24" s="498">
        <v>0.35</v>
      </c>
      <c r="N24" s="506" t="s">
        <v>180</v>
      </c>
      <c r="O24" s="507">
        <f t="shared" si="4"/>
        <v>6</v>
      </c>
      <c r="P24" s="498" t="s">
        <v>62</v>
      </c>
      <c r="Q24" s="485">
        <f t="shared" si="5"/>
        <v>5400</v>
      </c>
      <c r="R24" s="508">
        <f>M24*Q24</f>
        <v>1889.9999999999998</v>
      </c>
      <c r="S24" s="466" t="s">
        <v>27</v>
      </c>
      <c r="T24" s="439"/>
      <c r="U24" s="511" t="s">
        <v>283</v>
      </c>
      <c r="V24" s="498">
        <v>0.4</v>
      </c>
      <c r="W24" s="506" t="s">
        <v>180</v>
      </c>
      <c r="X24" s="507">
        <f t="shared" si="7"/>
        <v>12</v>
      </c>
      <c r="Y24" s="498" t="s">
        <v>62</v>
      </c>
      <c r="Z24" s="485">
        <f t="shared" si="8"/>
        <v>10800</v>
      </c>
      <c r="AA24" s="508">
        <f>V24*Z24</f>
        <v>4320</v>
      </c>
      <c r="AB24" s="466" t="s">
        <v>27</v>
      </c>
    </row>
    <row r="25" spans="1:28" ht="18" x14ac:dyDescent="0.25">
      <c r="A25" s="437"/>
      <c r="B25" s="510"/>
      <c r="C25" s="498"/>
      <c r="D25" s="506"/>
      <c r="E25" s="499"/>
      <c r="F25" s="498"/>
      <c r="G25" s="485"/>
      <c r="H25" s="508">
        <f t="shared" si="3"/>
        <v>0</v>
      </c>
      <c r="I25" s="466"/>
      <c r="J25" s="53"/>
      <c r="K25" s="512"/>
      <c r="L25" s="511" t="s">
        <v>278</v>
      </c>
      <c r="M25" s="498">
        <v>0.4</v>
      </c>
      <c r="N25" s="506" t="s">
        <v>180</v>
      </c>
      <c r="O25" s="507">
        <f t="shared" si="4"/>
        <v>9</v>
      </c>
      <c r="P25" s="498" t="s">
        <v>62</v>
      </c>
      <c r="Q25" s="485">
        <f t="shared" si="5"/>
        <v>21600</v>
      </c>
      <c r="R25" s="508">
        <f t="shared" si="6"/>
        <v>8640</v>
      </c>
      <c r="S25" s="466" t="s">
        <v>27</v>
      </c>
      <c r="T25" s="439"/>
      <c r="U25" s="513" t="s">
        <v>278</v>
      </c>
      <c r="V25" s="498">
        <v>0.4</v>
      </c>
      <c r="W25" s="506" t="s">
        <v>180</v>
      </c>
      <c r="X25" s="507">
        <f t="shared" si="7"/>
        <v>12</v>
      </c>
      <c r="Y25" s="498" t="s">
        <v>62</v>
      </c>
      <c r="Z25" s="485">
        <f t="shared" si="8"/>
        <v>28800</v>
      </c>
      <c r="AA25" s="508">
        <f t="shared" si="9"/>
        <v>11520</v>
      </c>
      <c r="AB25" s="466" t="s">
        <v>27</v>
      </c>
    </row>
    <row r="26" spans="1:28" ht="15.75" x14ac:dyDescent="0.25">
      <c r="A26" s="437"/>
      <c r="B26" s="489"/>
      <c r="C26" s="514"/>
      <c r="D26" s="514"/>
      <c r="E26" s="490"/>
      <c r="F26" s="514"/>
      <c r="G26" s="491"/>
      <c r="H26" s="491"/>
      <c r="I26" s="492"/>
      <c r="J26" s="53"/>
      <c r="K26" s="512"/>
      <c r="L26" s="489"/>
      <c r="M26" s="514"/>
      <c r="N26" s="514"/>
      <c r="O26" s="490"/>
      <c r="P26" s="514"/>
      <c r="Q26" s="491"/>
      <c r="R26" s="491"/>
      <c r="S26" s="492"/>
      <c r="T26" s="439"/>
      <c r="U26" s="489"/>
      <c r="V26" s="514"/>
      <c r="W26" s="514"/>
      <c r="X26" s="490"/>
      <c r="Y26" s="514"/>
      <c r="Z26" s="491"/>
      <c r="AA26" s="491"/>
      <c r="AB26" s="492"/>
    </row>
    <row r="27" spans="1:28" ht="15.75" x14ac:dyDescent="0.25">
      <c r="A27" s="437"/>
      <c r="B27" s="515" t="s">
        <v>284</v>
      </c>
      <c r="C27" s="493"/>
      <c r="D27" s="494"/>
      <c r="E27" s="494"/>
      <c r="F27" s="495"/>
      <c r="G27" s="516"/>
      <c r="H27" s="458">
        <f>SUM(H28:H29)</f>
        <v>15333.333333333334</v>
      </c>
      <c r="I27" s="497"/>
      <c r="J27" s="53"/>
      <c r="K27" s="512"/>
      <c r="L27" s="515" t="s">
        <v>284</v>
      </c>
      <c r="M27" s="493"/>
      <c r="N27" s="494"/>
      <c r="O27" s="494"/>
      <c r="P27" s="495"/>
      <c r="Q27" s="516"/>
      <c r="R27" s="458">
        <f>SUM(R28:R29)</f>
        <v>11500</v>
      </c>
      <c r="S27" s="497"/>
      <c r="T27" s="439"/>
      <c r="U27" s="515" t="s">
        <v>284</v>
      </c>
      <c r="V27" s="493"/>
      <c r="W27" s="494"/>
      <c r="X27" s="494"/>
      <c r="Y27" s="495"/>
      <c r="Z27" s="516"/>
      <c r="AA27" s="458">
        <f>SUM(AA28:AA29)</f>
        <v>11600</v>
      </c>
      <c r="AB27" s="497"/>
    </row>
    <row r="28" spans="1:28" ht="15.75" x14ac:dyDescent="0.25">
      <c r="A28" s="437"/>
      <c r="B28" s="483" t="s">
        <v>285</v>
      </c>
      <c r="C28" s="517">
        <v>2500</v>
      </c>
      <c r="D28" s="517">
        <v>12</v>
      </c>
      <c r="E28" s="517" t="s">
        <v>62</v>
      </c>
      <c r="F28" s="517"/>
      <c r="G28" s="518" t="s">
        <v>92</v>
      </c>
      <c r="H28" s="519">
        <f>C28/12*16</f>
        <v>3333.3333333333335</v>
      </c>
      <c r="I28" s="520" t="s">
        <v>26</v>
      </c>
      <c r="J28" s="521" t="s">
        <v>286</v>
      </c>
      <c r="K28" s="522"/>
      <c r="L28" s="483" t="s">
        <v>285</v>
      </c>
      <c r="M28" s="517">
        <v>2500</v>
      </c>
      <c r="N28" s="517">
        <v>12</v>
      </c>
      <c r="O28" s="517" t="s">
        <v>62</v>
      </c>
      <c r="P28" s="517"/>
      <c r="Q28" s="518" t="s">
        <v>93</v>
      </c>
      <c r="R28" s="519">
        <f>M28</f>
        <v>2500</v>
      </c>
      <c r="S28" s="520" t="s">
        <v>26</v>
      </c>
      <c r="T28" s="439"/>
      <c r="U28" s="483" t="s">
        <v>285</v>
      </c>
      <c r="V28" s="517">
        <v>2600</v>
      </c>
      <c r="W28" s="517">
        <v>12</v>
      </c>
      <c r="X28" s="517" t="s">
        <v>62</v>
      </c>
      <c r="Y28" s="517"/>
      <c r="Z28" s="518" t="s">
        <v>93</v>
      </c>
      <c r="AA28" s="519">
        <f>V28</f>
        <v>2600</v>
      </c>
      <c r="AB28" s="520" t="s">
        <v>26</v>
      </c>
    </row>
    <row r="29" spans="1:28" ht="18" x14ac:dyDescent="0.25">
      <c r="A29" s="437"/>
      <c r="B29" s="511" t="s">
        <v>287</v>
      </c>
      <c r="C29" s="484">
        <v>9000</v>
      </c>
      <c r="D29" s="484">
        <v>12</v>
      </c>
      <c r="E29" s="484" t="s">
        <v>62</v>
      </c>
      <c r="F29" s="484"/>
      <c r="G29" s="518" t="s">
        <v>92</v>
      </c>
      <c r="H29" s="519">
        <f>C29/12*16</f>
        <v>12000</v>
      </c>
      <c r="I29" s="520" t="s">
        <v>26</v>
      </c>
      <c r="J29" s="521" t="s">
        <v>286</v>
      </c>
      <c r="K29" s="522"/>
      <c r="L29" s="511" t="s">
        <v>288</v>
      </c>
      <c r="M29" s="484">
        <v>9000</v>
      </c>
      <c r="N29" s="484">
        <v>12</v>
      </c>
      <c r="O29" s="484" t="s">
        <v>62</v>
      </c>
      <c r="P29" s="484"/>
      <c r="Q29" s="518" t="s">
        <v>93</v>
      </c>
      <c r="R29" s="519">
        <f>M29</f>
        <v>9000</v>
      </c>
      <c r="S29" s="520" t="s">
        <v>26</v>
      </c>
      <c r="T29" s="439"/>
      <c r="U29" s="511" t="s">
        <v>288</v>
      </c>
      <c r="V29" s="484">
        <v>9000</v>
      </c>
      <c r="W29" s="484">
        <v>12</v>
      </c>
      <c r="X29" s="484" t="s">
        <v>62</v>
      </c>
      <c r="Y29" s="484"/>
      <c r="Z29" s="518" t="s">
        <v>93</v>
      </c>
      <c r="AA29" s="519">
        <f>V29</f>
        <v>9000</v>
      </c>
      <c r="AB29" s="520" t="s">
        <v>26</v>
      </c>
    </row>
    <row r="30" spans="1:28" ht="15.75" x14ac:dyDescent="0.25">
      <c r="A30" s="437"/>
      <c r="B30" s="489"/>
      <c r="C30" s="523"/>
      <c r="D30" s="523"/>
      <c r="E30" s="523"/>
      <c r="F30" s="523"/>
      <c r="G30" s="491"/>
      <c r="H30" s="491"/>
      <c r="I30" s="492"/>
      <c r="J30" s="521"/>
      <c r="K30" s="522"/>
      <c r="L30" s="489"/>
      <c r="M30" s="523"/>
      <c r="N30" s="523"/>
      <c r="O30" s="523"/>
      <c r="P30" s="523"/>
      <c r="Q30" s="491"/>
      <c r="R30" s="491"/>
      <c r="S30" s="492"/>
      <c r="T30" s="439"/>
      <c r="U30" s="489"/>
      <c r="V30" s="523"/>
      <c r="W30" s="523"/>
      <c r="X30" s="523"/>
      <c r="Y30" s="523"/>
      <c r="Z30" s="491"/>
      <c r="AA30" s="491"/>
      <c r="AB30" s="492"/>
    </row>
    <row r="31" spans="1:28" ht="15.75" x14ac:dyDescent="0.25">
      <c r="A31" s="437"/>
      <c r="B31" s="453" t="s">
        <v>289</v>
      </c>
      <c r="C31" s="493"/>
      <c r="D31" s="494"/>
      <c r="E31" s="494"/>
      <c r="F31" s="495"/>
      <c r="G31" s="524"/>
      <c r="H31" s="458">
        <f>SUM(H32:H36)</f>
        <v>133333.33333333331</v>
      </c>
      <c r="I31" s="497"/>
      <c r="J31" s="521" t="s">
        <v>286</v>
      </c>
      <c r="K31" s="522"/>
      <c r="L31" s="453" t="s">
        <v>289</v>
      </c>
      <c r="M31" s="493"/>
      <c r="N31" s="494"/>
      <c r="O31" s="494"/>
      <c r="P31" s="495"/>
      <c r="Q31" s="524"/>
      <c r="R31" s="458">
        <f>SUM(R32:R36)</f>
        <v>108000</v>
      </c>
      <c r="S31" s="497"/>
      <c r="T31" s="439"/>
      <c r="U31" s="453" t="s">
        <v>289</v>
      </c>
      <c r="V31" s="493"/>
      <c r="W31" s="494"/>
      <c r="X31" s="494"/>
      <c r="Y31" s="495"/>
      <c r="Z31" s="524"/>
      <c r="AA31" s="458">
        <f>SUM(AA32:AA36)</f>
        <v>109300</v>
      </c>
      <c r="AB31" s="497"/>
    </row>
    <row r="32" spans="1:28" ht="15.75" x14ac:dyDescent="0.25">
      <c r="A32" s="437"/>
      <c r="B32" s="483" t="s">
        <v>290</v>
      </c>
      <c r="C32" s="525">
        <v>2400</v>
      </c>
      <c r="D32" s="517">
        <v>12</v>
      </c>
      <c r="E32" s="517" t="s">
        <v>62</v>
      </c>
      <c r="F32" s="517"/>
      <c r="G32" s="518" t="s">
        <v>92</v>
      </c>
      <c r="H32" s="519">
        <f>C32/12*16</f>
        <v>3200</v>
      </c>
      <c r="I32" s="520" t="s">
        <v>26</v>
      </c>
      <c r="J32" s="521" t="s">
        <v>286</v>
      </c>
      <c r="K32" s="522"/>
      <c r="L32" s="483" t="s">
        <v>290</v>
      </c>
      <c r="M32" s="525">
        <v>2400</v>
      </c>
      <c r="N32" s="517">
        <v>12</v>
      </c>
      <c r="O32" s="517" t="s">
        <v>62</v>
      </c>
      <c r="P32" s="517"/>
      <c r="Q32" s="518" t="s">
        <v>93</v>
      </c>
      <c r="R32" s="519">
        <f>M32</f>
        <v>2400</v>
      </c>
      <c r="S32" s="520" t="s">
        <v>26</v>
      </c>
      <c r="T32" s="439"/>
      <c r="U32" s="483" t="s">
        <v>290</v>
      </c>
      <c r="V32" s="525">
        <v>2600</v>
      </c>
      <c r="W32" s="517">
        <v>12</v>
      </c>
      <c r="X32" s="517" t="s">
        <v>62</v>
      </c>
      <c r="Y32" s="517"/>
      <c r="Z32" s="518" t="s">
        <v>93</v>
      </c>
      <c r="AA32" s="519">
        <f>V32</f>
        <v>2600</v>
      </c>
      <c r="AB32" s="520" t="s">
        <v>26</v>
      </c>
    </row>
    <row r="33" spans="1:28" ht="18" x14ac:dyDescent="0.25">
      <c r="A33" s="437"/>
      <c r="B33" s="511" t="s">
        <v>291</v>
      </c>
      <c r="C33" s="526">
        <v>24000</v>
      </c>
      <c r="D33" s="484">
        <v>16</v>
      </c>
      <c r="E33" s="517" t="s">
        <v>62</v>
      </c>
      <c r="F33" s="527"/>
      <c r="G33" s="518" t="s">
        <v>92</v>
      </c>
      <c r="H33" s="519">
        <f t="shared" ref="H33" si="12">C33</f>
        <v>24000</v>
      </c>
      <c r="I33" s="520" t="s">
        <v>26</v>
      </c>
      <c r="J33" s="521" t="s">
        <v>286</v>
      </c>
      <c r="K33" s="522"/>
      <c r="L33" s="483" t="s">
        <v>292</v>
      </c>
      <c r="M33" s="526">
        <v>24000</v>
      </c>
      <c r="N33" s="484">
        <v>12</v>
      </c>
      <c r="O33" s="517" t="s">
        <v>62</v>
      </c>
      <c r="P33" s="527"/>
      <c r="Q33" s="518" t="s">
        <v>93</v>
      </c>
      <c r="R33" s="519">
        <f t="shared" ref="R33:R36" si="13">M33</f>
        <v>24000</v>
      </c>
      <c r="S33" s="520" t="s">
        <v>26</v>
      </c>
      <c r="T33" s="439"/>
      <c r="U33" s="483" t="s">
        <v>292</v>
      </c>
      <c r="V33" s="526">
        <v>24000</v>
      </c>
      <c r="W33" s="484">
        <v>12</v>
      </c>
      <c r="X33" s="517" t="s">
        <v>62</v>
      </c>
      <c r="Y33" s="527"/>
      <c r="Z33" s="518" t="s">
        <v>93</v>
      </c>
      <c r="AA33" s="519">
        <f t="shared" ref="AA33:AA36" si="14">V33</f>
        <v>24000</v>
      </c>
      <c r="AB33" s="520" t="s">
        <v>26</v>
      </c>
    </row>
    <row r="34" spans="1:28" ht="18" x14ac:dyDescent="0.25">
      <c r="A34" s="437"/>
      <c r="B34" s="511" t="s">
        <v>293</v>
      </c>
      <c r="C34" s="484">
        <v>70000</v>
      </c>
      <c r="D34" s="528">
        <v>12</v>
      </c>
      <c r="E34" s="484" t="s">
        <v>62</v>
      </c>
      <c r="F34" s="484"/>
      <c r="G34" s="518" t="s">
        <v>92</v>
      </c>
      <c r="H34" s="519">
        <f>C34/12*16</f>
        <v>93333.333333333328</v>
      </c>
      <c r="I34" s="520" t="s">
        <v>26</v>
      </c>
      <c r="J34" s="521" t="s">
        <v>286</v>
      </c>
      <c r="K34" s="522"/>
      <c r="L34" s="511" t="s">
        <v>294</v>
      </c>
      <c r="M34" s="484">
        <v>72000</v>
      </c>
      <c r="N34" s="528">
        <v>12</v>
      </c>
      <c r="O34" s="484" t="s">
        <v>62</v>
      </c>
      <c r="P34" s="484"/>
      <c r="Q34" s="518" t="s">
        <v>93</v>
      </c>
      <c r="R34" s="519">
        <f t="shared" si="13"/>
        <v>72000</v>
      </c>
      <c r="S34" s="520" t="s">
        <v>26</v>
      </c>
      <c r="T34" s="439"/>
      <c r="U34" s="511" t="s">
        <v>294</v>
      </c>
      <c r="V34" s="484">
        <v>73000</v>
      </c>
      <c r="W34" s="528">
        <v>12</v>
      </c>
      <c r="X34" s="484" t="s">
        <v>62</v>
      </c>
      <c r="Y34" s="484"/>
      <c r="Z34" s="518" t="s">
        <v>93</v>
      </c>
      <c r="AA34" s="519">
        <f t="shared" si="14"/>
        <v>73000</v>
      </c>
      <c r="AB34" s="520" t="s">
        <v>26</v>
      </c>
    </row>
    <row r="35" spans="1:28" ht="15.75" x14ac:dyDescent="0.25">
      <c r="A35" s="437"/>
      <c r="B35" s="529" t="s">
        <v>295</v>
      </c>
      <c r="C35" s="527">
        <v>3600</v>
      </c>
      <c r="D35" s="484">
        <v>12</v>
      </c>
      <c r="E35" s="517" t="s">
        <v>62</v>
      </c>
      <c r="F35" s="527"/>
      <c r="G35" s="518" t="s">
        <v>92</v>
      </c>
      <c r="H35" s="519">
        <f>C35/12*16</f>
        <v>4800</v>
      </c>
      <c r="I35" s="520" t="s">
        <v>26</v>
      </c>
      <c r="J35" s="521" t="s">
        <v>286</v>
      </c>
      <c r="K35" s="522"/>
      <c r="L35" s="529" t="s">
        <v>295</v>
      </c>
      <c r="M35" s="527">
        <v>3600</v>
      </c>
      <c r="N35" s="484">
        <v>12</v>
      </c>
      <c r="O35" s="517" t="s">
        <v>62</v>
      </c>
      <c r="P35" s="527"/>
      <c r="Q35" s="518" t="s">
        <v>93</v>
      </c>
      <c r="R35" s="519">
        <f t="shared" si="13"/>
        <v>3600</v>
      </c>
      <c r="S35" s="520" t="s">
        <v>26</v>
      </c>
      <c r="T35" s="439"/>
      <c r="U35" s="529" t="s">
        <v>295</v>
      </c>
      <c r="V35" s="527">
        <v>3600</v>
      </c>
      <c r="W35" s="484">
        <v>12</v>
      </c>
      <c r="X35" s="517" t="s">
        <v>62</v>
      </c>
      <c r="Y35" s="527"/>
      <c r="Z35" s="518" t="s">
        <v>93</v>
      </c>
      <c r="AA35" s="519">
        <f t="shared" si="14"/>
        <v>3600</v>
      </c>
      <c r="AB35" s="520" t="s">
        <v>26</v>
      </c>
    </row>
    <row r="36" spans="1:28" ht="18" x14ac:dyDescent="0.25">
      <c r="A36" s="437"/>
      <c r="B36" s="511" t="s">
        <v>296</v>
      </c>
      <c r="C36" s="484">
        <v>6000</v>
      </c>
      <c r="D36" s="528">
        <v>12</v>
      </c>
      <c r="E36" s="484" t="s">
        <v>62</v>
      </c>
      <c r="F36" s="484"/>
      <c r="G36" s="518" t="s">
        <v>92</v>
      </c>
      <c r="H36" s="519">
        <f>C36/12*16</f>
        <v>8000</v>
      </c>
      <c r="I36" s="520" t="s">
        <v>26</v>
      </c>
      <c r="J36" s="521" t="s">
        <v>286</v>
      </c>
      <c r="K36" s="522"/>
      <c r="L36" s="511" t="s">
        <v>296</v>
      </c>
      <c r="M36" s="484">
        <v>6000</v>
      </c>
      <c r="N36" s="528">
        <v>12</v>
      </c>
      <c r="O36" s="484" t="s">
        <v>62</v>
      </c>
      <c r="P36" s="484"/>
      <c r="Q36" s="518" t="s">
        <v>93</v>
      </c>
      <c r="R36" s="519">
        <f t="shared" si="13"/>
        <v>6000</v>
      </c>
      <c r="S36" s="520" t="s">
        <v>26</v>
      </c>
      <c r="T36" s="439"/>
      <c r="U36" s="511" t="s">
        <v>296</v>
      </c>
      <c r="V36" s="484">
        <v>6100</v>
      </c>
      <c r="W36" s="528">
        <v>12</v>
      </c>
      <c r="X36" s="484" t="s">
        <v>62</v>
      </c>
      <c r="Y36" s="484"/>
      <c r="Z36" s="518" t="s">
        <v>93</v>
      </c>
      <c r="AA36" s="519">
        <f t="shared" si="14"/>
        <v>6100</v>
      </c>
      <c r="AB36" s="520" t="s">
        <v>26</v>
      </c>
    </row>
    <row r="37" spans="1:28" ht="15.75" x14ac:dyDescent="0.25">
      <c r="A37" s="437"/>
      <c r="B37" s="530"/>
      <c r="C37" s="531"/>
      <c r="D37" s="531"/>
      <c r="E37" s="531"/>
      <c r="F37" s="531"/>
      <c r="G37" s="532"/>
      <c r="H37" s="533"/>
      <c r="I37" s="534"/>
      <c r="J37" s="521"/>
      <c r="K37" s="522"/>
      <c r="L37" s="535"/>
      <c r="M37" s="536"/>
      <c r="N37" s="536"/>
      <c r="O37" s="536"/>
      <c r="P37" s="536"/>
      <c r="Q37" s="537"/>
      <c r="R37" s="538"/>
      <c r="S37" s="534"/>
      <c r="T37" s="439"/>
      <c r="U37" s="535"/>
      <c r="V37" s="536"/>
      <c r="W37" s="536"/>
      <c r="X37" s="536"/>
      <c r="Y37" s="536"/>
      <c r="Z37" s="537"/>
      <c r="AA37" s="538"/>
      <c r="AB37" s="534"/>
    </row>
    <row r="38" spans="1:28" ht="15.75" x14ac:dyDescent="0.25">
      <c r="A38" s="437"/>
      <c r="B38" s="539" t="s">
        <v>297</v>
      </c>
      <c r="C38" s="493"/>
      <c r="D38" s="494"/>
      <c r="E38" s="494"/>
      <c r="F38" s="495"/>
      <c r="G38" s="524"/>
      <c r="H38" s="458">
        <f>SUM(H39)</f>
        <v>2000</v>
      </c>
      <c r="I38" s="497"/>
      <c r="J38" s="521" t="s">
        <v>286</v>
      </c>
      <c r="K38" s="522"/>
      <c r="L38" s="539" t="s">
        <v>297</v>
      </c>
      <c r="M38" s="493"/>
      <c r="N38" s="494"/>
      <c r="O38" s="494"/>
      <c r="P38" s="495"/>
      <c r="Q38" s="524"/>
      <c r="R38" s="458">
        <f>SUM(R39)</f>
        <v>3000</v>
      </c>
      <c r="S38" s="497"/>
      <c r="T38" s="439"/>
      <c r="U38" s="539" t="s">
        <v>297</v>
      </c>
      <c r="V38" s="493"/>
      <c r="W38" s="494"/>
      <c r="X38" s="494"/>
      <c r="Y38" s="495"/>
      <c r="Z38" s="524"/>
      <c r="AA38" s="458">
        <f>SUM(AA39)</f>
        <v>4500</v>
      </c>
      <c r="AB38" s="497"/>
    </row>
    <row r="39" spans="1:28" ht="15.75" x14ac:dyDescent="0.25">
      <c r="A39" s="437"/>
      <c r="B39" s="540" t="s">
        <v>298</v>
      </c>
      <c r="C39" s="525">
        <v>1500</v>
      </c>
      <c r="D39" s="517">
        <v>12</v>
      </c>
      <c r="E39" s="517" t="s">
        <v>62</v>
      </c>
      <c r="F39" s="517"/>
      <c r="G39" s="518" t="s">
        <v>92</v>
      </c>
      <c r="H39" s="519">
        <f>C39/12*16</f>
        <v>2000</v>
      </c>
      <c r="I39" s="520" t="s">
        <v>26</v>
      </c>
      <c r="J39" s="521" t="s">
        <v>286</v>
      </c>
      <c r="K39" s="522"/>
      <c r="L39" s="540" t="s">
        <v>298</v>
      </c>
      <c r="M39" s="525">
        <v>3000</v>
      </c>
      <c r="N39" s="517">
        <v>12</v>
      </c>
      <c r="O39" s="517" t="s">
        <v>62</v>
      </c>
      <c r="P39" s="517"/>
      <c r="Q39" s="518" t="s">
        <v>93</v>
      </c>
      <c r="R39" s="519">
        <f>M39</f>
        <v>3000</v>
      </c>
      <c r="S39" s="520" t="s">
        <v>26</v>
      </c>
      <c r="T39" s="439"/>
      <c r="U39" s="540" t="s">
        <v>298</v>
      </c>
      <c r="V39" s="525">
        <v>4500</v>
      </c>
      <c r="W39" s="517">
        <v>12</v>
      </c>
      <c r="X39" s="517" t="s">
        <v>62</v>
      </c>
      <c r="Y39" s="517"/>
      <c r="Z39" s="518" t="s">
        <v>92</v>
      </c>
      <c r="AA39" s="519">
        <f>V39</f>
        <v>4500</v>
      </c>
      <c r="AB39" s="520" t="s">
        <v>26</v>
      </c>
    </row>
    <row r="40" spans="1:28" ht="15.75" x14ac:dyDescent="0.25">
      <c r="A40" s="437"/>
      <c r="B40" s="541"/>
      <c r="C40" s="542"/>
      <c r="D40" s="543"/>
      <c r="E40" s="543"/>
      <c r="F40" s="525"/>
      <c r="G40" s="544"/>
      <c r="H40" s="519"/>
      <c r="I40" s="520"/>
      <c r="J40" s="521"/>
      <c r="K40" s="522"/>
      <c r="T40" s="439"/>
      <c r="U40" s="535"/>
      <c r="V40" s="536"/>
      <c r="W40" s="536"/>
      <c r="X40" s="536"/>
      <c r="Y40" s="536"/>
      <c r="Z40" s="537"/>
      <c r="AA40" s="538"/>
      <c r="AB40" s="534"/>
    </row>
    <row r="41" spans="1:28" ht="15.75" x14ac:dyDescent="0.25">
      <c r="A41" s="437"/>
      <c r="B41" s="545" t="s">
        <v>299</v>
      </c>
      <c r="C41" s="493"/>
      <c r="D41" s="494"/>
      <c r="E41" s="494"/>
      <c r="F41" s="495"/>
      <c r="G41" s="524"/>
      <c r="H41" s="458">
        <f>SUM(H42:H43)</f>
        <v>24747.333333333332</v>
      </c>
      <c r="I41" s="497"/>
      <c r="J41" s="521" t="s">
        <v>286</v>
      </c>
      <c r="K41" s="522"/>
      <c r="L41" s="545" t="s">
        <v>299</v>
      </c>
      <c r="M41" s="493"/>
      <c r="N41" s="494"/>
      <c r="O41" s="494"/>
      <c r="P41" s="495"/>
      <c r="Q41" s="524"/>
      <c r="R41" s="458">
        <f>SUM(R42:R43)</f>
        <v>17728.66</v>
      </c>
      <c r="S41" s="497"/>
      <c r="T41" s="439"/>
      <c r="U41" s="545" t="s">
        <v>299</v>
      </c>
      <c r="V41" s="493"/>
      <c r="W41" s="494"/>
      <c r="X41" s="494"/>
      <c r="Y41" s="495"/>
      <c r="Z41" s="524"/>
      <c r="AA41" s="458">
        <f>SUM(AA42:AA43)</f>
        <v>15102.45</v>
      </c>
      <c r="AB41" s="497"/>
    </row>
    <row r="42" spans="1:28" ht="15.75" x14ac:dyDescent="0.25">
      <c r="A42" s="437"/>
      <c r="B42" s="529" t="s">
        <v>302</v>
      </c>
      <c r="C42" s="517">
        <v>1870</v>
      </c>
      <c r="D42" s="517">
        <v>12</v>
      </c>
      <c r="E42" s="517" t="s">
        <v>62</v>
      </c>
      <c r="F42" s="517"/>
      <c r="G42" s="518" t="s">
        <v>92</v>
      </c>
      <c r="H42" s="519">
        <f>+'Tréso &amp; Emprunts'!R17</f>
        <v>3414</v>
      </c>
      <c r="I42" s="520" t="s">
        <v>26</v>
      </c>
      <c r="J42" s="521" t="s">
        <v>286</v>
      </c>
      <c r="K42" s="522"/>
      <c r="L42" s="529" t="s">
        <v>301</v>
      </c>
      <c r="M42" s="517">
        <v>1300</v>
      </c>
      <c r="N42" s="517">
        <v>12</v>
      </c>
      <c r="O42" s="517" t="s">
        <v>62</v>
      </c>
      <c r="P42" s="517"/>
      <c r="Q42" s="518" t="s">
        <v>93</v>
      </c>
      <c r="R42" s="519">
        <f>+'Tréso &amp; Emprunts'!S17</f>
        <v>1728.6599999999999</v>
      </c>
      <c r="S42" s="520" t="s">
        <v>26</v>
      </c>
      <c r="T42" s="439"/>
      <c r="U42" s="529" t="s">
        <v>301</v>
      </c>
      <c r="V42" s="517">
        <v>894</v>
      </c>
      <c r="W42" s="517">
        <v>12</v>
      </c>
      <c r="X42" s="517" t="s">
        <v>62</v>
      </c>
      <c r="Y42" s="517"/>
      <c r="Z42" s="518" t="s">
        <v>93</v>
      </c>
      <c r="AA42" s="519">
        <f>+'Tréso &amp; Emprunts'!T17</f>
        <v>1102.45</v>
      </c>
      <c r="AB42" s="520" t="s">
        <v>26</v>
      </c>
    </row>
    <row r="43" spans="1:28" ht="15.75" x14ac:dyDescent="0.25">
      <c r="A43" s="437"/>
      <c r="B43" s="483" t="s">
        <v>300</v>
      </c>
      <c r="C43" s="546">
        <v>16000</v>
      </c>
      <c r="D43" s="517">
        <v>12</v>
      </c>
      <c r="E43" s="517" t="s">
        <v>62</v>
      </c>
      <c r="F43" s="546"/>
      <c r="G43" s="518" t="s">
        <v>92</v>
      </c>
      <c r="H43" s="519">
        <f>C43/12*16</f>
        <v>21333.333333333332</v>
      </c>
      <c r="I43" s="520" t="s">
        <v>26</v>
      </c>
      <c r="J43" s="521" t="s">
        <v>286</v>
      </c>
      <c r="K43" s="522"/>
      <c r="L43" s="483" t="s">
        <v>300</v>
      </c>
      <c r="M43" s="546">
        <v>16000</v>
      </c>
      <c r="N43" s="517">
        <v>12</v>
      </c>
      <c r="O43" s="517" t="s">
        <v>62</v>
      </c>
      <c r="P43" s="546"/>
      <c r="Q43" s="518" t="s">
        <v>93</v>
      </c>
      <c r="R43" s="519">
        <f>M43</f>
        <v>16000</v>
      </c>
      <c r="S43" s="520" t="s">
        <v>26</v>
      </c>
      <c r="T43" s="439"/>
      <c r="U43" s="483" t="s">
        <v>300</v>
      </c>
      <c r="V43" s="546">
        <v>14000</v>
      </c>
      <c r="W43" s="517">
        <v>12</v>
      </c>
      <c r="X43" s="517" t="s">
        <v>62</v>
      </c>
      <c r="Y43" s="546"/>
      <c r="Z43" s="518" t="s">
        <v>93</v>
      </c>
      <c r="AA43" s="519">
        <f>V43</f>
        <v>14000</v>
      </c>
      <c r="AB43" s="520" t="s">
        <v>26</v>
      </c>
    </row>
    <row r="44" spans="1:28" x14ac:dyDescent="0.25">
      <c r="J44" s="53"/>
      <c r="K44" s="53"/>
    </row>
  </sheetData>
  <mergeCells count="6">
    <mergeCell ref="B5:H5"/>
    <mergeCell ref="L5:R5"/>
    <mergeCell ref="U5:AA5"/>
    <mergeCell ref="C7:H7"/>
    <mergeCell ref="M7:R7"/>
    <mergeCell ref="V7:AA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1"/>
  <sheetViews>
    <sheetView topLeftCell="A4" workbookViewId="0">
      <selection activeCell="B22" sqref="B22"/>
    </sheetView>
  </sheetViews>
  <sheetFormatPr baseColWidth="10" defaultRowHeight="15" x14ac:dyDescent="0.25"/>
  <cols>
    <col min="1" max="1" width="8.28515625" customWidth="1"/>
    <col min="2" max="2" width="29.28515625" customWidth="1"/>
  </cols>
  <sheetData>
    <row r="4" spans="2:19" ht="18.75" x14ac:dyDescent="0.3">
      <c r="B4" s="56" t="s">
        <v>255</v>
      </c>
    </row>
    <row r="7" spans="2:19" x14ac:dyDescent="0.25">
      <c r="B7" t="s">
        <v>256</v>
      </c>
      <c r="C7" s="414">
        <v>2000</v>
      </c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</row>
    <row r="8" spans="2:19" x14ac:dyDescent="0.25"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</row>
    <row r="9" spans="2:19" x14ac:dyDescent="0.25">
      <c r="B9" s="416" t="s">
        <v>445</v>
      </c>
      <c r="C9" s="425">
        <v>2021</v>
      </c>
      <c r="D9" s="296">
        <v>2022</v>
      </c>
      <c r="E9" s="296">
        <v>2023</v>
      </c>
      <c r="F9" s="296">
        <v>2024</v>
      </c>
      <c r="G9" s="297">
        <v>2025</v>
      </c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</row>
    <row r="10" spans="2:19" x14ac:dyDescent="0.25">
      <c r="B10" s="260"/>
      <c r="C10" s="426"/>
      <c r="D10" s="254"/>
      <c r="E10" s="254"/>
      <c r="F10" s="254"/>
      <c r="G10" s="255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</row>
    <row r="11" spans="2:19" x14ac:dyDescent="0.25">
      <c r="B11" s="421" t="s">
        <v>257</v>
      </c>
      <c r="C11" s="422">
        <v>3</v>
      </c>
      <c r="D11" s="427">
        <v>12</v>
      </c>
      <c r="E11" s="427">
        <v>12</v>
      </c>
      <c r="F11" s="428">
        <v>12</v>
      </c>
      <c r="G11" s="429">
        <v>12</v>
      </c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</row>
    <row r="12" spans="2:19" x14ac:dyDescent="0.25">
      <c r="B12" s="421" t="s">
        <v>260</v>
      </c>
      <c r="C12" s="423" t="s">
        <v>258</v>
      </c>
      <c r="D12" s="41" t="s">
        <v>259</v>
      </c>
      <c r="E12" s="41" t="s">
        <v>259</v>
      </c>
      <c r="F12" s="41" t="s">
        <v>259</v>
      </c>
      <c r="G12" s="424" t="s">
        <v>259</v>
      </c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</row>
    <row r="13" spans="2:19" x14ac:dyDescent="0.25">
      <c r="B13" s="421"/>
      <c r="C13" s="423"/>
      <c r="D13" s="41"/>
      <c r="E13" s="41"/>
      <c r="F13" s="41"/>
      <c r="G13" s="424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</row>
    <row r="14" spans="2:19" x14ac:dyDescent="0.25">
      <c r="B14" s="415" t="s">
        <v>261</v>
      </c>
      <c r="C14" s="418">
        <f>+$C7*C11</f>
        <v>6000</v>
      </c>
      <c r="D14" s="419">
        <f>+$C7*D11</f>
        <v>24000</v>
      </c>
      <c r="E14" s="419">
        <f>+$C7*E11</f>
        <v>24000</v>
      </c>
      <c r="F14" s="419">
        <f>+$C7*F11</f>
        <v>24000</v>
      </c>
      <c r="G14" s="420">
        <f>+$C7*G11</f>
        <v>24000</v>
      </c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</row>
    <row r="15" spans="2:19" x14ac:dyDescent="0.25"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</row>
    <row r="16" spans="2:19" x14ac:dyDescent="0.25">
      <c r="C16" s="298"/>
      <c r="D16" s="41" t="s">
        <v>448</v>
      </c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</row>
    <row r="17" spans="2:19" x14ac:dyDescent="0.25">
      <c r="B17" s="644" t="s">
        <v>446</v>
      </c>
      <c r="C17" s="645">
        <v>0</v>
      </c>
      <c r="D17" s="645">
        <v>18000</v>
      </c>
      <c r="E17" s="645">
        <v>24000</v>
      </c>
      <c r="F17" s="645">
        <v>24000</v>
      </c>
      <c r="G17" s="646">
        <v>24000</v>
      </c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</row>
    <row r="18" spans="2:19" x14ac:dyDescent="0.25"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</row>
    <row r="19" spans="2:19" x14ac:dyDescent="0.25"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</row>
    <row r="20" spans="2:19" x14ac:dyDescent="0.25"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</row>
    <row r="21" spans="2:19" x14ac:dyDescent="0.25"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</row>
    <row r="22" spans="2:19" x14ac:dyDescent="0.25"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</row>
    <row r="23" spans="2:19" x14ac:dyDescent="0.25"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</row>
    <row r="24" spans="2:19" x14ac:dyDescent="0.25"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</row>
    <row r="25" spans="2:19" x14ac:dyDescent="0.25"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</row>
    <row r="26" spans="2:19" x14ac:dyDescent="0.25"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</row>
    <row r="27" spans="2:19" x14ac:dyDescent="0.25"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</row>
    <row r="28" spans="2:19" x14ac:dyDescent="0.25"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</row>
    <row r="29" spans="2:19" x14ac:dyDescent="0.25"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</row>
    <row r="30" spans="2:19" x14ac:dyDescent="0.25"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</row>
    <row r="31" spans="2:19" x14ac:dyDescent="0.25"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</row>
    <row r="32" spans="2:19" x14ac:dyDescent="0.25"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</row>
    <row r="33" spans="3:19" x14ac:dyDescent="0.25"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</row>
    <row r="34" spans="3:19" x14ac:dyDescent="0.25"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</row>
    <row r="35" spans="3:19" x14ac:dyDescent="0.25"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</row>
    <row r="36" spans="3:19" x14ac:dyDescent="0.25"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</row>
    <row r="37" spans="3:19" x14ac:dyDescent="0.25"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</row>
    <row r="38" spans="3:19" x14ac:dyDescent="0.25"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</row>
    <row r="39" spans="3:19" x14ac:dyDescent="0.25"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</row>
    <row r="40" spans="3:19" x14ac:dyDescent="0.25"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</row>
    <row r="41" spans="3:19" x14ac:dyDescent="0.25"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</row>
    <row r="42" spans="3:19" x14ac:dyDescent="0.25"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</row>
    <row r="43" spans="3:19" x14ac:dyDescent="0.25"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</row>
    <row r="44" spans="3:19" x14ac:dyDescent="0.25"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</row>
    <row r="45" spans="3:19" x14ac:dyDescent="0.25"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</row>
    <row r="46" spans="3:19" x14ac:dyDescent="0.25"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</row>
    <row r="47" spans="3:19" x14ac:dyDescent="0.25"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</row>
    <row r="48" spans="3:19" x14ac:dyDescent="0.25"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</row>
    <row r="49" spans="3:18" x14ac:dyDescent="0.25"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</row>
    <row r="50" spans="3:18" x14ac:dyDescent="0.25"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</row>
    <row r="51" spans="3:18" x14ac:dyDescent="0.25"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66"/>
  <sheetViews>
    <sheetView topLeftCell="A45" workbookViewId="0">
      <selection activeCell="A63" sqref="A63"/>
    </sheetView>
  </sheetViews>
  <sheetFormatPr baseColWidth="10" defaultRowHeight="15" x14ac:dyDescent="0.25"/>
  <cols>
    <col min="2" max="2" width="18.140625" customWidth="1"/>
    <col min="3" max="3" width="17.5703125" customWidth="1"/>
    <col min="4" max="4" width="14.5703125" customWidth="1"/>
    <col min="8" max="8" width="19.85546875" customWidth="1"/>
    <col min="9" max="11" width="13.7109375" customWidth="1"/>
    <col min="12" max="12" width="9" customWidth="1"/>
  </cols>
  <sheetData>
    <row r="3" spans="2:14" ht="18.75" x14ac:dyDescent="0.3">
      <c r="B3" s="56" t="s">
        <v>26</v>
      </c>
    </row>
    <row r="5" spans="2:14" ht="18.75" x14ac:dyDescent="0.3">
      <c r="B5" s="56" t="s">
        <v>53</v>
      </c>
    </row>
    <row r="6" spans="2:14" ht="19.5" thickBot="1" x14ac:dyDescent="0.35">
      <c r="B6" s="56"/>
    </row>
    <row r="7" spans="2:14" x14ac:dyDescent="0.25">
      <c r="B7" s="57" t="s">
        <v>37</v>
      </c>
      <c r="H7" s="63" t="s">
        <v>54</v>
      </c>
      <c r="I7" s="64"/>
      <c r="J7" s="65"/>
    </row>
    <row r="8" spans="2:14" ht="42" customHeight="1" thickBot="1" x14ac:dyDescent="0.3">
      <c r="B8" s="1" t="s">
        <v>55</v>
      </c>
      <c r="E8" s="66" t="s">
        <v>56</v>
      </c>
      <c r="F8" s="20"/>
      <c r="G8" s="20"/>
      <c r="H8" s="67" t="s">
        <v>57</v>
      </c>
      <c r="I8" s="68" t="s">
        <v>58</v>
      </c>
      <c r="J8" s="69" t="s">
        <v>59</v>
      </c>
    </row>
    <row r="9" spans="2:14" x14ac:dyDescent="0.25">
      <c r="E9" s="60"/>
      <c r="F9" s="20"/>
      <c r="G9" s="20"/>
      <c r="H9" s="70"/>
      <c r="I9" s="71"/>
      <c r="J9" s="72"/>
      <c r="K9" s="60"/>
      <c r="L9" s="60"/>
      <c r="M9" s="60"/>
      <c r="N9" s="60"/>
    </row>
    <row r="10" spans="2:14" x14ac:dyDescent="0.25">
      <c r="B10" s="1" t="s">
        <v>60</v>
      </c>
      <c r="C10" t="s">
        <v>61</v>
      </c>
      <c r="E10" s="60">
        <v>2860.51</v>
      </c>
      <c r="F10" s="20" t="s">
        <v>62</v>
      </c>
      <c r="G10" s="20">
        <v>12</v>
      </c>
      <c r="H10" s="73">
        <f>+E10*G10</f>
        <v>34326.120000000003</v>
      </c>
      <c r="I10" s="60"/>
      <c r="J10" s="74"/>
      <c r="K10" s="60"/>
      <c r="L10" s="60"/>
      <c r="M10" s="60"/>
      <c r="N10" s="60"/>
    </row>
    <row r="11" spans="2:14" x14ac:dyDescent="0.25">
      <c r="C11" t="s">
        <v>63</v>
      </c>
      <c r="E11" s="60">
        <v>5470</v>
      </c>
      <c r="F11" s="20" t="s">
        <v>64</v>
      </c>
      <c r="G11" s="20">
        <v>4</v>
      </c>
      <c r="H11" s="73">
        <f>+G11*E11</f>
        <v>21880</v>
      </c>
      <c r="I11" s="60"/>
      <c r="J11" s="74"/>
      <c r="K11" s="60"/>
      <c r="L11" s="60"/>
      <c r="M11" s="60"/>
      <c r="N11" s="60"/>
    </row>
    <row r="12" spans="2:14" x14ac:dyDescent="0.25">
      <c r="E12" s="60"/>
      <c r="F12" s="20"/>
      <c r="G12" s="20"/>
      <c r="H12" s="75">
        <f>+H10+H11</f>
        <v>56206.12</v>
      </c>
      <c r="I12" s="62">
        <v>59057</v>
      </c>
      <c r="J12" s="76">
        <f>+I12-H12</f>
        <v>2850.8799999999974</v>
      </c>
      <c r="K12" s="60"/>
      <c r="L12" s="60"/>
      <c r="M12" s="60"/>
      <c r="N12" s="60"/>
    </row>
    <row r="13" spans="2:14" x14ac:dyDescent="0.25">
      <c r="E13" s="60"/>
      <c r="F13" s="20"/>
      <c r="G13" s="20"/>
      <c r="H13" s="73"/>
      <c r="I13" s="62"/>
      <c r="J13" s="76"/>
      <c r="K13" s="60"/>
      <c r="L13" s="60"/>
      <c r="M13" s="60"/>
      <c r="N13" s="60"/>
    </row>
    <row r="14" spans="2:14" x14ac:dyDescent="0.25">
      <c r="B14" s="1" t="s">
        <v>65</v>
      </c>
      <c r="C14" t="s">
        <v>61</v>
      </c>
      <c r="E14" s="60">
        <v>435</v>
      </c>
      <c r="F14" s="20" t="s">
        <v>62</v>
      </c>
      <c r="G14" s="20">
        <v>12</v>
      </c>
      <c r="H14" s="73">
        <f>+E14*G14</f>
        <v>5220</v>
      </c>
      <c r="I14" s="62"/>
      <c r="J14" s="76"/>
      <c r="K14" s="60"/>
      <c r="L14" s="60"/>
      <c r="M14" s="60"/>
      <c r="N14" s="60"/>
    </row>
    <row r="15" spans="2:14" x14ac:dyDescent="0.25">
      <c r="C15" t="s">
        <v>63</v>
      </c>
      <c r="E15" s="60">
        <v>732.5</v>
      </c>
      <c r="F15" s="20" t="s">
        <v>64</v>
      </c>
      <c r="G15" s="20">
        <v>4</v>
      </c>
      <c r="H15" s="73">
        <f>+G15*E15</f>
        <v>2930</v>
      </c>
      <c r="I15" s="62"/>
      <c r="J15" s="76"/>
      <c r="K15" s="60"/>
      <c r="L15" s="60"/>
      <c r="M15" s="60"/>
      <c r="N15" s="60"/>
    </row>
    <row r="16" spans="2:14" x14ac:dyDescent="0.25">
      <c r="E16" s="60"/>
      <c r="F16" s="20"/>
      <c r="G16" s="20"/>
      <c r="H16" s="75">
        <f>+H14+H15</f>
        <v>8150</v>
      </c>
      <c r="I16" s="62">
        <v>8883</v>
      </c>
      <c r="J16" s="76">
        <f>+I16-H16</f>
        <v>733</v>
      </c>
      <c r="K16" s="60"/>
      <c r="L16" s="60"/>
      <c r="M16" s="60"/>
      <c r="N16" s="60"/>
    </row>
    <row r="17" spans="2:14" x14ac:dyDescent="0.25">
      <c r="E17" s="60"/>
      <c r="F17" s="20"/>
      <c r="G17" s="20"/>
      <c r="H17" s="73"/>
      <c r="I17" s="62"/>
      <c r="J17" s="76" t="s">
        <v>41</v>
      </c>
      <c r="K17" s="60"/>
      <c r="L17" s="60"/>
      <c r="M17" s="60"/>
      <c r="N17" s="60"/>
    </row>
    <row r="18" spans="2:14" x14ac:dyDescent="0.25">
      <c r="B18" s="1" t="s">
        <v>66</v>
      </c>
      <c r="C18" t="s">
        <v>61</v>
      </c>
      <c r="E18" s="60">
        <v>445</v>
      </c>
      <c r="F18" s="20" t="s">
        <v>62</v>
      </c>
      <c r="G18" s="20">
        <v>12</v>
      </c>
      <c r="H18" s="73">
        <f>+E18*G18</f>
        <v>5340</v>
      </c>
      <c r="I18" s="62"/>
      <c r="J18" s="76" t="s">
        <v>41</v>
      </c>
      <c r="K18" s="60"/>
      <c r="L18" s="60"/>
      <c r="M18" s="60"/>
      <c r="N18" s="60"/>
    </row>
    <row r="19" spans="2:14" x14ac:dyDescent="0.25">
      <c r="C19" t="s">
        <v>63</v>
      </c>
      <c r="E19" s="60">
        <v>767.5</v>
      </c>
      <c r="F19" s="20" t="s">
        <v>64</v>
      </c>
      <c r="G19" s="20">
        <v>4</v>
      </c>
      <c r="H19" s="73">
        <f>+G19*E19</f>
        <v>3070</v>
      </c>
      <c r="I19" s="62"/>
      <c r="J19" s="76" t="s">
        <v>41</v>
      </c>
      <c r="K19" s="60"/>
      <c r="L19" s="60"/>
      <c r="M19" s="60"/>
      <c r="N19" s="60"/>
    </row>
    <row r="20" spans="2:14" x14ac:dyDescent="0.25">
      <c r="E20" s="60"/>
      <c r="F20" s="20"/>
      <c r="G20" s="20"/>
      <c r="H20" s="75">
        <f>+H18+H19</f>
        <v>8410</v>
      </c>
      <c r="I20" s="62">
        <v>14226</v>
      </c>
      <c r="J20" s="76">
        <f>+I20-H20</f>
        <v>5816</v>
      </c>
      <c r="K20" s="60"/>
      <c r="L20" s="60"/>
      <c r="M20" s="60"/>
      <c r="N20" s="60"/>
    </row>
    <row r="21" spans="2:14" x14ac:dyDescent="0.25">
      <c r="E21" s="60"/>
      <c r="F21" s="20"/>
      <c r="G21" s="20"/>
      <c r="H21" s="73"/>
      <c r="I21" s="60"/>
      <c r="J21" s="74"/>
      <c r="K21" s="60"/>
      <c r="L21" s="60"/>
      <c r="M21" s="60"/>
      <c r="N21" s="60"/>
    </row>
    <row r="22" spans="2:14" x14ac:dyDescent="0.25">
      <c r="E22" s="60"/>
      <c r="F22" s="20"/>
      <c r="G22" s="20"/>
      <c r="H22" s="73"/>
      <c r="I22" s="62">
        <f>SUM(I12:I21)</f>
        <v>82166</v>
      </c>
      <c r="J22" s="76">
        <f>SUM(J12:J21)</f>
        <v>9399.8799999999974</v>
      </c>
      <c r="K22" s="60" t="s">
        <v>67</v>
      </c>
      <c r="L22" s="60"/>
      <c r="M22" s="60"/>
      <c r="N22" s="60"/>
    </row>
    <row r="23" spans="2:14" x14ac:dyDescent="0.25">
      <c r="E23" s="60"/>
      <c r="F23" s="20"/>
      <c r="G23" s="20"/>
      <c r="H23" s="73"/>
      <c r="I23" s="60"/>
      <c r="J23" s="74"/>
      <c r="K23" s="60"/>
      <c r="L23" s="60"/>
      <c r="M23" s="60"/>
      <c r="N23" s="60"/>
    </row>
    <row r="24" spans="2:14" x14ac:dyDescent="0.25">
      <c r="B24" s="1" t="s">
        <v>68</v>
      </c>
      <c r="E24" s="60"/>
      <c r="F24" s="20"/>
      <c r="G24" s="20"/>
      <c r="H24" s="73"/>
      <c r="I24" s="60"/>
      <c r="J24" s="74"/>
      <c r="K24" s="60"/>
      <c r="L24" s="60"/>
      <c r="M24" s="60"/>
      <c r="N24" s="60"/>
    </row>
    <row r="25" spans="2:14" x14ac:dyDescent="0.25">
      <c r="E25" s="60"/>
      <c r="F25" s="20"/>
      <c r="G25" s="20"/>
      <c r="H25" s="73"/>
      <c r="I25" s="60"/>
      <c r="J25" s="74"/>
      <c r="K25" s="60"/>
      <c r="L25" s="60"/>
      <c r="M25" s="60"/>
      <c r="N25" s="60"/>
    </row>
    <row r="26" spans="2:14" x14ac:dyDescent="0.25">
      <c r="B26" s="1" t="s">
        <v>60</v>
      </c>
      <c r="C26" t="s">
        <v>61</v>
      </c>
      <c r="E26" s="60">
        <v>2860.51</v>
      </c>
      <c r="F26" s="20" t="s">
        <v>62</v>
      </c>
      <c r="G26" s="20">
        <v>10</v>
      </c>
      <c r="H26" s="73">
        <f>+E26*G26</f>
        <v>28605.100000000002</v>
      </c>
      <c r="I26" s="60"/>
      <c r="J26" s="74"/>
      <c r="K26" s="60"/>
      <c r="L26" s="60"/>
      <c r="M26" s="60"/>
      <c r="N26" s="60"/>
    </row>
    <row r="27" spans="2:14" x14ac:dyDescent="0.25">
      <c r="C27" t="s">
        <v>63</v>
      </c>
      <c r="E27" s="60">
        <v>5470</v>
      </c>
      <c r="F27" s="20" t="s">
        <v>64</v>
      </c>
      <c r="G27" s="77">
        <v>3.3333333000000001</v>
      </c>
      <c r="H27" s="73">
        <f>+G27*E27</f>
        <v>18233.333150999999</v>
      </c>
      <c r="I27" s="60"/>
      <c r="J27" s="74"/>
      <c r="K27" s="60"/>
      <c r="L27" s="60"/>
      <c r="M27" s="60"/>
      <c r="N27" s="60"/>
    </row>
    <row r="28" spans="2:14" x14ac:dyDescent="0.25">
      <c r="E28" s="60"/>
      <c r="F28" s="20"/>
      <c r="G28" s="20"/>
      <c r="H28" s="75">
        <f>+H26+H27</f>
        <v>46838.433151000005</v>
      </c>
      <c r="I28" s="62">
        <v>42147</v>
      </c>
      <c r="J28" s="76">
        <f>+I28-H28</f>
        <v>-4691.4331510000047</v>
      </c>
      <c r="K28" s="60"/>
      <c r="L28" s="60"/>
      <c r="M28" s="60"/>
      <c r="N28" s="60"/>
    </row>
    <row r="29" spans="2:14" x14ac:dyDescent="0.25">
      <c r="E29" s="60"/>
      <c r="F29" s="20"/>
      <c r="G29" s="20"/>
      <c r="H29" s="73"/>
      <c r="I29" s="62"/>
      <c r="J29" s="76"/>
      <c r="K29" s="60"/>
      <c r="L29" s="60"/>
      <c r="M29" s="60"/>
      <c r="N29" s="60"/>
    </row>
    <row r="30" spans="2:14" x14ac:dyDescent="0.25">
      <c r="B30" s="1" t="s">
        <v>65</v>
      </c>
      <c r="C30" t="s">
        <v>61</v>
      </c>
      <c r="E30" s="60">
        <v>435</v>
      </c>
      <c r="F30" s="20" t="s">
        <v>62</v>
      </c>
      <c r="G30" s="20">
        <v>10</v>
      </c>
      <c r="H30" s="73">
        <f>+E30*G30</f>
        <v>4350</v>
      </c>
      <c r="I30" s="62"/>
      <c r="J30" s="76"/>
      <c r="K30" s="60"/>
      <c r="L30" s="60"/>
      <c r="M30" s="60"/>
      <c r="N30" s="60"/>
    </row>
    <row r="31" spans="2:14" x14ac:dyDescent="0.25">
      <c r="C31" t="s">
        <v>63</v>
      </c>
      <c r="E31" s="60">
        <v>732.5</v>
      </c>
      <c r="F31" s="20" t="s">
        <v>64</v>
      </c>
      <c r="G31" s="77">
        <v>3.3333333000000001</v>
      </c>
      <c r="H31" s="73">
        <f>+G31*E31</f>
        <v>2441.6666422500002</v>
      </c>
      <c r="I31" s="62"/>
      <c r="J31" s="76"/>
      <c r="K31" s="60"/>
      <c r="L31" s="60"/>
      <c r="M31" s="60"/>
      <c r="N31" s="60"/>
    </row>
    <row r="32" spans="2:14" x14ac:dyDescent="0.25">
      <c r="E32" s="60"/>
      <c r="F32" s="20"/>
      <c r="G32" s="20"/>
      <c r="H32" s="75">
        <f>+H30+H31</f>
        <v>6791.6666422500002</v>
      </c>
      <c r="I32" s="62">
        <v>6547</v>
      </c>
      <c r="J32" s="76">
        <f>+I32-H32</f>
        <v>-244.66664225000022</v>
      </c>
      <c r="K32" s="60"/>
      <c r="L32" s="60"/>
      <c r="M32" s="60"/>
      <c r="N32" s="60"/>
    </row>
    <row r="33" spans="2:20" x14ac:dyDescent="0.25">
      <c r="E33" s="60"/>
      <c r="F33" s="20"/>
      <c r="G33" s="20"/>
      <c r="H33" s="73"/>
      <c r="I33" s="62"/>
      <c r="J33" s="76" t="s">
        <v>41</v>
      </c>
      <c r="K33" s="60"/>
      <c r="L33" s="60"/>
      <c r="M33" s="60"/>
      <c r="N33" s="60"/>
    </row>
    <row r="34" spans="2:20" x14ac:dyDescent="0.25">
      <c r="B34" s="1" t="s">
        <v>66</v>
      </c>
      <c r="C34" t="s">
        <v>61</v>
      </c>
      <c r="E34" s="60">
        <v>445</v>
      </c>
      <c r="F34" s="20" t="s">
        <v>62</v>
      </c>
      <c r="G34" s="20">
        <v>10</v>
      </c>
      <c r="H34" s="73">
        <f>+E34*G34</f>
        <v>4450</v>
      </c>
      <c r="I34" s="62"/>
      <c r="J34" s="76" t="s">
        <v>41</v>
      </c>
      <c r="K34" s="60"/>
      <c r="L34" s="60"/>
      <c r="M34" s="60"/>
      <c r="N34" s="60"/>
    </row>
    <row r="35" spans="2:20" x14ac:dyDescent="0.25">
      <c r="C35" t="s">
        <v>63</v>
      </c>
      <c r="E35" s="60">
        <v>767.5</v>
      </c>
      <c r="F35" s="20" t="s">
        <v>64</v>
      </c>
      <c r="G35" s="77">
        <v>3.3333333000000001</v>
      </c>
      <c r="H35" s="73">
        <f>+G35*E35</f>
        <v>2558.3333077500001</v>
      </c>
      <c r="I35" s="62" t="s">
        <v>41</v>
      </c>
      <c r="J35" s="76" t="s">
        <v>41</v>
      </c>
      <c r="K35" s="60"/>
      <c r="L35" s="60"/>
      <c r="M35" s="60"/>
      <c r="N35" s="60"/>
    </row>
    <row r="36" spans="2:20" x14ac:dyDescent="0.25">
      <c r="E36" s="60"/>
      <c r="F36" s="20"/>
      <c r="G36" s="20"/>
      <c r="H36" s="75">
        <f>+H34+H35</f>
        <v>7008.3333077500001</v>
      </c>
      <c r="I36" s="62">
        <v>3886</v>
      </c>
      <c r="J36" s="76">
        <f>+I36-H36</f>
        <v>-3122.3333077500001</v>
      </c>
      <c r="K36" s="60"/>
      <c r="L36" s="60"/>
      <c r="M36" s="60"/>
      <c r="N36" s="60"/>
    </row>
    <row r="37" spans="2:20" ht="15.75" thickBot="1" x14ac:dyDescent="0.3">
      <c r="E37" s="60"/>
      <c r="H37" s="73"/>
      <c r="I37" s="60"/>
      <c r="J37" s="74"/>
      <c r="K37" s="60"/>
      <c r="L37" s="60"/>
      <c r="M37" s="60"/>
      <c r="N37" s="60"/>
    </row>
    <row r="38" spans="2:20" ht="15.75" thickBot="1" x14ac:dyDescent="0.3">
      <c r="E38" s="60"/>
      <c r="H38" s="78"/>
      <c r="I38" s="79">
        <f>SUM(I28:I37)</f>
        <v>52580</v>
      </c>
      <c r="J38" s="80">
        <f>SUM(J28:J37)</f>
        <v>-8058.4331010000051</v>
      </c>
      <c r="K38" s="143" t="s">
        <v>69</v>
      </c>
      <c r="L38" s="143"/>
      <c r="M38" s="143"/>
      <c r="N38" s="143"/>
      <c r="O38" s="144"/>
      <c r="P38" s="144"/>
      <c r="Q38" s="144"/>
      <c r="R38" s="144"/>
      <c r="S38" s="144"/>
      <c r="T38" s="144"/>
    </row>
    <row r="39" spans="2:20" x14ac:dyDescent="0.25">
      <c r="E39" s="60"/>
      <c r="H39" s="60"/>
      <c r="I39" s="60"/>
      <c r="J39" s="60"/>
      <c r="K39" s="143" t="s">
        <v>104</v>
      </c>
      <c r="L39" s="143"/>
      <c r="M39" s="143"/>
      <c r="N39" s="143"/>
      <c r="O39" s="144"/>
      <c r="P39" s="144"/>
      <c r="Q39" s="144"/>
      <c r="R39" s="144"/>
    </row>
    <row r="40" spans="2:20" ht="15.75" thickBot="1" x14ac:dyDescent="0.3">
      <c r="E40" s="60"/>
      <c r="H40" s="60"/>
      <c r="I40" s="60"/>
      <c r="J40" s="60"/>
      <c r="K40" s="60"/>
      <c r="L40" s="60"/>
      <c r="M40" s="60"/>
      <c r="N40" s="60"/>
    </row>
    <row r="41" spans="2:20" ht="15.75" thickBot="1" x14ac:dyDescent="0.3">
      <c r="E41" s="60"/>
      <c r="H41" s="60"/>
      <c r="I41" s="750" t="s">
        <v>70</v>
      </c>
      <c r="J41" s="751"/>
      <c r="K41" s="751"/>
      <c r="L41" s="752"/>
      <c r="M41" s="60"/>
      <c r="N41" s="60"/>
    </row>
    <row r="42" spans="2:20" ht="30" x14ac:dyDescent="0.25">
      <c r="E42" s="60"/>
      <c r="H42" s="60"/>
      <c r="I42" s="81" t="s">
        <v>26</v>
      </c>
      <c r="J42" s="82" t="s">
        <v>71</v>
      </c>
      <c r="K42" s="82" t="s">
        <v>27</v>
      </c>
      <c r="L42" s="83" t="s">
        <v>72</v>
      </c>
      <c r="M42" s="60"/>
      <c r="N42" s="60"/>
    </row>
    <row r="43" spans="2:20" x14ac:dyDescent="0.25">
      <c r="B43" s="1" t="s">
        <v>73</v>
      </c>
      <c r="E43" s="60"/>
      <c r="H43" s="60"/>
      <c r="I43" s="84" t="s">
        <v>74</v>
      </c>
      <c r="J43" s="85" t="s">
        <v>74</v>
      </c>
      <c r="K43" s="85" t="s">
        <v>75</v>
      </c>
      <c r="L43" s="74"/>
      <c r="M43" s="60"/>
      <c r="N43" s="60"/>
    </row>
    <row r="44" spans="2:20" x14ac:dyDescent="0.25">
      <c r="E44" s="60"/>
      <c r="H44" s="60"/>
      <c r="I44" s="73"/>
      <c r="J44" s="60"/>
      <c r="K44" s="60"/>
      <c r="L44" s="74"/>
      <c r="M44" s="60"/>
      <c r="N44" s="60"/>
    </row>
    <row r="45" spans="2:20" x14ac:dyDescent="0.25">
      <c r="B45" s="1" t="s">
        <v>60</v>
      </c>
      <c r="C45" t="s">
        <v>61</v>
      </c>
      <c r="E45" s="60">
        <v>2860.51</v>
      </c>
      <c r="F45" t="s">
        <v>62</v>
      </c>
      <c r="G45">
        <v>12</v>
      </c>
      <c r="H45" s="60">
        <f>+E45*G45</f>
        <v>34326.120000000003</v>
      </c>
      <c r="I45" s="86"/>
      <c r="J45" s="87"/>
      <c r="K45" s="87"/>
      <c r="L45" s="88"/>
      <c r="M45" s="60"/>
      <c r="N45" s="60"/>
    </row>
    <row r="46" spans="2:20" x14ac:dyDescent="0.25">
      <c r="C46" t="s">
        <v>63</v>
      </c>
      <c r="E46" s="60">
        <v>5470</v>
      </c>
      <c r="F46" t="s">
        <v>64</v>
      </c>
      <c r="G46" s="89">
        <v>4</v>
      </c>
      <c r="H46" s="60">
        <f>+G46*E46</f>
        <v>21880</v>
      </c>
      <c r="I46" s="86"/>
      <c r="J46" s="87"/>
      <c r="K46" s="87"/>
      <c r="L46" s="88"/>
      <c r="M46" s="60"/>
      <c r="N46" s="60"/>
    </row>
    <row r="47" spans="2:20" x14ac:dyDescent="0.25">
      <c r="E47" s="60"/>
      <c r="H47" s="62">
        <f>+H45+H46</f>
        <v>56206.12</v>
      </c>
      <c r="I47" s="86" t="s">
        <v>41</v>
      </c>
      <c r="J47" s="87" t="s">
        <v>41</v>
      </c>
      <c r="K47" s="87"/>
      <c r="L47" s="88"/>
      <c r="M47" s="60"/>
      <c r="N47" s="60"/>
    </row>
    <row r="48" spans="2:20" x14ac:dyDescent="0.25">
      <c r="E48" s="60"/>
      <c r="H48" s="60"/>
      <c r="I48" s="86"/>
      <c r="J48" s="87"/>
      <c r="K48" s="87"/>
      <c r="L48" s="88"/>
      <c r="M48" s="60"/>
      <c r="N48" s="60"/>
    </row>
    <row r="49" spans="2:25" x14ac:dyDescent="0.25">
      <c r="B49" s="1" t="s">
        <v>65</v>
      </c>
      <c r="C49" t="s">
        <v>61</v>
      </c>
      <c r="E49" s="60">
        <v>435</v>
      </c>
      <c r="F49" t="s">
        <v>62</v>
      </c>
      <c r="G49">
        <v>12</v>
      </c>
      <c r="H49" s="60">
        <f>+E49*G49</f>
        <v>5220</v>
      </c>
      <c r="I49" s="86"/>
      <c r="J49" s="87"/>
      <c r="K49" s="87"/>
      <c r="L49" s="88"/>
      <c r="M49" s="60"/>
      <c r="N49" s="60"/>
    </row>
    <row r="50" spans="2:25" x14ac:dyDescent="0.25">
      <c r="C50" t="s">
        <v>63</v>
      </c>
      <c r="E50" s="60">
        <v>732.5</v>
      </c>
      <c r="F50" t="s">
        <v>64</v>
      </c>
      <c r="G50" s="89">
        <v>4</v>
      </c>
      <c r="H50" s="60">
        <f>+G50*E50</f>
        <v>2930</v>
      </c>
      <c r="I50" s="86"/>
      <c r="J50" s="87"/>
      <c r="K50" s="87"/>
      <c r="L50" s="88"/>
      <c r="M50" s="60"/>
      <c r="N50" s="60"/>
    </row>
    <row r="51" spans="2:25" x14ac:dyDescent="0.25">
      <c r="E51" s="60"/>
      <c r="H51" s="62">
        <f>+H49+H50</f>
        <v>8150</v>
      </c>
      <c r="I51" s="86"/>
      <c r="J51" s="87"/>
      <c r="K51" s="87"/>
      <c r="L51" s="88"/>
      <c r="M51" s="60"/>
      <c r="N51" s="60"/>
    </row>
    <row r="52" spans="2:25" x14ac:dyDescent="0.25">
      <c r="E52" s="60"/>
      <c r="H52" s="60"/>
      <c r="I52" s="86"/>
      <c r="J52" s="87"/>
      <c r="K52" s="87"/>
      <c r="L52" s="88"/>
      <c r="M52" s="60"/>
      <c r="N52" s="60"/>
    </row>
    <row r="53" spans="2:25" x14ac:dyDescent="0.25">
      <c r="B53" s="1" t="s">
        <v>66</v>
      </c>
      <c r="C53" t="s">
        <v>61</v>
      </c>
      <c r="E53" s="60">
        <v>445</v>
      </c>
      <c r="F53" t="s">
        <v>62</v>
      </c>
      <c r="G53">
        <v>12</v>
      </c>
      <c r="H53" s="60">
        <f>+E53*G53</f>
        <v>5340</v>
      </c>
      <c r="I53" s="86"/>
      <c r="J53" s="87"/>
      <c r="K53" s="87"/>
      <c r="L53" s="88"/>
      <c r="M53" s="60"/>
      <c r="N53" s="60"/>
    </row>
    <row r="54" spans="2:25" x14ac:dyDescent="0.25">
      <c r="C54" t="s">
        <v>63</v>
      </c>
      <c r="E54" s="60">
        <v>767.5</v>
      </c>
      <c r="F54" t="s">
        <v>64</v>
      </c>
      <c r="G54" s="89">
        <v>4</v>
      </c>
      <c r="H54" s="60">
        <f>+G54*E54</f>
        <v>3070</v>
      </c>
      <c r="I54" s="86"/>
      <c r="J54" s="87"/>
      <c r="K54" s="87"/>
      <c r="L54" s="88"/>
      <c r="M54" s="60"/>
      <c r="N54" s="60"/>
    </row>
    <row r="55" spans="2:25" x14ac:dyDescent="0.25">
      <c r="E55" s="60"/>
      <c r="H55" s="62">
        <f>+H53+H54</f>
        <v>8410</v>
      </c>
      <c r="I55" s="86"/>
      <c r="J55" s="87"/>
      <c r="K55" s="87"/>
      <c r="L55" s="88"/>
      <c r="M55" s="60"/>
      <c r="N55" s="60"/>
    </row>
    <row r="56" spans="2:25" ht="15.75" thickBot="1" x14ac:dyDescent="0.3">
      <c r="C56" s="90"/>
      <c r="E56" s="60"/>
      <c r="H56" s="60"/>
      <c r="I56" s="86"/>
      <c r="J56" s="87"/>
      <c r="K56" s="87"/>
      <c r="L56" s="88"/>
      <c r="M56" s="60"/>
      <c r="N56" s="60"/>
    </row>
    <row r="57" spans="2:25" x14ac:dyDescent="0.25">
      <c r="B57" s="91" t="s">
        <v>76</v>
      </c>
      <c r="C57" t="s">
        <v>61</v>
      </c>
      <c r="D57" s="92"/>
      <c r="E57" s="71">
        <f>+E45+E49+E53</f>
        <v>3740.51</v>
      </c>
      <c r="F57" s="92" t="s">
        <v>62</v>
      </c>
      <c r="G57" s="92">
        <v>12</v>
      </c>
      <c r="H57" s="71">
        <f>+E57*G57</f>
        <v>44886.12</v>
      </c>
      <c r="I57" s="70"/>
      <c r="J57" s="71"/>
      <c r="K57" s="71">
        <f>H57*K60</f>
        <v>44886.12</v>
      </c>
      <c r="L57" s="72"/>
      <c r="M57" s="60"/>
      <c r="N57" s="60"/>
    </row>
    <row r="58" spans="2:25" ht="15.75" thickBot="1" x14ac:dyDescent="0.3">
      <c r="B58" s="42"/>
      <c r="C58" t="s">
        <v>63</v>
      </c>
      <c r="E58" s="60">
        <f>+E46+E50+E54</f>
        <v>6970</v>
      </c>
      <c r="F58" t="s">
        <v>64</v>
      </c>
      <c r="G58" s="89">
        <v>4</v>
      </c>
      <c r="H58" s="60">
        <f>+G58*E58</f>
        <v>27880</v>
      </c>
      <c r="I58" s="73">
        <f>H58*I60</f>
        <v>11152</v>
      </c>
      <c r="J58" s="60">
        <f>H58*J60</f>
        <v>16728</v>
      </c>
      <c r="K58" s="60"/>
      <c r="L58" s="74"/>
      <c r="M58" s="60"/>
      <c r="N58" s="60"/>
    </row>
    <row r="59" spans="2:25" ht="15.75" thickBot="1" x14ac:dyDescent="0.3">
      <c r="B59" s="48"/>
      <c r="C59" s="90"/>
      <c r="D59" s="90"/>
      <c r="E59" s="93"/>
      <c r="F59" s="90"/>
      <c r="G59" s="90"/>
      <c r="H59" s="94">
        <f>+H57+H58</f>
        <v>72766.12</v>
      </c>
      <c r="I59" s="95">
        <f>SUM(I57:I58)</f>
        <v>11152</v>
      </c>
      <c r="J59" s="95">
        <f>SUM(J57:J58)</f>
        <v>16728</v>
      </c>
      <c r="K59" s="96">
        <f>SUM(K57:K58)</f>
        <v>44886.12</v>
      </c>
      <c r="L59" s="97">
        <f>SUM(I59:K59)</f>
        <v>72766.12</v>
      </c>
      <c r="M59" s="60"/>
      <c r="N59" s="60"/>
    </row>
    <row r="60" spans="2:25" ht="15.75" thickBot="1" x14ac:dyDescent="0.3">
      <c r="E60" s="60"/>
      <c r="H60" s="62" t="s">
        <v>41</v>
      </c>
      <c r="I60" s="98">
        <v>0.4</v>
      </c>
      <c r="J60" s="98">
        <v>0.6</v>
      </c>
      <c r="K60" s="98">
        <v>1</v>
      </c>
      <c r="L60" s="99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2:25" x14ac:dyDescent="0.25">
      <c r="E61" s="60"/>
      <c r="H61" s="60"/>
      <c r="I61" s="60" t="s">
        <v>41</v>
      </c>
      <c r="J61" s="60" t="s">
        <v>41</v>
      </c>
      <c r="K61" s="60"/>
      <c r="L61" s="60"/>
      <c r="M61" s="60"/>
      <c r="N61" s="60"/>
    </row>
    <row r="62" spans="2:25" x14ac:dyDescent="0.25">
      <c r="E62" s="60"/>
      <c r="H62" s="60"/>
      <c r="I62" s="60"/>
      <c r="J62" s="60"/>
      <c r="K62" s="60"/>
      <c r="L62" s="60"/>
      <c r="M62" s="60"/>
      <c r="N62" s="60"/>
    </row>
    <row r="63" spans="2:25" x14ac:dyDescent="0.25">
      <c r="E63" s="60"/>
    </row>
    <row r="64" spans="2:25" x14ac:dyDescent="0.25">
      <c r="E64" s="60"/>
    </row>
    <row r="65" spans="5:5" x14ac:dyDescent="0.25">
      <c r="E65" s="60"/>
    </row>
    <row r="66" spans="5:5" x14ac:dyDescent="0.25">
      <c r="E66" s="60"/>
    </row>
  </sheetData>
  <mergeCells count="1">
    <mergeCell ref="I41:L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topLeftCell="A7" workbookViewId="0">
      <selection activeCell="F11" sqref="F11"/>
    </sheetView>
  </sheetViews>
  <sheetFormatPr baseColWidth="10" defaultRowHeight="15" x14ac:dyDescent="0.25"/>
  <cols>
    <col min="2" max="2" width="64.42578125" customWidth="1"/>
  </cols>
  <sheetData>
    <row r="2" spans="2:13" ht="18.75" x14ac:dyDescent="0.3">
      <c r="B2" s="56" t="s">
        <v>26</v>
      </c>
    </row>
    <row r="3" spans="2:13" ht="18.75" x14ac:dyDescent="0.3">
      <c r="B3" s="56" t="s">
        <v>36</v>
      </c>
    </row>
    <row r="6" spans="2:13" x14ac:dyDescent="0.25">
      <c r="B6" s="57" t="s">
        <v>37</v>
      </c>
      <c r="C6" s="58" t="s">
        <v>38</v>
      </c>
      <c r="D6" s="58" t="s">
        <v>39</v>
      </c>
      <c r="E6" s="58"/>
      <c r="F6" s="58"/>
      <c r="G6" s="58"/>
      <c r="H6" s="58"/>
      <c r="I6" s="58"/>
      <c r="J6" s="58"/>
      <c r="K6" s="58"/>
      <c r="L6" s="58"/>
      <c r="M6" s="58"/>
    </row>
    <row r="8" spans="2:13" x14ac:dyDescent="0.25">
      <c r="B8" s="1" t="s">
        <v>40</v>
      </c>
    </row>
    <row r="9" spans="2:13" x14ac:dyDescent="0.25">
      <c r="B9" s="59" t="s">
        <v>344</v>
      </c>
      <c r="C9" s="60">
        <v>1989</v>
      </c>
      <c r="D9" s="60" t="s">
        <v>41</v>
      </c>
      <c r="E9" s="60"/>
      <c r="F9" s="60"/>
      <c r="G9" s="60"/>
      <c r="H9" s="60"/>
      <c r="I9" s="60"/>
      <c r="J9" s="60"/>
    </row>
    <row r="10" spans="2:13" x14ac:dyDescent="0.25">
      <c r="B10" s="61" t="s">
        <v>42</v>
      </c>
      <c r="C10" s="616">
        <v>1269.9100000000001</v>
      </c>
      <c r="D10" s="60" t="s">
        <v>41</v>
      </c>
      <c r="E10" s="60" t="s">
        <v>43</v>
      </c>
      <c r="F10" s="617" t="s">
        <v>345</v>
      </c>
      <c r="G10" s="60"/>
      <c r="H10" s="60"/>
      <c r="I10" s="60"/>
      <c r="J10" s="60"/>
      <c r="L10" s="13"/>
    </row>
    <row r="11" spans="2:13" x14ac:dyDescent="0.25">
      <c r="B11" s="3" t="s">
        <v>44</v>
      </c>
      <c r="C11" s="62">
        <f>+C9+C10</f>
        <v>3258.91</v>
      </c>
      <c r="D11" s="62" t="s">
        <v>45</v>
      </c>
      <c r="E11" s="60"/>
      <c r="F11" s="60"/>
      <c r="G11" s="60"/>
      <c r="H11" s="60"/>
      <c r="I11" s="60"/>
      <c r="J11" s="60"/>
    </row>
    <row r="12" spans="2:13" x14ac:dyDescent="0.25">
      <c r="C12" s="60"/>
      <c r="D12" s="60"/>
      <c r="E12" s="60"/>
      <c r="F12" s="60"/>
      <c r="G12" s="60"/>
      <c r="H12" s="60"/>
      <c r="I12" s="60"/>
      <c r="J12" s="60"/>
    </row>
    <row r="13" spans="2:13" x14ac:dyDescent="0.25">
      <c r="B13" s="1" t="s">
        <v>46</v>
      </c>
      <c r="C13" s="60"/>
      <c r="D13" s="60"/>
      <c r="E13" s="60"/>
      <c r="F13" s="60"/>
      <c r="G13" s="60"/>
      <c r="H13" s="60"/>
      <c r="I13" s="60"/>
      <c r="J13" s="60"/>
    </row>
    <row r="14" spans="2:13" x14ac:dyDescent="0.25">
      <c r="B14" s="61"/>
      <c r="C14" s="60"/>
      <c r="D14" s="60"/>
      <c r="E14" s="60"/>
      <c r="F14" s="60"/>
      <c r="G14" s="60"/>
      <c r="H14" s="60"/>
      <c r="I14" s="60"/>
      <c r="J14" s="60"/>
    </row>
    <row r="15" spans="2:13" x14ac:dyDescent="0.25">
      <c r="B15" s="59" t="s">
        <v>47</v>
      </c>
      <c r="C15" s="60"/>
      <c r="D15" s="60">
        <v>47243</v>
      </c>
      <c r="E15" s="60"/>
      <c r="F15" s="60"/>
      <c r="G15" s="60"/>
      <c r="H15" s="60"/>
      <c r="I15" s="60"/>
      <c r="J15" s="60"/>
    </row>
    <row r="16" spans="2:13" x14ac:dyDescent="0.25">
      <c r="B16" s="61" t="s">
        <v>48</v>
      </c>
      <c r="C16" s="60"/>
      <c r="D16" s="60">
        <v>4000</v>
      </c>
      <c r="E16" s="60"/>
      <c r="F16" s="60"/>
      <c r="G16" s="60"/>
      <c r="H16" s="60"/>
      <c r="I16" s="60"/>
      <c r="J16" s="60"/>
    </row>
    <row r="17" spans="2:10" x14ac:dyDescent="0.25">
      <c r="B17" s="3" t="s">
        <v>49</v>
      </c>
      <c r="C17" s="62"/>
      <c r="D17" s="62">
        <f>SUM(D15:D16)</f>
        <v>51243</v>
      </c>
      <c r="E17" s="60"/>
      <c r="F17" s="60"/>
      <c r="G17" s="60"/>
      <c r="H17" s="60"/>
      <c r="I17" s="60"/>
      <c r="J17" s="60"/>
    </row>
    <row r="18" spans="2:10" x14ac:dyDescent="0.25">
      <c r="B18" s="61" t="s">
        <v>50</v>
      </c>
      <c r="C18" s="60"/>
      <c r="D18" s="616">
        <v>-676</v>
      </c>
      <c r="E18" s="60"/>
      <c r="F18" s="616" t="s">
        <v>343</v>
      </c>
      <c r="G18" s="60"/>
      <c r="H18" s="60"/>
      <c r="I18" s="60"/>
      <c r="J18" s="60"/>
    </row>
    <row r="19" spans="2:10" x14ac:dyDescent="0.25">
      <c r="B19" s="3" t="s">
        <v>51</v>
      </c>
      <c r="C19" s="62"/>
      <c r="D19" s="62">
        <f>SUM(D17:D18)</f>
        <v>50567</v>
      </c>
      <c r="E19" s="62" t="s">
        <v>52</v>
      </c>
      <c r="F19" s="60"/>
      <c r="G19" s="60"/>
      <c r="H19" s="60"/>
      <c r="I19" s="60"/>
      <c r="J19" s="60"/>
    </row>
    <row r="20" spans="2:10" x14ac:dyDescent="0.25">
      <c r="B20" s="61"/>
      <c r="C20" s="60"/>
      <c r="D20" s="60"/>
      <c r="E20" s="60"/>
      <c r="F20" s="60"/>
      <c r="G20" s="60"/>
      <c r="H20" s="60"/>
      <c r="I20" s="60"/>
      <c r="J20" s="60"/>
    </row>
    <row r="21" spans="2:10" x14ac:dyDescent="0.25">
      <c r="C21" s="60"/>
      <c r="D21" s="60"/>
      <c r="E21" s="60"/>
      <c r="F21" s="60"/>
      <c r="G21" s="60"/>
      <c r="H21" s="60"/>
      <c r="I21" s="60"/>
      <c r="J21" s="60"/>
    </row>
    <row r="22" spans="2:10" x14ac:dyDescent="0.25">
      <c r="C22" s="60"/>
      <c r="D22" s="60"/>
      <c r="E22" s="60"/>
      <c r="F22" s="60"/>
      <c r="G22" s="60"/>
      <c r="H22" s="60"/>
      <c r="I22" s="60"/>
      <c r="J22" s="60"/>
    </row>
    <row r="23" spans="2:10" x14ac:dyDescent="0.25">
      <c r="C23" s="60"/>
      <c r="D23" s="60"/>
      <c r="E23" s="60"/>
      <c r="F23" s="60"/>
      <c r="G23" s="60"/>
      <c r="H23" s="60"/>
      <c r="I23" s="60"/>
      <c r="J23" s="60"/>
    </row>
    <row r="24" spans="2:10" x14ac:dyDescent="0.25">
      <c r="C24" s="60"/>
      <c r="D24" s="60"/>
      <c r="E24" s="60"/>
      <c r="F24" s="60"/>
      <c r="G24" s="60"/>
      <c r="H24" s="60"/>
      <c r="I24" s="60"/>
      <c r="J24" s="60"/>
    </row>
    <row r="25" spans="2:10" x14ac:dyDescent="0.25">
      <c r="C25" s="60"/>
      <c r="D25" s="60"/>
      <c r="E25" s="60"/>
      <c r="F25" s="60"/>
      <c r="G25" s="60"/>
      <c r="H25" s="60"/>
      <c r="I25" s="60"/>
      <c r="J25" s="60"/>
    </row>
    <row r="26" spans="2:10" x14ac:dyDescent="0.25">
      <c r="C26" s="60"/>
      <c r="D26" s="60"/>
      <c r="E26" s="60"/>
      <c r="F26" s="60"/>
      <c r="G26" s="60"/>
      <c r="H26" s="60"/>
      <c r="I26" s="60"/>
      <c r="J26" s="60"/>
    </row>
    <row r="27" spans="2:10" x14ac:dyDescent="0.25">
      <c r="C27" s="60"/>
      <c r="D27" s="60"/>
      <c r="E27" s="60"/>
      <c r="F27" s="60"/>
      <c r="G27" s="60"/>
      <c r="H27" s="60"/>
      <c r="I27" s="60"/>
      <c r="J27" s="60"/>
    </row>
    <row r="28" spans="2:10" x14ac:dyDescent="0.25">
      <c r="C28" s="60"/>
      <c r="D28" s="60"/>
      <c r="E28" s="60"/>
      <c r="F28" s="60"/>
      <c r="G28" s="60"/>
      <c r="H28" s="60"/>
      <c r="I28" s="60"/>
      <c r="J28" s="6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87"/>
  <sheetViews>
    <sheetView topLeftCell="A61" workbookViewId="0">
      <selection activeCell="H60" sqref="H60:J60"/>
    </sheetView>
  </sheetViews>
  <sheetFormatPr baseColWidth="10" defaultRowHeight="5.65" customHeight="1" x14ac:dyDescent="0.25"/>
  <cols>
    <col min="1" max="5" width="5.42578125" customWidth="1"/>
    <col min="6" max="6" width="9.7109375" customWidth="1"/>
    <col min="7" max="7" width="28.85546875" customWidth="1"/>
    <col min="8" max="8" width="5.42578125" customWidth="1"/>
    <col min="9" max="9" width="4.85546875" customWidth="1"/>
    <col min="10" max="10" width="5.42578125" customWidth="1"/>
    <col min="11" max="11" width="7.140625" customWidth="1"/>
    <col min="12" max="12" width="7" customWidth="1"/>
    <col min="13" max="14" width="5.42578125" customWidth="1"/>
    <col min="15" max="15" width="6.140625" customWidth="1"/>
    <col min="257" max="262" width="5.42578125" customWidth="1"/>
    <col min="263" max="263" width="9" customWidth="1"/>
    <col min="264" max="264" width="5.42578125" customWidth="1"/>
    <col min="265" max="265" width="4.85546875" customWidth="1"/>
    <col min="266" max="266" width="5.42578125" customWidth="1"/>
    <col min="267" max="267" width="7.140625" customWidth="1"/>
    <col min="268" max="268" width="7" customWidth="1"/>
    <col min="269" max="270" width="5.42578125" customWidth="1"/>
    <col min="271" max="271" width="6.140625" customWidth="1"/>
    <col min="513" max="518" width="5.42578125" customWidth="1"/>
    <col min="519" max="519" width="9" customWidth="1"/>
    <col min="520" max="520" width="5.42578125" customWidth="1"/>
    <col min="521" max="521" width="4.85546875" customWidth="1"/>
    <col min="522" max="522" width="5.42578125" customWidth="1"/>
    <col min="523" max="523" width="7.140625" customWidth="1"/>
    <col min="524" max="524" width="7" customWidth="1"/>
    <col min="525" max="526" width="5.42578125" customWidth="1"/>
    <col min="527" max="527" width="6.140625" customWidth="1"/>
    <col min="769" max="774" width="5.42578125" customWidth="1"/>
    <col min="775" max="775" width="9" customWidth="1"/>
    <col min="776" max="776" width="5.42578125" customWidth="1"/>
    <col min="777" max="777" width="4.85546875" customWidth="1"/>
    <col min="778" max="778" width="5.42578125" customWidth="1"/>
    <col min="779" max="779" width="7.140625" customWidth="1"/>
    <col min="780" max="780" width="7" customWidth="1"/>
    <col min="781" max="782" width="5.42578125" customWidth="1"/>
    <col min="783" max="783" width="6.140625" customWidth="1"/>
    <col min="1025" max="1030" width="5.42578125" customWidth="1"/>
    <col min="1031" max="1031" width="9" customWidth="1"/>
    <col min="1032" max="1032" width="5.42578125" customWidth="1"/>
    <col min="1033" max="1033" width="4.85546875" customWidth="1"/>
    <col min="1034" max="1034" width="5.42578125" customWidth="1"/>
    <col min="1035" max="1035" width="7.140625" customWidth="1"/>
    <col min="1036" max="1036" width="7" customWidth="1"/>
    <col min="1037" max="1038" width="5.42578125" customWidth="1"/>
    <col min="1039" max="1039" width="6.140625" customWidth="1"/>
    <col min="1281" max="1286" width="5.42578125" customWidth="1"/>
    <col min="1287" max="1287" width="9" customWidth="1"/>
    <col min="1288" max="1288" width="5.42578125" customWidth="1"/>
    <col min="1289" max="1289" width="4.85546875" customWidth="1"/>
    <col min="1290" max="1290" width="5.42578125" customWidth="1"/>
    <col min="1291" max="1291" width="7.140625" customWidth="1"/>
    <col min="1292" max="1292" width="7" customWidth="1"/>
    <col min="1293" max="1294" width="5.42578125" customWidth="1"/>
    <col min="1295" max="1295" width="6.140625" customWidth="1"/>
    <col min="1537" max="1542" width="5.42578125" customWidth="1"/>
    <col min="1543" max="1543" width="9" customWidth="1"/>
    <col min="1544" max="1544" width="5.42578125" customWidth="1"/>
    <col min="1545" max="1545" width="4.85546875" customWidth="1"/>
    <col min="1546" max="1546" width="5.42578125" customWidth="1"/>
    <col min="1547" max="1547" width="7.140625" customWidth="1"/>
    <col min="1548" max="1548" width="7" customWidth="1"/>
    <col min="1549" max="1550" width="5.42578125" customWidth="1"/>
    <col min="1551" max="1551" width="6.140625" customWidth="1"/>
    <col min="1793" max="1798" width="5.42578125" customWidth="1"/>
    <col min="1799" max="1799" width="9" customWidth="1"/>
    <col min="1800" max="1800" width="5.42578125" customWidth="1"/>
    <col min="1801" max="1801" width="4.85546875" customWidth="1"/>
    <col min="1802" max="1802" width="5.42578125" customWidth="1"/>
    <col min="1803" max="1803" width="7.140625" customWidth="1"/>
    <col min="1804" max="1804" width="7" customWidth="1"/>
    <col min="1805" max="1806" width="5.42578125" customWidth="1"/>
    <col min="1807" max="1807" width="6.140625" customWidth="1"/>
    <col min="2049" max="2054" width="5.42578125" customWidth="1"/>
    <col min="2055" max="2055" width="9" customWidth="1"/>
    <col min="2056" max="2056" width="5.42578125" customWidth="1"/>
    <col min="2057" max="2057" width="4.85546875" customWidth="1"/>
    <col min="2058" max="2058" width="5.42578125" customWidth="1"/>
    <col min="2059" max="2059" width="7.140625" customWidth="1"/>
    <col min="2060" max="2060" width="7" customWidth="1"/>
    <col min="2061" max="2062" width="5.42578125" customWidth="1"/>
    <col min="2063" max="2063" width="6.140625" customWidth="1"/>
    <col min="2305" max="2310" width="5.42578125" customWidth="1"/>
    <col min="2311" max="2311" width="9" customWidth="1"/>
    <col min="2312" max="2312" width="5.42578125" customWidth="1"/>
    <col min="2313" max="2313" width="4.85546875" customWidth="1"/>
    <col min="2314" max="2314" width="5.42578125" customWidth="1"/>
    <col min="2315" max="2315" width="7.140625" customWidth="1"/>
    <col min="2316" max="2316" width="7" customWidth="1"/>
    <col min="2317" max="2318" width="5.42578125" customWidth="1"/>
    <col min="2319" max="2319" width="6.140625" customWidth="1"/>
    <col min="2561" max="2566" width="5.42578125" customWidth="1"/>
    <col min="2567" max="2567" width="9" customWidth="1"/>
    <col min="2568" max="2568" width="5.42578125" customWidth="1"/>
    <col min="2569" max="2569" width="4.85546875" customWidth="1"/>
    <col min="2570" max="2570" width="5.42578125" customWidth="1"/>
    <col min="2571" max="2571" width="7.140625" customWidth="1"/>
    <col min="2572" max="2572" width="7" customWidth="1"/>
    <col min="2573" max="2574" width="5.42578125" customWidth="1"/>
    <col min="2575" max="2575" width="6.140625" customWidth="1"/>
    <col min="2817" max="2822" width="5.42578125" customWidth="1"/>
    <col min="2823" max="2823" width="9" customWidth="1"/>
    <col min="2824" max="2824" width="5.42578125" customWidth="1"/>
    <col min="2825" max="2825" width="4.85546875" customWidth="1"/>
    <col min="2826" max="2826" width="5.42578125" customWidth="1"/>
    <col min="2827" max="2827" width="7.140625" customWidth="1"/>
    <col min="2828" max="2828" width="7" customWidth="1"/>
    <col min="2829" max="2830" width="5.42578125" customWidth="1"/>
    <col min="2831" max="2831" width="6.140625" customWidth="1"/>
    <col min="3073" max="3078" width="5.42578125" customWidth="1"/>
    <col min="3079" max="3079" width="9" customWidth="1"/>
    <col min="3080" max="3080" width="5.42578125" customWidth="1"/>
    <col min="3081" max="3081" width="4.85546875" customWidth="1"/>
    <col min="3082" max="3082" width="5.42578125" customWidth="1"/>
    <col min="3083" max="3083" width="7.140625" customWidth="1"/>
    <col min="3084" max="3084" width="7" customWidth="1"/>
    <col min="3085" max="3086" width="5.42578125" customWidth="1"/>
    <col min="3087" max="3087" width="6.140625" customWidth="1"/>
    <col min="3329" max="3334" width="5.42578125" customWidth="1"/>
    <col min="3335" max="3335" width="9" customWidth="1"/>
    <col min="3336" max="3336" width="5.42578125" customWidth="1"/>
    <col min="3337" max="3337" width="4.85546875" customWidth="1"/>
    <col min="3338" max="3338" width="5.42578125" customWidth="1"/>
    <col min="3339" max="3339" width="7.140625" customWidth="1"/>
    <col min="3340" max="3340" width="7" customWidth="1"/>
    <col min="3341" max="3342" width="5.42578125" customWidth="1"/>
    <col min="3343" max="3343" width="6.140625" customWidth="1"/>
    <col min="3585" max="3590" width="5.42578125" customWidth="1"/>
    <col min="3591" max="3591" width="9" customWidth="1"/>
    <col min="3592" max="3592" width="5.42578125" customWidth="1"/>
    <col min="3593" max="3593" width="4.85546875" customWidth="1"/>
    <col min="3594" max="3594" width="5.42578125" customWidth="1"/>
    <col min="3595" max="3595" width="7.140625" customWidth="1"/>
    <col min="3596" max="3596" width="7" customWidth="1"/>
    <col min="3597" max="3598" width="5.42578125" customWidth="1"/>
    <col min="3599" max="3599" width="6.140625" customWidth="1"/>
    <col min="3841" max="3846" width="5.42578125" customWidth="1"/>
    <col min="3847" max="3847" width="9" customWidth="1"/>
    <col min="3848" max="3848" width="5.42578125" customWidth="1"/>
    <col min="3849" max="3849" width="4.85546875" customWidth="1"/>
    <col min="3850" max="3850" width="5.42578125" customWidth="1"/>
    <col min="3851" max="3851" width="7.140625" customWidth="1"/>
    <col min="3852" max="3852" width="7" customWidth="1"/>
    <col min="3853" max="3854" width="5.42578125" customWidth="1"/>
    <col min="3855" max="3855" width="6.140625" customWidth="1"/>
    <col min="4097" max="4102" width="5.42578125" customWidth="1"/>
    <col min="4103" max="4103" width="9" customWidth="1"/>
    <col min="4104" max="4104" width="5.42578125" customWidth="1"/>
    <col min="4105" max="4105" width="4.85546875" customWidth="1"/>
    <col min="4106" max="4106" width="5.42578125" customWidth="1"/>
    <col min="4107" max="4107" width="7.140625" customWidth="1"/>
    <col min="4108" max="4108" width="7" customWidth="1"/>
    <col min="4109" max="4110" width="5.42578125" customWidth="1"/>
    <col min="4111" max="4111" width="6.140625" customWidth="1"/>
    <col min="4353" max="4358" width="5.42578125" customWidth="1"/>
    <col min="4359" max="4359" width="9" customWidth="1"/>
    <col min="4360" max="4360" width="5.42578125" customWidth="1"/>
    <col min="4361" max="4361" width="4.85546875" customWidth="1"/>
    <col min="4362" max="4362" width="5.42578125" customWidth="1"/>
    <col min="4363" max="4363" width="7.140625" customWidth="1"/>
    <col min="4364" max="4364" width="7" customWidth="1"/>
    <col min="4365" max="4366" width="5.42578125" customWidth="1"/>
    <col min="4367" max="4367" width="6.140625" customWidth="1"/>
    <col min="4609" max="4614" width="5.42578125" customWidth="1"/>
    <col min="4615" max="4615" width="9" customWidth="1"/>
    <col min="4616" max="4616" width="5.42578125" customWidth="1"/>
    <col min="4617" max="4617" width="4.85546875" customWidth="1"/>
    <col min="4618" max="4618" width="5.42578125" customWidth="1"/>
    <col min="4619" max="4619" width="7.140625" customWidth="1"/>
    <col min="4620" max="4620" width="7" customWidth="1"/>
    <col min="4621" max="4622" width="5.42578125" customWidth="1"/>
    <col min="4623" max="4623" width="6.140625" customWidth="1"/>
    <col min="4865" max="4870" width="5.42578125" customWidth="1"/>
    <col min="4871" max="4871" width="9" customWidth="1"/>
    <col min="4872" max="4872" width="5.42578125" customWidth="1"/>
    <col min="4873" max="4873" width="4.85546875" customWidth="1"/>
    <col min="4874" max="4874" width="5.42578125" customWidth="1"/>
    <col min="4875" max="4875" width="7.140625" customWidth="1"/>
    <col min="4876" max="4876" width="7" customWidth="1"/>
    <col min="4877" max="4878" width="5.42578125" customWidth="1"/>
    <col min="4879" max="4879" width="6.140625" customWidth="1"/>
    <col min="5121" max="5126" width="5.42578125" customWidth="1"/>
    <col min="5127" max="5127" width="9" customWidth="1"/>
    <col min="5128" max="5128" width="5.42578125" customWidth="1"/>
    <col min="5129" max="5129" width="4.85546875" customWidth="1"/>
    <col min="5130" max="5130" width="5.42578125" customWidth="1"/>
    <col min="5131" max="5131" width="7.140625" customWidth="1"/>
    <col min="5132" max="5132" width="7" customWidth="1"/>
    <col min="5133" max="5134" width="5.42578125" customWidth="1"/>
    <col min="5135" max="5135" width="6.140625" customWidth="1"/>
    <col min="5377" max="5382" width="5.42578125" customWidth="1"/>
    <col min="5383" max="5383" width="9" customWidth="1"/>
    <col min="5384" max="5384" width="5.42578125" customWidth="1"/>
    <col min="5385" max="5385" width="4.85546875" customWidth="1"/>
    <col min="5386" max="5386" width="5.42578125" customWidth="1"/>
    <col min="5387" max="5387" width="7.140625" customWidth="1"/>
    <col min="5388" max="5388" width="7" customWidth="1"/>
    <col min="5389" max="5390" width="5.42578125" customWidth="1"/>
    <col min="5391" max="5391" width="6.140625" customWidth="1"/>
    <col min="5633" max="5638" width="5.42578125" customWidth="1"/>
    <col min="5639" max="5639" width="9" customWidth="1"/>
    <col min="5640" max="5640" width="5.42578125" customWidth="1"/>
    <col min="5641" max="5641" width="4.85546875" customWidth="1"/>
    <col min="5642" max="5642" width="5.42578125" customWidth="1"/>
    <col min="5643" max="5643" width="7.140625" customWidth="1"/>
    <col min="5644" max="5644" width="7" customWidth="1"/>
    <col min="5645" max="5646" width="5.42578125" customWidth="1"/>
    <col min="5647" max="5647" width="6.140625" customWidth="1"/>
    <col min="5889" max="5894" width="5.42578125" customWidth="1"/>
    <col min="5895" max="5895" width="9" customWidth="1"/>
    <col min="5896" max="5896" width="5.42578125" customWidth="1"/>
    <col min="5897" max="5897" width="4.85546875" customWidth="1"/>
    <col min="5898" max="5898" width="5.42578125" customWidth="1"/>
    <col min="5899" max="5899" width="7.140625" customWidth="1"/>
    <col min="5900" max="5900" width="7" customWidth="1"/>
    <col min="5901" max="5902" width="5.42578125" customWidth="1"/>
    <col min="5903" max="5903" width="6.140625" customWidth="1"/>
    <col min="6145" max="6150" width="5.42578125" customWidth="1"/>
    <col min="6151" max="6151" width="9" customWidth="1"/>
    <col min="6152" max="6152" width="5.42578125" customWidth="1"/>
    <col min="6153" max="6153" width="4.85546875" customWidth="1"/>
    <col min="6154" max="6154" width="5.42578125" customWidth="1"/>
    <col min="6155" max="6155" width="7.140625" customWidth="1"/>
    <col min="6156" max="6156" width="7" customWidth="1"/>
    <col min="6157" max="6158" width="5.42578125" customWidth="1"/>
    <col min="6159" max="6159" width="6.140625" customWidth="1"/>
    <col min="6401" max="6406" width="5.42578125" customWidth="1"/>
    <col min="6407" max="6407" width="9" customWidth="1"/>
    <col min="6408" max="6408" width="5.42578125" customWidth="1"/>
    <col min="6409" max="6409" width="4.85546875" customWidth="1"/>
    <col min="6410" max="6410" width="5.42578125" customWidth="1"/>
    <col min="6411" max="6411" width="7.140625" customWidth="1"/>
    <col min="6412" max="6412" width="7" customWidth="1"/>
    <col min="6413" max="6414" width="5.42578125" customWidth="1"/>
    <col min="6415" max="6415" width="6.140625" customWidth="1"/>
    <col min="6657" max="6662" width="5.42578125" customWidth="1"/>
    <col min="6663" max="6663" width="9" customWidth="1"/>
    <col min="6664" max="6664" width="5.42578125" customWidth="1"/>
    <col min="6665" max="6665" width="4.85546875" customWidth="1"/>
    <col min="6666" max="6666" width="5.42578125" customWidth="1"/>
    <col min="6667" max="6667" width="7.140625" customWidth="1"/>
    <col min="6668" max="6668" width="7" customWidth="1"/>
    <col min="6669" max="6670" width="5.42578125" customWidth="1"/>
    <col min="6671" max="6671" width="6.140625" customWidth="1"/>
    <col min="6913" max="6918" width="5.42578125" customWidth="1"/>
    <col min="6919" max="6919" width="9" customWidth="1"/>
    <col min="6920" max="6920" width="5.42578125" customWidth="1"/>
    <col min="6921" max="6921" width="4.85546875" customWidth="1"/>
    <col min="6922" max="6922" width="5.42578125" customWidth="1"/>
    <col min="6923" max="6923" width="7.140625" customWidth="1"/>
    <col min="6924" max="6924" width="7" customWidth="1"/>
    <col min="6925" max="6926" width="5.42578125" customWidth="1"/>
    <col min="6927" max="6927" width="6.140625" customWidth="1"/>
    <col min="7169" max="7174" width="5.42578125" customWidth="1"/>
    <col min="7175" max="7175" width="9" customWidth="1"/>
    <col min="7176" max="7176" width="5.42578125" customWidth="1"/>
    <col min="7177" max="7177" width="4.85546875" customWidth="1"/>
    <col min="7178" max="7178" width="5.42578125" customWidth="1"/>
    <col min="7179" max="7179" width="7.140625" customWidth="1"/>
    <col min="7180" max="7180" width="7" customWidth="1"/>
    <col min="7181" max="7182" width="5.42578125" customWidth="1"/>
    <col min="7183" max="7183" width="6.140625" customWidth="1"/>
    <col min="7425" max="7430" width="5.42578125" customWidth="1"/>
    <col min="7431" max="7431" width="9" customWidth="1"/>
    <col min="7432" max="7432" width="5.42578125" customWidth="1"/>
    <col min="7433" max="7433" width="4.85546875" customWidth="1"/>
    <col min="7434" max="7434" width="5.42578125" customWidth="1"/>
    <col min="7435" max="7435" width="7.140625" customWidth="1"/>
    <col min="7436" max="7436" width="7" customWidth="1"/>
    <col min="7437" max="7438" width="5.42578125" customWidth="1"/>
    <col min="7439" max="7439" width="6.140625" customWidth="1"/>
    <col min="7681" max="7686" width="5.42578125" customWidth="1"/>
    <col min="7687" max="7687" width="9" customWidth="1"/>
    <col min="7688" max="7688" width="5.42578125" customWidth="1"/>
    <col min="7689" max="7689" width="4.85546875" customWidth="1"/>
    <col min="7690" max="7690" width="5.42578125" customWidth="1"/>
    <col min="7691" max="7691" width="7.140625" customWidth="1"/>
    <col min="7692" max="7692" width="7" customWidth="1"/>
    <col min="7693" max="7694" width="5.42578125" customWidth="1"/>
    <col min="7695" max="7695" width="6.140625" customWidth="1"/>
    <col min="7937" max="7942" width="5.42578125" customWidth="1"/>
    <col min="7943" max="7943" width="9" customWidth="1"/>
    <col min="7944" max="7944" width="5.42578125" customWidth="1"/>
    <col min="7945" max="7945" width="4.85546875" customWidth="1"/>
    <col min="7946" max="7946" width="5.42578125" customWidth="1"/>
    <col min="7947" max="7947" width="7.140625" customWidth="1"/>
    <col min="7948" max="7948" width="7" customWidth="1"/>
    <col min="7949" max="7950" width="5.42578125" customWidth="1"/>
    <col min="7951" max="7951" width="6.140625" customWidth="1"/>
    <col min="8193" max="8198" width="5.42578125" customWidth="1"/>
    <col min="8199" max="8199" width="9" customWidth="1"/>
    <col min="8200" max="8200" width="5.42578125" customWidth="1"/>
    <col min="8201" max="8201" width="4.85546875" customWidth="1"/>
    <col min="8202" max="8202" width="5.42578125" customWidth="1"/>
    <col min="8203" max="8203" width="7.140625" customWidth="1"/>
    <col min="8204" max="8204" width="7" customWidth="1"/>
    <col min="8205" max="8206" width="5.42578125" customWidth="1"/>
    <col min="8207" max="8207" width="6.140625" customWidth="1"/>
    <col min="8449" max="8454" width="5.42578125" customWidth="1"/>
    <col min="8455" max="8455" width="9" customWidth="1"/>
    <col min="8456" max="8456" width="5.42578125" customWidth="1"/>
    <col min="8457" max="8457" width="4.85546875" customWidth="1"/>
    <col min="8458" max="8458" width="5.42578125" customWidth="1"/>
    <col min="8459" max="8459" width="7.140625" customWidth="1"/>
    <col min="8460" max="8460" width="7" customWidth="1"/>
    <col min="8461" max="8462" width="5.42578125" customWidth="1"/>
    <col min="8463" max="8463" width="6.140625" customWidth="1"/>
    <col min="8705" max="8710" width="5.42578125" customWidth="1"/>
    <col min="8711" max="8711" width="9" customWidth="1"/>
    <col min="8712" max="8712" width="5.42578125" customWidth="1"/>
    <col min="8713" max="8713" width="4.85546875" customWidth="1"/>
    <col min="8714" max="8714" width="5.42578125" customWidth="1"/>
    <col min="8715" max="8715" width="7.140625" customWidth="1"/>
    <col min="8716" max="8716" width="7" customWidth="1"/>
    <col min="8717" max="8718" width="5.42578125" customWidth="1"/>
    <col min="8719" max="8719" width="6.140625" customWidth="1"/>
    <col min="8961" max="8966" width="5.42578125" customWidth="1"/>
    <col min="8967" max="8967" width="9" customWidth="1"/>
    <col min="8968" max="8968" width="5.42578125" customWidth="1"/>
    <col min="8969" max="8969" width="4.85546875" customWidth="1"/>
    <col min="8970" max="8970" width="5.42578125" customWidth="1"/>
    <col min="8971" max="8971" width="7.140625" customWidth="1"/>
    <col min="8972" max="8972" width="7" customWidth="1"/>
    <col min="8973" max="8974" width="5.42578125" customWidth="1"/>
    <col min="8975" max="8975" width="6.140625" customWidth="1"/>
    <col min="9217" max="9222" width="5.42578125" customWidth="1"/>
    <col min="9223" max="9223" width="9" customWidth="1"/>
    <col min="9224" max="9224" width="5.42578125" customWidth="1"/>
    <col min="9225" max="9225" width="4.85546875" customWidth="1"/>
    <col min="9226" max="9226" width="5.42578125" customWidth="1"/>
    <col min="9227" max="9227" width="7.140625" customWidth="1"/>
    <col min="9228" max="9228" width="7" customWidth="1"/>
    <col min="9229" max="9230" width="5.42578125" customWidth="1"/>
    <col min="9231" max="9231" width="6.140625" customWidth="1"/>
    <col min="9473" max="9478" width="5.42578125" customWidth="1"/>
    <col min="9479" max="9479" width="9" customWidth="1"/>
    <col min="9480" max="9480" width="5.42578125" customWidth="1"/>
    <col min="9481" max="9481" width="4.85546875" customWidth="1"/>
    <col min="9482" max="9482" width="5.42578125" customWidth="1"/>
    <col min="9483" max="9483" width="7.140625" customWidth="1"/>
    <col min="9484" max="9484" width="7" customWidth="1"/>
    <col min="9485" max="9486" width="5.42578125" customWidth="1"/>
    <col min="9487" max="9487" width="6.140625" customWidth="1"/>
    <col min="9729" max="9734" width="5.42578125" customWidth="1"/>
    <col min="9735" max="9735" width="9" customWidth="1"/>
    <col min="9736" max="9736" width="5.42578125" customWidth="1"/>
    <col min="9737" max="9737" width="4.85546875" customWidth="1"/>
    <col min="9738" max="9738" width="5.42578125" customWidth="1"/>
    <col min="9739" max="9739" width="7.140625" customWidth="1"/>
    <col min="9740" max="9740" width="7" customWidth="1"/>
    <col min="9741" max="9742" width="5.42578125" customWidth="1"/>
    <col min="9743" max="9743" width="6.140625" customWidth="1"/>
    <col min="9985" max="9990" width="5.42578125" customWidth="1"/>
    <col min="9991" max="9991" width="9" customWidth="1"/>
    <col min="9992" max="9992" width="5.42578125" customWidth="1"/>
    <col min="9993" max="9993" width="4.85546875" customWidth="1"/>
    <col min="9994" max="9994" width="5.42578125" customWidth="1"/>
    <col min="9995" max="9995" width="7.140625" customWidth="1"/>
    <col min="9996" max="9996" width="7" customWidth="1"/>
    <col min="9997" max="9998" width="5.42578125" customWidth="1"/>
    <col min="9999" max="9999" width="6.140625" customWidth="1"/>
    <col min="10241" max="10246" width="5.42578125" customWidth="1"/>
    <col min="10247" max="10247" width="9" customWidth="1"/>
    <col min="10248" max="10248" width="5.42578125" customWidth="1"/>
    <col min="10249" max="10249" width="4.85546875" customWidth="1"/>
    <col min="10250" max="10250" width="5.42578125" customWidth="1"/>
    <col min="10251" max="10251" width="7.140625" customWidth="1"/>
    <col min="10252" max="10252" width="7" customWidth="1"/>
    <col min="10253" max="10254" width="5.42578125" customWidth="1"/>
    <col min="10255" max="10255" width="6.140625" customWidth="1"/>
    <col min="10497" max="10502" width="5.42578125" customWidth="1"/>
    <col min="10503" max="10503" width="9" customWidth="1"/>
    <col min="10504" max="10504" width="5.42578125" customWidth="1"/>
    <col min="10505" max="10505" width="4.85546875" customWidth="1"/>
    <col min="10506" max="10506" width="5.42578125" customWidth="1"/>
    <col min="10507" max="10507" width="7.140625" customWidth="1"/>
    <col min="10508" max="10508" width="7" customWidth="1"/>
    <col min="10509" max="10510" width="5.42578125" customWidth="1"/>
    <col min="10511" max="10511" width="6.140625" customWidth="1"/>
    <col min="10753" max="10758" width="5.42578125" customWidth="1"/>
    <col min="10759" max="10759" width="9" customWidth="1"/>
    <col min="10760" max="10760" width="5.42578125" customWidth="1"/>
    <col min="10761" max="10761" width="4.85546875" customWidth="1"/>
    <col min="10762" max="10762" width="5.42578125" customWidth="1"/>
    <col min="10763" max="10763" width="7.140625" customWidth="1"/>
    <col min="10764" max="10764" width="7" customWidth="1"/>
    <col min="10765" max="10766" width="5.42578125" customWidth="1"/>
    <col min="10767" max="10767" width="6.140625" customWidth="1"/>
    <col min="11009" max="11014" width="5.42578125" customWidth="1"/>
    <col min="11015" max="11015" width="9" customWidth="1"/>
    <col min="11016" max="11016" width="5.42578125" customWidth="1"/>
    <col min="11017" max="11017" width="4.85546875" customWidth="1"/>
    <col min="11018" max="11018" width="5.42578125" customWidth="1"/>
    <col min="11019" max="11019" width="7.140625" customWidth="1"/>
    <col min="11020" max="11020" width="7" customWidth="1"/>
    <col min="11021" max="11022" width="5.42578125" customWidth="1"/>
    <col min="11023" max="11023" width="6.140625" customWidth="1"/>
    <col min="11265" max="11270" width="5.42578125" customWidth="1"/>
    <col min="11271" max="11271" width="9" customWidth="1"/>
    <col min="11272" max="11272" width="5.42578125" customWidth="1"/>
    <col min="11273" max="11273" width="4.85546875" customWidth="1"/>
    <col min="11274" max="11274" width="5.42578125" customWidth="1"/>
    <col min="11275" max="11275" width="7.140625" customWidth="1"/>
    <col min="11276" max="11276" width="7" customWidth="1"/>
    <col min="11277" max="11278" width="5.42578125" customWidth="1"/>
    <col min="11279" max="11279" width="6.140625" customWidth="1"/>
    <col min="11521" max="11526" width="5.42578125" customWidth="1"/>
    <col min="11527" max="11527" width="9" customWidth="1"/>
    <col min="11528" max="11528" width="5.42578125" customWidth="1"/>
    <col min="11529" max="11529" width="4.85546875" customWidth="1"/>
    <col min="11530" max="11530" width="5.42578125" customWidth="1"/>
    <col min="11531" max="11531" width="7.140625" customWidth="1"/>
    <col min="11532" max="11532" width="7" customWidth="1"/>
    <col min="11533" max="11534" width="5.42578125" customWidth="1"/>
    <col min="11535" max="11535" width="6.140625" customWidth="1"/>
    <col min="11777" max="11782" width="5.42578125" customWidth="1"/>
    <col min="11783" max="11783" width="9" customWidth="1"/>
    <col min="11784" max="11784" width="5.42578125" customWidth="1"/>
    <col min="11785" max="11785" width="4.85546875" customWidth="1"/>
    <col min="11786" max="11786" width="5.42578125" customWidth="1"/>
    <col min="11787" max="11787" width="7.140625" customWidth="1"/>
    <col min="11788" max="11788" width="7" customWidth="1"/>
    <col min="11789" max="11790" width="5.42578125" customWidth="1"/>
    <col min="11791" max="11791" width="6.140625" customWidth="1"/>
    <col min="12033" max="12038" width="5.42578125" customWidth="1"/>
    <col min="12039" max="12039" width="9" customWidth="1"/>
    <col min="12040" max="12040" width="5.42578125" customWidth="1"/>
    <col min="12041" max="12041" width="4.85546875" customWidth="1"/>
    <col min="12042" max="12042" width="5.42578125" customWidth="1"/>
    <col min="12043" max="12043" width="7.140625" customWidth="1"/>
    <col min="12044" max="12044" width="7" customWidth="1"/>
    <col min="12045" max="12046" width="5.42578125" customWidth="1"/>
    <col min="12047" max="12047" width="6.140625" customWidth="1"/>
    <col min="12289" max="12294" width="5.42578125" customWidth="1"/>
    <col min="12295" max="12295" width="9" customWidth="1"/>
    <col min="12296" max="12296" width="5.42578125" customWidth="1"/>
    <col min="12297" max="12297" width="4.85546875" customWidth="1"/>
    <col min="12298" max="12298" width="5.42578125" customWidth="1"/>
    <col min="12299" max="12299" width="7.140625" customWidth="1"/>
    <col min="12300" max="12300" width="7" customWidth="1"/>
    <col min="12301" max="12302" width="5.42578125" customWidth="1"/>
    <col min="12303" max="12303" width="6.140625" customWidth="1"/>
    <col min="12545" max="12550" width="5.42578125" customWidth="1"/>
    <col min="12551" max="12551" width="9" customWidth="1"/>
    <col min="12552" max="12552" width="5.42578125" customWidth="1"/>
    <col min="12553" max="12553" width="4.85546875" customWidth="1"/>
    <col min="12554" max="12554" width="5.42578125" customWidth="1"/>
    <col min="12555" max="12555" width="7.140625" customWidth="1"/>
    <col min="12556" max="12556" width="7" customWidth="1"/>
    <col min="12557" max="12558" width="5.42578125" customWidth="1"/>
    <col min="12559" max="12559" width="6.140625" customWidth="1"/>
    <col min="12801" max="12806" width="5.42578125" customWidth="1"/>
    <col min="12807" max="12807" width="9" customWidth="1"/>
    <col min="12808" max="12808" width="5.42578125" customWidth="1"/>
    <col min="12809" max="12809" width="4.85546875" customWidth="1"/>
    <col min="12810" max="12810" width="5.42578125" customWidth="1"/>
    <col min="12811" max="12811" width="7.140625" customWidth="1"/>
    <col min="12812" max="12812" width="7" customWidth="1"/>
    <col min="12813" max="12814" width="5.42578125" customWidth="1"/>
    <col min="12815" max="12815" width="6.140625" customWidth="1"/>
    <col min="13057" max="13062" width="5.42578125" customWidth="1"/>
    <col min="13063" max="13063" width="9" customWidth="1"/>
    <col min="13064" max="13064" width="5.42578125" customWidth="1"/>
    <col min="13065" max="13065" width="4.85546875" customWidth="1"/>
    <col min="13066" max="13066" width="5.42578125" customWidth="1"/>
    <col min="13067" max="13067" width="7.140625" customWidth="1"/>
    <col min="13068" max="13068" width="7" customWidth="1"/>
    <col min="13069" max="13070" width="5.42578125" customWidth="1"/>
    <col min="13071" max="13071" width="6.140625" customWidth="1"/>
    <col min="13313" max="13318" width="5.42578125" customWidth="1"/>
    <col min="13319" max="13319" width="9" customWidth="1"/>
    <col min="13320" max="13320" width="5.42578125" customWidth="1"/>
    <col min="13321" max="13321" width="4.85546875" customWidth="1"/>
    <col min="13322" max="13322" width="5.42578125" customWidth="1"/>
    <col min="13323" max="13323" width="7.140625" customWidth="1"/>
    <col min="13324" max="13324" width="7" customWidth="1"/>
    <col min="13325" max="13326" width="5.42578125" customWidth="1"/>
    <col min="13327" max="13327" width="6.140625" customWidth="1"/>
    <col min="13569" max="13574" width="5.42578125" customWidth="1"/>
    <col min="13575" max="13575" width="9" customWidth="1"/>
    <col min="13576" max="13576" width="5.42578125" customWidth="1"/>
    <col min="13577" max="13577" width="4.85546875" customWidth="1"/>
    <col min="13578" max="13578" width="5.42578125" customWidth="1"/>
    <col min="13579" max="13579" width="7.140625" customWidth="1"/>
    <col min="13580" max="13580" width="7" customWidth="1"/>
    <col min="13581" max="13582" width="5.42578125" customWidth="1"/>
    <col min="13583" max="13583" width="6.140625" customWidth="1"/>
    <col min="13825" max="13830" width="5.42578125" customWidth="1"/>
    <col min="13831" max="13831" width="9" customWidth="1"/>
    <col min="13832" max="13832" width="5.42578125" customWidth="1"/>
    <col min="13833" max="13833" width="4.85546875" customWidth="1"/>
    <col min="13834" max="13834" width="5.42578125" customWidth="1"/>
    <col min="13835" max="13835" width="7.140625" customWidth="1"/>
    <col min="13836" max="13836" width="7" customWidth="1"/>
    <col min="13837" max="13838" width="5.42578125" customWidth="1"/>
    <col min="13839" max="13839" width="6.140625" customWidth="1"/>
    <col min="14081" max="14086" width="5.42578125" customWidth="1"/>
    <col min="14087" max="14087" width="9" customWidth="1"/>
    <col min="14088" max="14088" width="5.42578125" customWidth="1"/>
    <col min="14089" max="14089" width="4.85546875" customWidth="1"/>
    <col min="14090" max="14090" width="5.42578125" customWidth="1"/>
    <col min="14091" max="14091" width="7.140625" customWidth="1"/>
    <col min="14092" max="14092" width="7" customWidth="1"/>
    <col min="14093" max="14094" width="5.42578125" customWidth="1"/>
    <col min="14095" max="14095" width="6.140625" customWidth="1"/>
    <col min="14337" max="14342" width="5.42578125" customWidth="1"/>
    <col min="14343" max="14343" width="9" customWidth="1"/>
    <col min="14344" max="14344" width="5.42578125" customWidth="1"/>
    <col min="14345" max="14345" width="4.85546875" customWidth="1"/>
    <col min="14346" max="14346" width="5.42578125" customWidth="1"/>
    <col min="14347" max="14347" width="7.140625" customWidth="1"/>
    <col min="14348" max="14348" width="7" customWidth="1"/>
    <col min="14349" max="14350" width="5.42578125" customWidth="1"/>
    <col min="14351" max="14351" width="6.140625" customWidth="1"/>
    <col min="14593" max="14598" width="5.42578125" customWidth="1"/>
    <col min="14599" max="14599" width="9" customWidth="1"/>
    <col min="14600" max="14600" width="5.42578125" customWidth="1"/>
    <col min="14601" max="14601" width="4.85546875" customWidth="1"/>
    <col min="14602" max="14602" width="5.42578125" customWidth="1"/>
    <col min="14603" max="14603" width="7.140625" customWidth="1"/>
    <col min="14604" max="14604" width="7" customWidth="1"/>
    <col min="14605" max="14606" width="5.42578125" customWidth="1"/>
    <col min="14607" max="14607" width="6.140625" customWidth="1"/>
    <col min="14849" max="14854" width="5.42578125" customWidth="1"/>
    <col min="14855" max="14855" width="9" customWidth="1"/>
    <col min="14856" max="14856" width="5.42578125" customWidth="1"/>
    <col min="14857" max="14857" width="4.85546875" customWidth="1"/>
    <col min="14858" max="14858" width="5.42578125" customWidth="1"/>
    <col min="14859" max="14859" width="7.140625" customWidth="1"/>
    <col min="14860" max="14860" width="7" customWidth="1"/>
    <col min="14861" max="14862" width="5.42578125" customWidth="1"/>
    <col min="14863" max="14863" width="6.140625" customWidth="1"/>
    <col min="15105" max="15110" width="5.42578125" customWidth="1"/>
    <col min="15111" max="15111" width="9" customWidth="1"/>
    <col min="15112" max="15112" width="5.42578125" customWidth="1"/>
    <col min="15113" max="15113" width="4.85546875" customWidth="1"/>
    <col min="15114" max="15114" width="5.42578125" customWidth="1"/>
    <col min="15115" max="15115" width="7.140625" customWidth="1"/>
    <col min="15116" max="15116" width="7" customWidth="1"/>
    <col min="15117" max="15118" width="5.42578125" customWidth="1"/>
    <col min="15119" max="15119" width="6.140625" customWidth="1"/>
    <col min="15361" max="15366" width="5.42578125" customWidth="1"/>
    <col min="15367" max="15367" width="9" customWidth="1"/>
    <col min="15368" max="15368" width="5.42578125" customWidth="1"/>
    <col min="15369" max="15369" width="4.85546875" customWidth="1"/>
    <col min="15370" max="15370" width="5.42578125" customWidth="1"/>
    <col min="15371" max="15371" width="7.140625" customWidth="1"/>
    <col min="15372" max="15372" width="7" customWidth="1"/>
    <col min="15373" max="15374" width="5.42578125" customWidth="1"/>
    <col min="15375" max="15375" width="6.140625" customWidth="1"/>
    <col min="15617" max="15622" width="5.42578125" customWidth="1"/>
    <col min="15623" max="15623" width="9" customWidth="1"/>
    <col min="15624" max="15624" width="5.42578125" customWidth="1"/>
    <col min="15625" max="15625" width="4.85546875" customWidth="1"/>
    <col min="15626" max="15626" width="5.42578125" customWidth="1"/>
    <col min="15627" max="15627" width="7.140625" customWidth="1"/>
    <col min="15628" max="15628" width="7" customWidth="1"/>
    <col min="15629" max="15630" width="5.42578125" customWidth="1"/>
    <col min="15631" max="15631" width="6.140625" customWidth="1"/>
    <col min="15873" max="15878" width="5.42578125" customWidth="1"/>
    <col min="15879" max="15879" width="9" customWidth="1"/>
    <col min="15880" max="15880" width="5.42578125" customWidth="1"/>
    <col min="15881" max="15881" width="4.85546875" customWidth="1"/>
    <col min="15882" max="15882" width="5.42578125" customWidth="1"/>
    <col min="15883" max="15883" width="7.140625" customWidth="1"/>
    <col min="15884" max="15884" width="7" customWidth="1"/>
    <col min="15885" max="15886" width="5.42578125" customWidth="1"/>
    <col min="15887" max="15887" width="6.140625" customWidth="1"/>
    <col min="16129" max="16134" width="5.42578125" customWidth="1"/>
    <col min="16135" max="16135" width="9" customWidth="1"/>
    <col min="16136" max="16136" width="5.42578125" customWidth="1"/>
    <col min="16137" max="16137" width="4.85546875" customWidth="1"/>
    <col min="16138" max="16138" width="5.42578125" customWidth="1"/>
    <col min="16139" max="16139" width="7.140625" customWidth="1"/>
    <col min="16140" max="16140" width="7" customWidth="1"/>
    <col min="16141" max="16142" width="5.42578125" customWidth="1"/>
    <col min="16143" max="16143" width="6.140625" customWidth="1"/>
  </cols>
  <sheetData>
    <row r="1" spans="1:169" ht="51" customHeight="1" x14ac:dyDescent="0.25">
      <c r="A1" s="840" t="s">
        <v>349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69" s="621" customFormat="1" ht="24.75" customHeight="1" x14ac:dyDescent="0.25">
      <c r="A2" s="839"/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</row>
    <row r="3" spans="1:169" ht="15" x14ac:dyDescent="0.25">
      <c r="A3" s="841"/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</row>
    <row r="4" spans="1:169" s="622" customFormat="1" ht="30" customHeight="1" x14ac:dyDescent="0.25">
      <c r="A4" s="821" t="s">
        <v>350</v>
      </c>
      <c r="B4" s="821"/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821"/>
    </row>
    <row r="5" spans="1:169" ht="25.9" customHeight="1" x14ac:dyDescent="0.25">
      <c r="A5" s="841"/>
      <c r="B5" s="841"/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</row>
    <row r="6" spans="1:169" ht="17.100000000000001" customHeight="1" x14ac:dyDescent="0.25">
      <c r="A6" s="842" t="s">
        <v>351</v>
      </c>
      <c r="B6" s="842"/>
      <c r="C6" s="842"/>
      <c r="D6" s="842"/>
      <c r="E6" s="842"/>
      <c r="F6" s="842"/>
      <c r="G6" s="842"/>
      <c r="H6" s="761" t="s">
        <v>97</v>
      </c>
      <c r="I6" s="761"/>
      <c r="J6" s="761"/>
      <c r="K6" s="761" t="s">
        <v>352</v>
      </c>
      <c r="L6" s="761"/>
      <c r="M6" s="761" t="s">
        <v>353</v>
      </c>
      <c r="N6" s="761"/>
      <c r="O6" s="761"/>
    </row>
    <row r="7" spans="1:169" ht="17.100000000000001" customHeight="1" x14ac:dyDescent="0.25">
      <c r="A7" s="802" t="s">
        <v>354</v>
      </c>
      <c r="B7" s="802"/>
      <c r="C7" s="802"/>
      <c r="D7" s="802"/>
      <c r="E7" s="802"/>
      <c r="F7" s="802"/>
      <c r="G7" s="802"/>
      <c r="H7" s="763">
        <f>SUM(H8:J9)</f>
        <v>6500</v>
      </c>
      <c r="I7" s="763"/>
      <c r="J7" s="763"/>
      <c r="K7" s="763">
        <f>SUM(K8:L9)</f>
        <v>0</v>
      </c>
      <c r="L7" s="763"/>
      <c r="M7" s="763">
        <f>SUM(M8:O9)</f>
        <v>0</v>
      </c>
      <c r="N7" s="763"/>
      <c r="O7" s="763"/>
    </row>
    <row r="8" spans="1:169" ht="17.100000000000001" customHeight="1" x14ac:dyDescent="0.25">
      <c r="A8" s="805" t="s">
        <v>403</v>
      </c>
      <c r="B8" s="805"/>
      <c r="C8" s="805"/>
      <c r="D8" s="805"/>
      <c r="E8" s="805"/>
      <c r="F8" s="805"/>
      <c r="G8" s="805"/>
      <c r="H8" s="806">
        <f>+'BM 2 Franchise'!D27</f>
        <v>6500</v>
      </c>
      <c r="I8" s="806"/>
      <c r="J8" s="806"/>
      <c r="K8" s="806"/>
      <c r="L8" s="806"/>
      <c r="M8" s="806"/>
      <c r="N8" s="806"/>
      <c r="O8" s="806"/>
    </row>
    <row r="9" spans="1:169" ht="17.100000000000001" customHeight="1" x14ac:dyDescent="0.25">
      <c r="A9" s="805" t="s">
        <v>355</v>
      </c>
      <c r="B9" s="805"/>
      <c r="C9" s="805"/>
      <c r="D9" s="805"/>
      <c r="E9" s="805"/>
      <c r="F9" s="805"/>
      <c r="G9" s="805"/>
      <c r="H9" s="806">
        <v>0</v>
      </c>
      <c r="I9" s="806"/>
      <c r="J9" s="806"/>
      <c r="K9" s="806"/>
      <c r="L9" s="806"/>
      <c r="M9" s="806"/>
      <c r="N9" s="806"/>
      <c r="O9" s="806"/>
    </row>
    <row r="10" spans="1:169" ht="17.100000000000001" customHeight="1" x14ac:dyDescent="0.25">
      <c r="A10" s="802" t="s">
        <v>356</v>
      </c>
      <c r="B10" s="802"/>
      <c r="C10" s="802"/>
      <c r="D10" s="802"/>
      <c r="E10" s="802"/>
      <c r="F10" s="802"/>
      <c r="G10" s="802"/>
      <c r="H10" s="763">
        <f>SUM(H11:J13)</f>
        <v>70000</v>
      </c>
      <c r="I10" s="763"/>
      <c r="J10" s="763"/>
      <c r="K10" s="763">
        <f>SUM(K11:L13)</f>
        <v>0</v>
      </c>
      <c r="L10" s="763"/>
      <c r="M10" s="763">
        <f>SUM(M11:O13)</f>
        <v>0</v>
      </c>
      <c r="N10" s="763"/>
      <c r="O10" s="763"/>
    </row>
    <row r="11" spans="1:169" ht="17.100000000000001" customHeight="1" x14ac:dyDescent="0.25">
      <c r="A11" s="805" t="s">
        <v>357</v>
      </c>
      <c r="B11" s="805"/>
      <c r="C11" s="805"/>
      <c r="D11" s="805"/>
      <c r="E11" s="805"/>
      <c r="F11" s="805"/>
      <c r="G11" s="805"/>
      <c r="H11" s="806">
        <v>50000</v>
      </c>
      <c r="I11" s="806"/>
      <c r="J11" s="806"/>
      <c r="K11" s="806"/>
      <c r="L11" s="806"/>
      <c r="M11" s="806"/>
      <c r="N11" s="806"/>
      <c r="O11" s="806"/>
    </row>
    <row r="12" spans="1:169" ht="17.100000000000001" customHeight="1" x14ac:dyDescent="0.25">
      <c r="A12" s="805" t="s">
        <v>404</v>
      </c>
      <c r="B12" s="805"/>
      <c r="C12" s="805"/>
      <c r="D12" s="805"/>
      <c r="E12" s="805"/>
      <c r="F12" s="805"/>
      <c r="G12" s="805"/>
      <c r="H12" s="806">
        <v>10000</v>
      </c>
      <c r="I12" s="806"/>
      <c r="J12" s="806"/>
      <c r="K12" s="806"/>
      <c r="L12" s="806"/>
      <c r="M12" s="806"/>
      <c r="N12" s="806"/>
      <c r="O12" s="806"/>
    </row>
    <row r="13" spans="1:169" ht="17.100000000000001" customHeight="1" x14ac:dyDescent="0.25">
      <c r="A13" s="805" t="s">
        <v>405</v>
      </c>
      <c r="B13" s="805"/>
      <c r="C13" s="805"/>
      <c r="D13" s="805"/>
      <c r="E13" s="805"/>
      <c r="F13" s="805"/>
      <c r="G13" s="805"/>
      <c r="H13" s="806">
        <v>10000</v>
      </c>
      <c r="I13" s="806"/>
      <c r="J13" s="806"/>
      <c r="K13" s="806"/>
      <c r="L13" s="806"/>
      <c r="M13" s="806"/>
      <c r="N13" s="806"/>
      <c r="O13" s="806"/>
    </row>
    <row r="14" spans="1:169" ht="17.100000000000001" customHeight="1" x14ac:dyDescent="0.25">
      <c r="A14" s="802" t="s">
        <v>358</v>
      </c>
      <c r="B14" s="802"/>
      <c r="C14" s="802"/>
      <c r="D14" s="802"/>
      <c r="E14" s="802"/>
      <c r="F14" s="802"/>
      <c r="G14" s="802"/>
      <c r="H14" s="763">
        <f>SUM(H15:J18)</f>
        <v>5000</v>
      </c>
      <c r="I14" s="763"/>
      <c r="J14" s="763"/>
      <c r="K14" s="763">
        <f>SUM(K15:L19)</f>
        <v>10000</v>
      </c>
      <c r="L14" s="763"/>
      <c r="M14" s="763">
        <f>SUM(M15:O19)</f>
        <v>10000</v>
      </c>
      <c r="N14" s="763"/>
      <c r="O14" s="763"/>
    </row>
    <row r="15" spans="1:169" ht="17.100000000000001" customHeight="1" x14ac:dyDescent="0.25">
      <c r="A15" s="805" t="s">
        <v>359</v>
      </c>
      <c r="B15" s="805"/>
      <c r="C15" s="805"/>
      <c r="D15" s="805"/>
      <c r="E15" s="805"/>
      <c r="F15" s="805"/>
      <c r="G15" s="805"/>
      <c r="H15" s="806">
        <v>5000</v>
      </c>
      <c r="I15" s="806"/>
      <c r="J15" s="806"/>
      <c r="K15" s="806"/>
      <c r="L15" s="806"/>
      <c r="M15" s="806"/>
      <c r="N15" s="806"/>
      <c r="O15" s="806"/>
    </row>
    <row r="16" spans="1:169" ht="17.100000000000001" customHeight="1" x14ac:dyDescent="0.25">
      <c r="A16" s="805" t="s">
        <v>360</v>
      </c>
      <c r="B16" s="805"/>
      <c r="C16" s="805"/>
      <c r="D16" s="805"/>
      <c r="E16" s="805"/>
      <c r="F16" s="805"/>
      <c r="G16" s="805"/>
      <c r="H16" s="806"/>
      <c r="I16" s="806"/>
      <c r="J16" s="806"/>
      <c r="K16" s="806"/>
      <c r="L16" s="806"/>
      <c r="M16" s="806"/>
      <c r="N16" s="806"/>
      <c r="O16" s="806"/>
    </row>
    <row r="17" spans="1:15" ht="17.100000000000001" customHeight="1" x14ac:dyDescent="0.25">
      <c r="A17" s="805" t="s">
        <v>361</v>
      </c>
      <c r="B17" s="805"/>
      <c r="C17" s="805"/>
      <c r="D17" s="805"/>
      <c r="E17" s="805"/>
      <c r="F17" s="805"/>
      <c r="G17" s="805"/>
      <c r="H17" s="806">
        <v>0</v>
      </c>
      <c r="I17" s="806"/>
      <c r="J17" s="806"/>
      <c r="K17" s="806">
        <v>10000</v>
      </c>
      <c r="L17" s="806"/>
      <c r="M17" s="806">
        <v>10000</v>
      </c>
      <c r="N17" s="806"/>
      <c r="O17" s="806"/>
    </row>
    <row r="18" spans="1:15" ht="17.100000000000001" customHeight="1" x14ac:dyDescent="0.25">
      <c r="A18" s="831" t="s">
        <v>362</v>
      </c>
      <c r="B18" s="831"/>
      <c r="C18" s="831"/>
      <c r="D18" s="831"/>
      <c r="E18" s="831"/>
      <c r="F18" s="831"/>
      <c r="G18" s="831"/>
      <c r="H18" s="806" t="s">
        <v>41</v>
      </c>
      <c r="I18" s="806"/>
      <c r="J18" s="806"/>
      <c r="K18" s="838"/>
      <c r="L18" s="838"/>
      <c r="M18" s="838"/>
      <c r="N18" s="838"/>
      <c r="O18" s="838"/>
    </row>
    <row r="19" spans="1:15" ht="17.100000000000001" customHeight="1" x14ac:dyDescent="0.25">
      <c r="A19" s="805" t="s">
        <v>363</v>
      </c>
      <c r="B19" s="805"/>
      <c r="C19" s="805"/>
      <c r="D19" s="805"/>
      <c r="E19" s="805"/>
      <c r="F19" s="805"/>
      <c r="G19" s="805"/>
      <c r="H19" s="838"/>
      <c r="I19" s="838"/>
      <c r="J19" s="838"/>
      <c r="K19" s="806"/>
      <c r="L19" s="806"/>
      <c r="M19" s="806"/>
      <c r="N19" s="806"/>
      <c r="O19" s="806"/>
    </row>
    <row r="20" spans="1:15" ht="17.100000000000001" customHeight="1" x14ac:dyDescent="0.25">
      <c r="A20" s="802" t="s">
        <v>364</v>
      </c>
      <c r="B20" s="802"/>
      <c r="C20" s="802"/>
      <c r="D20" s="802"/>
      <c r="E20" s="802"/>
      <c r="F20" s="802"/>
      <c r="G20" s="802"/>
      <c r="H20" s="763">
        <f>H7+H10+H14</f>
        <v>81500</v>
      </c>
      <c r="I20" s="763"/>
      <c r="J20" s="763"/>
      <c r="K20" s="763">
        <f>K7+K10+K14</f>
        <v>10000</v>
      </c>
      <c r="L20" s="763"/>
      <c r="M20" s="763">
        <f>M7+M10+M14</f>
        <v>10000</v>
      </c>
      <c r="N20" s="763"/>
      <c r="O20" s="763"/>
    </row>
    <row r="21" spans="1:15" ht="25.9" customHeight="1" x14ac:dyDescent="0.25">
      <c r="A21" s="835"/>
      <c r="B21" s="835"/>
      <c r="C21" s="835"/>
      <c r="D21" s="835"/>
      <c r="E21" s="835"/>
      <c r="F21" s="835"/>
      <c r="G21" s="835"/>
      <c r="H21" s="835"/>
      <c r="I21" s="835"/>
      <c r="J21" s="835"/>
      <c r="K21" s="835"/>
      <c r="L21" s="835"/>
      <c r="M21" s="835"/>
      <c r="N21" s="835"/>
      <c r="O21" s="835"/>
    </row>
    <row r="22" spans="1:15" ht="17.100000000000001" customHeight="1" x14ac:dyDescent="0.25">
      <c r="A22" s="836" t="s">
        <v>33</v>
      </c>
      <c r="B22" s="836"/>
      <c r="C22" s="836"/>
      <c r="D22" s="836"/>
      <c r="E22" s="836"/>
      <c r="F22" s="836"/>
      <c r="G22" s="836"/>
      <c r="H22" s="837" t="s">
        <v>97</v>
      </c>
      <c r="I22" s="837"/>
      <c r="J22" s="837"/>
      <c r="K22" s="837" t="s">
        <v>352</v>
      </c>
      <c r="L22" s="837"/>
      <c r="M22" s="837" t="s">
        <v>353</v>
      </c>
      <c r="N22" s="837"/>
      <c r="O22" s="837"/>
    </row>
    <row r="23" spans="1:15" ht="17.100000000000001" customHeight="1" x14ac:dyDescent="0.25">
      <c r="A23" s="802" t="s">
        <v>365</v>
      </c>
      <c r="B23" s="802"/>
      <c r="C23" s="802"/>
      <c r="D23" s="802"/>
      <c r="E23" s="802"/>
      <c r="F23" s="802"/>
      <c r="G23" s="802"/>
      <c r="H23" s="763">
        <f>SUM(H24:J24)</f>
        <v>25000</v>
      </c>
      <c r="I23" s="763"/>
      <c r="J23" s="763"/>
      <c r="K23" s="763">
        <f>SUM(K24:L24)</f>
        <v>0</v>
      </c>
      <c r="L23" s="763"/>
      <c r="M23" s="763">
        <f>SUM(M24:O24)</f>
        <v>0</v>
      </c>
      <c r="N23" s="763"/>
      <c r="O23" s="763"/>
    </row>
    <row r="24" spans="1:15" ht="17.100000000000001" customHeight="1" x14ac:dyDescent="0.25">
      <c r="A24" s="805" t="s">
        <v>407</v>
      </c>
      <c r="B24" s="805"/>
      <c r="C24" s="805"/>
      <c r="D24" s="805"/>
      <c r="E24" s="805"/>
      <c r="F24" s="805"/>
      <c r="G24" s="805"/>
      <c r="H24" s="806">
        <v>25000</v>
      </c>
      <c r="I24" s="806"/>
      <c r="J24" s="806"/>
      <c r="K24" s="806"/>
      <c r="L24" s="806"/>
      <c r="M24" s="806"/>
      <c r="N24" s="806"/>
      <c r="O24" s="806"/>
    </row>
    <row r="25" spans="1:15" ht="17.100000000000001" customHeight="1" x14ac:dyDescent="0.25">
      <c r="A25" s="832" t="s">
        <v>366</v>
      </c>
      <c r="B25" s="833"/>
      <c r="C25" s="833"/>
      <c r="D25" s="833"/>
      <c r="E25" s="833"/>
      <c r="F25" s="833"/>
      <c r="G25" s="834"/>
      <c r="H25" s="807"/>
      <c r="I25" s="808"/>
      <c r="J25" s="809"/>
      <c r="K25" s="807"/>
      <c r="L25" s="809"/>
      <c r="M25" s="807"/>
      <c r="N25" s="808"/>
      <c r="O25" s="809"/>
    </row>
    <row r="26" spans="1:15" ht="17.100000000000001" customHeight="1" x14ac:dyDescent="0.25">
      <c r="A26" s="802" t="s">
        <v>367</v>
      </c>
      <c r="B26" s="802"/>
      <c r="C26" s="802"/>
      <c r="D26" s="802"/>
      <c r="E26" s="802"/>
      <c r="F26" s="802"/>
      <c r="G26" s="802"/>
      <c r="H26" s="763">
        <f>SUM(H27:J28)</f>
        <v>56500</v>
      </c>
      <c r="I26" s="763"/>
      <c r="J26" s="763"/>
      <c r="K26" s="763">
        <f>SUM(K27:L28)</f>
        <v>0</v>
      </c>
      <c r="L26" s="763"/>
      <c r="M26" s="763">
        <f>SUM(M27:O28)</f>
        <v>0</v>
      </c>
      <c r="N26" s="763"/>
      <c r="O26" s="763"/>
    </row>
    <row r="27" spans="1:15" ht="17.100000000000001" customHeight="1" x14ac:dyDescent="0.25">
      <c r="A27" s="805" t="s">
        <v>408</v>
      </c>
      <c r="B27" s="805"/>
      <c r="C27" s="805"/>
      <c r="D27" s="805"/>
      <c r="E27" s="805"/>
      <c r="F27" s="805"/>
      <c r="G27" s="805"/>
      <c r="H27" s="806">
        <v>56500</v>
      </c>
      <c r="I27" s="806"/>
      <c r="J27" s="806"/>
      <c r="K27" s="806"/>
      <c r="L27" s="806"/>
      <c r="M27" s="806"/>
      <c r="N27" s="806"/>
      <c r="O27" s="806"/>
    </row>
    <row r="28" spans="1:15" ht="17.100000000000001" customHeight="1" x14ac:dyDescent="0.25">
      <c r="A28" s="805" t="s">
        <v>368</v>
      </c>
      <c r="B28" s="805"/>
      <c r="C28" s="805"/>
      <c r="D28" s="805"/>
      <c r="E28" s="805"/>
      <c r="F28" s="805"/>
      <c r="G28" s="805"/>
      <c r="H28" s="806"/>
      <c r="I28" s="806"/>
      <c r="J28" s="806"/>
      <c r="K28" s="806"/>
      <c r="L28" s="806"/>
      <c r="M28" s="806"/>
      <c r="N28" s="806"/>
      <c r="O28" s="806"/>
    </row>
    <row r="29" spans="1:15" ht="17.100000000000001" customHeight="1" x14ac:dyDescent="0.25">
      <c r="A29" s="832" t="s">
        <v>409</v>
      </c>
      <c r="B29" s="833"/>
      <c r="C29" s="833"/>
      <c r="D29" s="833"/>
      <c r="E29" s="833"/>
      <c r="F29" s="833"/>
      <c r="G29" s="834"/>
      <c r="H29" s="807"/>
      <c r="I29" s="808"/>
      <c r="J29" s="809"/>
      <c r="K29" s="807"/>
      <c r="L29" s="809"/>
      <c r="M29" s="807"/>
      <c r="N29" s="808"/>
      <c r="O29" s="809"/>
    </row>
    <row r="30" spans="1:15" ht="17.100000000000001" customHeight="1" x14ac:dyDescent="0.25">
      <c r="A30" s="802" t="s">
        <v>369</v>
      </c>
      <c r="B30" s="802"/>
      <c r="C30" s="802"/>
      <c r="D30" s="802"/>
      <c r="E30" s="802"/>
      <c r="F30" s="802"/>
      <c r="G30" s="802"/>
      <c r="H30" s="763">
        <f>SUM(H31:J35)</f>
        <v>0</v>
      </c>
      <c r="I30" s="763"/>
      <c r="J30" s="763"/>
      <c r="K30" s="763">
        <f>SUM(K31:L34)</f>
        <v>0</v>
      </c>
      <c r="L30" s="763"/>
      <c r="M30" s="763">
        <f>SUM(M31:O34)</f>
        <v>0</v>
      </c>
      <c r="N30" s="763"/>
      <c r="O30" s="763"/>
    </row>
    <row r="31" spans="1:15" ht="17.100000000000001" customHeight="1" x14ac:dyDescent="0.25">
      <c r="A31" s="831" t="s">
        <v>366</v>
      </c>
      <c r="B31" s="831"/>
      <c r="C31" s="831"/>
      <c r="D31" s="831"/>
      <c r="E31" s="831"/>
      <c r="F31" s="831"/>
      <c r="G31" s="831"/>
      <c r="H31" s="806"/>
      <c r="I31" s="806"/>
      <c r="J31" s="806"/>
      <c r="K31" s="806"/>
      <c r="L31" s="806"/>
      <c r="M31" s="806"/>
      <c r="N31" s="806"/>
      <c r="O31" s="806"/>
    </row>
    <row r="32" spans="1:15" ht="17.100000000000001" customHeight="1" x14ac:dyDescent="0.25">
      <c r="A32" s="825" t="s">
        <v>370</v>
      </c>
      <c r="B32" s="826"/>
      <c r="C32" s="826"/>
      <c r="D32" s="826"/>
      <c r="E32" s="826"/>
      <c r="F32" s="826"/>
      <c r="G32" s="827"/>
      <c r="H32" s="828"/>
      <c r="I32" s="829"/>
      <c r="J32" s="830"/>
      <c r="K32" s="828"/>
      <c r="L32" s="830"/>
      <c r="M32" s="828"/>
      <c r="N32" s="829"/>
      <c r="O32" s="830"/>
    </row>
    <row r="33" spans="1:18" ht="17.100000000000001" customHeight="1" x14ac:dyDescent="0.25">
      <c r="A33" s="825" t="s">
        <v>371</v>
      </c>
      <c r="B33" s="826"/>
      <c r="C33" s="826"/>
      <c r="D33" s="826"/>
      <c r="E33" s="826"/>
      <c r="F33" s="826"/>
      <c r="G33" s="827"/>
      <c r="H33" s="828"/>
      <c r="I33" s="829"/>
      <c r="J33" s="830"/>
      <c r="K33" s="828"/>
      <c r="L33" s="830"/>
      <c r="M33" s="828"/>
      <c r="N33" s="829"/>
      <c r="O33" s="830"/>
    </row>
    <row r="34" spans="1:18" ht="17.100000000000001" customHeight="1" x14ac:dyDescent="0.25">
      <c r="A34" s="805" t="s">
        <v>372</v>
      </c>
      <c r="B34" s="805"/>
      <c r="C34" s="805"/>
      <c r="D34" s="805"/>
      <c r="E34" s="805"/>
      <c r="F34" s="805"/>
      <c r="G34" s="805"/>
      <c r="H34" s="806"/>
      <c r="I34" s="806"/>
      <c r="J34" s="806"/>
      <c r="K34" s="806"/>
      <c r="L34" s="806"/>
      <c r="M34" s="806"/>
      <c r="N34" s="806"/>
      <c r="O34" s="806"/>
    </row>
    <row r="35" spans="1:18" ht="17.100000000000001" customHeight="1" x14ac:dyDescent="0.25">
      <c r="A35" s="802" t="s">
        <v>373</v>
      </c>
      <c r="B35" s="802"/>
      <c r="C35" s="802"/>
      <c r="D35" s="802"/>
      <c r="E35" s="802"/>
      <c r="F35" s="802"/>
      <c r="G35" s="802"/>
      <c r="H35" s="763"/>
      <c r="I35" s="763"/>
      <c r="J35" s="763"/>
      <c r="K35" s="763">
        <f>H81</f>
        <v>10700</v>
      </c>
      <c r="L35" s="763"/>
      <c r="M35" s="763">
        <f>K81</f>
        <v>24700</v>
      </c>
      <c r="N35" s="763"/>
      <c r="O35" s="763"/>
    </row>
    <row r="36" spans="1:18" ht="17.100000000000001" customHeight="1" x14ac:dyDescent="0.25">
      <c r="A36" s="802" t="s">
        <v>374</v>
      </c>
      <c r="B36" s="802"/>
      <c r="C36" s="802"/>
      <c r="D36" s="802"/>
      <c r="E36" s="802"/>
      <c r="F36" s="802"/>
      <c r="G36" s="802"/>
      <c r="H36" s="763">
        <f>H23+H26+H30</f>
        <v>81500</v>
      </c>
      <c r="I36" s="763"/>
      <c r="J36" s="763"/>
      <c r="K36" s="763">
        <f>K23+K26+K30+K35</f>
        <v>10700</v>
      </c>
      <c r="L36" s="763"/>
      <c r="M36" s="763">
        <f>M23+M26+M30+M35</f>
        <v>24700</v>
      </c>
      <c r="N36" s="763"/>
      <c r="O36" s="763"/>
    </row>
    <row r="37" spans="1:18" ht="15" x14ac:dyDescent="0.25">
      <c r="A37" s="824"/>
      <c r="B37" s="824"/>
      <c r="C37" s="824"/>
      <c r="D37" s="824"/>
      <c r="E37" s="824"/>
      <c r="F37" s="824"/>
      <c r="G37" s="824"/>
      <c r="H37" s="824"/>
      <c r="I37" s="824"/>
      <c r="J37" s="824"/>
      <c r="K37" s="824"/>
      <c r="L37" s="824"/>
      <c r="M37" s="824"/>
      <c r="N37" s="824"/>
      <c r="O37" s="824"/>
    </row>
    <row r="38" spans="1:18" ht="15" x14ac:dyDescent="0.25">
      <c r="A38" s="820"/>
      <c r="B38" s="820"/>
      <c r="C38" s="820"/>
      <c r="D38" s="820"/>
      <c r="E38" s="820"/>
      <c r="F38" s="820"/>
      <c r="G38" s="820"/>
      <c r="H38" s="820"/>
      <c r="I38" s="820"/>
      <c r="J38" s="820"/>
      <c r="K38" s="820"/>
      <c r="L38" s="820"/>
      <c r="M38" s="820"/>
      <c r="N38" s="820"/>
      <c r="O38" s="820"/>
    </row>
    <row r="39" spans="1:18" s="620" customFormat="1" ht="30" customHeight="1" x14ac:dyDescent="0.25">
      <c r="A39" s="821" t="s">
        <v>375</v>
      </c>
      <c r="B39" s="821"/>
      <c r="C39" s="821"/>
      <c r="D39" s="821"/>
      <c r="E39" s="821"/>
      <c r="F39" s="821"/>
      <c r="G39" s="821"/>
      <c r="H39" s="821"/>
      <c r="I39" s="821"/>
      <c r="J39" s="821"/>
      <c r="K39" s="821"/>
      <c r="L39" s="821"/>
      <c r="M39" s="821"/>
      <c r="N39" s="821"/>
      <c r="O39" s="821"/>
    </row>
    <row r="40" spans="1:18" ht="25.9" customHeight="1" x14ac:dyDescent="0.25">
      <c r="A40" s="822"/>
      <c r="B40" s="822"/>
      <c r="C40" s="822"/>
      <c r="D40" s="822"/>
      <c r="E40" s="822"/>
      <c r="F40" s="822"/>
      <c r="G40" s="822"/>
      <c r="H40" s="822"/>
      <c r="I40" s="822"/>
      <c r="J40" s="822"/>
      <c r="K40" s="822"/>
      <c r="L40" s="822"/>
      <c r="M40" s="822"/>
      <c r="N40" s="822"/>
      <c r="O40" s="822"/>
    </row>
    <row r="41" spans="1:18" ht="21" customHeight="1" x14ac:dyDescent="0.25">
      <c r="A41" s="823" t="s">
        <v>1</v>
      </c>
      <c r="B41" s="823"/>
      <c r="C41" s="823"/>
      <c r="D41" s="823"/>
      <c r="E41" s="823"/>
      <c r="F41" s="823"/>
      <c r="G41" s="823"/>
      <c r="H41" s="761" t="s">
        <v>376</v>
      </c>
      <c r="I41" s="761"/>
      <c r="J41" s="761"/>
      <c r="K41" s="761" t="s">
        <v>377</v>
      </c>
      <c r="L41" s="761"/>
      <c r="M41" s="761" t="s">
        <v>378</v>
      </c>
      <c r="N41" s="761"/>
      <c r="O41" s="761"/>
    </row>
    <row r="42" spans="1:18" ht="15.95" customHeight="1" x14ac:dyDescent="0.25">
      <c r="A42" s="762" t="s">
        <v>341</v>
      </c>
      <c r="B42" s="762"/>
      <c r="C42" s="762"/>
      <c r="D42" s="762"/>
      <c r="E42" s="762"/>
      <c r="F42" s="762"/>
      <c r="G42" s="762"/>
      <c r="H42" s="815"/>
      <c r="I42" s="815"/>
      <c r="J42" s="815"/>
      <c r="K42" s="816"/>
      <c r="L42" s="816"/>
      <c r="M42" s="816"/>
      <c r="N42" s="816"/>
      <c r="O42" s="816"/>
      <c r="R42" t="s">
        <v>41</v>
      </c>
    </row>
    <row r="43" spans="1:18" ht="15.95" customHeight="1" x14ac:dyDescent="0.25">
      <c r="A43" s="817" t="s">
        <v>236</v>
      </c>
      <c r="B43" s="818"/>
      <c r="C43" s="818"/>
      <c r="D43" s="818"/>
      <c r="E43" s="818"/>
      <c r="F43" s="818"/>
      <c r="G43" s="819"/>
      <c r="H43" s="768">
        <f>+'BM 2 Franchise'!C47</f>
        <v>80000</v>
      </c>
      <c r="I43" s="768"/>
      <c r="J43" s="768"/>
      <c r="K43" s="768">
        <f>+'BM 2 Franchise'!D47</f>
        <v>130000</v>
      </c>
      <c r="L43" s="768"/>
      <c r="M43" s="768">
        <f>+'BM 2 Franchise'!E47</f>
        <v>160000</v>
      </c>
      <c r="N43" s="768"/>
      <c r="O43" s="768"/>
      <c r="P43" s="175" t="s">
        <v>115</v>
      </c>
      <c r="R43" t="s">
        <v>41</v>
      </c>
    </row>
    <row r="44" spans="1:18" ht="15.95" customHeight="1" x14ac:dyDescent="0.25">
      <c r="A44" s="753" t="s">
        <v>114</v>
      </c>
      <c r="B44" s="754"/>
      <c r="C44" s="754"/>
      <c r="D44" s="754"/>
      <c r="E44" s="754"/>
      <c r="F44" s="754"/>
      <c r="G44" s="755"/>
      <c r="H44" s="769">
        <f>+'BM 2 Franchise'!C48</f>
        <v>0</v>
      </c>
      <c r="I44" s="770"/>
      <c r="J44" s="771"/>
      <c r="K44" s="769">
        <f>+'BM 2 Franchise'!D48</f>
        <v>8000</v>
      </c>
      <c r="L44" s="771"/>
      <c r="M44" s="769">
        <f>+'BM 2 Franchise'!E48</f>
        <v>10000</v>
      </c>
      <c r="N44" s="770"/>
      <c r="O44" s="771"/>
      <c r="P44" s="175" t="s">
        <v>116</v>
      </c>
    </row>
    <row r="45" spans="1:18" ht="15.95" customHeight="1" x14ac:dyDescent="0.25">
      <c r="A45" s="753" t="s">
        <v>110</v>
      </c>
      <c r="B45" s="754"/>
      <c r="C45" s="754"/>
      <c r="D45" s="754"/>
      <c r="E45" s="754"/>
      <c r="F45" s="754"/>
      <c r="G45" s="755"/>
      <c r="H45" s="769">
        <f>+'BM 2 Franchise'!C49</f>
        <v>5000</v>
      </c>
      <c r="I45" s="770"/>
      <c r="J45" s="771"/>
      <c r="K45" s="769">
        <f>+'BM 2 Franchise'!D49</f>
        <v>15000</v>
      </c>
      <c r="L45" s="771"/>
      <c r="M45" s="769">
        <f>+'BM 2 Franchise'!E49</f>
        <v>20000</v>
      </c>
      <c r="N45" s="770"/>
      <c r="O45" s="771"/>
      <c r="P45" s="175" t="s">
        <v>117</v>
      </c>
      <c r="R45" s="623" t="s">
        <v>41</v>
      </c>
    </row>
    <row r="46" spans="1:18" ht="15.95" customHeight="1" x14ac:dyDescent="0.25">
      <c r="H46" s="769">
        <f>+'BM 2 Franchise'!C50</f>
        <v>0</v>
      </c>
      <c r="I46" s="770"/>
      <c r="J46" s="771"/>
      <c r="K46" s="769">
        <f>+'BM 2 Franchise'!D50</f>
        <v>0</v>
      </c>
      <c r="L46" s="771"/>
      <c r="M46" s="769">
        <f>+'BM 2 Franchise'!E50</f>
        <v>0</v>
      </c>
      <c r="N46" s="770"/>
      <c r="O46" s="771"/>
      <c r="P46" s="175"/>
    </row>
    <row r="47" spans="1:18" ht="15.95" customHeight="1" x14ac:dyDescent="0.25">
      <c r="A47" s="753" t="s">
        <v>111</v>
      </c>
      <c r="B47" s="754"/>
      <c r="C47" s="754"/>
      <c r="D47" s="754"/>
      <c r="E47" s="754"/>
      <c r="F47" s="754"/>
      <c r="G47" s="755"/>
      <c r="H47" s="769">
        <f>+'BM 2 Franchise'!C51</f>
        <v>3000</v>
      </c>
      <c r="I47" s="770"/>
      <c r="J47" s="771"/>
      <c r="K47" s="769">
        <f>+'BM 2 Franchise'!D51</f>
        <v>5000</v>
      </c>
      <c r="L47" s="771"/>
      <c r="M47" s="769">
        <f>+'BM 2 Franchise'!E51</f>
        <v>6000</v>
      </c>
      <c r="N47" s="770"/>
      <c r="O47" s="771"/>
    </row>
    <row r="48" spans="1:18" ht="15.95" customHeight="1" x14ac:dyDescent="0.25">
      <c r="A48" s="756" t="s">
        <v>126</v>
      </c>
      <c r="B48" s="757"/>
      <c r="C48" s="757"/>
      <c r="D48" s="757"/>
      <c r="E48" s="757"/>
      <c r="F48" s="757"/>
      <c r="G48" s="758"/>
      <c r="H48" s="772">
        <f>SUM(H43:J47)</f>
        <v>88000</v>
      </c>
      <c r="I48" s="773"/>
      <c r="J48" s="774"/>
      <c r="K48" s="772">
        <f>SUM(K43:L47)</f>
        <v>158000</v>
      </c>
      <c r="L48" s="774"/>
      <c r="M48" s="772">
        <f>SUM(M43:O47)</f>
        <v>196000</v>
      </c>
      <c r="N48" s="773"/>
      <c r="O48" s="774"/>
      <c r="P48" s="175" t="s">
        <v>237</v>
      </c>
    </row>
    <row r="49" spans="1:16" ht="15.95" customHeight="1" x14ac:dyDescent="0.25">
      <c r="A49" s="753" t="s">
        <v>118</v>
      </c>
      <c r="B49" s="754"/>
      <c r="C49" s="754"/>
      <c r="D49" s="754"/>
      <c r="E49" s="754"/>
      <c r="F49" s="754"/>
      <c r="G49" s="755"/>
      <c r="H49" s="769">
        <f>+'BM 2 Franchise'!C53</f>
        <v>0</v>
      </c>
      <c r="I49" s="770"/>
      <c r="J49" s="771"/>
      <c r="K49" s="769">
        <f>+'BM 2 Franchise'!D53</f>
        <v>16000</v>
      </c>
      <c r="L49" s="771"/>
      <c r="M49" s="769">
        <f>+'BM 2 Franchise'!E53</f>
        <v>20000</v>
      </c>
      <c r="N49" s="770"/>
      <c r="O49" s="771"/>
    </row>
    <row r="50" spans="1:16" ht="15.95" customHeight="1" x14ac:dyDescent="0.25">
      <c r="A50" s="765" t="s">
        <v>112</v>
      </c>
      <c r="B50" s="766"/>
      <c r="C50" s="766"/>
      <c r="D50" s="766"/>
      <c r="E50" s="766"/>
      <c r="F50" s="766"/>
      <c r="G50" s="767"/>
      <c r="H50" s="768">
        <f>+'BM 2 Franchise'!C54</f>
        <v>3000</v>
      </c>
      <c r="I50" s="768"/>
      <c r="J50" s="768"/>
      <c r="K50" s="768">
        <f>+'BM 2 Franchise'!D54</f>
        <v>0</v>
      </c>
      <c r="L50" s="768"/>
      <c r="M50" s="768">
        <f>+'BM 2 Franchise'!E54</f>
        <v>0</v>
      </c>
      <c r="N50" s="768"/>
      <c r="O50" s="768"/>
    </row>
    <row r="51" spans="1:16" ht="15.95" customHeight="1" x14ac:dyDescent="0.25">
      <c r="A51" s="765" t="s">
        <v>410</v>
      </c>
      <c r="B51" s="766"/>
      <c r="C51" s="766"/>
      <c r="D51" s="766"/>
      <c r="E51" s="766"/>
      <c r="F51" s="766"/>
      <c r="G51" s="767"/>
      <c r="H51" s="768">
        <v>8000</v>
      </c>
      <c r="I51" s="768"/>
      <c r="J51" s="768"/>
      <c r="K51" s="768">
        <v>3000</v>
      </c>
      <c r="L51" s="768"/>
      <c r="M51" s="768">
        <v>3000</v>
      </c>
      <c r="N51" s="768"/>
      <c r="O51" s="768"/>
    </row>
    <row r="52" spans="1:16" ht="15.95" customHeight="1" x14ac:dyDescent="0.25">
      <c r="A52" s="765" t="s">
        <v>426</v>
      </c>
      <c r="B52" s="766"/>
      <c r="C52" s="766"/>
      <c r="D52" s="766"/>
      <c r="E52" s="766"/>
      <c r="F52" s="766"/>
      <c r="G52" s="767"/>
      <c r="H52" s="768">
        <v>15000</v>
      </c>
      <c r="I52" s="768"/>
      <c r="J52" s="768"/>
      <c r="K52" s="768">
        <v>15000</v>
      </c>
      <c r="L52" s="768"/>
      <c r="M52" s="768">
        <v>15000</v>
      </c>
      <c r="N52" s="768"/>
      <c r="O52" s="768"/>
    </row>
    <row r="53" spans="1:16" ht="15.95" customHeight="1" x14ac:dyDescent="0.25">
      <c r="A53" s="762" t="s">
        <v>379</v>
      </c>
      <c r="B53" s="762"/>
      <c r="C53" s="762"/>
      <c r="D53" s="762"/>
      <c r="E53" s="762"/>
      <c r="F53" s="762"/>
      <c r="G53" s="762"/>
      <c r="H53" s="764">
        <f>SUM(H48:J52)</f>
        <v>114000</v>
      </c>
      <c r="I53" s="764"/>
      <c r="J53" s="764"/>
      <c r="K53" s="764">
        <f>SUM(K48:L52)</f>
        <v>192000</v>
      </c>
      <c r="L53" s="764"/>
      <c r="M53" s="764">
        <f>SUM(M48:O52)</f>
        <v>234000</v>
      </c>
      <c r="N53" s="764"/>
      <c r="O53" s="764"/>
      <c r="P53" t="s">
        <v>41</v>
      </c>
    </row>
    <row r="54" spans="1:16" ht="21" customHeight="1" x14ac:dyDescent="0.25">
      <c r="A54" s="759" t="s">
        <v>3</v>
      </c>
      <c r="B54" s="759"/>
      <c r="C54" s="759"/>
      <c r="D54" s="759"/>
      <c r="E54" s="759"/>
      <c r="F54" s="759"/>
      <c r="G54" s="759"/>
      <c r="H54" s="760" t="s">
        <v>376</v>
      </c>
      <c r="I54" s="760"/>
      <c r="J54" s="760"/>
      <c r="K54" s="761" t="s">
        <v>377</v>
      </c>
      <c r="L54" s="761"/>
      <c r="M54" s="760" t="s">
        <v>378</v>
      </c>
      <c r="N54" s="760"/>
      <c r="O54" s="760"/>
    </row>
    <row r="55" spans="1:16" ht="15.95" customHeight="1" x14ac:dyDescent="0.25">
      <c r="A55" s="762" t="s">
        <v>380</v>
      </c>
      <c r="B55" s="762"/>
      <c r="C55" s="762"/>
      <c r="D55" s="762"/>
      <c r="E55" s="762"/>
      <c r="F55" s="762"/>
      <c r="G55" s="762"/>
      <c r="H55" s="763">
        <f>SUM(H56:J60)</f>
        <v>16800</v>
      </c>
      <c r="I55" s="763"/>
      <c r="J55" s="763"/>
      <c r="K55" s="763">
        <f>SUM(K56:L60)</f>
        <v>18800</v>
      </c>
      <c r="L55" s="763"/>
      <c r="M55" s="763">
        <f>SUM(M56:O60)</f>
        <v>22600</v>
      </c>
      <c r="N55" s="763"/>
      <c r="O55" s="763"/>
    </row>
    <row r="56" spans="1:16" ht="15.95" customHeight="1" x14ac:dyDescent="0.25">
      <c r="A56" s="810" t="s">
        <v>406</v>
      </c>
      <c r="B56" s="810"/>
      <c r="C56" s="810"/>
      <c r="D56" s="810"/>
      <c r="E56" s="810"/>
      <c r="F56" s="810"/>
      <c r="G56" s="810"/>
      <c r="H56" s="806">
        <f>+'BM 2 Franchise'!D28</f>
        <v>8800</v>
      </c>
      <c r="I56" s="806"/>
      <c r="J56" s="806"/>
      <c r="K56" s="806">
        <f>+'BM 2 Franchise'!E28</f>
        <v>15800</v>
      </c>
      <c r="L56" s="806"/>
      <c r="M56" s="806">
        <f>+'BM 2 Franchise'!F28</f>
        <v>19600</v>
      </c>
      <c r="N56" s="806"/>
      <c r="O56" s="806"/>
    </row>
    <row r="57" spans="1:16" ht="15.95" customHeight="1" x14ac:dyDescent="0.25">
      <c r="A57" s="812" t="s">
        <v>427</v>
      </c>
      <c r="B57" s="813"/>
      <c r="C57" s="813"/>
      <c r="D57" s="813"/>
      <c r="E57" s="813"/>
      <c r="F57" s="813"/>
      <c r="G57" s="814"/>
      <c r="H57" s="807">
        <f>+'BM 3 Formation'!D30</f>
        <v>8000</v>
      </c>
      <c r="I57" s="808"/>
      <c r="J57" s="809"/>
      <c r="K57" s="807">
        <f>+'BM 3 Formation'!E30</f>
        <v>3000</v>
      </c>
      <c r="L57" s="809"/>
      <c r="M57" s="807">
        <f>+'BM 3 Formation'!E30</f>
        <v>3000</v>
      </c>
      <c r="N57" s="808"/>
      <c r="O57" s="809"/>
    </row>
    <row r="58" spans="1:16" ht="15.95" customHeight="1" x14ac:dyDescent="0.25">
      <c r="A58" s="810" t="s">
        <v>381</v>
      </c>
      <c r="B58" s="810"/>
      <c r="C58" s="810"/>
      <c r="D58" s="810"/>
      <c r="E58" s="810"/>
      <c r="F58" s="810"/>
      <c r="G58" s="810"/>
      <c r="H58" s="806" t="s">
        <v>41</v>
      </c>
      <c r="I58" s="806"/>
      <c r="J58" s="806"/>
      <c r="K58" s="811" t="s">
        <v>41</v>
      </c>
      <c r="L58" s="811"/>
      <c r="M58" s="806" t="s">
        <v>41</v>
      </c>
      <c r="N58" s="806"/>
      <c r="O58" s="806"/>
    </row>
    <row r="59" spans="1:16" ht="15.95" customHeight="1" x14ac:dyDescent="0.25">
      <c r="A59" s="810" t="s">
        <v>382</v>
      </c>
      <c r="B59" s="810"/>
      <c r="C59" s="810"/>
      <c r="D59" s="810"/>
      <c r="E59" s="810"/>
      <c r="F59" s="810"/>
      <c r="G59" s="810"/>
      <c r="H59" s="806" t="s">
        <v>41</v>
      </c>
      <c r="I59" s="806"/>
      <c r="J59" s="806"/>
      <c r="K59" s="811" t="s">
        <v>41</v>
      </c>
      <c r="L59" s="811"/>
      <c r="M59" s="806" t="s">
        <v>41</v>
      </c>
      <c r="N59" s="806"/>
      <c r="O59" s="806"/>
    </row>
    <row r="60" spans="1:16" ht="15.95" customHeight="1" x14ac:dyDescent="0.25">
      <c r="A60" s="810" t="s">
        <v>383</v>
      </c>
      <c r="B60" s="810"/>
      <c r="C60" s="810"/>
      <c r="D60" s="810"/>
      <c r="E60" s="810"/>
      <c r="F60" s="810"/>
      <c r="G60" s="810"/>
      <c r="H60" s="806"/>
      <c r="I60" s="806"/>
      <c r="J60" s="806"/>
      <c r="K60" s="806"/>
      <c r="L60" s="806"/>
      <c r="M60" s="806"/>
      <c r="N60" s="806"/>
      <c r="O60" s="806"/>
    </row>
    <row r="61" spans="1:16" ht="15.95" customHeight="1" x14ac:dyDescent="0.25">
      <c r="A61" s="762" t="s">
        <v>384</v>
      </c>
      <c r="B61" s="762"/>
      <c r="C61" s="762"/>
      <c r="D61" s="762"/>
      <c r="E61" s="762"/>
      <c r="F61" s="762"/>
      <c r="G61" s="762"/>
      <c r="H61" s="763">
        <f>SUM(H62:J64)</f>
        <v>33500</v>
      </c>
      <c r="I61" s="763"/>
      <c r="J61" s="763"/>
      <c r="K61" s="763">
        <f>SUM(K62:L64)</f>
        <v>33500</v>
      </c>
      <c r="L61" s="763"/>
      <c r="M61" s="763">
        <f>SUM(M62:O64)</f>
        <v>33500</v>
      </c>
      <c r="N61" s="763"/>
      <c r="O61" s="763"/>
    </row>
    <row r="62" spans="1:16" ht="15.95" customHeight="1" x14ac:dyDescent="0.25">
      <c r="A62" s="805" t="s">
        <v>385</v>
      </c>
      <c r="B62" s="805"/>
      <c r="C62" s="805"/>
      <c r="D62" s="805"/>
      <c r="E62" s="805"/>
      <c r="F62" s="805"/>
      <c r="G62" s="805"/>
      <c r="H62" s="807">
        <v>30000</v>
      </c>
      <c r="I62" s="808"/>
      <c r="J62" s="809"/>
      <c r="K62" s="806">
        <v>30000</v>
      </c>
      <c r="L62" s="806"/>
      <c r="M62" s="806">
        <v>30000</v>
      </c>
      <c r="N62" s="806"/>
      <c r="O62" s="806"/>
    </row>
    <row r="63" spans="1:16" ht="15.95" customHeight="1" x14ac:dyDescent="0.25">
      <c r="A63" s="805" t="s">
        <v>386</v>
      </c>
      <c r="B63" s="805"/>
      <c r="C63" s="805"/>
      <c r="D63" s="805"/>
      <c r="E63" s="805"/>
      <c r="F63" s="805"/>
      <c r="G63" s="805"/>
      <c r="H63" s="806"/>
      <c r="I63" s="806"/>
      <c r="J63" s="806"/>
      <c r="K63" s="806"/>
      <c r="L63" s="806"/>
      <c r="M63" s="806"/>
      <c r="N63" s="806"/>
      <c r="O63" s="806"/>
    </row>
    <row r="64" spans="1:16" ht="15.95" customHeight="1" x14ac:dyDescent="0.25">
      <c r="A64" s="805" t="s">
        <v>413</v>
      </c>
      <c r="B64" s="805"/>
      <c r="C64" s="805"/>
      <c r="D64" s="805"/>
      <c r="E64" s="805"/>
      <c r="F64" s="805"/>
      <c r="G64" s="805"/>
      <c r="H64" s="806">
        <v>3500</v>
      </c>
      <c r="I64" s="806"/>
      <c r="J64" s="806"/>
      <c r="K64" s="806">
        <v>3500</v>
      </c>
      <c r="L64" s="806"/>
      <c r="M64" s="806">
        <v>3500</v>
      </c>
      <c r="N64" s="806"/>
      <c r="O64" s="806"/>
    </row>
    <row r="65" spans="1:15" ht="15.95" customHeight="1" x14ac:dyDescent="0.25">
      <c r="A65" s="802" t="s">
        <v>387</v>
      </c>
      <c r="B65" s="802"/>
      <c r="C65" s="802"/>
      <c r="D65" s="802"/>
      <c r="E65" s="802"/>
      <c r="F65" s="802"/>
      <c r="G65" s="802"/>
      <c r="H65" s="763">
        <f>SUM(H66:J68)</f>
        <v>53000</v>
      </c>
      <c r="I65" s="763"/>
      <c r="J65" s="763"/>
      <c r="K65" s="763">
        <f>SUM(K66:L68)</f>
        <v>115000</v>
      </c>
      <c r="L65" s="763"/>
      <c r="M65" s="763">
        <f>SUM(M66:O68)</f>
        <v>115000</v>
      </c>
      <c r="N65" s="763"/>
      <c r="O65" s="763"/>
    </row>
    <row r="66" spans="1:15" ht="15.95" customHeight="1" x14ac:dyDescent="0.25">
      <c r="A66" s="805" t="s">
        <v>411</v>
      </c>
      <c r="B66" s="805"/>
      <c r="C66" s="805"/>
      <c r="D66" s="805"/>
      <c r="E66" s="805"/>
      <c r="F66" s="805"/>
      <c r="G66" s="805"/>
      <c r="H66" s="806">
        <v>41000</v>
      </c>
      <c r="I66" s="806"/>
      <c r="J66" s="806"/>
      <c r="K66" s="806">
        <v>82000</v>
      </c>
      <c r="L66" s="806"/>
      <c r="M66" s="806">
        <v>82000</v>
      </c>
      <c r="N66" s="806"/>
      <c r="O66" s="806"/>
    </row>
    <row r="67" spans="1:15" ht="15.95" customHeight="1" x14ac:dyDescent="0.25">
      <c r="A67" s="805" t="s">
        <v>412</v>
      </c>
      <c r="B67" s="805"/>
      <c r="C67" s="805"/>
      <c r="D67" s="805"/>
      <c r="E67" s="805"/>
      <c r="F67" s="805"/>
      <c r="G67" s="805"/>
      <c r="H67" s="806">
        <v>12000</v>
      </c>
      <c r="I67" s="806"/>
      <c r="J67" s="806"/>
      <c r="K67" s="806">
        <v>33000</v>
      </c>
      <c r="L67" s="806"/>
      <c r="M67" s="806">
        <v>33000</v>
      </c>
      <c r="N67" s="806"/>
      <c r="O67" s="806"/>
    </row>
    <row r="68" spans="1:15" ht="15.95" customHeight="1" x14ac:dyDescent="0.25">
      <c r="A68" s="805" t="s">
        <v>388</v>
      </c>
      <c r="B68" s="805"/>
      <c r="C68" s="805"/>
      <c r="D68" s="805"/>
      <c r="E68" s="805"/>
      <c r="F68" s="805"/>
      <c r="G68" s="805"/>
      <c r="H68" s="806">
        <v>0</v>
      </c>
      <c r="I68" s="806"/>
      <c r="J68" s="806"/>
      <c r="K68" s="806">
        <v>0</v>
      </c>
      <c r="L68" s="806"/>
      <c r="M68" s="806">
        <v>0</v>
      </c>
      <c r="N68" s="806"/>
      <c r="O68" s="806"/>
    </row>
    <row r="69" spans="1:15" ht="15.95" customHeight="1" x14ac:dyDescent="0.25">
      <c r="A69" s="802" t="s">
        <v>389</v>
      </c>
      <c r="B69" s="802"/>
      <c r="C69" s="802"/>
      <c r="D69" s="802"/>
      <c r="E69" s="802"/>
      <c r="F69" s="802"/>
      <c r="G69" s="802"/>
      <c r="H69" s="763">
        <f>SUM(H70)</f>
        <v>0</v>
      </c>
      <c r="I69" s="763"/>
      <c r="J69" s="763"/>
      <c r="K69" s="763">
        <f>SUM(K70)</f>
        <v>0</v>
      </c>
      <c r="L69" s="763"/>
      <c r="M69" s="763">
        <f>SUM(M70)</f>
        <v>0</v>
      </c>
      <c r="N69" s="763"/>
      <c r="O69" s="763"/>
    </row>
    <row r="70" spans="1:15" ht="15.95" customHeight="1" x14ac:dyDescent="0.25">
      <c r="A70" s="805" t="s">
        <v>390</v>
      </c>
      <c r="B70" s="805"/>
      <c r="C70" s="805"/>
      <c r="D70" s="805"/>
      <c r="E70" s="805"/>
      <c r="F70" s="805"/>
      <c r="G70" s="805"/>
      <c r="H70" s="806" t="s">
        <v>41</v>
      </c>
      <c r="I70" s="806"/>
      <c r="J70" s="806"/>
      <c r="K70" s="806" t="s">
        <v>41</v>
      </c>
      <c r="L70" s="806"/>
      <c r="M70" s="806" t="s">
        <v>41</v>
      </c>
      <c r="N70" s="806"/>
      <c r="O70" s="806"/>
    </row>
    <row r="71" spans="1:15" ht="15.95" customHeight="1" x14ac:dyDescent="0.25">
      <c r="A71" s="802" t="s">
        <v>391</v>
      </c>
      <c r="B71" s="802"/>
      <c r="C71" s="802"/>
      <c r="D71" s="802"/>
      <c r="E71" s="802"/>
      <c r="F71" s="802"/>
      <c r="G71" s="802"/>
      <c r="H71" s="763">
        <f>SUM(H72:J74)</f>
        <v>0</v>
      </c>
      <c r="I71" s="763"/>
      <c r="J71" s="763"/>
      <c r="K71" s="763">
        <f>SUM(K72:L74)</f>
        <v>0</v>
      </c>
      <c r="L71" s="763"/>
      <c r="M71" s="763">
        <f>SUM(M72:O74)</f>
        <v>0</v>
      </c>
      <c r="N71" s="763"/>
      <c r="O71" s="763"/>
    </row>
    <row r="72" spans="1:15" ht="15.95" customHeight="1" x14ac:dyDescent="0.25">
      <c r="A72" s="805" t="s">
        <v>392</v>
      </c>
      <c r="B72" s="805"/>
      <c r="C72" s="805"/>
      <c r="D72" s="805"/>
      <c r="E72" s="805"/>
      <c r="F72" s="805"/>
      <c r="G72" s="805"/>
      <c r="H72" s="806"/>
      <c r="I72" s="806"/>
      <c r="J72" s="806"/>
      <c r="K72" s="806"/>
      <c r="L72" s="806"/>
      <c r="M72" s="806"/>
      <c r="N72" s="806"/>
      <c r="O72" s="806"/>
    </row>
    <row r="73" spans="1:15" ht="15.95" customHeight="1" x14ac:dyDescent="0.25">
      <c r="A73" s="805" t="s">
        <v>393</v>
      </c>
      <c r="B73" s="805"/>
      <c r="C73" s="805"/>
      <c r="D73" s="805"/>
      <c r="E73" s="805"/>
      <c r="F73" s="805"/>
      <c r="G73" s="805"/>
      <c r="H73" s="806">
        <v>0</v>
      </c>
      <c r="I73" s="806"/>
      <c r="J73" s="806"/>
      <c r="K73" s="806">
        <v>0</v>
      </c>
      <c r="L73" s="806"/>
      <c r="M73" s="806">
        <v>0</v>
      </c>
      <c r="N73" s="806"/>
      <c r="O73" s="806"/>
    </row>
    <row r="74" spans="1:15" ht="15.95" customHeight="1" x14ac:dyDescent="0.25">
      <c r="A74" s="805" t="s">
        <v>394</v>
      </c>
      <c r="B74" s="805"/>
      <c r="C74" s="805"/>
      <c r="D74" s="805"/>
      <c r="E74" s="805"/>
      <c r="F74" s="805"/>
      <c r="G74" s="805"/>
      <c r="H74" s="806" t="s">
        <v>41</v>
      </c>
      <c r="I74" s="806"/>
      <c r="J74" s="806"/>
      <c r="K74" s="806" t="s">
        <v>41</v>
      </c>
      <c r="L74" s="806"/>
      <c r="M74" s="806" t="s">
        <v>41</v>
      </c>
      <c r="N74" s="806"/>
      <c r="O74" s="806"/>
    </row>
    <row r="75" spans="1:15" ht="15.95" customHeight="1" x14ac:dyDescent="0.25">
      <c r="A75" s="802" t="s">
        <v>395</v>
      </c>
      <c r="B75" s="802"/>
      <c r="C75" s="802"/>
      <c r="D75" s="802"/>
      <c r="E75" s="802"/>
      <c r="F75" s="802"/>
      <c r="G75" s="802"/>
      <c r="H75" s="763">
        <f>SUM(H55+H61+H65+H69+H71)</f>
        <v>103300</v>
      </c>
      <c r="I75" s="763"/>
      <c r="J75" s="763"/>
      <c r="K75" s="763">
        <f>SUM(K55+K61+K65+K69+K71)</f>
        <v>167300</v>
      </c>
      <c r="L75" s="763"/>
      <c r="M75" s="763">
        <f>SUM(M55+M61+M65+M69+M71)</f>
        <v>171100</v>
      </c>
      <c r="N75" s="763"/>
      <c r="O75" s="763"/>
    </row>
    <row r="76" spans="1:15" ht="18" customHeight="1" x14ac:dyDescent="0.25">
      <c r="A76" s="797"/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  <c r="O76" s="797"/>
    </row>
    <row r="77" spans="1:15" ht="17.100000000000001" customHeight="1" x14ac:dyDescent="0.25">
      <c r="A77" s="803" t="s">
        <v>396</v>
      </c>
      <c r="B77" s="803"/>
      <c r="C77" s="803"/>
      <c r="D77" s="803"/>
      <c r="E77" s="803"/>
      <c r="F77" s="803"/>
      <c r="G77" s="803"/>
      <c r="H77" s="804"/>
      <c r="I77" s="804"/>
      <c r="J77" s="804"/>
      <c r="K77" s="804"/>
      <c r="L77" s="804"/>
      <c r="M77" s="804"/>
      <c r="N77" s="804"/>
      <c r="O77" s="804"/>
    </row>
    <row r="78" spans="1:15" ht="17.100000000000001" customHeight="1" x14ac:dyDescent="0.25">
      <c r="A78" s="794" t="s">
        <v>397</v>
      </c>
      <c r="B78" s="795"/>
      <c r="C78" s="795"/>
      <c r="D78" s="795"/>
      <c r="E78" s="795"/>
      <c r="F78" s="795"/>
      <c r="G78" s="796"/>
      <c r="H78" s="788">
        <f>H53-H75</f>
        <v>10700</v>
      </c>
      <c r="I78" s="789"/>
      <c r="J78" s="790"/>
      <c r="K78" s="791">
        <f>K53-K75</f>
        <v>24700</v>
      </c>
      <c r="L78" s="791"/>
      <c r="M78" s="791">
        <f>M53-M75</f>
        <v>62900</v>
      </c>
      <c r="N78" s="791"/>
      <c r="O78" s="791"/>
    </row>
    <row r="79" spans="1:15" ht="18" customHeight="1" x14ac:dyDescent="0.25">
      <c r="A79" s="797"/>
      <c r="B79" s="797"/>
      <c r="C79" s="797"/>
      <c r="D79" s="797"/>
      <c r="E79" s="797"/>
      <c r="F79" s="797"/>
      <c r="G79" s="797"/>
      <c r="H79" s="797"/>
      <c r="I79" s="797"/>
      <c r="J79" s="797"/>
      <c r="K79" s="797"/>
      <c r="L79" s="797"/>
      <c r="M79" s="797"/>
      <c r="N79" s="797"/>
      <c r="O79" s="797"/>
    </row>
    <row r="80" spans="1:15" ht="17.100000000000001" customHeight="1" x14ac:dyDescent="0.25">
      <c r="A80" s="798" t="s">
        <v>398</v>
      </c>
      <c r="B80" s="799"/>
      <c r="C80" s="799"/>
      <c r="D80" s="799"/>
      <c r="E80" s="799"/>
      <c r="F80" s="799"/>
      <c r="G80" s="800"/>
      <c r="H80" s="801"/>
      <c r="I80" s="801"/>
      <c r="J80" s="801"/>
      <c r="K80" s="801"/>
      <c r="L80" s="801"/>
      <c r="M80" s="801"/>
      <c r="N80" s="801"/>
      <c r="O80" s="801"/>
    </row>
    <row r="81" spans="1:18" ht="17.100000000000001" customHeight="1" x14ac:dyDescent="0.25">
      <c r="A81" s="785" t="s">
        <v>399</v>
      </c>
      <c r="B81" s="786"/>
      <c r="C81" s="786"/>
      <c r="D81" s="786"/>
      <c r="E81" s="786"/>
      <c r="F81" s="786"/>
      <c r="G81" s="787"/>
      <c r="H81" s="788">
        <f>H78+H73</f>
        <v>10700</v>
      </c>
      <c r="I81" s="789"/>
      <c r="J81" s="790"/>
      <c r="K81" s="791">
        <f>K78+K73</f>
        <v>24700</v>
      </c>
      <c r="L81" s="791"/>
      <c r="M81" s="791">
        <f>M78+M73</f>
        <v>62900</v>
      </c>
      <c r="N81" s="791"/>
      <c r="O81" s="791"/>
      <c r="R81" s="21"/>
    </row>
    <row r="82" spans="1:18" ht="17.100000000000001" customHeight="1" x14ac:dyDescent="0.25">
      <c r="A82" s="792"/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N82" s="792"/>
      <c r="O82" s="792"/>
      <c r="R82" s="21"/>
    </row>
    <row r="83" spans="1:18" ht="17.100000000000001" customHeight="1" x14ac:dyDescent="0.25">
      <c r="A83" s="783" t="s">
        <v>400</v>
      </c>
      <c r="B83" s="783"/>
      <c r="C83" s="783"/>
      <c r="D83" s="783"/>
      <c r="E83" s="783"/>
      <c r="F83" s="783"/>
      <c r="G83" s="783"/>
      <c r="H83" s="793"/>
      <c r="I83" s="793"/>
      <c r="J83" s="793"/>
      <c r="K83" s="793"/>
      <c r="L83" s="793"/>
      <c r="M83" s="793"/>
      <c r="N83" s="793"/>
      <c r="O83" s="793"/>
      <c r="R83" s="21"/>
    </row>
    <row r="84" spans="1:18" ht="17.100000000000001" customHeight="1" x14ac:dyDescent="0.25">
      <c r="A84" s="775"/>
      <c r="B84" s="776"/>
      <c r="C84" s="776"/>
      <c r="D84" s="776"/>
      <c r="E84" s="776"/>
      <c r="F84" s="776"/>
      <c r="G84" s="777"/>
      <c r="H84" s="778">
        <f>+K17</f>
        <v>10000</v>
      </c>
      <c r="I84" s="778"/>
      <c r="J84" s="780"/>
      <c r="K84" s="779">
        <f>+M17</f>
        <v>10000</v>
      </c>
      <c r="L84" s="780"/>
      <c r="M84" s="779">
        <v>10000</v>
      </c>
      <c r="N84" s="778"/>
      <c r="O84" s="778"/>
      <c r="R84" s="21"/>
    </row>
    <row r="85" spans="1:18" ht="17.100000000000001" customHeight="1" x14ac:dyDescent="0.25">
      <c r="A85" s="781"/>
      <c r="B85" s="781"/>
      <c r="C85" s="781"/>
      <c r="D85" s="781"/>
      <c r="E85" s="781"/>
      <c r="F85" s="781"/>
      <c r="G85" s="781"/>
      <c r="H85" s="781"/>
      <c r="I85" s="781"/>
      <c r="J85" s="781"/>
      <c r="K85" s="781"/>
      <c r="L85" s="781"/>
      <c r="M85" s="781"/>
      <c r="N85" s="781"/>
      <c r="O85" s="781"/>
      <c r="R85" s="21"/>
    </row>
    <row r="86" spans="1:18" ht="17.100000000000001" customHeight="1" x14ac:dyDescent="0.25">
      <c r="A86" s="782" t="s">
        <v>401</v>
      </c>
      <c r="B86" s="783"/>
      <c r="C86" s="783"/>
      <c r="D86" s="783"/>
      <c r="E86" s="783"/>
      <c r="F86" s="783"/>
      <c r="G86" s="784"/>
      <c r="H86" s="624"/>
      <c r="I86" s="624"/>
      <c r="J86" s="624"/>
      <c r="K86" s="624"/>
      <c r="L86" s="624"/>
      <c r="M86" s="624"/>
      <c r="N86" s="624"/>
      <c r="O86" s="624"/>
      <c r="R86" s="21"/>
    </row>
    <row r="87" spans="1:18" ht="17.100000000000001" customHeight="1" x14ac:dyDescent="0.25">
      <c r="A87" s="775"/>
      <c r="B87" s="776"/>
      <c r="C87" s="776"/>
      <c r="D87" s="776"/>
      <c r="E87" s="776"/>
      <c r="F87" s="776"/>
      <c r="G87" s="777"/>
      <c r="H87" s="778">
        <f>H81-H84</f>
        <v>700</v>
      </c>
      <c r="I87" s="778"/>
      <c r="J87" s="778"/>
      <c r="K87" s="779">
        <f>K81-K84</f>
        <v>14700</v>
      </c>
      <c r="L87" s="780"/>
      <c r="M87" s="778">
        <f>M81-M84</f>
        <v>52900</v>
      </c>
      <c r="N87" s="778"/>
      <c r="O87" s="780"/>
      <c r="R87" s="21"/>
    </row>
  </sheetData>
  <mergeCells count="302">
    <mergeCell ref="A2:O2"/>
    <mergeCell ref="A1:O1"/>
    <mergeCell ref="A7:G7"/>
    <mergeCell ref="H7:J7"/>
    <mergeCell ref="K7:L7"/>
    <mergeCell ref="M7:O7"/>
    <mergeCell ref="A8:G8"/>
    <mergeCell ref="H8:J8"/>
    <mergeCell ref="K8:L8"/>
    <mergeCell ref="M8:O8"/>
    <mergeCell ref="A3:O3"/>
    <mergeCell ref="A4:O4"/>
    <mergeCell ref="A5:O5"/>
    <mergeCell ref="A6:G6"/>
    <mergeCell ref="H6:J6"/>
    <mergeCell ref="K6:L6"/>
    <mergeCell ref="M6:O6"/>
    <mergeCell ref="A12:G12"/>
    <mergeCell ref="H12:J12"/>
    <mergeCell ref="K12:L12"/>
    <mergeCell ref="M12:O12"/>
    <mergeCell ref="A11:G11"/>
    <mergeCell ref="H11:J11"/>
    <mergeCell ref="K11:L11"/>
    <mergeCell ref="M11:O11"/>
    <mergeCell ref="A9:G9"/>
    <mergeCell ref="H9:J9"/>
    <mergeCell ref="K9:L9"/>
    <mergeCell ref="M9:O9"/>
    <mergeCell ref="A10:G10"/>
    <mergeCell ref="H10:J10"/>
    <mergeCell ref="K10:L10"/>
    <mergeCell ref="M10:O10"/>
    <mergeCell ref="A15:G15"/>
    <mergeCell ref="H15:J15"/>
    <mergeCell ref="K15:L15"/>
    <mergeCell ref="M15:O15"/>
    <mergeCell ref="A16:G16"/>
    <mergeCell ref="H16:J16"/>
    <mergeCell ref="K16:L16"/>
    <mergeCell ref="M16:O16"/>
    <mergeCell ref="A13:G13"/>
    <mergeCell ref="H13:J13"/>
    <mergeCell ref="K13:L13"/>
    <mergeCell ref="M13:O13"/>
    <mergeCell ref="A14:G14"/>
    <mergeCell ref="H14:J14"/>
    <mergeCell ref="K14:L14"/>
    <mergeCell ref="M14:O14"/>
    <mergeCell ref="A19:G19"/>
    <mergeCell ref="H19:J19"/>
    <mergeCell ref="K19:L19"/>
    <mergeCell ref="M19:O19"/>
    <mergeCell ref="A20:G20"/>
    <mergeCell ref="H20:J20"/>
    <mergeCell ref="K20:L20"/>
    <mergeCell ref="M20:O20"/>
    <mergeCell ref="A17:G17"/>
    <mergeCell ref="H17:J17"/>
    <mergeCell ref="K17:L17"/>
    <mergeCell ref="M17:O17"/>
    <mergeCell ref="A18:G18"/>
    <mergeCell ref="H18:J18"/>
    <mergeCell ref="K18:L18"/>
    <mergeCell ref="M18:O18"/>
    <mergeCell ref="A21:O21"/>
    <mergeCell ref="A22:G22"/>
    <mergeCell ref="H22:J22"/>
    <mergeCell ref="K22:L22"/>
    <mergeCell ref="M22:O22"/>
    <mergeCell ref="A23:G23"/>
    <mergeCell ref="H23:J23"/>
    <mergeCell ref="K23:L23"/>
    <mergeCell ref="M23:O23"/>
    <mergeCell ref="A25:G25"/>
    <mergeCell ref="H25:J25"/>
    <mergeCell ref="K25:L25"/>
    <mergeCell ref="M25:O25"/>
    <mergeCell ref="A26:G26"/>
    <mergeCell ref="H26:J26"/>
    <mergeCell ref="K26:L26"/>
    <mergeCell ref="M26:O26"/>
    <mergeCell ref="A24:G24"/>
    <mergeCell ref="H24:J24"/>
    <mergeCell ref="K24:L24"/>
    <mergeCell ref="M24:O24"/>
    <mergeCell ref="A29:G29"/>
    <mergeCell ref="H29:J29"/>
    <mergeCell ref="K29:L29"/>
    <mergeCell ref="M29:O29"/>
    <mergeCell ref="A27:G27"/>
    <mergeCell ref="H27:J27"/>
    <mergeCell ref="K27:L27"/>
    <mergeCell ref="M27:O27"/>
    <mergeCell ref="A28:G28"/>
    <mergeCell ref="H28:J28"/>
    <mergeCell ref="K28:L28"/>
    <mergeCell ref="M28:O28"/>
    <mergeCell ref="A32:G32"/>
    <mergeCell ref="H32:J32"/>
    <mergeCell ref="K32:L32"/>
    <mergeCell ref="M32:O32"/>
    <mergeCell ref="A33:G33"/>
    <mergeCell ref="H33:J33"/>
    <mergeCell ref="K33:L33"/>
    <mergeCell ref="M33:O33"/>
    <mergeCell ref="A30:G30"/>
    <mergeCell ref="H30:J30"/>
    <mergeCell ref="K30:L30"/>
    <mergeCell ref="M30:O30"/>
    <mergeCell ref="A31:G31"/>
    <mergeCell ref="H31:J31"/>
    <mergeCell ref="K31:L31"/>
    <mergeCell ref="M31:O31"/>
    <mergeCell ref="A37:O37"/>
    <mergeCell ref="A36:G36"/>
    <mergeCell ref="H36:J36"/>
    <mergeCell ref="K36:L36"/>
    <mergeCell ref="M36:O36"/>
    <mergeCell ref="A34:G34"/>
    <mergeCell ref="H34:J34"/>
    <mergeCell ref="K34:L34"/>
    <mergeCell ref="M34:O34"/>
    <mergeCell ref="A35:G35"/>
    <mergeCell ref="H35:J35"/>
    <mergeCell ref="K35:L35"/>
    <mergeCell ref="M35:O35"/>
    <mergeCell ref="A42:G42"/>
    <mergeCell ref="H42:J42"/>
    <mergeCell ref="K42:L42"/>
    <mergeCell ref="M42:O42"/>
    <mergeCell ref="A43:G43"/>
    <mergeCell ref="H43:J43"/>
    <mergeCell ref="K43:L43"/>
    <mergeCell ref="M43:O43"/>
    <mergeCell ref="A38:O38"/>
    <mergeCell ref="A39:O39"/>
    <mergeCell ref="A40:O40"/>
    <mergeCell ref="A41:G41"/>
    <mergeCell ref="H41:J41"/>
    <mergeCell ref="K41:L41"/>
    <mergeCell ref="M41:O41"/>
    <mergeCell ref="A59:G59"/>
    <mergeCell ref="H59:J59"/>
    <mergeCell ref="K59:L59"/>
    <mergeCell ref="M59:O59"/>
    <mergeCell ref="A60:G60"/>
    <mergeCell ref="H60:J60"/>
    <mergeCell ref="K60:L60"/>
    <mergeCell ref="M60:O60"/>
    <mergeCell ref="A56:G56"/>
    <mergeCell ref="H56:J56"/>
    <mergeCell ref="K56:L56"/>
    <mergeCell ref="M56:O56"/>
    <mergeCell ref="A58:G58"/>
    <mergeCell ref="H58:J58"/>
    <mergeCell ref="K58:L58"/>
    <mergeCell ref="M58:O58"/>
    <mergeCell ref="A57:G57"/>
    <mergeCell ref="H57:J57"/>
    <mergeCell ref="K57:L57"/>
    <mergeCell ref="M57:O57"/>
    <mergeCell ref="A63:G63"/>
    <mergeCell ref="H63:J63"/>
    <mergeCell ref="K63:L63"/>
    <mergeCell ref="M63:O63"/>
    <mergeCell ref="A61:G61"/>
    <mergeCell ref="H61:J61"/>
    <mergeCell ref="K61:L61"/>
    <mergeCell ref="M61:O61"/>
    <mergeCell ref="A62:G62"/>
    <mergeCell ref="H62:J62"/>
    <mergeCell ref="K62:L62"/>
    <mergeCell ref="M62:O62"/>
    <mergeCell ref="A66:G66"/>
    <mergeCell ref="H66:J66"/>
    <mergeCell ref="K66:L66"/>
    <mergeCell ref="M66:O66"/>
    <mergeCell ref="A67:G67"/>
    <mergeCell ref="H67:J67"/>
    <mergeCell ref="K67:L67"/>
    <mergeCell ref="M67:O67"/>
    <mergeCell ref="A64:G64"/>
    <mergeCell ref="H64:J64"/>
    <mergeCell ref="K64:L64"/>
    <mergeCell ref="M64:O64"/>
    <mergeCell ref="A65:G65"/>
    <mergeCell ref="H65:J65"/>
    <mergeCell ref="K65:L65"/>
    <mergeCell ref="M65:O65"/>
    <mergeCell ref="A69:G69"/>
    <mergeCell ref="H69:J69"/>
    <mergeCell ref="K69:L69"/>
    <mergeCell ref="M69:O69"/>
    <mergeCell ref="A70:G70"/>
    <mergeCell ref="H70:J70"/>
    <mergeCell ref="K70:L70"/>
    <mergeCell ref="M70:O70"/>
    <mergeCell ref="A68:G68"/>
    <mergeCell ref="H68:J68"/>
    <mergeCell ref="K68:L68"/>
    <mergeCell ref="M68:O68"/>
    <mergeCell ref="A73:G73"/>
    <mergeCell ref="H73:J73"/>
    <mergeCell ref="K73:L73"/>
    <mergeCell ref="M73:O73"/>
    <mergeCell ref="A74:G74"/>
    <mergeCell ref="H74:J74"/>
    <mergeCell ref="K74:L74"/>
    <mergeCell ref="M74:O74"/>
    <mergeCell ref="A71:G71"/>
    <mergeCell ref="H71:J71"/>
    <mergeCell ref="K71:L71"/>
    <mergeCell ref="M71:O71"/>
    <mergeCell ref="A72:G72"/>
    <mergeCell ref="H72:J72"/>
    <mergeCell ref="K72:L72"/>
    <mergeCell ref="M72:O72"/>
    <mergeCell ref="A75:G75"/>
    <mergeCell ref="H75:J75"/>
    <mergeCell ref="K75:L75"/>
    <mergeCell ref="M75:O75"/>
    <mergeCell ref="A76:O76"/>
    <mergeCell ref="A77:G77"/>
    <mergeCell ref="H77:J77"/>
    <mergeCell ref="K77:L77"/>
    <mergeCell ref="M77:O77"/>
    <mergeCell ref="A78:G78"/>
    <mergeCell ref="H78:J78"/>
    <mergeCell ref="K78:L78"/>
    <mergeCell ref="M78:O78"/>
    <mergeCell ref="A79:O79"/>
    <mergeCell ref="A80:G80"/>
    <mergeCell ref="H80:J80"/>
    <mergeCell ref="K80:L80"/>
    <mergeCell ref="M80:O80"/>
    <mergeCell ref="A81:G81"/>
    <mergeCell ref="H81:J81"/>
    <mergeCell ref="K81:L81"/>
    <mergeCell ref="M81:O81"/>
    <mergeCell ref="A82:O82"/>
    <mergeCell ref="A83:G83"/>
    <mergeCell ref="H83:J83"/>
    <mergeCell ref="K83:L83"/>
    <mergeCell ref="M83:O83"/>
    <mergeCell ref="A87:G87"/>
    <mergeCell ref="H87:J87"/>
    <mergeCell ref="K87:L87"/>
    <mergeCell ref="M87:O87"/>
    <mergeCell ref="A84:G84"/>
    <mergeCell ref="H84:J84"/>
    <mergeCell ref="K84:L84"/>
    <mergeCell ref="M84:O84"/>
    <mergeCell ref="A85:O85"/>
    <mergeCell ref="A86:G86"/>
    <mergeCell ref="H45:J45"/>
    <mergeCell ref="K45:L45"/>
    <mergeCell ref="M45:O45"/>
    <mergeCell ref="H46:J46"/>
    <mergeCell ref="K46:L46"/>
    <mergeCell ref="M46:O46"/>
    <mergeCell ref="A44:G44"/>
    <mergeCell ref="A45:G45"/>
    <mergeCell ref="A52:G52"/>
    <mergeCell ref="H44:J44"/>
    <mergeCell ref="K44:L44"/>
    <mergeCell ref="M44:O44"/>
    <mergeCell ref="H52:J52"/>
    <mergeCell ref="K52:L52"/>
    <mergeCell ref="M52:O52"/>
    <mergeCell ref="H49:J49"/>
    <mergeCell ref="K49:L49"/>
    <mergeCell ref="M49:O49"/>
    <mergeCell ref="H47:J47"/>
    <mergeCell ref="K47:L47"/>
    <mergeCell ref="M47:O47"/>
    <mergeCell ref="H48:J48"/>
    <mergeCell ref="K48:L48"/>
    <mergeCell ref="M48:O48"/>
    <mergeCell ref="A47:G47"/>
    <mergeCell ref="A48:G48"/>
    <mergeCell ref="A49:G49"/>
    <mergeCell ref="A54:G54"/>
    <mergeCell ref="H54:J54"/>
    <mergeCell ref="K54:L54"/>
    <mergeCell ref="M54:O54"/>
    <mergeCell ref="A55:G55"/>
    <mergeCell ref="H55:J55"/>
    <mergeCell ref="K55:L55"/>
    <mergeCell ref="M55:O55"/>
    <mergeCell ref="A53:G53"/>
    <mergeCell ref="H53:J53"/>
    <mergeCell ref="K53:L53"/>
    <mergeCell ref="M53:O53"/>
    <mergeCell ref="A50:G50"/>
    <mergeCell ref="H50:J50"/>
    <mergeCell ref="K50:L50"/>
    <mergeCell ref="M50:O50"/>
    <mergeCell ref="A51:G51"/>
    <mergeCell ref="H51:J51"/>
    <mergeCell ref="K51:L51"/>
    <mergeCell ref="M51:O51"/>
  </mergeCells>
  <pageMargins left="0.7" right="0.7" top="0.75" bottom="0.75" header="0.3" footer="0.3"/>
  <pageSetup paperSize="9" orientation="portrait" r:id="rId1"/>
  <ignoredErrors>
    <ignoredError sqref="K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1"/>
  <sheetViews>
    <sheetView topLeftCell="A4" zoomScaleNormal="100" workbookViewId="0">
      <pane xSplit="2" ySplit="7" topLeftCell="C29" activePane="bottomRight" state="frozen"/>
      <selection activeCell="A4" sqref="A4"/>
      <selection pane="topRight" activeCell="C4" sqref="C4"/>
      <selection pane="bottomLeft" activeCell="A11" sqref="A11"/>
      <selection pane="bottomRight" activeCell="D31" sqref="D31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</cols>
  <sheetData>
    <row r="1" spans="2:9" ht="15.75" thickBot="1" x14ac:dyDescent="0.3">
      <c r="B1" s="1" t="s">
        <v>41</v>
      </c>
      <c r="C1" s="1"/>
      <c r="D1" s="52" t="s">
        <v>41</v>
      </c>
    </row>
    <row r="2" spans="2:9" x14ac:dyDescent="0.25">
      <c r="B2" s="1"/>
      <c r="C2" s="1"/>
    </row>
    <row r="3" spans="2:9" ht="15.75" x14ac:dyDescent="0.25">
      <c r="B3" s="114" t="s">
        <v>35</v>
      </c>
      <c r="C3" s="114"/>
      <c r="D3" s="301"/>
      <c r="E3" s="301"/>
      <c r="F3" s="301"/>
      <c r="G3" s="301"/>
      <c r="H3" s="301"/>
    </row>
    <row r="4" spans="2:9" s="53" customFormat="1" ht="15.75" x14ac:dyDescent="0.25">
      <c r="B4" s="2" t="s">
        <v>339</v>
      </c>
      <c r="C4" s="2"/>
      <c r="D4" s="302"/>
      <c r="E4" s="302"/>
      <c r="F4" s="302"/>
      <c r="G4" s="302"/>
      <c r="H4" s="302"/>
    </row>
    <row r="5" spans="2:9" s="53" customFormat="1" ht="15.75" x14ac:dyDescent="0.25">
      <c r="B5" s="2"/>
      <c r="C5" s="2"/>
      <c r="D5" s="302"/>
      <c r="E5" s="302"/>
      <c r="F5" s="302"/>
      <c r="G5" s="302"/>
      <c r="H5" s="302"/>
    </row>
    <row r="6" spans="2:9" s="53" customFormat="1" ht="18.75" x14ac:dyDescent="0.25">
      <c r="B6" s="114"/>
      <c r="C6" s="311"/>
      <c r="D6" s="325">
        <v>2021</v>
      </c>
      <c r="E6" s="325">
        <v>2022</v>
      </c>
      <c r="F6" s="325">
        <v>2023</v>
      </c>
      <c r="G6" s="325">
        <v>2024</v>
      </c>
      <c r="H6" s="325">
        <v>2025</v>
      </c>
    </row>
    <row r="7" spans="2:9" s="53" customFormat="1" x14ac:dyDescent="0.25">
      <c r="C7" s="312"/>
      <c r="D7" s="326">
        <v>44561</v>
      </c>
      <c r="E7" s="326">
        <v>44926</v>
      </c>
      <c r="F7" s="326">
        <v>45291</v>
      </c>
      <c r="G7" s="326">
        <v>45657</v>
      </c>
      <c r="H7" s="326">
        <v>46022</v>
      </c>
    </row>
    <row r="8" spans="2:9" s="53" customFormat="1" ht="15.75" x14ac:dyDescent="0.25">
      <c r="B8" s="303" t="s">
        <v>37</v>
      </c>
      <c r="C8" s="312"/>
      <c r="D8" s="349" t="s">
        <v>92</v>
      </c>
      <c r="E8" s="349" t="s">
        <v>93</v>
      </c>
      <c r="F8" s="349" t="s">
        <v>93</v>
      </c>
      <c r="G8" s="349" t="s">
        <v>93</v>
      </c>
      <c r="H8" s="349" t="s">
        <v>93</v>
      </c>
    </row>
    <row r="9" spans="2:9" s="53" customFormat="1" ht="7.15" customHeight="1" thickBot="1" x14ac:dyDescent="0.3">
      <c r="B9" s="114"/>
      <c r="C9" s="311"/>
      <c r="D9" s="327"/>
      <c r="E9" s="327"/>
      <c r="F9" s="327"/>
      <c r="G9" s="327"/>
      <c r="H9" s="327"/>
      <c r="I9" s="113"/>
    </row>
    <row r="10" spans="2:9" s="53" customFormat="1" ht="16.5" thickBot="1" x14ac:dyDescent="0.3">
      <c r="B10" s="323" t="s">
        <v>209</v>
      </c>
      <c r="C10" s="324"/>
      <c r="D10" s="328">
        <f>+'Tréso &amp; Emprunts'!G41</f>
        <v>13012</v>
      </c>
      <c r="E10" s="328">
        <f>+D41</f>
        <v>5</v>
      </c>
      <c r="F10" s="328">
        <f>+E41</f>
        <v>-27892.51999999999</v>
      </c>
      <c r="G10" s="328">
        <f>+F41</f>
        <v>14342.869999999981</v>
      </c>
      <c r="H10" s="328">
        <f>+G41</f>
        <v>61882.359999999957</v>
      </c>
    </row>
    <row r="11" spans="2:9" s="53" customFormat="1" ht="15.75" x14ac:dyDescent="0.25">
      <c r="B11" s="114"/>
      <c r="C11" s="311"/>
      <c r="D11" s="329"/>
      <c r="E11" s="329"/>
      <c r="F11" s="329"/>
      <c r="G11" s="329"/>
      <c r="H11" s="329"/>
    </row>
    <row r="12" spans="2:9" s="53" customFormat="1" ht="16.899999999999999" customHeight="1" x14ac:dyDescent="0.25">
      <c r="B12" s="304" t="s">
        <v>33</v>
      </c>
      <c r="C12" s="111"/>
      <c r="D12" s="330"/>
      <c r="E12" s="330"/>
      <c r="F12" s="330"/>
      <c r="G12" s="330"/>
      <c r="H12" s="330"/>
    </row>
    <row r="13" spans="2:9" s="53" customFormat="1" ht="15.75" x14ac:dyDescent="0.25">
      <c r="B13" s="301"/>
      <c r="C13" s="313"/>
      <c r="D13" s="331"/>
      <c r="E13" s="331"/>
      <c r="F13" s="331"/>
      <c r="G13" s="331"/>
      <c r="H13" s="331"/>
    </row>
    <row r="14" spans="2:9" s="53" customFormat="1" ht="15.75" x14ac:dyDescent="0.25">
      <c r="B14" s="2" t="s">
        <v>206</v>
      </c>
      <c r="C14" s="314"/>
      <c r="D14" s="332"/>
      <c r="E14" s="336"/>
      <c r="F14" s="336"/>
      <c r="G14" s="331"/>
      <c r="H14" s="331"/>
    </row>
    <row r="15" spans="2:9" s="53" customFormat="1" ht="15.75" x14ac:dyDescent="0.25">
      <c r="B15" s="306" t="s">
        <v>207</v>
      </c>
      <c r="C15" s="315"/>
      <c r="D15" s="332">
        <f>+'Résultat par entité'!D70</f>
        <v>-12900.080000000016</v>
      </c>
      <c r="E15" s="336">
        <f>+'Résultat par entité'!J70</f>
        <v>-114021.85999999999</v>
      </c>
      <c r="F15" s="336">
        <f>+'Résultat par entité'!O70</f>
        <v>54874.349999999977</v>
      </c>
      <c r="G15" s="331">
        <f>+'Résultat par entité'!T70</f>
        <v>158279.16999999998</v>
      </c>
      <c r="H15" s="331">
        <f>+'Résultat par entité'!Y70</f>
        <v>250110.26999999996</v>
      </c>
    </row>
    <row r="16" spans="2:9" s="53" customFormat="1" ht="15.75" x14ac:dyDescent="0.25">
      <c r="B16" s="306" t="s">
        <v>208</v>
      </c>
      <c r="C16" s="315"/>
      <c r="D16" s="332">
        <f>+'Résultat par entité'!D57</f>
        <v>19268</v>
      </c>
      <c r="E16" s="336">
        <f>+'Résultat par entité'!J57</f>
        <v>16000</v>
      </c>
      <c r="F16" s="336">
        <f>+'Résultat par entité'!O57</f>
        <v>14000</v>
      </c>
      <c r="G16" s="331">
        <f>+'Résultat par entité'!T57</f>
        <v>12000</v>
      </c>
      <c r="H16" s="331">
        <f>+'Résultat par entité'!Y57</f>
        <v>10000</v>
      </c>
    </row>
    <row r="17" spans="2:10" s="53" customFormat="1" ht="15.75" x14ac:dyDescent="0.25">
      <c r="B17" s="2" t="s">
        <v>210</v>
      </c>
      <c r="C17" s="314"/>
      <c r="D17" s="333">
        <f>+D15+D16</f>
        <v>6367.9199999999837</v>
      </c>
      <c r="E17" s="333">
        <f>+E15+E16</f>
        <v>-98021.859999999986</v>
      </c>
      <c r="F17" s="333">
        <f>+F15+F16</f>
        <v>68874.349999999977</v>
      </c>
      <c r="G17" s="333">
        <f>+G15+G16</f>
        <v>170279.16999999998</v>
      </c>
      <c r="H17" s="333">
        <f>+H15+H16</f>
        <v>260110.26999999996</v>
      </c>
    </row>
    <row r="18" spans="2:10" s="53" customFormat="1" ht="15.75" x14ac:dyDescent="0.25">
      <c r="B18" s="301"/>
      <c r="C18" s="313"/>
      <c r="D18" s="332"/>
      <c r="E18" s="332"/>
      <c r="F18" s="332"/>
      <c r="G18" s="331"/>
      <c r="H18" s="331"/>
    </row>
    <row r="19" spans="2:10" s="53" customFormat="1" ht="15.75" x14ac:dyDescent="0.25">
      <c r="B19" s="2" t="s">
        <v>245</v>
      </c>
      <c r="C19" s="314"/>
      <c r="D19" s="333">
        <v>86700</v>
      </c>
      <c r="E19" s="333">
        <v>110000</v>
      </c>
      <c r="F19" s="333"/>
      <c r="G19" s="339"/>
      <c r="H19" s="339"/>
      <c r="J19" s="551">
        <f>SUM(D19:H19)</f>
        <v>196700</v>
      </c>
    </row>
    <row r="20" spans="2:10" s="53" customFormat="1" ht="15.75" x14ac:dyDescent="0.25">
      <c r="B20" s="2" t="s">
        <v>244</v>
      </c>
      <c r="C20" s="313"/>
      <c r="D20" s="333">
        <f>+D31</f>
        <v>43000</v>
      </c>
      <c r="E20" s="332"/>
      <c r="F20" s="332"/>
      <c r="G20" s="331"/>
      <c r="H20" s="331"/>
      <c r="J20" s="551">
        <f>SUM(D20:H20)</f>
        <v>43000</v>
      </c>
    </row>
    <row r="21" spans="2:10" s="53" customFormat="1" ht="15.75" x14ac:dyDescent="0.25">
      <c r="B21" s="301"/>
      <c r="C21" s="313"/>
      <c r="D21" s="332"/>
      <c r="E21" s="332"/>
      <c r="F21" s="332"/>
      <c r="G21" s="331"/>
      <c r="H21" s="331"/>
    </row>
    <row r="22" spans="2:10" ht="15.75" x14ac:dyDescent="0.25">
      <c r="B22" s="307" t="s">
        <v>211</v>
      </c>
      <c r="C22" s="316" t="s">
        <v>185</v>
      </c>
      <c r="D22" s="334">
        <f>SUM(D17:D21)</f>
        <v>136067.91999999998</v>
      </c>
      <c r="E22" s="334">
        <f>SUM(E17:E21)</f>
        <v>11978.140000000014</v>
      </c>
      <c r="F22" s="334">
        <f>SUM(F17:F21)</f>
        <v>68874.349999999977</v>
      </c>
      <c r="G22" s="334">
        <f>SUM(G17:G21)</f>
        <v>170279.16999999998</v>
      </c>
      <c r="H22" s="334">
        <f>SUM(H17:H21)</f>
        <v>260110.26999999996</v>
      </c>
      <c r="I22" s="13"/>
    </row>
    <row r="23" spans="2:10" ht="15.75" x14ac:dyDescent="0.25">
      <c r="B23" s="301"/>
      <c r="C23" s="313"/>
      <c r="D23" s="331"/>
      <c r="E23" s="331"/>
      <c r="F23" s="331"/>
      <c r="G23" s="331"/>
      <c r="H23" s="331"/>
      <c r="I23" s="13"/>
    </row>
    <row r="24" spans="2:10" ht="15" customHeight="1" x14ac:dyDescent="0.25">
      <c r="B24" s="308" t="s">
        <v>204</v>
      </c>
      <c r="C24" s="112"/>
      <c r="D24" s="335"/>
      <c r="E24" s="335"/>
      <c r="F24" s="335"/>
      <c r="G24" s="335"/>
      <c r="H24" s="335"/>
      <c r="I24" s="113"/>
    </row>
    <row r="25" spans="2:10" ht="15.75" x14ac:dyDescent="0.25">
      <c r="B25" s="301"/>
      <c r="C25" s="313"/>
      <c r="D25" s="331"/>
      <c r="E25" s="331"/>
      <c r="F25" s="331"/>
      <c r="G25" s="331"/>
      <c r="H25" s="331"/>
      <c r="I25" s="13"/>
    </row>
    <row r="26" spans="2:10" ht="15.75" x14ac:dyDescent="0.25">
      <c r="B26" s="2" t="s">
        <v>337</v>
      </c>
      <c r="C26" s="313"/>
      <c r="D26" s="331"/>
      <c r="E26" s="331"/>
      <c r="F26" s="331"/>
      <c r="G26" s="331">
        <v>100000</v>
      </c>
      <c r="H26" s="331">
        <v>200000</v>
      </c>
      <c r="I26" s="13"/>
    </row>
    <row r="27" spans="2:10" ht="15.75" x14ac:dyDescent="0.25">
      <c r="B27" s="301"/>
      <c r="C27" s="313"/>
      <c r="D27" s="331"/>
      <c r="E27" s="331"/>
      <c r="F27" s="331"/>
      <c r="G27" s="331"/>
      <c r="H27" s="331"/>
      <c r="I27" s="13"/>
    </row>
    <row r="28" spans="2:10" ht="15.75" x14ac:dyDescent="0.25">
      <c r="B28" s="2" t="s">
        <v>221</v>
      </c>
      <c r="C28" s="314"/>
      <c r="D28" s="332"/>
      <c r="E28" s="332"/>
      <c r="F28" s="332"/>
      <c r="G28" s="331"/>
      <c r="H28" s="331"/>
      <c r="I28" s="13"/>
    </row>
    <row r="29" spans="2:10" ht="15.75" x14ac:dyDescent="0.25">
      <c r="B29" s="309" t="s">
        <v>324</v>
      </c>
      <c r="C29" s="317"/>
      <c r="D29" s="336">
        <f>+'Tréso &amp; Emprunts'!G18</f>
        <v>12977.410000000003</v>
      </c>
      <c r="E29" s="336">
        <f>+'Tréso &amp; Emprunts'!H18</f>
        <v>27732.82</v>
      </c>
      <c r="F29" s="336">
        <f>+'Tréso &amp; Emprunts'!I18</f>
        <v>24496.120000000003</v>
      </c>
      <c r="G29" s="336">
        <f>+'Tréso &amp; Emprunts'!J18</f>
        <v>22203.97</v>
      </c>
      <c r="H29" s="336">
        <v>9606</v>
      </c>
      <c r="I29" s="13"/>
    </row>
    <row r="30" spans="2:10" ht="15.75" x14ac:dyDescent="0.25">
      <c r="B30" s="309" t="s">
        <v>326</v>
      </c>
      <c r="C30" s="317"/>
      <c r="D30" s="336">
        <f>+'Tréso &amp; Emprunts'!G28</f>
        <v>1071.42</v>
      </c>
      <c r="E30" s="336">
        <f>+'Tréso &amp; Emprunts'!H28</f>
        <v>2142.84</v>
      </c>
      <c r="F30" s="336">
        <f>+'Tréso &amp; Emprunts'!I28</f>
        <v>2142.84</v>
      </c>
      <c r="G30" s="336">
        <f>+'Tréso &amp; Emprunts'!J28</f>
        <v>535.71</v>
      </c>
      <c r="H30" s="336">
        <f>+'Tréso &amp; Emprunts'!K28</f>
        <v>0</v>
      </c>
      <c r="I30" s="13"/>
    </row>
    <row r="31" spans="2:10" ht="15.75" x14ac:dyDescent="0.25">
      <c r="B31" s="301" t="s">
        <v>325</v>
      </c>
      <c r="C31" s="313"/>
      <c r="D31" s="331">
        <v>43000</v>
      </c>
      <c r="E31" s="331"/>
      <c r="F31" s="331"/>
      <c r="G31" s="331"/>
      <c r="H31" s="331"/>
      <c r="I31" s="13"/>
    </row>
    <row r="32" spans="2:10" ht="15.75" x14ac:dyDescent="0.25">
      <c r="B32" s="301" t="s">
        <v>327</v>
      </c>
      <c r="C32" s="313"/>
      <c r="D32" s="332" t="s">
        <v>41</v>
      </c>
      <c r="E32" s="331">
        <v>10000</v>
      </c>
      <c r="F32" s="331"/>
      <c r="G32" s="331"/>
      <c r="H32" s="331"/>
      <c r="I32" s="13"/>
    </row>
    <row r="33" spans="2:9" ht="15.75" x14ac:dyDescent="0.25">
      <c r="B33" s="301"/>
      <c r="C33" s="313"/>
      <c r="D33" s="331"/>
      <c r="E33" s="331"/>
      <c r="F33" s="331"/>
      <c r="G33" s="331"/>
      <c r="H33" s="331"/>
      <c r="I33" s="13"/>
    </row>
    <row r="34" spans="2:9" ht="15.75" x14ac:dyDescent="0.25">
      <c r="B34" s="2" t="s">
        <v>34</v>
      </c>
      <c r="C34" s="314"/>
      <c r="D34" s="332"/>
      <c r="E34" s="332"/>
      <c r="F34" s="332"/>
      <c r="G34" s="332"/>
      <c r="H34" s="332"/>
    </row>
    <row r="35" spans="2:9" ht="15.75" x14ac:dyDescent="0.25">
      <c r="B35" s="301" t="s">
        <v>212</v>
      </c>
      <c r="C35" s="313"/>
      <c r="D35" s="332">
        <v>0</v>
      </c>
      <c r="E35" s="332">
        <v>0</v>
      </c>
      <c r="F35" s="332">
        <v>0</v>
      </c>
      <c r="G35" s="332">
        <v>0</v>
      </c>
      <c r="H35" s="332">
        <v>0</v>
      </c>
    </row>
    <row r="36" spans="2:9" ht="15.75" x14ac:dyDescent="0.25">
      <c r="B36" s="301"/>
      <c r="C36" s="313"/>
      <c r="D36" s="336"/>
      <c r="E36" s="331"/>
      <c r="F36" s="331"/>
      <c r="G36" s="331"/>
      <c r="H36" s="331"/>
    </row>
    <row r="37" spans="2:9" ht="15.75" x14ac:dyDescent="0.25">
      <c r="B37" s="310" t="s">
        <v>213</v>
      </c>
      <c r="C37" s="318" t="s">
        <v>186</v>
      </c>
      <c r="D37" s="337">
        <f>SUM(D26:D36)</f>
        <v>57048.83</v>
      </c>
      <c r="E37" s="337">
        <f t="shared" ref="E37:H37" si="0">SUM(E26:E36)</f>
        <v>39875.660000000003</v>
      </c>
      <c r="F37" s="337">
        <f t="shared" si="0"/>
        <v>26638.960000000003</v>
      </c>
      <c r="G37" s="337">
        <f t="shared" si="0"/>
        <v>122739.68000000001</v>
      </c>
      <c r="H37" s="337">
        <f t="shared" si="0"/>
        <v>209606</v>
      </c>
    </row>
    <row r="38" spans="2:9" ht="15.75" x14ac:dyDescent="0.25">
      <c r="B38" s="301"/>
      <c r="C38" s="313"/>
      <c r="D38" s="331"/>
      <c r="E38" s="331"/>
      <c r="F38" s="331"/>
      <c r="G38" s="331"/>
      <c r="H38" s="331"/>
    </row>
    <row r="39" spans="2:9" ht="15.75" x14ac:dyDescent="0.25">
      <c r="B39" s="322" t="s">
        <v>214</v>
      </c>
      <c r="C39" s="319" t="s">
        <v>215</v>
      </c>
      <c r="D39" s="338">
        <f>+D22-D37</f>
        <v>79019.089999999982</v>
      </c>
      <c r="E39" s="338">
        <f>+E22-E37</f>
        <v>-27897.51999999999</v>
      </c>
      <c r="F39" s="338">
        <f>+F22-F37</f>
        <v>42235.38999999997</v>
      </c>
      <c r="G39" s="338">
        <f>+G22-G37</f>
        <v>47539.489999999976</v>
      </c>
      <c r="H39" s="338">
        <f>+H22-H37</f>
        <v>50504.26999999996</v>
      </c>
    </row>
    <row r="40" spans="2:9" ht="16.5" thickBot="1" x14ac:dyDescent="0.3">
      <c r="B40" s="301"/>
      <c r="C40" s="313"/>
      <c r="D40" s="331"/>
      <c r="E40" s="331"/>
      <c r="F40" s="331"/>
      <c r="G40" s="331"/>
      <c r="H40" s="331"/>
    </row>
    <row r="41" spans="2:9" ht="16.5" thickBot="1" x14ac:dyDescent="0.3">
      <c r="B41" s="323" t="s">
        <v>216</v>
      </c>
      <c r="C41" s="324"/>
      <c r="D41" s="328">
        <v>5</v>
      </c>
      <c r="E41" s="328">
        <f>+E10+E39</f>
        <v>-27892.51999999999</v>
      </c>
      <c r="F41" s="328">
        <f>+F10+F39</f>
        <v>14342.869999999981</v>
      </c>
      <c r="G41" s="328">
        <f>+G10+G39</f>
        <v>61882.359999999957</v>
      </c>
      <c r="H41" s="328">
        <f>+H10+H39</f>
        <v>112386.62999999992</v>
      </c>
    </row>
    <row r="42" spans="2:9" ht="15.75" x14ac:dyDescent="0.25">
      <c r="B42" s="301"/>
      <c r="C42" s="313"/>
      <c r="D42" s="305"/>
      <c r="E42" s="305"/>
      <c r="F42" s="305"/>
      <c r="G42" s="305"/>
      <c r="H42" s="305"/>
    </row>
    <row r="43" spans="2:9" x14ac:dyDescent="0.25">
      <c r="B43" s="340" t="s">
        <v>222</v>
      </c>
      <c r="C43" s="341"/>
      <c r="D43" s="342">
        <f>+'Résultat par entité'!D15</f>
        <v>164022</v>
      </c>
      <c r="E43" s="342">
        <f>+'Résultat par entité'!J15</f>
        <v>388024</v>
      </c>
      <c r="F43" s="342">
        <f>+'Résultat par entité'!O15</f>
        <v>550624</v>
      </c>
      <c r="G43" s="342">
        <f>+'Résultat par entité'!T15</f>
        <v>643424</v>
      </c>
      <c r="H43" s="343">
        <f>+'Résultat par entité'!Y15</f>
        <v>743824</v>
      </c>
    </row>
    <row r="44" spans="2:9" x14ac:dyDescent="0.25">
      <c r="B44" s="344" t="s">
        <v>223</v>
      </c>
      <c r="C44" s="345"/>
      <c r="D44" s="346"/>
      <c r="E44" s="347">
        <f>+(E43-D43)/D43</f>
        <v>1.3656826523271268</v>
      </c>
      <c r="F44" s="347">
        <f>+(F43-E43)/E43</f>
        <v>0.41904624456219203</v>
      </c>
      <c r="G44" s="347">
        <f>+(G43-F43)/F43</f>
        <v>0.16853606090544546</v>
      </c>
      <c r="H44" s="348">
        <f>+(H43-G43)/G43</f>
        <v>0.15604018501019545</v>
      </c>
    </row>
    <row r="45" spans="2:9" x14ac:dyDescent="0.25">
      <c r="C45" s="313"/>
    </row>
    <row r="46" spans="2:9" x14ac:dyDescent="0.25">
      <c r="C46" s="313"/>
    </row>
    <row r="47" spans="2:9" x14ac:dyDescent="0.25">
      <c r="C47" s="313"/>
    </row>
    <row r="48" spans="2:9" x14ac:dyDescent="0.25">
      <c r="C48" s="313"/>
    </row>
    <row r="49" spans="3:3" x14ac:dyDescent="0.25">
      <c r="C49" s="313"/>
    </row>
    <row r="50" spans="3:3" x14ac:dyDescent="0.25">
      <c r="C50" s="313"/>
    </row>
    <row r="51" spans="3:3" x14ac:dyDescent="0.25">
      <c r="C51" s="313"/>
    </row>
    <row r="52" spans="3:3" x14ac:dyDescent="0.25">
      <c r="C52" s="313"/>
    </row>
    <row r="53" spans="3:3" x14ac:dyDescent="0.25">
      <c r="C53" s="313"/>
    </row>
    <row r="54" spans="3:3" x14ac:dyDescent="0.25">
      <c r="C54" s="313"/>
    </row>
    <row r="55" spans="3:3" x14ac:dyDescent="0.25">
      <c r="C55" s="313"/>
    </row>
    <row r="56" spans="3:3" x14ac:dyDescent="0.25">
      <c r="C56" s="313"/>
    </row>
    <row r="57" spans="3:3" x14ac:dyDescent="0.25">
      <c r="C57" s="313"/>
    </row>
    <row r="58" spans="3:3" x14ac:dyDescent="0.25">
      <c r="C58" s="313"/>
    </row>
    <row r="59" spans="3:3" x14ac:dyDescent="0.25">
      <c r="C59" s="313"/>
    </row>
    <row r="60" spans="3:3" x14ac:dyDescent="0.25">
      <c r="C60" s="313"/>
    </row>
    <row r="61" spans="3:3" x14ac:dyDescent="0.25">
      <c r="C61" s="313"/>
    </row>
    <row r="62" spans="3:3" x14ac:dyDescent="0.25">
      <c r="C62" s="313"/>
    </row>
    <row r="63" spans="3:3" x14ac:dyDescent="0.25">
      <c r="C63" s="313"/>
    </row>
    <row r="64" spans="3:3" x14ac:dyDescent="0.25">
      <c r="C64" s="313"/>
    </row>
    <row r="65" spans="3:3" x14ac:dyDescent="0.25">
      <c r="C65" s="313"/>
    </row>
    <row r="66" spans="3:3" x14ac:dyDescent="0.25">
      <c r="C66" s="313"/>
    </row>
    <row r="67" spans="3:3" x14ac:dyDescent="0.25">
      <c r="C67" s="313"/>
    </row>
    <row r="68" spans="3:3" x14ac:dyDescent="0.25">
      <c r="C68" s="313"/>
    </row>
    <row r="69" spans="3:3" x14ac:dyDescent="0.25">
      <c r="C69" s="313"/>
    </row>
    <row r="70" spans="3:3" x14ac:dyDescent="0.25">
      <c r="C70" s="313"/>
    </row>
    <row r="71" spans="3:3" x14ac:dyDescent="0.25">
      <c r="C71" s="313"/>
    </row>
    <row r="72" spans="3:3" x14ac:dyDescent="0.25">
      <c r="C72" s="313"/>
    </row>
    <row r="73" spans="3:3" x14ac:dyDescent="0.25">
      <c r="C73" s="313"/>
    </row>
    <row r="74" spans="3:3" x14ac:dyDescent="0.25">
      <c r="C74" s="313"/>
    </row>
    <row r="75" spans="3:3" x14ac:dyDescent="0.25">
      <c r="C75" s="313"/>
    </row>
    <row r="76" spans="3:3" x14ac:dyDescent="0.25">
      <c r="C76" s="313"/>
    </row>
    <row r="77" spans="3:3" x14ac:dyDescent="0.25">
      <c r="C77" s="313"/>
    </row>
    <row r="78" spans="3:3" x14ac:dyDescent="0.25">
      <c r="C78" s="313"/>
    </row>
    <row r="79" spans="3:3" x14ac:dyDescent="0.25">
      <c r="C79" s="313"/>
    </row>
    <row r="80" spans="3:3" x14ac:dyDescent="0.25">
      <c r="C80" s="313"/>
    </row>
    <row r="81" spans="3:3" x14ac:dyDescent="0.25">
      <c r="C81" s="313"/>
    </row>
    <row r="82" spans="3:3" x14ac:dyDescent="0.25">
      <c r="C82" s="313"/>
    </row>
    <row r="83" spans="3:3" x14ac:dyDescent="0.25">
      <c r="C83" s="313"/>
    </row>
    <row r="84" spans="3:3" x14ac:dyDescent="0.25">
      <c r="C84" s="313"/>
    </row>
    <row r="85" spans="3:3" x14ac:dyDescent="0.25">
      <c r="C85" s="313"/>
    </row>
    <row r="86" spans="3:3" x14ac:dyDescent="0.25">
      <c r="C86" s="313"/>
    </row>
    <row r="87" spans="3:3" x14ac:dyDescent="0.25">
      <c r="C87" s="313"/>
    </row>
    <row r="88" spans="3:3" x14ac:dyDescent="0.25">
      <c r="C88" s="313"/>
    </row>
    <row r="89" spans="3:3" x14ac:dyDescent="0.25">
      <c r="C89" s="313"/>
    </row>
    <row r="90" spans="3:3" x14ac:dyDescent="0.25">
      <c r="C90" s="313"/>
    </row>
    <row r="91" spans="3:3" x14ac:dyDescent="0.25">
      <c r="C91" s="313"/>
    </row>
    <row r="92" spans="3:3" x14ac:dyDescent="0.25">
      <c r="C92" s="313"/>
    </row>
    <row r="93" spans="3:3" x14ac:dyDescent="0.25">
      <c r="C93" s="313"/>
    </row>
    <row r="94" spans="3:3" x14ac:dyDescent="0.25">
      <c r="C94" s="313"/>
    </row>
    <row r="95" spans="3:3" x14ac:dyDescent="0.25">
      <c r="C95" s="313"/>
    </row>
    <row r="96" spans="3:3" x14ac:dyDescent="0.25">
      <c r="C96" s="313"/>
    </row>
    <row r="97" spans="3:3" x14ac:dyDescent="0.25">
      <c r="C97" s="313"/>
    </row>
    <row r="98" spans="3:3" x14ac:dyDescent="0.25">
      <c r="C98" s="313"/>
    </row>
    <row r="99" spans="3:3" x14ac:dyDescent="0.25">
      <c r="C99" s="313"/>
    </row>
    <row r="100" spans="3:3" x14ac:dyDescent="0.25">
      <c r="C100" s="313"/>
    </row>
    <row r="101" spans="3:3" x14ac:dyDescent="0.25">
      <c r="C101" s="313"/>
    </row>
    <row r="102" spans="3:3" x14ac:dyDescent="0.25">
      <c r="C102" s="313"/>
    </row>
    <row r="103" spans="3:3" x14ac:dyDescent="0.25">
      <c r="C103" s="313"/>
    </row>
    <row r="104" spans="3:3" x14ac:dyDescent="0.25">
      <c r="C104" s="313"/>
    </row>
    <row r="105" spans="3:3" x14ac:dyDescent="0.25">
      <c r="C105" s="313"/>
    </row>
    <row r="106" spans="3:3" x14ac:dyDescent="0.25">
      <c r="C106" s="313"/>
    </row>
    <row r="107" spans="3:3" x14ac:dyDescent="0.25">
      <c r="C107" s="313"/>
    </row>
    <row r="108" spans="3:3" x14ac:dyDescent="0.25">
      <c r="C108" s="313"/>
    </row>
    <row r="109" spans="3:3" x14ac:dyDescent="0.25">
      <c r="C109" s="313"/>
    </row>
    <row r="110" spans="3:3" x14ac:dyDescent="0.25">
      <c r="C110" s="313"/>
    </row>
    <row r="111" spans="3:3" x14ac:dyDescent="0.25">
      <c r="C111" s="313"/>
    </row>
    <row r="112" spans="3:3" x14ac:dyDescent="0.25">
      <c r="C112" s="313"/>
    </row>
    <row r="113" spans="3:3" x14ac:dyDescent="0.25">
      <c r="C113" s="313"/>
    </row>
    <row r="114" spans="3:3" x14ac:dyDescent="0.25">
      <c r="C114" s="313"/>
    </row>
    <row r="115" spans="3:3" x14ac:dyDescent="0.25">
      <c r="C115" s="313"/>
    </row>
    <row r="116" spans="3:3" x14ac:dyDescent="0.25">
      <c r="C116" s="313"/>
    </row>
    <row r="117" spans="3:3" x14ac:dyDescent="0.25">
      <c r="C117" s="313"/>
    </row>
    <row r="118" spans="3:3" x14ac:dyDescent="0.25">
      <c r="C118" s="313"/>
    </row>
    <row r="119" spans="3:3" x14ac:dyDescent="0.25">
      <c r="C119" s="313"/>
    </row>
    <row r="120" spans="3:3" x14ac:dyDescent="0.25">
      <c r="C120" s="313"/>
    </row>
    <row r="121" spans="3:3" x14ac:dyDescent="0.25">
      <c r="C121" s="3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opLeftCell="A9" zoomScale="90" zoomScaleNormal="90" workbookViewId="0">
      <selection activeCell="B3" sqref="B3"/>
    </sheetView>
  </sheetViews>
  <sheetFormatPr baseColWidth="10" defaultRowHeight="15" x14ac:dyDescent="0.25"/>
  <cols>
    <col min="1" max="1" width="8.140625" customWidth="1"/>
    <col min="2" max="2" width="55.7109375" customWidth="1"/>
    <col min="3" max="3" width="8" customWidth="1"/>
    <col min="4" max="4" width="12.85546875" bestFit="1" customWidth="1"/>
    <col min="5" max="6" width="11.85546875" bestFit="1" customWidth="1"/>
    <col min="7" max="8" width="11.85546875" customWidth="1"/>
    <col min="9" max="9" width="2.7109375" customWidth="1"/>
    <col min="15" max="15" width="12.7109375" customWidth="1"/>
  </cols>
  <sheetData>
    <row r="1" spans="2:17" x14ac:dyDescent="0.25">
      <c r="B1" s="1" t="s">
        <v>41</v>
      </c>
      <c r="C1" s="1"/>
      <c r="D1" s="607" t="s">
        <v>41</v>
      </c>
    </row>
    <row r="2" spans="2:17" x14ac:dyDescent="0.25">
      <c r="B2" s="1"/>
      <c r="C2" s="1"/>
    </row>
    <row r="3" spans="2:17" ht="15.75" x14ac:dyDescent="0.25">
      <c r="B3" s="114" t="s">
        <v>35</v>
      </c>
      <c r="C3" s="114"/>
      <c r="D3" s="301"/>
      <c r="E3" s="301"/>
      <c r="F3" s="301"/>
      <c r="G3" s="301"/>
      <c r="H3" s="301"/>
    </row>
    <row r="4" spans="2:17" s="53" customFormat="1" ht="15.75" x14ac:dyDescent="0.25">
      <c r="B4" s="2" t="s">
        <v>338</v>
      </c>
      <c r="C4" s="2"/>
      <c r="D4" s="302"/>
      <c r="E4" s="302"/>
      <c r="F4" s="302"/>
      <c r="G4" s="302"/>
      <c r="H4" s="302"/>
    </row>
    <row r="5" spans="2:17" s="53" customFormat="1" ht="15.75" x14ac:dyDescent="0.25">
      <c r="B5" s="2"/>
      <c r="C5" s="2"/>
      <c r="D5" s="302"/>
      <c r="E5" s="302"/>
      <c r="F5" s="302"/>
      <c r="G5" s="302"/>
      <c r="H5" s="302"/>
    </row>
    <row r="6" spans="2:17" s="53" customFormat="1" ht="18.75" x14ac:dyDescent="0.25">
      <c r="B6" s="114"/>
      <c r="C6" s="311"/>
      <c r="D6" s="325">
        <v>2021</v>
      </c>
      <c r="E6" s="597">
        <v>2022</v>
      </c>
      <c r="F6" s="325">
        <v>2023</v>
      </c>
      <c r="G6" s="325">
        <v>2024</v>
      </c>
      <c r="H6" s="325">
        <v>2025</v>
      </c>
      <c r="J6" s="700" t="s">
        <v>461</v>
      </c>
      <c r="K6" s="701"/>
      <c r="L6" s="701"/>
      <c r="M6" s="701"/>
      <c r="N6" s="701"/>
      <c r="O6" s="701"/>
      <c r="P6" s="702"/>
    </row>
    <row r="7" spans="2:17" s="53" customFormat="1" x14ac:dyDescent="0.25">
      <c r="C7" s="312"/>
      <c r="D7" s="326">
        <v>44561</v>
      </c>
      <c r="E7" s="598">
        <v>44926</v>
      </c>
      <c r="F7" s="326">
        <v>45291</v>
      </c>
      <c r="G7" s="326">
        <v>45657</v>
      </c>
      <c r="H7" s="326">
        <v>46022</v>
      </c>
      <c r="J7" s="695" t="s">
        <v>334</v>
      </c>
      <c r="K7" s="606">
        <v>1</v>
      </c>
      <c r="L7" s="697">
        <v>2</v>
      </c>
      <c r="M7" s="698"/>
      <c r="N7" s="698"/>
      <c r="O7" s="698"/>
      <c r="P7" s="699"/>
    </row>
    <row r="8" spans="2:17" s="53" customFormat="1" ht="29.45" customHeight="1" x14ac:dyDescent="0.25">
      <c r="B8" s="303" t="s">
        <v>37</v>
      </c>
      <c r="C8" s="312"/>
      <c r="D8" s="349" t="s">
        <v>92</v>
      </c>
      <c r="E8" s="599" t="s">
        <v>93</v>
      </c>
      <c r="F8" s="349" t="s">
        <v>93</v>
      </c>
      <c r="G8" s="349" t="s">
        <v>93</v>
      </c>
      <c r="H8" s="349" t="s">
        <v>93</v>
      </c>
      <c r="J8" s="696"/>
      <c r="K8" s="600" t="s">
        <v>333</v>
      </c>
      <c r="L8" s="703" t="s">
        <v>328</v>
      </c>
      <c r="M8" s="703"/>
      <c r="N8" s="703"/>
      <c r="O8" s="703"/>
      <c r="P8" s="704"/>
    </row>
    <row r="9" spans="2:17" s="53" customFormat="1" ht="12" customHeight="1" x14ac:dyDescent="0.25">
      <c r="B9" s="303"/>
      <c r="C9" s="312"/>
      <c r="D9" s="676" t="s">
        <v>455</v>
      </c>
      <c r="E9" s="568"/>
      <c r="F9" s="568"/>
      <c r="G9" s="568"/>
      <c r="H9" s="568"/>
      <c r="I9" s="113"/>
      <c r="J9" s="601"/>
      <c r="K9" s="603"/>
      <c r="L9" s="695" t="s">
        <v>462</v>
      </c>
      <c r="M9" s="605">
        <v>1</v>
      </c>
      <c r="N9" s="605">
        <v>2</v>
      </c>
      <c r="O9" s="605">
        <v>3</v>
      </c>
      <c r="P9" s="605">
        <v>4</v>
      </c>
    </row>
    <row r="10" spans="2:17" s="53" customFormat="1" ht="48" x14ac:dyDescent="0.25">
      <c r="B10" s="303"/>
      <c r="C10" s="312"/>
      <c r="D10" s="568"/>
      <c r="E10" s="568"/>
      <c r="F10" s="568"/>
      <c r="G10" s="568"/>
      <c r="H10" s="568"/>
      <c r="I10" s="113"/>
      <c r="J10" s="569"/>
      <c r="K10" s="604"/>
      <c r="L10" s="696"/>
      <c r="M10" s="602" t="s">
        <v>329</v>
      </c>
      <c r="N10" s="556" t="s">
        <v>330</v>
      </c>
      <c r="O10" s="566" t="s">
        <v>331</v>
      </c>
      <c r="P10" s="566" t="s">
        <v>332</v>
      </c>
    </row>
    <row r="11" spans="2:17" s="53" customFormat="1" ht="7.15" customHeight="1" thickBot="1" x14ac:dyDescent="0.3">
      <c r="B11" s="114"/>
      <c r="C11" s="311"/>
      <c r="D11" s="327"/>
      <c r="E11" s="327"/>
      <c r="F11" s="327"/>
      <c r="G11" s="327"/>
      <c r="H11" s="327"/>
      <c r="I11" s="113"/>
      <c r="J11" s="570"/>
      <c r="K11" s="571"/>
      <c r="L11" s="562"/>
      <c r="M11" s="562"/>
      <c r="O11" s="562"/>
      <c r="P11" s="562"/>
    </row>
    <row r="12" spans="2:17" s="53" customFormat="1" ht="16.5" thickBot="1" x14ac:dyDescent="0.3">
      <c r="B12" s="323" t="s">
        <v>209</v>
      </c>
      <c r="C12" s="324"/>
      <c r="D12" s="328">
        <f>+'Tréso &amp; Emprunts'!G41</f>
        <v>13012</v>
      </c>
      <c r="E12" s="328">
        <f>+D43</f>
        <v>2384.089999999982</v>
      </c>
      <c r="F12" s="328">
        <f>+E43</f>
        <v>-125513.43000000001</v>
      </c>
      <c r="G12" s="328">
        <f>+F43</f>
        <v>-126278.04000000004</v>
      </c>
      <c r="H12" s="328">
        <f>+G43</f>
        <v>21261.449999999953</v>
      </c>
      <c r="J12" s="563">
        <f>+K12+L12</f>
        <v>13012</v>
      </c>
      <c r="K12" s="572">
        <f>+D12</f>
        <v>13012</v>
      </c>
      <c r="L12" s="328">
        <f>SUM(M12:P12)</f>
        <v>0</v>
      </c>
      <c r="M12" s="328">
        <v>0</v>
      </c>
      <c r="N12" s="585">
        <v>0</v>
      </c>
      <c r="O12" s="328">
        <v>0</v>
      </c>
      <c r="P12" s="328">
        <v>0</v>
      </c>
    </row>
    <row r="13" spans="2:17" s="53" customFormat="1" ht="15.75" x14ac:dyDescent="0.25">
      <c r="B13" s="114"/>
      <c r="C13" s="311"/>
      <c r="D13" s="329"/>
      <c r="E13" s="329"/>
      <c r="F13" s="329"/>
      <c r="G13" s="329"/>
      <c r="H13" s="329"/>
      <c r="J13" s="329"/>
      <c r="K13" s="573"/>
      <c r="L13" s="562"/>
      <c r="M13" s="562"/>
      <c r="N13" s="586"/>
      <c r="O13" s="562"/>
      <c r="P13" s="562"/>
    </row>
    <row r="14" spans="2:17" s="53" customFormat="1" ht="16.899999999999999" customHeight="1" x14ac:dyDescent="0.25">
      <c r="B14" s="304" t="s">
        <v>33</v>
      </c>
      <c r="C14" s="111"/>
      <c r="D14" s="330"/>
      <c r="E14" s="330"/>
      <c r="F14" s="330"/>
      <c r="G14" s="330"/>
      <c r="H14" s="330"/>
      <c r="J14" s="330"/>
      <c r="K14" s="574"/>
      <c r="L14" s="558"/>
      <c r="M14" s="558"/>
      <c r="N14" s="587"/>
      <c r="O14" s="558"/>
      <c r="P14" s="558"/>
    </row>
    <row r="15" spans="2:17" s="53" customFormat="1" ht="15.75" x14ac:dyDescent="0.25">
      <c r="B15" s="301"/>
      <c r="C15" s="313"/>
      <c r="D15" s="331"/>
      <c r="E15" s="331"/>
      <c r="F15" s="331"/>
      <c r="G15" s="331"/>
      <c r="H15" s="331"/>
      <c r="J15" s="331"/>
      <c r="K15" s="575"/>
      <c r="L15" s="559"/>
      <c r="M15" s="559"/>
      <c r="N15" s="588"/>
      <c r="O15" s="559"/>
      <c r="P15" s="559"/>
      <c r="Q15" s="551"/>
    </row>
    <row r="16" spans="2:17" s="53" customFormat="1" ht="15.75" x14ac:dyDescent="0.25">
      <c r="B16" s="2" t="s">
        <v>206</v>
      </c>
      <c r="C16" s="314"/>
      <c r="D16" s="332"/>
      <c r="E16" s="336"/>
      <c r="F16" s="336"/>
      <c r="G16" s="331"/>
      <c r="H16" s="331"/>
      <c r="J16" s="332"/>
      <c r="K16" s="575"/>
      <c r="L16" s="559"/>
      <c r="M16" s="559"/>
      <c r="N16" s="588"/>
      <c r="O16" s="559"/>
      <c r="P16" s="559"/>
      <c r="Q16" s="551"/>
    </row>
    <row r="17" spans="2:17" s="53" customFormat="1" ht="15.75" x14ac:dyDescent="0.25">
      <c r="B17" s="306" t="s">
        <v>207</v>
      </c>
      <c r="C17" s="315"/>
      <c r="D17" s="332">
        <f>+'Résultat par entité'!D70</f>
        <v>-12900.080000000016</v>
      </c>
      <c r="E17" s="336">
        <f>+'Résultat par entité'!J70</f>
        <v>-114021.85999999999</v>
      </c>
      <c r="F17" s="336">
        <f>+'Résultat par entité'!O70</f>
        <v>54874.349999999977</v>
      </c>
      <c r="G17" s="331">
        <f>+'Résultat par entité'!T70</f>
        <v>158279.16999999998</v>
      </c>
      <c r="H17" s="331">
        <f>+'Résultat par entité'!Y70</f>
        <v>250110.26999999996</v>
      </c>
      <c r="J17" s="332">
        <f>+K17+L17</f>
        <v>-12900.080000000016</v>
      </c>
      <c r="K17" s="576">
        <f>+'Résultat par entité'!D70+'Résultat par entité'!D28+'Résultat par entité'!D29+'Résultat par entité'!D30</f>
        <v>-12900.080000000016</v>
      </c>
      <c r="L17" s="329">
        <f>+M17+N17+O17+P17</f>
        <v>0</v>
      </c>
      <c r="M17" s="329">
        <f>-'Résultat par entité'!D28</f>
        <v>0</v>
      </c>
      <c r="N17" s="589">
        <f>-'Résultat par entité'!D29</f>
        <v>0</v>
      </c>
      <c r="O17" s="329">
        <f>-'Résultat par entité'!D30</f>
        <v>0</v>
      </c>
      <c r="P17" s="329">
        <v>0</v>
      </c>
      <c r="Q17" s="551"/>
    </row>
    <row r="18" spans="2:17" s="53" customFormat="1" ht="15.75" x14ac:dyDescent="0.25">
      <c r="B18" s="306" t="s">
        <v>208</v>
      </c>
      <c r="C18" s="315"/>
      <c r="D18" s="332">
        <f>+'Résultat par entité'!D57</f>
        <v>19268</v>
      </c>
      <c r="E18" s="336">
        <f>+'Résultat par entité'!J57</f>
        <v>16000</v>
      </c>
      <c r="F18" s="336">
        <f>+'Résultat par entité'!O57</f>
        <v>14000</v>
      </c>
      <c r="G18" s="331">
        <f>+'Résultat par entité'!T57</f>
        <v>12000</v>
      </c>
      <c r="H18" s="331">
        <f>+'Résultat par entité'!Y57</f>
        <v>10000</v>
      </c>
      <c r="J18" s="332">
        <f>+K18+L18</f>
        <v>19268</v>
      </c>
      <c r="K18" s="576">
        <f>+D18</f>
        <v>19268</v>
      </c>
      <c r="L18" s="329"/>
      <c r="M18" s="329"/>
      <c r="N18" s="589"/>
      <c r="O18" s="329"/>
      <c r="P18" s="329"/>
      <c r="Q18" s="551"/>
    </row>
    <row r="19" spans="2:17" s="53" customFormat="1" ht="15.75" x14ac:dyDescent="0.25">
      <c r="B19" s="2" t="s">
        <v>210</v>
      </c>
      <c r="C19" s="314"/>
      <c r="D19" s="333">
        <f>+D17+D18</f>
        <v>6367.9199999999837</v>
      </c>
      <c r="E19" s="333">
        <f>+E17+E18</f>
        <v>-98021.859999999986</v>
      </c>
      <c r="F19" s="333">
        <f>+F17+F18</f>
        <v>68874.349999999977</v>
      </c>
      <c r="G19" s="333">
        <f>+G17+G18</f>
        <v>170279.16999999998</v>
      </c>
      <c r="H19" s="333">
        <f>+H17+H18</f>
        <v>260110.26999999996</v>
      </c>
      <c r="J19" s="333">
        <f>+J17+J18</f>
        <v>6367.9199999999837</v>
      </c>
      <c r="K19" s="577">
        <f>+K17+K18</f>
        <v>6367.9199999999837</v>
      </c>
      <c r="L19" s="333">
        <f t="shared" ref="L19:P19" si="0">+L17+L18</f>
        <v>0</v>
      </c>
      <c r="M19" s="333">
        <f t="shared" si="0"/>
        <v>0</v>
      </c>
      <c r="N19" s="590">
        <f t="shared" si="0"/>
        <v>0</v>
      </c>
      <c r="O19" s="333">
        <f t="shared" si="0"/>
        <v>0</v>
      </c>
      <c r="P19" s="333">
        <f t="shared" si="0"/>
        <v>0</v>
      </c>
      <c r="Q19" s="551"/>
    </row>
    <row r="20" spans="2:17" s="53" customFormat="1" ht="15.75" x14ac:dyDescent="0.25">
      <c r="B20" s="301"/>
      <c r="C20" s="313"/>
      <c r="D20" s="332"/>
      <c r="E20" s="332"/>
      <c r="F20" s="332"/>
      <c r="G20" s="331"/>
      <c r="H20" s="331"/>
      <c r="J20" s="332"/>
      <c r="K20" s="576"/>
      <c r="L20" s="329"/>
      <c r="M20" s="329"/>
      <c r="N20" s="589"/>
      <c r="O20" s="329"/>
      <c r="P20" s="329"/>
      <c r="Q20" s="551"/>
    </row>
    <row r="21" spans="2:17" s="53" customFormat="1" ht="15.75" x14ac:dyDescent="0.25">
      <c r="B21" s="2" t="s">
        <v>245</v>
      </c>
      <c r="C21" s="314"/>
      <c r="D21" s="333" t="s">
        <v>41</v>
      </c>
      <c r="E21" s="333" t="s">
        <v>41</v>
      </c>
      <c r="F21" s="333"/>
      <c r="G21" s="339"/>
      <c r="H21" s="339"/>
      <c r="J21" s="333" t="s">
        <v>41</v>
      </c>
      <c r="K21" s="576"/>
      <c r="L21" s="329"/>
      <c r="M21" s="329"/>
      <c r="N21" s="589"/>
      <c r="O21" s="329"/>
      <c r="P21" s="329"/>
      <c r="Q21" s="551"/>
    </row>
    <row r="22" spans="2:17" s="53" customFormat="1" ht="15.75" x14ac:dyDescent="0.25">
      <c r="B22" s="2" t="s">
        <v>244</v>
      </c>
      <c r="C22" s="313"/>
      <c r="D22" s="333" t="s">
        <v>41</v>
      </c>
      <c r="E22" s="332"/>
      <c r="F22" s="332"/>
      <c r="G22" s="331"/>
      <c r="H22" s="331"/>
      <c r="J22" s="333" t="s">
        <v>41</v>
      </c>
      <c r="K22" s="576"/>
      <c r="L22" s="329"/>
      <c r="M22" s="329"/>
      <c r="N22" s="589"/>
      <c r="O22" s="329"/>
      <c r="P22" s="329"/>
      <c r="Q22" s="551"/>
    </row>
    <row r="23" spans="2:17" s="53" customFormat="1" ht="15.75" x14ac:dyDescent="0.25">
      <c r="B23" s="301"/>
      <c r="C23" s="313"/>
      <c r="D23" s="332"/>
      <c r="E23" s="332"/>
      <c r="F23" s="332"/>
      <c r="G23" s="331"/>
      <c r="H23" s="331"/>
      <c r="J23" s="332"/>
      <c r="K23" s="576"/>
      <c r="L23" s="329"/>
      <c r="M23" s="329"/>
      <c r="N23" s="589"/>
      <c r="O23" s="329"/>
      <c r="P23" s="329"/>
      <c r="Q23" s="551"/>
    </row>
    <row r="24" spans="2:17" ht="15.75" x14ac:dyDescent="0.25">
      <c r="B24" s="307" t="s">
        <v>211</v>
      </c>
      <c r="C24" s="316" t="s">
        <v>185</v>
      </c>
      <c r="D24" s="334">
        <f>SUM(D19:D23)</f>
        <v>6367.9199999999837</v>
      </c>
      <c r="E24" s="334">
        <f>SUM(E19:E23)</f>
        <v>-98021.859999999986</v>
      </c>
      <c r="F24" s="334">
        <f>SUM(F19:F23)</f>
        <v>68874.349999999977</v>
      </c>
      <c r="G24" s="334">
        <f>SUM(G19:G23)</f>
        <v>170279.16999999998</v>
      </c>
      <c r="H24" s="334">
        <f>SUM(H19:H23)</f>
        <v>260110.26999999996</v>
      </c>
      <c r="I24" s="13"/>
      <c r="J24" s="334">
        <f>SUM(J19:J23)</f>
        <v>6367.9199999999837</v>
      </c>
      <c r="K24" s="578">
        <f>SUM(K19:K23)</f>
        <v>6367.9199999999837</v>
      </c>
      <c r="L24" s="334">
        <f>SUM(L19:L23)</f>
        <v>0</v>
      </c>
      <c r="M24" s="334">
        <f t="shared" ref="M24:P24" si="1">SUM(M19:M23)</f>
        <v>0</v>
      </c>
      <c r="N24" s="591">
        <f t="shared" si="1"/>
        <v>0</v>
      </c>
      <c r="O24" s="334">
        <f t="shared" si="1"/>
        <v>0</v>
      </c>
      <c r="P24" s="334">
        <f t="shared" si="1"/>
        <v>0</v>
      </c>
      <c r="Q24" s="298"/>
    </row>
    <row r="25" spans="2:17" ht="15.75" x14ac:dyDescent="0.25">
      <c r="B25" s="301"/>
      <c r="C25" s="313"/>
      <c r="D25" s="331"/>
      <c r="E25" s="331"/>
      <c r="F25" s="331"/>
      <c r="G25" s="331"/>
      <c r="H25" s="331"/>
      <c r="I25" s="13"/>
      <c r="J25" s="331"/>
      <c r="K25" s="579"/>
      <c r="L25" s="331"/>
      <c r="M25" s="331"/>
      <c r="N25" s="592"/>
      <c r="O25" s="331"/>
      <c r="P25" s="331"/>
      <c r="Q25" s="298"/>
    </row>
    <row r="26" spans="2:17" ht="15" customHeight="1" x14ac:dyDescent="0.25">
      <c r="B26" s="308" t="s">
        <v>204</v>
      </c>
      <c r="C26" s="112"/>
      <c r="D26" s="335"/>
      <c r="E26" s="335"/>
      <c r="F26" s="335"/>
      <c r="G26" s="335"/>
      <c r="H26" s="335"/>
      <c r="I26" s="113"/>
      <c r="J26" s="335"/>
      <c r="K26" s="580"/>
      <c r="L26" s="335"/>
      <c r="M26" s="567"/>
      <c r="N26" s="593"/>
      <c r="O26" s="567"/>
      <c r="P26" s="567"/>
      <c r="Q26" s="298"/>
    </row>
    <row r="27" spans="2:17" ht="15.75" x14ac:dyDescent="0.25">
      <c r="B27" s="301"/>
      <c r="C27" s="313"/>
      <c r="D27" s="331"/>
      <c r="E27" s="331"/>
      <c r="F27" s="331"/>
      <c r="G27" s="331"/>
      <c r="H27" s="331"/>
      <c r="I27" s="13"/>
      <c r="J27" s="331"/>
      <c r="K27" s="579"/>
      <c r="L27" s="331"/>
      <c r="M27" s="331"/>
      <c r="N27" s="592"/>
      <c r="O27" s="331"/>
      <c r="P27" s="331"/>
      <c r="Q27" s="298"/>
    </row>
    <row r="28" spans="2:17" ht="15.75" x14ac:dyDescent="0.25">
      <c r="B28" s="2" t="s">
        <v>320</v>
      </c>
      <c r="C28" s="313"/>
      <c r="D28" s="331"/>
      <c r="E28" s="331"/>
      <c r="F28" s="331"/>
      <c r="G28" s="331" t="s">
        <v>41</v>
      </c>
      <c r="H28" s="331" t="s">
        <v>41</v>
      </c>
      <c r="I28" s="13"/>
      <c r="J28" s="331"/>
      <c r="K28" s="579"/>
      <c r="L28" s="331"/>
      <c r="M28" s="331"/>
      <c r="N28" s="592"/>
      <c r="O28" s="331"/>
      <c r="P28" s="331"/>
      <c r="Q28" s="298"/>
    </row>
    <row r="29" spans="2:17" ht="15.75" x14ac:dyDescent="0.25">
      <c r="B29" s="301"/>
      <c r="C29" s="313"/>
      <c r="D29" s="331"/>
      <c r="E29" s="331"/>
      <c r="F29" s="331"/>
      <c r="G29" s="331"/>
      <c r="H29" s="331"/>
      <c r="I29" s="13"/>
      <c r="J29" s="331"/>
      <c r="K29" s="579"/>
      <c r="L29" s="331"/>
      <c r="M29" s="331"/>
      <c r="N29" s="592"/>
      <c r="O29" s="331"/>
      <c r="P29" s="331"/>
      <c r="Q29" s="298"/>
    </row>
    <row r="30" spans="2:17" ht="15.75" x14ac:dyDescent="0.25">
      <c r="B30" s="2" t="s">
        <v>221</v>
      </c>
      <c r="C30" s="314"/>
      <c r="D30" s="332"/>
      <c r="E30" s="332"/>
      <c r="F30" s="332"/>
      <c r="G30" s="331"/>
      <c r="H30" s="331"/>
      <c r="I30" s="13"/>
      <c r="J30" s="332"/>
      <c r="K30" s="581"/>
      <c r="L30" s="331"/>
      <c r="M30" s="331"/>
      <c r="N30" s="592"/>
      <c r="O30" s="331"/>
      <c r="P30" s="331"/>
      <c r="Q30" s="298"/>
    </row>
    <row r="31" spans="2:17" ht="15.75" x14ac:dyDescent="0.25">
      <c r="B31" s="309" t="s">
        <v>324</v>
      </c>
      <c r="C31" s="317"/>
      <c r="D31" s="336">
        <f>+'Tréso &amp; Emprunts'!G18</f>
        <v>12977.410000000003</v>
      </c>
      <c r="E31" s="336">
        <f>+'Tréso &amp; Emprunts'!H18</f>
        <v>27732.82</v>
      </c>
      <c r="F31" s="336">
        <f>+'Tréso &amp; Emprunts'!I18</f>
        <v>24496.120000000003</v>
      </c>
      <c r="G31" s="336">
        <f>+'Tréso &amp; Emprunts'!J18</f>
        <v>22203.97</v>
      </c>
      <c r="H31" s="336">
        <v>9606</v>
      </c>
      <c r="I31" s="13"/>
      <c r="J31" s="336">
        <f>+K31</f>
        <v>12977.410000000003</v>
      </c>
      <c r="K31" s="582">
        <f>+D31</f>
        <v>12977.410000000003</v>
      </c>
      <c r="L31" s="331"/>
      <c r="M31" s="331"/>
      <c r="N31" s="592"/>
      <c r="O31" s="331"/>
      <c r="P31" s="331"/>
      <c r="Q31" s="298"/>
    </row>
    <row r="32" spans="2:17" ht="15.75" x14ac:dyDescent="0.25">
      <c r="B32" s="309" t="s">
        <v>326</v>
      </c>
      <c r="C32" s="317"/>
      <c r="D32" s="336">
        <f>+'Tréso &amp; Emprunts'!G28</f>
        <v>1071.42</v>
      </c>
      <c r="E32" s="336">
        <f>+'Tréso &amp; Emprunts'!H28</f>
        <v>2142.84</v>
      </c>
      <c r="F32" s="336">
        <f>+'Tréso &amp; Emprunts'!I28</f>
        <v>2142.84</v>
      </c>
      <c r="G32" s="336">
        <f>+'Tréso &amp; Emprunts'!J28</f>
        <v>535.71</v>
      </c>
      <c r="H32" s="336">
        <f>+'Tréso &amp; Emprunts'!K28</f>
        <v>0</v>
      </c>
      <c r="I32" s="13"/>
      <c r="J32" s="336">
        <f>+D32</f>
        <v>1071.42</v>
      </c>
      <c r="K32" s="582">
        <f>+D32</f>
        <v>1071.42</v>
      </c>
      <c r="L32" s="331"/>
      <c r="M32" s="331"/>
      <c r="N32" s="592"/>
      <c r="O32" s="331"/>
      <c r="P32" s="331"/>
      <c r="Q32" s="298"/>
    </row>
    <row r="33" spans="2:17" ht="15.75" x14ac:dyDescent="0.25">
      <c r="B33" s="301" t="s">
        <v>325</v>
      </c>
      <c r="C33" s="313"/>
      <c r="D33" s="331"/>
      <c r="E33" s="331"/>
      <c r="F33" s="331">
        <v>43000</v>
      </c>
      <c r="G33" s="331"/>
      <c r="H33" s="331"/>
      <c r="I33" s="13"/>
      <c r="J33" s="331">
        <f>+D33</f>
        <v>0</v>
      </c>
      <c r="K33" s="579" t="s">
        <v>41</v>
      </c>
      <c r="L33" s="329">
        <f>+M33+N33+O33+P33</f>
        <v>0</v>
      </c>
      <c r="M33" s="331"/>
      <c r="N33" s="592"/>
      <c r="O33" s="331"/>
      <c r="P33" s="331">
        <f>+D33</f>
        <v>0</v>
      </c>
      <c r="Q33" s="298"/>
    </row>
    <row r="34" spans="2:17" ht="15.75" x14ac:dyDescent="0.25">
      <c r="B34" s="301" t="s">
        <v>327</v>
      </c>
      <c r="C34" s="313"/>
      <c r="D34" s="332" t="s">
        <v>41</v>
      </c>
      <c r="E34" s="331"/>
      <c r="F34" s="331"/>
      <c r="G34" s="331"/>
      <c r="H34" s="331"/>
      <c r="I34" s="13"/>
      <c r="J34" s="332" t="str">
        <f>+D34</f>
        <v xml:space="preserve"> </v>
      </c>
      <c r="K34" s="581" t="s">
        <v>41</v>
      </c>
      <c r="L34" s="331"/>
      <c r="M34" s="331"/>
      <c r="N34" s="592"/>
      <c r="O34" s="331"/>
      <c r="P34" s="331"/>
      <c r="Q34" s="298"/>
    </row>
    <row r="35" spans="2:17" ht="15.75" x14ac:dyDescent="0.25">
      <c r="B35" s="301"/>
      <c r="C35" s="313"/>
      <c r="D35" s="331"/>
      <c r="E35" s="331"/>
      <c r="F35" s="331"/>
      <c r="G35" s="331"/>
      <c r="H35" s="331"/>
      <c r="I35" s="13"/>
      <c r="J35" s="331"/>
      <c r="K35" s="579"/>
      <c r="L35" s="331"/>
      <c r="M35" s="331"/>
      <c r="N35" s="592"/>
      <c r="O35" s="331"/>
      <c r="P35" s="331"/>
      <c r="Q35" s="298"/>
    </row>
    <row r="36" spans="2:17" ht="15.75" x14ac:dyDescent="0.25">
      <c r="B36" s="2" t="s">
        <v>34</v>
      </c>
      <c r="C36" s="314"/>
      <c r="D36" s="332"/>
      <c r="E36" s="332"/>
      <c r="F36" s="332"/>
      <c r="G36" s="332"/>
      <c r="H36" s="332"/>
      <c r="J36" s="332"/>
      <c r="K36" s="581"/>
      <c r="L36" s="331"/>
      <c r="M36" s="331"/>
      <c r="N36" s="592"/>
      <c r="O36" s="331"/>
      <c r="P36" s="331"/>
      <c r="Q36" s="298"/>
    </row>
    <row r="37" spans="2:17" ht="15.75" x14ac:dyDescent="0.25">
      <c r="B37" s="301" t="s">
        <v>212</v>
      </c>
      <c r="C37" s="313"/>
      <c r="D37" s="332">
        <v>2947</v>
      </c>
      <c r="E37" s="332">
        <v>0</v>
      </c>
      <c r="F37" s="332">
        <v>0</v>
      </c>
      <c r="G37" s="332">
        <v>0</v>
      </c>
      <c r="H37" s="332">
        <v>0</v>
      </c>
      <c r="J37" s="332">
        <f>+D37</f>
        <v>2947</v>
      </c>
      <c r="K37" s="581">
        <v>0</v>
      </c>
      <c r="L37" s="331"/>
      <c r="M37" s="331"/>
      <c r="N37" s="592"/>
      <c r="O37" s="331"/>
      <c r="P37" s="331"/>
      <c r="Q37" s="298"/>
    </row>
    <row r="38" spans="2:17" ht="15.75" x14ac:dyDescent="0.25">
      <c r="B38" s="301"/>
      <c r="C38" s="313"/>
      <c r="D38" s="336"/>
      <c r="E38" s="331"/>
      <c r="F38" s="331"/>
      <c r="G38" s="331"/>
      <c r="H38" s="331"/>
      <c r="J38" s="336"/>
      <c r="K38" s="582"/>
      <c r="L38" s="331"/>
      <c r="M38" s="561"/>
      <c r="N38" s="368"/>
      <c r="O38" s="561"/>
      <c r="P38" s="561"/>
      <c r="Q38" s="298"/>
    </row>
    <row r="39" spans="2:17" ht="15.75" x14ac:dyDescent="0.25">
      <c r="B39" s="310" t="s">
        <v>213</v>
      </c>
      <c r="C39" s="318" t="s">
        <v>186</v>
      </c>
      <c r="D39" s="337">
        <f>SUM(D28:D38)</f>
        <v>16995.830000000002</v>
      </c>
      <c r="E39" s="337">
        <f t="shared" ref="E39:H39" si="2">SUM(E28:E38)</f>
        <v>29875.66</v>
      </c>
      <c r="F39" s="337">
        <f t="shared" si="2"/>
        <v>69638.960000000006</v>
      </c>
      <c r="G39" s="337">
        <f t="shared" si="2"/>
        <v>22739.68</v>
      </c>
      <c r="H39" s="337">
        <f t="shared" si="2"/>
        <v>9606</v>
      </c>
      <c r="J39" s="337">
        <f>+D39</f>
        <v>16995.830000000002</v>
      </c>
      <c r="K39" s="583">
        <f>SUM(K28:K38)</f>
        <v>14048.830000000004</v>
      </c>
      <c r="L39" s="337">
        <f t="shared" ref="L39:P39" si="3">SUM(L28:L38)</f>
        <v>0</v>
      </c>
      <c r="M39" s="337">
        <f t="shared" si="3"/>
        <v>0</v>
      </c>
      <c r="N39" s="594">
        <f t="shared" si="3"/>
        <v>0</v>
      </c>
      <c r="O39" s="337">
        <f t="shared" si="3"/>
        <v>0</v>
      </c>
      <c r="P39" s="337">
        <f t="shared" si="3"/>
        <v>0</v>
      </c>
      <c r="Q39" s="298"/>
    </row>
    <row r="40" spans="2:17" ht="15.75" x14ac:dyDescent="0.25">
      <c r="B40" s="301"/>
      <c r="C40" s="313"/>
      <c r="D40" s="331"/>
      <c r="E40" s="331"/>
      <c r="F40" s="331"/>
      <c r="G40" s="331"/>
      <c r="H40" s="331"/>
      <c r="J40" s="331"/>
      <c r="K40" s="579"/>
      <c r="L40" s="331"/>
      <c r="M40" s="331"/>
      <c r="N40" s="592"/>
      <c r="O40" s="331"/>
      <c r="P40" s="331"/>
      <c r="Q40" s="298"/>
    </row>
    <row r="41" spans="2:17" ht="15.75" x14ac:dyDescent="0.25">
      <c r="B41" s="322" t="s">
        <v>214</v>
      </c>
      <c r="C41" s="319" t="s">
        <v>215</v>
      </c>
      <c r="D41" s="338">
        <f>+D24-D39</f>
        <v>-10627.910000000018</v>
      </c>
      <c r="E41" s="338">
        <f>+E24-E39</f>
        <v>-127897.51999999999</v>
      </c>
      <c r="F41" s="338">
        <f>+F24-F39</f>
        <v>-764.61000000002969</v>
      </c>
      <c r="G41" s="338">
        <f>+G24-G39</f>
        <v>147539.49</v>
      </c>
      <c r="H41" s="338">
        <f>+H24-H39</f>
        <v>250504.26999999996</v>
      </c>
      <c r="J41" s="338">
        <f>+D41</f>
        <v>-10627.910000000018</v>
      </c>
      <c r="K41" s="584">
        <f>+K24-K39</f>
        <v>-7680.9100000000199</v>
      </c>
      <c r="L41" s="338">
        <f t="shared" ref="L41:P41" si="4">+L24-L39</f>
        <v>0</v>
      </c>
      <c r="M41" s="338">
        <f t="shared" si="4"/>
        <v>0</v>
      </c>
      <c r="N41" s="595">
        <f t="shared" si="4"/>
        <v>0</v>
      </c>
      <c r="O41" s="338">
        <f t="shared" si="4"/>
        <v>0</v>
      </c>
      <c r="P41" s="338">
        <f t="shared" si="4"/>
        <v>0</v>
      </c>
      <c r="Q41" s="298"/>
    </row>
    <row r="42" spans="2:17" ht="16.5" thickBot="1" x14ac:dyDescent="0.3">
      <c r="B42" s="301"/>
      <c r="C42" s="313"/>
      <c r="D42" s="331"/>
      <c r="E42" s="331"/>
      <c r="F42" s="331"/>
      <c r="G42" s="331"/>
      <c r="H42" s="331"/>
      <c r="J42" s="331"/>
      <c r="K42" s="579"/>
      <c r="L42" s="560"/>
      <c r="M42" s="560"/>
      <c r="N42" s="592"/>
      <c r="O42" s="560"/>
      <c r="P42" s="560"/>
      <c r="Q42" s="298"/>
    </row>
    <row r="43" spans="2:17" ht="16.5" thickBot="1" x14ac:dyDescent="0.3">
      <c r="B43" s="323" t="s">
        <v>216</v>
      </c>
      <c r="C43" s="324"/>
      <c r="D43" s="328">
        <f>+D12+D41</f>
        <v>2384.089999999982</v>
      </c>
      <c r="E43" s="328">
        <f>+E12+E41</f>
        <v>-125513.43000000001</v>
      </c>
      <c r="F43" s="328">
        <f>+F12+F41</f>
        <v>-126278.04000000004</v>
      </c>
      <c r="G43" s="328">
        <f>+G12+G41</f>
        <v>21261.449999999953</v>
      </c>
      <c r="H43" s="564">
        <f>+H12+H41</f>
        <v>271765.71999999991</v>
      </c>
      <c r="J43" s="563">
        <f>+D43</f>
        <v>2384.089999999982</v>
      </c>
      <c r="K43" s="328">
        <f t="shared" ref="K43:P43" si="5">+K12+K41</f>
        <v>5331.0899999999801</v>
      </c>
      <c r="L43" s="557">
        <f t="shared" si="5"/>
        <v>0</v>
      </c>
      <c r="M43" s="557">
        <f t="shared" si="5"/>
        <v>0</v>
      </c>
      <c r="N43" s="328">
        <f t="shared" si="5"/>
        <v>0</v>
      </c>
      <c r="O43" s="557">
        <f t="shared" si="5"/>
        <v>0</v>
      </c>
      <c r="P43" s="596">
        <f t="shared" si="5"/>
        <v>0</v>
      </c>
      <c r="Q43" s="298"/>
    </row>
    <row r="44" spans="2:17" ht="15.75" x14ac:dyDescent="0.25">
      <c r="B44" s="301"/>
      <c r="C44" s="313"/>
      <c r="D44" s="305"/>
      <c r="E44" s="305"/>
      <c r="F44" s="305"/>
      <c r="G44" s="305"/>
      <c r="H44" s="305"/>
      <c r="J44" s="305"/>
      <c r="K44" s="305"/>
      <c r="L44" s="298"/>
      <c r="M44" s="298"/>
      <c r="N44" s="298"/>
      <c r="O44" s="298"/>
      <c r="P44" s="298"/>
      <c r="Q44" s="298"/>
    </row>
    <row r="45" spans="2:17" x14ac:dyDescent="0.25">
      <c r="B45" s="340" t="s">
        <v>222</v>
      </c>
      <c r="C45" s="341"/>
      <c r="D45" s="342">
        <f>+'Résultat par entité'!D15</f>
        <v>164022</v>
      </c>
      <c r="E45" s="342">
        <f>+'Résultat par entité'!J15</f>
        <v>388024</v>
      </c>
      <c r="F45" s="342">
        <f>+'Résultat par entité'!O15</f>
        <v>550624</v>
      </c>
      <c r="G45" s="342">
        <f>+'Résultat par entité'!T15</f>
        <v>643424</v>
      </c>
      <c r="H45" s="343">
        <f>+'Résultat par entité'!Y15</f>
        <v>743824</v>
      </c>
      <c r="J45" s="565"/>
      <c r="K45" s="565"/>
      <c r="L45" s="298"/>
      <c r="M45" s="298"/>
      <c r="N45" s="298"/>
      <c r="O45" s="298"/>
      <c r="P45" s="298"/>
      <c r="Q45" s="298"/>
    </row>
    <row r="46" spans="2:17" x14ac:dyDescent="0.25">
      <c r="B46" s="344" t="s">
        <v>223</v>
      </c>
      <c r="C46" s="345"/>
      <c r="D46" s="346"/>
      <c r="E46" s="347">
        <f>+(E45-D45)/D45</f>
        <v>1.3656826523271268</v>
      </c>
      <c r="F46" s="347">
        <f>+(F45-E45)/E45</f>
        <v>0.41904624456219203</v>
      </c>
      <c r="G46" s="347">
        <f>+(G45-F45)/F45</f>
        <v>0.16853606090544546</v>
      </c>
      <c r="H46" s="348">
        <f>+(H45-G45)/G45</f>
        <v>0.15604018501019545</v>
      </c>
      <c r="J46" s="368"/>
      <c r="K46" s="368"/>
      <c r="L46" s="298"/>
      <c r="M46" s="298"/>
      <c r="N46" s="298"/>
      <c r="O46" s="298"/>
      <c r="P46" s="298"/>
      <c r="Q46" s="298"/>
    </row>
    <row r="47" spans="2:17" x14ac:dyDescent="0.25">
      <c r="C47" s="313"/>
      <c r="J47" s="21"/>
      <c r="K47" s="368"/>
      <c r="L47" s="298"/>
      <c r="M47" s="298"/>
      <c r="N47" s="298"/>
      <c r="O47" s="298"/>
      <c r="P47" s="298"/>
      <c r="Q47" s="298"/>
    </row>
    <row r="48" spans="2:17" x14ac:dyDescent="0.25">
      <c r="C48" s="313"/>
      <c r="J48" s="21"/>
      <c r="K48" s="368"/>
      <c r="L48" s="298"/>
      <c r="M48" s="298"/>
      <c r="N48" s="298"/>
      <c r="O48" s="298"/>
      <c r="P48" s="298"/>
      <c r="Q48" s="298"/>
    </row>
    <row r="49" spans="3:17" x14ac:dyDescent="0.25">
      <c r="C49" s="313"/>
      <c r="K49" s="298"/>
      <c r="L49" s="298"/>
      <c r="M49" s="298"/>
      <c r="N49" s="298"/>
      <c r="O49" s="298"/>
      <c r="P49" s="298"/>
      <c r="Q49" s="298"/>
    </row>
    <row r="50" spans="3:17" x14ac:dyDescent="0.25">
      <c r="C50" s="313"/>
      <c r="K50" s="298"/>
      <c r="L50" s="298"/>
      <c r="M50" s="298"/>
      <c r="N50" s="298"/>
      <c r="O50" s="298"/>
      <c r="P50" s="298"/>
      <c r="Q50" s="298"/>
    </row>
    <row r="51" spans="3:17" x14ac:dyDescent="0.25">
      <c r="C51" s="313"/>
      <c r="K51" s="298"/>
      <c r="L51" s="298"/>
      <c r="M51" s="298"/>
      <c r="N51" s="298"/>
      <c r="O51" s="298"/>
      <c r="P51" s="298"/>
      <c r="Q51" s="298"/>
    </row>
    <row r="52" spans="3:17" x14ac:dyDescent="0.25">
      <c r="C52" s="313"/>
      <c r="K52" s="298"/>
      <c r="L52" s="298"/>
      <c r="M52" s="298"/>
      <c r="N52" s="298"/>
      <c r="O52" s="298"/>
      <c r="P52" s="298"/>
      <c r="Q52" s="298"/>
    </row>
    <row r="53" spans="3:17" x14ac:dyDescent="0.25">
      <c r="C53" s="313"/>
      <c r="K53" s="298"/>
      <c r="L53" s="298"/>
      <c r="M53" s="298"/>
      <c r="N53" s="298"/>
      <c r="O53" s="298"/>
      <c r="P53" s="298"/>
      <c r="Q53" s="298"/>
    </row>
    <row r="54" spans="3:17" x14ac:dyDescent="0.25">
      <c r="C54" s="313"/>
      <c r="K54" s="298"/>
      <c r="L54" s="298"/>
      <c r="M54" s="298"/>
      <c r="N54" s="298"/>
      <c r="O54" s="298"/>
      <c r="P54" s="298"/>
      <c r="Q54" s="298"/>
    </row>
    <row r="55" spans="3:17" x14ac:dyDescent="0.25">
      <c r="C55" s="313"/>
      <c r="K55" s="298"/>
      <c r="L55" s="298"/>
      <c r="M55" s="298"/>
      <c r="N55" s="298"/>
      <c r="O55" s="298"/>
      <c r="P55" s="298"/>
      <c r="Q55" s="298"/>
    </row>
    <row r="56" spans="3:17" x14ac:dyDescent="0.25">
      <c r="C56" s="313"/>
      <c r="K56" s="298"/>
      <c r="L56" s="298"/>
      <c r="M56" s="298"/>
      <c r="N56" s="298"/>
      <c r="O56" s="298"/>
      <c r="P56" s="298"/>
      <c r="Q56" s="298"/>
    </row>
    <row r="57" spans="3:17" x14ac:dyDescent="0.25">
      <c r="C57" s="313"/>
      <c r="K57" s="298"/>
      <c r="L57" s="298"/>
      <c r="M57" s="298"/>
      <c r="N57" s="298"/>
      <c r="O57" s="298"/>
      <c r="P57" s="298"/>
      <c r="Q57" s="298"/>
    </row>
    <row r="58" spans="3:17" x14ac:dyDescent="0.25">
      <c r="C58" s="313"/>
      <c r="K58" s="298"/>
      <c r="L58" s="298"/>
      <c r="M58" s="298"/>
      <c r="N58" s="298"/>
      <c r="O58" s="298"/>
      <c r="P58" s="298"/>
      <c r="Q58" s="298"/>
    </row>
    <row r="59" spans="3:17" x14ac:dyDescent="0.25">
      <c r="C59" s="313"/>
      <c r="K59" s="298"/>
      <c r="L59" s="298"/>
      <c r="M59" s="298"/>
      <c r="N59" s="298"/>
      <c r="O59" s="298"/>
      <c r="P59" s="298"/>
      <c r="Q59" s="298"/>
    </row>
    <row r="60" spans="3:17" x14ac:dyDescent="0.25">
      <c r="C60" s="313"/>
      <c r="K60" s="298"/>
      <c r="L60" s="298"/>
      <c r="M60" s="298"/>
      <c r="N60" s="298"/>
      <c r="O60" s="298"/>
      <c r="P60" s="298"/>
      <c r="Q60" s="298"/>
    </row>
    <row r="61" spans="3:17" x14ac:dyDescent="0.25">
      <c r="C61" s="313"/>
      <c r="K61" s="298"/>
      <c r="L61" s="298"/>
      <c r="M61" s="298"/>
      <c r="N61" s="298"/>
      <c r="O61" s="298"/>
      <c r="P61" s="298"/>
      <c r="Q61" s="298"/>
    </row>
    <row r="62" spans="3:17" x14ac:dyDescent="0.25">
      <c r="C62" s="313"/>
      <c r="K62" s="298"/>
      <c r="L62" s="298"/>
      <c r="M62" s="298"/>
      <c r="N62" s="298"/>
      <c r="O62" s="298"/>
      <c r="P62" s="298"/>
      <c r="Q62" s="298"/>
    </row>
    <row r="63" spans="3:17" x14ac:dyDescent="0.25">
      <c r="C63" s="313"/>
      <c r="K63" s="298"/>
      <c r="L63" s="298"/>
      <c r="M63" s="298"/>
      <c r="N63" s="298"/>
      <c r="O63" s="298"/>
      <c r="P63" s="298"/>
      <c r="Q63" s="298"/>
    </row>
    <row r="64" spans="3:17" x14ac:dyDescent="0.25">
      <c r="C64" s="313"/>
      <c r="K64" s="298"/>
      <c r="L64" s="298"/>
      <c r="M64" s="298"/>
      <c r="N64" s="298"/>
      <c r="O64" s="298"/>
      <c r="P64" s="298"/>
      <c r="Q64" s="298"/>
    </row>
    <row r="65" spans="3:17" x14ac:dyDescent="0.25">
      <c r="C65" s="313"/>
      <c r="K65" s="298"/>
      <c r="L65" s="298"/>
      <c r="M65" s="298"/>
      <c r="N65" s="298"/>
      <c r="O65" s="298"/>
      <c r="P65" s="298"/>
      <c r="Q65" s="298"/>
    </row>
    <row r="66" spans="3:17" x14ac:dyDescent="0.25">
      <c r="C66" s="313"/>
      <c r="K66" s="298"/>
      <c r="L66" s="298"/>
      <c r="M66" s="298"/>
      <c r="N66" s="298"/>
      <c r="O66" s="298"/>
      <c r="P66" s="298"/>
      <c r="Q66" s="298"/>
    </row>
    <row r="67" spans="3:17" x14ac:dyDescent="0.25">
      <c r="C67" s="313"/>
      <c r="K67" s="298"/>
      <c r="L67" s="298"/>
      <c r="M67" s="298"/>
      <c r="N67" s="298"/>
      <c r="O67" s="298"/>
      <c r="P67" s="298"/>
      <c r="Q67" s="298"/>
    </row>
    <row r="68" spans="3:17" x14ac:dyDescent="0.25">
      <c r="C68" s="313"/>
      <c r="K68" s="298"/>
      <c r="L68" s="298"/>
      <c r="M68" s="298"/>
      <c r="N68" s="298"/>
      <c r="O68" s="298"/>
      <c r="P68" s="298"/>
      <c r="Q68" s="298"/>
    </row>
    <row r="69" spans="3:17" x14ac:dyDescent="0.25">
      <c r="C69" s="313"/>
      <c r="K69" s="298"/>
      <c r="L69" s="298"/>
      <c r="M69" s="298"/>
      <c r="N69" s="298"/>
      <c r="O69" s="298"/>
      <c r="P69" s="298"/>
      <c r="Q69" s="298"/>
    </row>
    <row r="70" spans="3:17" x14ac:dyDescent="0.25">
      <c r="C70" s="313"/>
      <c r="K70" s="298"/>
      <c r="L70" s="298"/>
      <c r="M70" s="298"/>
      <c r="N70" s="298"/>
      <c r="O70" s="298"/>
      <c r="P70" s="298"/>
      <c r="Q70" s="298"/>
    </row>
    <row r="71" spans="3:17" x14ac:dyDescent="0.25">
      <c r="C71" s="313"/>
      <c r="K71" s="298"/>
      <c r="L71" s="298"/>
      <c r="M71" s="298"/>
      <c r="N71" s="298"/>
      <c r="O71" s="298"/>
      <c r="P71" s="298"/>
      <c r="Q71" s="298"/>
    </row>
    <row r="72" spans="3:17" x14ac:dyDescent="0.25">
      <c r="C72" s="313"/>
      <c r="K72" s="298"/>
      <c r="L72" s="298"/>
      <c r="M72" s="298"/>
      <c r="N72" s="298"/>
      <c r="O72" s="298"/>
      <c r="P72" s="298"/>
      <c r="Q72" s="298"/>
    </row>
    <row r="73" spans="3:17" x14ac:dyDescent="0.25">
      <c r="C73" s="313"/>
      <c r="K73" s="298"/>
      <c r="L73" s="298"/>
      <c r="M73" s="298"/>
      <c r="N73" s="298"/>
      <c r="O73" s="298"/>
      <c r="P73" s="298"/>
      <c r="Q73" s="298"/>
    </row>
    <row r="74" spans="3:17" x14ac:dyDescent="0.25">
      <c r="C74" s="313"/>
      <c r="K74" s="298"/>
      <c r="L74" s="298"/>
      <c r="M74" s="298"/>
      <c r="N74" s="298"/>
      <c r="O74" s="298"/>
      <c r="P74" s="298"/>
      <c r="Q74" s="298"/>
    </row>
    <row r="75" spans="3:17" x14ac:dyDescent="0.25">
      <c r="C75" s="313"/>
      <c r="K75" s="298"/>
      <c r="L75" s="298"/>
      <c r="M75" s="298"/>
      <c r="N75" s="298"/>
      <c r="O75" s="298"/>
      <c r="P75" s="298"/>
      <c r="Q75" s="298"/>
    </row>
    <row r="76" spans="3:17" x14ac:dyDescent="0.25">
      <c r="C76" s="313"/>
      <c r="K76" s="298"/>
      <c r="L76" s="298"/>
      <c r="M76" s="298"/>
      <c r="N76" s="298"/>
      <c r="O76" s="298"/>
      <c r="P76" s="298"/>
      <c r="Q76" s="298"/>
    </row>
    <row r="77" spans="3:17" x14ac:dyDescent="0.25">
      <c r="C77" s="313"/>
      <c r="K77" s="298"/>
      <c r="L77" s="298"/>
      <c r="M77" s="298"/>
      <c r="N77" s="298"/>
      <c r="O77" s="298"/>
      <c r="P77" s="298"/>
      <c r="Q77" s="298"/>
    </row>
    <row r="78" spans="3:17" x14ac:dyDescent="0.25">
      <c r="C78" s="313"/>
      <c r="K78" s="298"/>
      <c r="L78" s="298"/>
      <c r="M78" s="298"/>
      <c r="N78" s="298"/>
      <c r="O78" s="298"/>
      <c r="P78" s="298"/>
      <c r="Q78" s="298"/>
    </row>
    <row r="79" spans="3:17" x14ac:dyDescent="0.25">
      <c r="C79" s="313"/>
      <c r="K79" s="298"/>
      <c r="L79" s="298"/>
      <c r="M79" s="298"/>
      <c r="N79" s="298"/>
      <c r="O79" s="298"/>
      <c r="P79" s="298"/>
      <c r="Q79" s="298"/>
    </row>
    <row r="80" spans="3:17" x14ac:dyDescent="0.25">
      <c r="C80" s="313"/>
      <c r="K80" s="298"/>
      <c r="L80" s="298"/>
      <c r="M80" s="298"/>
      <c r="N80" s="298"/>
      <c r="O80" s="298"/>
      <c r="P80" s="298"/>
      <c r="Q80" s="298"/>
    </row>
    <row r="81" spans="3:17" x14ac:dyDescent="0.25">
      <c r="C81" s="313"/>
      <c r="K81" s="298"/>
      <c r="L81" s="298"/>
      <c r="M81" s="298"/>
      <c r="N81" s="298"/>
      <c r="O81" s="298"/>
      <c r="P81" s="298"/>
      <c r="Q81" s="298"/>
    </row>
    <row r="82" spans="3:17" x14ac:dyDescent="0.25">
      <c r="C82" s="313"/>
      <c r="K82" s="298"/>
      <c r="L82" s="298"/>
      <c r="M82" s="298"/>
      <c r="N82" s="298"/>
      <c r="O82" s="298"/>
      <c r="P82" s="298"/>
      <c r="Q82" s="298"/>
    </row>
    <row r="83" spans="3:17" x14ac:dyDescent="0.25">
      <c r="C83" s="313"/>
      <c r="K83" s="298"/>
      <c r="L83" s="298"/>
      <c r="M83" s="298"/>
      <c r="N83" s="298"/>
      <c r="O83" s="298"/>
      <c r="P83" s="298"/>
      <c r="Q83" s="298"/>
    </row>
    <row r="84" spans="3:17" x14ac:dyDescent="0.25">
      <c r="C84" s="313"/>
    </row>
    <row r="85" spans="3:17" x14ac:dyDescent="0.25">
      <c r="C85" s="313"/>
    </row>
    <row r="86" spans="3:17" x14ac:dyDescent="0.25">
      <c r="C86" s="313"/>
    </row>
    <row r="87" spans="3:17" x14ac:dyDescent="0.25">
      <c r="C87" s="313"/>
    </row>
    <row r="88" spans="3:17" x14ac:dyDescent="0.25">
      <c r="C88" s="313"/>
    </row>
    <row r="89" spans="3:17" x14ac:dyDescent="0.25">
      <c r="C89" s="313"/>
    </row>
    <row r="90" spans="3:17" x14ac:dyDescent="0.25">
      <c r="C90" s="313"/>
    </row>
    <row r="91" spans="3:17" x14ac:dyDescent="0.25">
      <c r="C91" s="313"/>
    </row>
    <row r="92" spans="3:17" x14ac:dyDescent="0.25">
      <c r="C92" s="313"/>
    </row>
    <row r="93" spans="3:17" x14ac:dyDescent="0.25">
      <c r="C93" s="313"/>
    </row>
    <row r="94" spans="3:17" x14ac:dyDescent="0.25">
      <c r="C94" s="313"/>
    </row>
    <row r="95" spans="3:17" x14ac:dyDescent="0.25">
      <c r="C95" s="313"/>
    </row>
    <row r="96" spans="3:17" x14ac:dyDescent="0.25">
      <c r="C96" s="313"/>
    </row>
    <row r="97" spans="3:3" x14ac:dyDescent="0.25">
      <c r="C97" s="313"/>
    </row>
    <row r="98" spans="3:3" x14ac:dyDescent="0.25">
      <c r="C98" s="313"/>
    </row>
    <row r="99" spans="3:3" x14ac:dyDescent="0.25">
      <c r="C99" s="313"/>
    </row>
    <row r="100" spans="3:3" x14ac:dyDescent="0.25">
      <c r="C100" s="313"/>
    </row>
    <row r="101" spans="3:3" x14ac:dyDescent="0.25">
      <c r="C101" s="313"/>
    </row>
    <row r="102" spans="3:3" x14ac:dyDescent="0.25">
      <c r="C102" s="313"/>
    </row>
    <row r="103" spans="3:3" x14ac:dyDescent="0.25">
      <c r="C103" s="313"/>
    </row>
    <row r="104" spans="3:3" x14ac:dyDescent="0.25">
      <c r="C104" s="313"/>
    </row>
    <row r="105" spans="3:3" x14ac:dyDescent="0.25">
      <c r="C105" s="313"/>
    </row>
    <row r="106" spans="3:3" x14ac:dyDescent="0.25">
      <c r="C106" s="313"/>
    </row>
    <row r="107" spans="3:3" x14ac:dyDescent="0.25">
      <c r="C107" s="313"/>
    </row>
    <row r="108" spans="3:3" x14ac:dyDescent="0.25">
      <c r="C108" s="313"/>
    </row>
    <row r="109" spans="3:3" x14ac:dyDescent="0.25">
      <c r="C109" s="313"/>
    </row>
    <row r="110" spans="3:3" x14ac:dyDescent="0.25">
      <c r="C110" s="313"/>
    </row>
    <row r="111" spans="3:3" x14ac:dyDescent="0.25">
      <c r="C111" s="313"/>
    </row>
    <row r="112" spans="3:3" x14ac:dyDescent="0.25">
      <c r="C112" s="313"/>
    </row>
    <row r="113" spans="3:3" x14ac:dyDescent="0.25">
      <c r="C113" s="313"/>
    </row>
    <row r="114" spans="3:3" x14ac:dyDescent="0.25">
      <c r="C114" s="313"/>
    </row>
    <row r="115" spans="3:3" x14ac:dyDescent="0.25">
      <c r="C115" s="313"/>
    </row>
    <row r="116" spans="3:3" x14ac:dyDescent="0.25">
      <c r="C116" s="313"/>
    </row>
    <row r="117" spans="3:3" x14ac:dyDescent="0.25">
      <c r="C117" s="313"/>
    </row>
    <row r="118" spans="3:3" x14ac:dyDescent="0.25">
      <c r="C118" s="313"/>
    </row>
    <row r="119" spans="3:3" x14ac:dyDescent="0.25">
      <c r="C119" s="313"/>
    </row>
    <row r="120" spans="3:3" x14ac:dyDescent="0.25">
      <c r="C120" s="313"/>
    </row>
    <row r="121" spans="3:3" x14ac:dyDescent="0.25">
      <c r="C121" s="313"/>
    </row>
    <row r="122" spans="3:3" x14ac:dyDescent="0.25">
      <c r="C122" s="313"/>
    </row>
    <row r="123" spans="3:3" x14ac:dyDescent="0.25">
      <c r="C123" s="313"/>
    </row>
  </sheetData>
  <mergeCells count="5">
    <mergeCell ref="L9:L10"/>
    <mergeCell ref="L7:P7"/>
    <mergeCell ref="J6:P6"/>
    <mergeCell ref="L8:P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76"/>
  <sheetViews>
    <sheetView topLeftCell="A3" zoomScaleNormal="100" workbookViewId="0">
      <pane xSplit="2" ySplit="5" topLeftCell="D48" activePane="bottomRight" state="frozen"/>
      <selection activeCell="A3" sqref="A3"/>
      <selection pane="topRight" activeCell="B3" sqref="B3"/>
      <selection pane="bottomLeft" activeCell="A8" sqref="A8"/>
      <selection pane="bottomRight" activeCell="J28" sqref="J28"/>
    </sheetView>
  </sheetViews>
  <sheetFormatPr baseColWidth="10" defaultRowHeight="15" x14ac:dyDescent="0.25"/>
  <cols>
    <col min="1" max="1" width="6.7109375" customWidth="1"/>
    <col min="2" max="2" width="82.7109375" customWidth="1"/>
    <col min="3" max="3" width="21" customWidth="1"/>
    <col min="4" max="7" width="14.7109375" customWidth="1"/>
    <col min="8" max="8" width="15.28515625" customWidth="1"/>
    <col min="9" max="9" width="1.42578125" customWidth="1"/>
    <col min="10" max="10" width="15.28515625" customWidth="1"/>
    <col min="11" max="12" width="14.7109375" customWidth="1"/>
    <col min="13" max="13" width="15.28515625" customWidth="1"/>
    <col min="14" max="14" width="1.42578125" customWidth="1"/>
    <col min="15" max="15" width="15.5703125" customWidth="1"/>
    <col min="16" max="17" width="14.7109375" customWidth="1"/>
    <col min="18" max="18" width="15.28515625" customWidth="1"/>
    <col min="19" max="19" width="1.42578125" customWidth="1"/>
    <col min="20" max="20" width="15.5703125" customWidth="1"/>
    <col min="21" max="22" width="14.7109375" customWidth="1"/>
    <col min="23" max="23" width="15.28515625" customWidth="1"/>
    <col min="24" max="24" width="1.42578125" customWidth="1"/>
    <col min="25" max="25" width="15.5703125" customWidth="1"/>
    <col min="26" max="27" width="14.7109375" customWidth="1"/>
    <col min="28" max="28" width="15.28515625" customWidth="1"/>
  </cols>
  <sheetData>
    <row r="1" spans="2:45" ht="16.5" thickBot="1" x14ac:dyDescent="0.3">
      <c r="B1" s="2" t="s">
        <v>21</v>
      </c>
      <c r="C1" s="2"/>
      <c r="D1" s="12" t="s">
        <v>20</v>
      </c>
      <c r="E1" s="16"/>
      <c r="F1" s="16"/>
      <c r="G1" s="16"/>
      <c r="H1" s="16"/>
      <c r="I1" s="16"/>
    </row>
    <row r="2" spans="2:45" x14ac:dyDescent="0.25">
      <c r="F2" s="4"/>
      <c r="G2" t="s">
        <v>31</v>
      </c>
    </row>
    <row r="3" spans="2:45" ht="16.5" thickBot="1" x14ac:dyDescent="0.3">
      <c r="B3" s="2" t="s">
        <v>0</v>
      </c>
      <c r="C3" s="2"/>
      <c r="D3" s="1"/>
      <c r="E3" s="1"/>
      <c r="F3" s="1"/>
      <c r="G3" s="1"/>
      <c r="H3" s="1"/>
      <c r="I3" s="17"/>
      <c r="J3" s="1"/>
      <c r="K3" s="1"/>
      <c r="L3" s="1"/>
      <c r="M3" s="1"/>
      <c r="N3" s="1"/>
      <c r="X3" s="13"/>
    </row>
    <row r="4" spans="2:45" ht="15.75" thickBot="1" x14ac:dyDescent="0.3">
      <c r="D4" s="709" t="s">
        <v>85</v>
      </c>
      <c r="E4" s="710"/>
      <c r="F4" s="710"/>
      <c r="G4" s="710"/>
      <c r="H4" s="711"/>
      <c r="I4" s="13"/>
      <c r="J4" s="712" t="s">
        <v>86</v>
      </c>
      <c r="K4" s="713"/>
      <c r="L4" s="713"/>
      <c r="M4" s="714"/>
      <c r="O4" s="712" t="s">
        <v>87</v>
      </c>
      <c r="P4" s="713"/>
      <c r="Q4" s="713"/>
      <c r="R4" s="714"/>
      <c r="S4" s="13"/>
      <c r="T4" s="712" t="s">
        <v>88</v>
      </c>
      <c r="U4" s="713"/>
      <c r="V4" s="713"/>
      <c r="W4" s="714"/>
      <c r="X4" s="13"/>
      <c r="Y4" s="712" t="s">
        <v>89</v>
      </c>
      <c r="Z4" s="713"/>
      <c r="AA4" s="713"/>
      <c r="AB4" s="714"/>
    </row>
    <row r="5" spans="2:45" ht="30" x14ac:dyDescent="0.25">
      <c r="D5" s="30" t="s">
        <v>29</v>
      </c>
      <c r="E5" s="705" t="s">
        <v>464</v>
      </c>
      <c r="F5" s="706"/>
      <c r="G5" s="677" t="s">
        <v>167</v>
      </c>
      <c r="H5" s="239" t="s">
        <v>168</v>
      </c>
      <c r="I5" s="17"/>
      <c r="J5" s="30" t="s">
        <v>29</v>
      </c>
      <c r="K5" s="101" t="s">
        <v>26</v>
      </c>
      <c r="L5" s="238" t="s">
        <v>167</v>
      </c>
      <c r="M5" s="239" t="s">
        <v>168</v>
      </c>
      <c r="N5" s="17"/>
      <c r="O5" s="30" t="s">
        <v>29</v>
      </c>
      <c r="P5" s="28" t="s">
        <v>26</v>
      </c>
      <c r="Q5" s="29" t="s">
        <v>27</v>
      </c>
      <c r="R5" s="274" t="s">
        <v>28</v>
      </c>
      <c r="S5" s="17"/>
      <c r="T5" s="30" t="s">
        <v>29</v>
      </c>
      <c r="U5" s="28" t="s">
        <v>26</v>
      </c>
      <c r="V5" s="29" t="s">
        <v>27</v>
      </c>
      <c r="W5" s="274" t="s">
        <v>28</v>
      </c>
      <c r="X5" s="17"/>
      <c r="Y5" s="30" t="s">
        <v>29</v>
      </c>
      <c r="Z5" s="28" t="s">
        <v>26</v>
      </c>
      <c r="AA5" s="29" t="s">
        <v>27</v>
      </c>
      <c r="AB5" s="274" t="s">
        <v>28</v>
      </c>
    </row>
    <row r="6" spans="2:45" x14ac:dyDescent="0.25">
      <c r="B6" s="1" t="s">
        <v>172</v>
      </c>
      <c r="D6" s="647" t="s">
        <v>452</v>
      </c>
      <c r="E6" s="707" t="s">
        <v>169</v>
      </c>
      <c r="F6" s="708"/>
      <c r="G6" s="678" t="s">
        <v>170</v>
      </c>
      <c r="H6" s="242" t="s">
        <v>171</v>
      </c>
      <c r="I6" s="17"/>
      <c r="J6" s="40"/>
      <c r="K6" s="240"/>
      <c r="L6" s="241"/>
      <c r="M6" s="242"/>
      <c r="N6" s="17"/>
      <c r="O6" s="40"/>
      <c r="P6" s="241"/>
      <c r="Q6" s="243"/>
      <c r="R6" s="275"/>
      <c r="S6" s="17"/>
      <c r="T6" s="40"/>
      <c r="U6" s="241"/>
      <c r="V6" s="243"/>
      <c r="W6" s="275"/>
      <c r="X6" s="17"/>
      <c r="Y6" s="40"/>
      <c r="Z6" s="241"/>
      <c r="AA6" s="243"/>
      <c r="AB6" s="275"/>
    </row>
    <row r="7" spans="2:45" ht="30" x14ac:dyDescent="0.25">
      <c r="B7" s="3"/>
      <c r="C7" s="3"/>
      <c r="D7" s="648" t="s">
        <v>22</v>
      </c>
      <c r="E7" s="649" t="s">
        <v>455</v>
      </c>
      <c r="F7" s="655" t="s">
        <v>456</v>
      </c>
      <c r="G7" s="679"/>
      <c r="H7" s="651" t="s">
        <v>455</v>
      </c>
      <c r="I7" s="277"/>
      <c r="J7" s="648" t="s">
        <v>23</v>
      </c>
      <c r="K7" s="652"/>
      <c r="L7" s="650"/>
      <c r="M7" s="653"/>
      <c r="N7" s="654"/>
      <c r="O7" s="648" t="s">
        <v>23</v>
      </c>
      <c r="P7" s="650"/>
      <c r="Q7" s="650"/>
      <c r="R7" s="653"/>
      <c r="S7" s="277"/>
      <c r="T7" s="648" t="s">
        <v>23</v>
      </c>
      <c r="U7" s="650"/>
      <c r="V7" s="650"/>
      <c r="W7" s="653"/>
      <c r="X7" s="277"/>
      <c r="Y7" s="648" t="s">
        <v>23</v>
      </c>
      <c r="Z7" s="650"/>
      <c r="AA7" s="650"/>
      <c r="AB7" s="6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</row>
    <row r="8" spans="2:45" x14ac:dyDescent="0.25">
      <c r="B8" s="49" t="s">
        <v>1</v>
      </c>
      <c r="C8" s="39" t="s">
        <v>30</v>
      </c>
      <c r="D8" s="31"/>
      <c r="E8" s="42"/>
      <c r="F8" s="224"/>
      <c r="G8" s="435"/>
      <c r="H8" s="102"/>
      <c r="I8" s="13"/>
      <c r="J8" s="31"/>
      <c r="K8" s="42"/>
      <c r="L8" s="21"/>
      <c r="M8" s="102"/>
      <c r="O8" s="31"/>
      <c r="P8" s="21"/>
      <c r="Q8" s="21"/>
      <c r="R8" s="102"/>
      <c r="S8" s="13"/>
      <c r="T8" s="166"/>
      <c r="U8" s="167"/>
      <c r="V8" s="167"/>
      <c r="W8" s="276"/>
      <c r="X8" s="13"/>
      <c r="Y8" s="166"/>
      <c r="Z8" s="167"/>
      <c r="AA8" s="167"/>
      <c r="AB8" s="276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2:45" x14ac:dyDescent="0.25">
      <c r="B9" s="15"/>
      <c r="C9" s="264"/>
      <c r="D9" s="31"/>
      <c r="E9" s="42"/>
      <c r="F9" s="224"/>
      <c r="G9" s="435"/>
      <c r="H9" s="102"/>
      <c r="I9" s="13"/>
      <c r="J9" s="31"/>
      <c r="K9" s="42"/>
      <c r="L9" s="21"/>
      <c r="M9" s="102"/>
      <c r="O9" s="31"/>
      <c r="P9" s="21"/>
      <c r="Q9" s="21"/>
      <c r="R9" s="102"/>
      <c r="S9" s="13"/>
      <c r="T9" s="166"/>
      <c r="U9" s="167"/>
      <c r="V9" s="167"/>
      <c r="W9" s="276"/>
      <c r="X9" s="13"/>
      <c r="Y9" s="166"/>
      <c r="Z9" s="167"/>
      <c r="AA9" s="167"/>
      <c r="AB9" s="276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2:45" x14ac:dyDescent="0.25">
      <c r="B10" s="413" t="s">
        <v>166</v>
      </c>
      <c r="C10" s="277" t="s">
        <v>32</v>
      </c>
      <c r="D10" s="399">
        <f>E10+H10</f>
        <v>151174</v>
      </c>
      <c r="E10" s="400">
        <f>'BM 1 Co-working Nogent'!D11</f>
        <v>151174</v>
      </c>
      <c r="F10" s="656">
        <f>'BM 1 Co-working Nogent'!D22</f>
        <v>156336</v>
      </c>
      <c r="G10" s="680"/>
      <c r="H10" s="402"/>
      <c r="I10" s="403"/>
      <c r="J10" s="399">
        <f>+L10</f>
        <v>170000</v>
      </c>
      <c r="K10" s="404"/>
      <c r="L10" s="405">
        <v>170000</v>
      </c>
      <c r="M10" s="402"/>
      <c r="N10" s="403"/>
      <c r="O10" s="399">
        <f>+Q10</f>
        <v>180000</v>
      </c>
      <c r="P10" s="401"/>
      <c r="Q10" s="405">
        <v>180000</v>
      </c>
      <c r="R10" s="402"/>
      <c r="S10" s="403"/>
      <c r="T10" s="399">
        <f>+V10</f>
        <v>190000</v>
      </c>
      <c r="U10" s="401"/>
      <c r="V10" s="405">
        <v>190000</v>
      </c>
      <c r="W10" s="402"/>
      <c r="X10" s="403"/>
      <c r="Y10" s="399">
        <f>+AA10</f>
        <v>200000</v>
      </c>
      <c r="Z10" s="401"/>
      <c r="AA10" s="405">
        <v>200000</v>
      </c>
      <c r="AB10" s="402"/>
      <c r="AC10" s="66"/>
      <c r="AD10" s="66"/>
      <c r="AE10" s="66"/>
      <c r="AF10" s="66"/>
      <c r="AG10" s="66"/>
      <c r="AH10" s="66"/>
      <c r="AI10" s="66"/>
      <c r="AJ10" s="66"/>
      <c r="AK10" s="66"/>
    </row>
    <row r="11" spans="2:45" ht="25.9" customHeight="1" x14ac:dyDescent="0.25">
      <c r="B11" s="413" t="s">
        <v>449</v>
      </c>
      <c r="C11" s="265" t="s">
        <v>251</v>
      </c>
      <c r="D11" s="399">
        <f t="shared" ref="D11:D12" si="0">E11+H11</f>
        <v>5039</v>
      </c>
      <c r="E11" s="400">
        <v>5039</v>
      </c>
      <c r="F11" s="656"/>
      <c r="G11" s="681">
        <f>+'BM 2 Franchise'!D40</f>
        <v>0</v>
      </c>
      <c r="H11" s="402"/>
      <c r="I11" s="403"/>
      <c r="J11" s="399">
        <f>+L11</f>
        <v>30600</v>
      </c>
      <c r="K11" s="404"/>
      <c r="L11" s="406">
        <f>+'BM 2 Franchise'!E40</f>
        <v>30600</v>
      </c>
      <c r="M11" s="402"/>
      <c r="N11" s="403"/>
      <c r="O11" s="399">
        <f>+Q11</f>
        <v>92800</v>
      </c>
      <c r="P11" s="401"/>
      <c r="Q11" s="405">
        <f>+'BM 2 Franchise'!F40</f>
        <v>92800</v>
      </c>
      <c r="R11" s="402"/>
      <c r="S11" s="403"/>
      <c r="T11" s="399">
        <f>+V11</f>
        <v>163600</v>
      </c>
      <c r="U11" s="401"/>
      <c r="V11" s="405">
        <f>+'BM 2 Franchise'!G40</f>
        <v>163600</v>
      </c>
      <c r="W11" s="402"/>
      <c r="X11" s="403"/>
      <c r="Y11" s="399">
        <f>+AA11</f>
        <v>242000</v>
      </c>
      <c r="Z11" s="401"/>
      <c r="AA11" s="405">
        <f>+'BM 2 Franchise'!H40</f>
        <v>242000</v>
      </c>
      <c r="AB11" s="402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2:45" ht="20.45" customHeight="1" x14ac:dyDescent="0.25">
      <c r="B12" s="413" t="s">
        <v>187</v>
      </c>
      <c r="C12" s="265" t="s">
        <v>190</v>
      </c>
      <c r="D12" s="399">
        <f t="shared" si="0"/>
        <v>7809</v>
      </c>
      <c r="E12" s="400">
        <f>'BM 1 Co-working Nogent'!E11</f>
        <v>7809</v>
      </c>
      <c r="F12" s="656">
        <f>'BM 1 Co-working Nogent'!E22</f>
        <v>8830</v>
      </c>
      <c r="G12" s="680"/>
      <c r="H12" s="402"/>
      <c r="I12" s="403"/>
      <c r="J12" s="399">
        <f>+K12</f>
        <v>168424</v>
      </c>
      <c r="K12" s="400">
        <f>+'BM 3 Formation'!H17</f>
        <v>168424</v>
      </c>
      <c r="L12" s="401"/>
      <c r="M12" s="402"/>
      <c r="N12" s="403"/>
      <c r="O12" s="399">
        <f>+P12</f>
        <v>258824</v>
      </c>
      <c r="P12" s="405">
        <f>+'BM 3 Formation'!I17</f>
        <v>258824</v>
      </c>
      <c r="Q12" s="401"/>
      <c r="R12" s="402"/>
      <c r="S12" s="403"/>
      <c r="T12" s="399">
        <f>+U12</f>
        <v>270824</v>
      </c>
      <c r="U12" s="405">
        <f>+'BM 3 Formation'!J17</f>
        <v>270824</v>
      </c>
      <c r="V12" s="401"/>
      <c r="W12" s="402"/>
      <c r="X12" s="403"/>
      <c r="Y12" s="399">
        <f>+Z12</f>
        <v>282824</v>
      </c>
      <c r="Z12" s="405">
        <f>+'BM 3 Formation'!K17</f>
        <v>282824</v>
      </c>
      <c r="AA12" s="401"/>
      <c r="AB12" s="402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2:45" ht="17.25" customHeight="1" x14ac:dyDescent="0.25">
      <c r="B13" s="413" t="s">
        <v>201</v>
      </c>
      <c r="C13" s="265" t="s">
        <v>191</v>
      </c>
      <c r="D13" s="399">
        <f t="shared" ref="D13" si="1">E13+H13</f>
        <v>0</v>
      </c>
      <c r="E13" s="400"/>
      <c r="F13" s="656"/>
      <c r="G13" s="681">
        <v>0</v>
      </c>
      <c r="H13" s="402"/>
      <c r="I13" s="403"/>
      <c r="J13" s="399">
        <f>+L13</f>
        <v>19000</v>
      </c>
      <c r="K13" s="404"/>
      <c r="L13" s="405">
        <f>+'BM 4 QVT'!K12</f>
        <v>19000</v>
      </c>
      <c r="M13" s="402"/>
      <c r="N13" s="403"/>
      <c r="O13" s="399">
        <f>+Q13</f>
        <v>19000</v>
      </c>
      <c r="P13" s="401"/>
      <c r="Q13" s="405">
        <f>+'BM 4 QVT'!K12</f>
        <v>19000</v>
      </c>
      <c r="R13" s="402"/>
      <c r="S13" s="403"/>
      <c r="T13" s="399">
        <f>+V13</f>
        <v>19000</v>
      </c>
      <c r="U13" s="401"/>
      <c r="V13" s="405">
        <f>+'BM 4 QVT'!K12</f>
        <v>19000</v>
      </c>
      <c r="W13" s="402"/>
      <c r="X13" s="403"/>
      <c r="Y13" s="399">
        <f>+AA13</f>
        <v>19000</v>
      </c>
      <c r="Z13" s="401" t="s">
        <v>41</v>
      </c>
      <c r="AA13" s="405">
        <f>+'BM 4 QVT'!K12</f>
        <v>19000</v>
      </c>
      <c r="AB13" s="402"/>
      <c r="AC13" s="66"/>
      <c r="AD13" s="66"/>
      <c r="AE13" s="66"/>
      <c r="AF13" s="66"/>
      <c r="AG13" s="66"/>
      <c r="AH13" s="66"/>
      <c r="AI13" s="66"/>
      <c r="AJ13" s="66"/>
      <c r="AK13" s="66"/>
    </row>
    <row r="14" spans="2:45" x14ac:dyDescent="0.25">
      <c r="B14" s="66"/>
      <c r="C14" s="66"/>
      <c r="D14" s="407"/>
      <c r="E14" s="408"/>
      <c r="F14" s="657"/>
      <c r="G14" s="682"/>
      <c r="H14" s="410"/>
      <c r="I14" s="411"/>
      <c r="J14" s="407"/>
      <c r="K14" s="408"/>
      <c r="L14" s="409"/>
      <c r="M14" s="410"/>
      <c r="N14" s="412"/>
      <c r="O14" s="407"/>
      <c r="P14" s="409"/>
      <c r="Q14" s="409"/>
      <c r="R14" s="410"/>
      <c r="S14" s="411"/>
      <c r="T14" s="407"/>
      <c r="U14" s="409"/>
      <c r="V14" s="409"/>
      <c r="W14" s="410"/>
      <c r="X14" s="411"/>
      <c r="Y14" s="407"/>
      <c r="Z14" s="409"/>
      <c r="AA14" s="409"/>
      <c r="AB14" s="410"/>
      <c r="AC14" s="66"/>
      <c r="AD14" s="66"/>
      <c r="AE14" s="66"/>
      <c r="AF14" s="66"/>
      <c r="AG14" s="66"/>
      <c r="AH14" s="66"/>
      <c r="AI14" s="66"/>
      <c r="AJ14" s="66"/>
      <c r="AK14" s="66"/>
    </row>
    <row r="15" spans="2:45" x14ac:dyDescent="0.25">
      <c r="B15" s="10" t="s">
        <v>2</v>
      </c>
      <c r="C15" s="10"/>
      <c r="D15" s="33">
        <f>SUM(D10:D14)</f>
        <v>164022</v>
      </c>
      <c r="E15" s="44">
        <f>SUM(E10:E14)</f>
        <v>164022</v>
      </c>
      <c r="F15" s="658">
        <f>SUM(F10:F14)</f>
        <v>165166</v>
      </c>
      <c r="G15" s="683">
        <f>SUM(G10:G14)</f>
        <v>0</v>
      </c>
      <c r="H15" s="104">
        <f>SUM(H10:H14)</f>
        <v>0</v>
      </c>
      <c r="I15" s="19"/>
      <c r="J15" s="33">
        <f>SUM(J10:J14)</f>
        <v>388024</v>
      </c>
      <c r="K15" s="44">
        <f>SUM(K10:K14)</f>
        <v>168424</v>
      </c>
      <c r="L15" s="24">
        <f>SUM(L10:L14)</f>
        <v>219600</v>
      </c>
      <c r="M15" s="104">
        <f>SUM(M10:M14)</f>
        <v>0</v>
      </c>
      <c r="N15" s="11"/>
      <c r="O15" s="33">
        <f>SUM(O10:O14)</f>
        <v>550624</v>
      </c>
      <c r="P15" s="24">
        <f>SUM(P9:P13)</f>
        <v>258824</v>
      </c>
      <c r="Q15" s="24">
        <f>SUM(Q10:Q14)</f>
        <v>291800</v>
      </c>
      <c r="R15" s="104">
        <f>SUM(R10:R14)</f>
        <v>0</v>
      </c>
      <c r="S15" s="19"/>
      <c r="T15" s="33">
        <f>SUM(T10:T14)</f>
        <v>643424</v>
      </c>
      <c r="U15" s="24">
        <f>SUM(U9:U13)</f>
        <v>270824</v>
      </c>
      <c r="V15" s="24">
        <f>SUM(V10:V14)</f>
        <v>372600</v>
      </c>
      <c r="W15" s="104">
        <f>SUM(W10:W14)</f>
        <v>0</v>
      </c>
      <c r="X15" s="19"/>
      <c r="Y15" s="33">
        <f>SUM(Y10:Y14)</f>
        <v>743824</v>
      </c>
      <c r="Z15" s="24">
        <f>SUM(Z9:Z13)</f>
        <v>282824</v>
      </c>
      <c r="AA15" s="24">
        <f>SUM(AA10:AA14)</f>
        <v>461000</v>
      </c>
      <c r="AB15" s="104">
        <f>SUM(AB10:AB14)</f>
        <v>0</v>
      </c>
    </row>
    <row r="16" spans="2:45" x14ac:dyDescent="0.25">
      <c r="D16" s="32"/>
      <c r="E16" s="43"/>
      <c r="F16" s="659"/>
      <c r="G16" s="684"/>
      <c r="H16" s="103"/>
      <c r="I16" s="18"/>
      <c r="J16" s="32"/>
      <c r="K16" s="43"/>
      <c r="L16" s="23"/>
      <c r="M16" s="103"/>
      <c r="N16" s="6"/>
      <c r="O16" s="32"/>
      <c r="P16" s="23"/>
      <c r="Q16" s="23"/>
      <c r="R16" s="103"/>
      <c r="S16" s="18"/>
      <c r="T16" s="32"/>
      <c r="U16" s="23"/>
      <c r="V16" s="23"/>
      <c r="W16" s="103"/>
      <c r="X16" s="18"/>
      <c r="Y16" s="32"/>
      <c r="Z16" s="23"/>
      <c r="AA16" s="23"/>
      <c r="AB16" s="103"/>
    </row>
    <row r="17" spans="2:36" x14ac:dyDescent="0.25">
      <c r="D17" s="32"/>
      <c r="E17" s="43"/>
      <c r="F17" s="659"/>
      <c r="G17" s="684"/>
      <c r="H17" s="103"/>
      <c r="I17" s="18"/>
      <c r="J17" s="32"/>
      <c r="K17" s="43"/>
      <c r="L17" s="23"/>
      <c r="M17" s="103"/>
      <c r="N17" s="6"/>
      <c r="O17" s="32"/>
      <c r="P17" s="23"/>
      <c r="Q17" s="23"/>
      <c r="R17" s="103"/>
      <c r="S17" s="18"/>
      <c r="T17" s="32"/>
      <c r="U17" s="23"/>
      <c r="V17" s="23"/>
      <c r="W17" s="103"/>
      <c r="X17" s="18"/>
      <c r="Y17" s="32"/>
      <c r="Z17" s="23"/>
      <c r="AA17" s="23"/>
      <c r="AB17" s="103"/>
    </row>
    <row r="18" spans="2:36" x14ac:dyDescent="0.25">
      <c r="B18" s="49" t="s">
        <v>3</v>
      </c>
      <c r="C18" s="49"/>
      <c r="D18" s="32"/>
      <c r="E18" s="43"/>
      <c r="F18" s="659"/>
      <c r="G18" s="684"/>
      <c r="H18" s="103"/>
      <c r="I18" s="18"/>
      <c r="J18" s="32"/>
      <c r="K18" s="43"/>
      <c r="L18" s="23"/>
      <c r="M18" s="103"/>
      <c r="N18" s="6"/>
      <c r="O18" s="32"/>
      <c r="P18" s="23"/>
      <c r="Q18" s="23"/>
      <c r="R18" s="103"/>
      <c r="S18" s="18"/>
      <c r="T18" s="32"/>
      <c r="U18" s="23"/>
      <c r="V18" s="23"/>
      <c r="W18" s="103"/>
      <c r="X18" s="18"/>
      <c r="Y18" s="32"/>
      <c r="Z18" s="23"/>
      <c r="AA18" s="23"/>
      <c r="AB18" s="103"/>
    </row>
    <row r="19" spans="2:36" x14ac:dyDescent="0.25">
      <c r="D19" s="32"/>
      <c r="E19" s="43"/>
      <c r="F19" s="659"/>
      <c r="G19" s="684"/>
      <c r="H19" s="103"/>
      <c r="I19" s="18"/>
      <c r="J19" s="32"/>
      <c r="K19" s="43"/>
      <c r="L19" s="23"/>
      <c r="M19" s="103"/>
      <c r="N19" s="6"/>
      <c r="O19" s="32"/>
      <c r="P19" s="23"/>
      <c r="Q19" s="23"/>
      <c r="R19" s="103"/>
      <c r="S19" s="18"/>
      <c r="T19" s="32"/>
      <c r="U19" s="23"/>
      <c r="V19" s="23"/>
      <c r="W19" s="103"/>
      <c r="X19" s="18"/>
      <c r="Y19" s="32"/>
      <c r="Z19" s="23"/>
      <c r="AA19" s="23"/>
      <c r="AB19" s="103"/>
    </row>
    <row r="20" spans="2:36" x14ac:dyDescent="0.25">
      <c r="B20" s="13" t="s">
        <v>166</v>
      </c>
      <c r="D20" s="32">
        <f>E20+H20</f>
        <v>0</v>
      </c>
      <c r="E20" s="43"/>
      <c r="F20" s="659"/>
      <c r="G20" s="684"/>
      <c r="H20" s="103"/>
      <c r="I20" s="18"/>
      <c r="J20" s="32"/>
      <c r="K20" s="43"/>
      <c r="L20" s="23"/>
      <c r="M20" s="103"/>
      <c r="N20" s="6"/>
      <c r="O20" s="32"/>
      <c r="P20" s="23"/>
      <c r="Q20" s="23"/>
      <c r="R20" s="103"/>
      <c r="S20" s="18"/>
      <c r="T20" s="32"/>
      <c r="U20" s="23"/>
      <c r="V20" s="23"/>
      <c r="W20" s="103"/>
      <c r="X20" s="18"/>
      <c r="Y20" s="32">
        <f>SUM(Z20:AB20)</f>
        <v>0</v>
      </c>
      <c r="Z20" s="23"/>
      <c r="AA20" s="23"/>
      <c r="AB20" s="103"/>
    </row>
    <row r="21" spans="2:36" x14ac:dyDescent="0.25">
      <c r="B21" s="113" t="s">
        <v>173</v>
      </c>
      <c r="D21" s="32">
        <f t="shared" ref="D21:D24" si="2">E21+H21</f>
        <v>0</v>
      </c>
      <c r="E21" s="43"/>
      <c r="F21" s="659"/>
      <c r="G21" s="684">
        <v>0</v>
      </c>
      <c r="H21" s="103"/>
      <c r="I21" s="18"/>
      <c r="J21" s="32"/>
      <c r="K21" s="43"/>
      <c r="L21" s="23"/>
      <c r="M21" s="103"/>
      <c r="N21" s="6"/>
      <c r="O21" s="32"/>
      <c r="P21" s="23"/>
      <c r="Q21" s="23"/>
      <c r="R21" s="103"/>
      <c r="S21" s="18"/>
      <c r="T21" s="32"/>
      <c r="U21" s="23"/>
      <c r="V21" s="23"/>
      <c r="W21" s="103"/>
      <c r="X21" s="18"/>
      <c r="Y21" s="32">
        <f>SUM(Z21:AB21)</f>
        <v>0</v>
      </c>
      <c r="Z21" s="23"/>
      <c r="AA21" s="23"/>
      <c r="AB21" s="103"/>
    </row>
    <row r="22" spans="2:36" x14ac:dyDescent="0.25">
      <c r="B22" s="13" t="s">
        <v>430</v>
      </c>
      <c r="D22" s="32">
        <f t="shared" si="2"/>
        <v>4245</v>
      </c>
      <c r="E22" s="43">
        <v>4245</v>
      </c>
      <c r="F22" s="659">
        <f>F12*30%</f>
        <v>2649</v>
      </c>
      <c r="G22" s="684"/>
      <c r="H22" s="103"/>
      <c r="I22" s="18"/>
      <c r="J22" s="32">
        <f>SUM(K22:M22)</f>
        <v>50527.199999999997</v>
      </c>
      <c r="K22" s="43">
        <f>K12*30%</f>
        <v>50527.199999999997</v>
      </c>
      <c r="L22" s="23"/>
      <c r="M22" s="103"/>
      <c r="N22" s="6"/>
      <c r="O22" s="32">
        <f>SUM(P22:R22)</f>
        <v>77647.199999999997</v>
      </c>
      <c r="P22" s="23">
        <f>P12*30%</f>
        <v>77647.199999999997</v>
      </c>
      <c r="Q22" s="23"/>
      <c r="R22" s="103"/>
      <c r="S22" s="18"/>
      <c r="T22" s="32">
        <f>SUM(U22:W22)</f>
        <v>81247.199999999997</v>
      </c>
      <c r="U22" s="23">
        <f>U12*30%</f>
        <v>81247.199999999997</v>
      </c>
      <c r="V22" s="23"/>
      <c r="W22" s="103"/>
      <c r="X22" s="18"/>
      <c r="Y22" s="32">
        <f>SUM(Z22:AB22)</f>
        <v>84847.2</v>
      </c>
      <c r="Z22" s="23">
        <f>Z12*30%</f>
        <v>84847.2</v>
      </c>
      <c r="AA22" s="23"/>
      <c r="AB22" s="103"/>
    </row>
    <row r="23" spans="2:36" x14ac:dyDescent="0.25">
      <c r="B23" s="13" t="s">
        <v>188</v>
      </c>
      <c r="D23" s="32">
        <f t="shared" si="2"/>
        <v>0</v>
      </c>
      <c r="E23" s="43"/>
      <c r="F23" s="659"/>
      <c r="G23" s="684"/>
      <c r="H23" s="103"/>
      <c r="I23" s="18"/>
      <c r="J23" s="32">
        <f>SUM(K23:M23)</f>
        <v>0</v>
      </c>
      <c r="K23" s="43"/>
      <c r="L23" s="23">
        <v>0</v>
      </c>
      <c r="M23" s="103"/>
      <c r="N23" s="6"/>
      <c r="O23" s="32"/>
      <c r="P23" s="23"/>
      <c r="Q23" s="23"/>
      <c r="R23" s="103"/>
      <c r="S23" s="18"/>
      <c r="T23" s="32"/>
      <c r="U23" s="23"/>
      <c r="V23" s="23"/>
      <c r="W23" s="103"/>
      <c r="X23" s="18"/>
      <c r="Y23" s="32">
        <f>SUM(Z23:AB23)</f>
        <v>0</v>
      </c>
      <c r="Z23" s="23"/>
      <c r="AA23" s="23"/>
      <c r="AB23" s="103"/>
    </row>
    <row r="24" spans="2:36" x14ac:dyDescent="0.25">
      <c r="B24" s="13"/>
      <c r="D24" s="32">
        <f t="shared" si="2"/>
        <v>0</v>
      </c>
      <c r="E24" s="43"/>
      <c r="F24" s="659"/>
      <c r="G24" s="684"/>
      <c r="H24" s="103"/>
      <c r="I24" s="18"/>
      <c r="J24" s="32">
        <f>SUM(K24:M24)</f>
        <v>0</v>
      </c>
      <c r="K24" s="43"/>
      <c r="L24" s="23"/>
      <c r="M24" s="103"/>
      <c r="N24" s="6"/>
      <c r="O24" s="32"/>
      <c r="P24" s="23"/>
      <c r="Q24" s="23"/>
      <c r="R24" s="103"/>
      <c r="S24" s="18"/>
      <c r="T24" s="32"/>
      <c r="U24" s="23"/>
      <c r="V24" s="23"/>
      <c r="W24" s="103"/>
      <c r="X24" s="18"/>
      <c r="Y24" s="32">
        <f>SUM(Z24:AB24)</f>
        <v>0</v>
      </c>
      <c r="Z24" s="23"/>
      <c r="AA24" s="23"/>
      <c r="AB24" s="103"/>
    </row>
    <row r="25" spans="2:36" x14ac:dyDescent="0.25">
      <c r="B25" s="17" t="s">
        <v>41</v>
      </c>
      <c r="D25" s="32"/>
      <c r="E25" s="43"/>
      <c r="F25" s="659"/>
      <c r="G25" s="684"/>
      <c r="H25" s="103"/>
      <c r="I25" s="18"/>
      <c r="J25" s="32"/>
      <c r="K25" s="43"/>
      <c r="L25" s="23"/>
      <c r="M25" s="103"/>
      <c r="N25" s="6"/>
      <c r="O25" s="32"/>
      <c r="P25" s="23"/>
      <c r="Q25" s="23"/>
      <c r="R25" s="103"/>
      <c r="S25" s="18"/>
      <c r="T25" s="32"/>
      <c r="U25" s="23"/>
      <c r="V25" s="23"/>
      <c r="W25" s="103"/>
      <c r="X25" s="18"/>
      <c r="Y25" s="32"/>
      <c r="Z25" s="23"/>
      <c r="AA25" s="23"/>
      <c r="AB25" s="103"/>
    </row>
    <row r="26" spans="2:36" x14ac:dyDescent="0.25">
      <c r="B26" s="54" t="s">
        <v>194</v>
      </c>
      <c r="C26" s="9"/>
      <c r="D26" s="33">
        <f>SUM(D19:D24)</f>
        <v>4245</v>
      </c>
      <c r="E26" s="44">
        <f>SUM(E19:E24)</f>
        <v>4245</v>
      </c>
      <c r="F26" s="658">
        <f>SUM(F19:F24)</f>
        <v>2649</v>
      </c>
      <c r="G26" s="683">
        <f>SUM(G19:G24)</f>
        <v>0</v>
      </c>
      <c r="H26" s="104">
        <f>SUM(H19:H24)</f>
        <v>0</v>
      </c>
      <c r="I26" s="18"/>
      <c r="J26" s="33">
        <f>SUM(J19:J24)</f>
        <v>50527.199999999997</v>
      </c>
      <c r="K26" s="44">
        <f>SUM(K20:K24)</f>
        <v>50527.199999999997</v>
      </c>
      <c r="L26" s="24">
        <f>SUM(L19:L25)</f>
        <v>0</v>
      </c>
      <c r="M26" s="105">
        <f>SUM(M19:M25)</f>
        <v>0</v>
      </c>
      <c r="N26" s="7"/>
      <c r="O26" s="33">
        <f>SUM(O20:O25)</f>
        <v>77647.199999999997</v>
      </c>
      <c r="P26" s="24">
        <f>SUM(P19:P24)</f>
        <v>77647.199999999997</v>
      </c>
      <c r="Q26" s="24">
        <f>SUM(Q19:Q24)</f>
        <v>0</v>
      </c>
      <c r="R26" s="105">
        <f>SUM(R19:R24)</f>
        <v>0</v>
      </c>
      <c r="S26" s="18"/>
      <c r="T26" s="33">
        <f>SUM(T19:T24)</f>
        <v>81247.199999999997</v>
      </c>
      <c r="U26" s="24">
        <f>SUM(U19:U24)</f>
        <v>81247.199999999997</v>
      </c>
      <c r="V26" s="24">
        <f>SUM(V20:V24)</f>
        <v>0</v>
      </c>
      <c r="W26" s="104">
        <f>SUM(W19:W24)</f>
        <v>0</v>
      </c>
      <c r="X26" s="18"/>
      <c r="Y26" s="33">
        <f>SUM(Y20:Y25)</f>
        <v>84847.2</v>
      </c>
      <c r="Z26" s="24">
        <f>SUM(Z20:Z24)</f>
        <v>84847.2</v>
      </c>
      <c r="AA26" s="24">
        <f>SUM(AA20:AA24)</f>
        <v>0</v>
      </c>
      <c r="AB26" s="104">
        <f>SUM(AB20:AB23)</f>
        <v>0</v>
      </c>
    </row>
    <row r="27" spans="2:36" x14ac:dyDescent="0.25">
      <c r="B27" s="268"/>
      <c r="C27" s="268"/>
      <c r="D27" s="269"/>
      <c r="E27" s="270"/>
      <c r="F27" s="659"/>
      <c r="G27" s="685"/>
      <c r="H27" s="272"/>
      <c r="I27" s="18"/>
      <c r="J27" s="269"/>
      <c r="K27" s="270"/>
      <c r="L27" s="271"/>
      <c r="M27" s="272"/>
      <c r="N27" s="18"/>
      <c r="O27" s="269"/>
      <c r="P27" s="271"/>
      <c r="Q27" s="271"/>
      <c r="R27" s="272"/>
      <c r="S27" s="18"/>
      <c r="T27" s="269"/>
      <c r="U27" s="271"/>
      <c r="V27" s="271"/>
      <c r="W27" s="272"/>
      <c r="X27" s="18"/>
      <c r="Y27" s="269"/>
      <c r="Z27" s="271"/>
      <c r="AA27" s="271"/>
      <c r="AB27" s="272"/>
      <c r="AC27" s="13"/>
      <c r="AD27" s="13"/>
      <c r="AE27" s="13"/>
      <c r="AF27" s="13"/>
      <c r="AG27" s="13"/>
      <c r="AH27" s="13"/>
      <c r="AI27" s="13"/>
      <c r="AJ27" s="13"/>
    </row>
    <row r="28" spans="2:36" x14ac:dyDescent="0.25">
      <c r="B28" s="113" t="s">
        <v>200</v>
      </c>
      <c r="D28" s="32">
        <f t="shared" ref="D28:D30" si="3">E28+H28</f>
        <v>0</v>
      </c>
      <c r="E28" s="43"/>
      <c r="F28" s="659"/>
      <c r="G28" s="684">
        <f>+'BM 2 Franchise'!F73</f>
        <v>0</v>
      </c>
      <c r="H28" s="103"/>
      <c r="I28" s="18"/>
      <c r="J28" s="269">
        <f>SUM(K28:M28)</f>
        <v>60000</v>
      </c>
      <c r="K28" s="270"/>
      <c r="L28" s="271">
        <f>+'BM 2 Franchise'!G73</f>
        <v>60000</v>
      </c>
      <c r="M28" s="272"/>
      <c r="N28" s="18"/>
      <c r="O28" s="269">
        <f>SUM(P28:R28)</f>
        <v>10000</v>
      </c>
      <c r="P28" s="271"/>
      <c r="Q28" s="271">
        <f>+'BM 2 Franchise'!H73</f>
        <v>10000</v>
      </c>
      <c r="R28" s="272"/>
      <c r="S28" s="18"/>
      <c r="T28" s="269">
        <f>SUM(U28:W28)</f>
        <v>0</v>
      </c>
      <c r="U28" s="271"/>
      <c r="V28" s="271">
        <f>+'BM 2 Franchise'!I73</f>
        <v>0</v>
      </c>
      <c r="W28" s="272"/>
      <c r="X28" s="18"/>
      <c r="Y28" s="269">
        <f>SUM(Z28:AB28)</f>
        <v>0</v>
      </c>
      <c r="Z28" s="271"/>
      <c r="AA28" s="271">
        <f>+'BM 2 Franchise'!J73</f>
        <v>0</v>
      </c>
      <c r="AB28" s="272"/>
      <c r="AC28" s="13"/>
      <c r="AD28" s="13"/>
      <c r="AE28" s="13"/>
      <c r="AF28" s="13"/>
      <c r="AG28" s="13"/>
      <c r="AH28" s="13"/>
      <c r="AI28" s="13"/>
      <c r="AJ28" s="13"/>
    </row>
    <row r="29" spans="2:36" x14ac:dyDescent="0.25">
      <c r="B29" s="13" t="s">
        <v>198</v>
      </c>
      <c r="D29" s="32">
        <f t="shared" si="3"/>
        <v>0</v>
      </c>
      <c r="E29" s="43"/>
      <c r="F29" s="659">
        <f>+'BM 3 Formation'!E52</f>
        <v>19100</v>
      </c>
      <c r="G29" s="684"/>
      <c r="H29" s="103"/>
      <c r="I29" s="18"/>
      <c r="J29" s="269">
        <f>SUM(K29:M29)</f>
        <v>19100</v>
      </c>
      <c r="K29" s="270">
        <f>+'BM 3 Formation'!E52</f>
        <v>19100</v>
      </c>
      <c r="L29" s="271" t="s">
        <v>41</v>
      </c>
      <c r="M29" s="272"/>
      <c r="N29" s="18"/>
      <c r="O29" s="269">
        <f>SUM(P29:R29)</f>
        <v>0</v>
      </c>
      <c r="P29" s="271"/>
      <c r="Q29" s="271">
        <f>+'BM 3 Formation'!F52</f>
        <v>0</v>
      </c>
      <c r="R29" s="272"/>
      <c r="S29" s="18"/>
      <c r="T29" s="269">
        <f>SUM(U29:W29)</f>
        <v>0</v>
      </c>
      <c r="U29" s="271"/>
      <c r="V29" s="271">
        <f>+'BM 3 Formation'!G52</f>
        <v>0</v>
      </c>
      <c r="W29" s="272"/>
      <c r="X29" s="18"/>
      <c r="Y29" s="269">
        <f>SUM(Z29:AB29)</f>
        <v>0</v>
      </c>
      <c r="Z29" s="271"/>
      <c r="AA29" s="271">
        <f>+'BM 3 Formation'!H52</f>
        <v>0</v>
      </c>
      <c r="AB29" s="272"/>
      <c r="AC29" s="13"/>
      <c r="AD29" s="13"/>
      <c r="AE29" s="13"/>
      <c r="AF29" s="13"/>
      <c r="AG29" s="13"/>
      <c r="AH29" s="13"/>
      <c r="AI29" s="13"/>
      <c r="AJ29" s="13"/>
    </row>
    <row r="30" spans="2:36" x14ac:dyDescent="0.25">
      <c r="B30" s="13" t="s">
        <v>254</v>
      </c>
      <c r="D30" s="32">
        <f t="shared" si="3"/>
        <v>0</v>
      </c>
      <c r="E30" s="43"/>
      <c r="F30" s="659"/>
      <c r="G30" s="684"/>
      <c r="H30" s="103">
        <f>MKT!C17</f>
        <v>0</v>
      </c>
      <c r="I30" s="18"/>
      <c r="J30" s="269">
        <f>SUM(K30:M30)</f>
        <v>24000</v>
      </c>
      <c r="K30" s="43"/>
      <c r="L30" s="23"/>
      <c r="M30" s="103">
        <f>+MKT!D14</f>
        <v>24000</v>
      </c>
      <c r="N30" s="6"/>
      <c r="O30" s="269">
        <f>SUM(P30:R30)</f>
        <v>24000</v>
      </c>
      <c r="P30" s="23"/>
      <c r="Q30" s="23"/>
      <c r="R30" s="103">
        <f>+MKT!E14</f>
        <v>24000</v>
      </c>
      <c r="S30" s="18"/>
      <c r="T30" s="269">
        <f>SUM(U30:W30)</f>
        <v>24000</v>
      </c>
      <c r="U30" s="23"/>
      <c r="V30" s="23"/>
      <c r="W30" s="103">
        <f>+MKT!F14</f>
        <v>24000</v>
      </c>
      <c r="X30" s="18"/>
      <c r="Y30" s="269">
        <f>SUM(Z30:AB30)</f>
        <v>24000</v>
      </c>
      <c r="Z30" s="23"/>
      <c r="AA30" s="23"/>
      <c r="AB30" s="103">
        <f>+MKT!G14</f>
        <v>24000</v>
      </c>
      <c r="AC30" s="13"/>
      <c r="AD30" s="13"/>
      <c r="AE30" s="13"/>
      <c r="AF30" s="13"/>
      <c r="AG30" s="13"/>
      <c r="AH30" s="13"/>
      <c r="AI30" s="13"/>
      <c r="AJ30" s="13"/>
    </row>
    <row r="31" spans="2:36" x14ac:dyDescent="0.25">
      <c r="D31" s="31"/>
      <c r="E31" s="42"/>
      <c r="F31" s="224"/>
      <c r="G31" s="435"/>
      <c r="H31" s="102"/>
      <c r="I31" s="13"/>
      <c r="J31" s="31"/>
      <c r="K31" s="42"/>
      <c r="L31" s="21"/>
      <c r="M31" s="102"/>
      <c r="O31" s="31"/>
      <c r="P31" s="21"/>
      <c r="Q31" s="21"/>
      <c r="R31" s="102"/>
      <c r="S31" s="13"/>
      <c r="T31" s="31"/>
      <c r="U31" s="21"/>
      <c r="V31" s="21"/>
      <c r="W31" s="102"/>
      <c r="X31" s="13"/>
      <c r="Y31" s="31"/>
      <c r="Z31" s="21"/>
      <c r="AA31" s="21"/>
      <c r="AB31" s="102"/>
    </row>
    <row r="32" spans="2:36" x14ac:dyDescent="0.25">
      <c r="B32" s="54" t="s">
        <v>4</v>
      </c>
      <c r="C32" s="9"/>
      <c r="D32" s="33">
        <f>SUM(D28:D31)</f>
        <v>0</v>
      </c>
      <c r="E32" s="44">
        <f>SUM(E28:E31)</f>
        <v>0</v>
      </c>
      <c r="F32" s="658">
        <f>SUM(F28:F31)</f>
        <v>19100</v>
      </c>
      <c r="G32" s="683">
        <f>SUM(G28:G31)</f>
        <v>0</v>
      </c>
      <c r="H32" s="104">
        <f>SUM(H28:H31)</f>
        <v>0</v>
      </c>
      <c r="I32" s="18"/>
      <c r="J32" s="33">
        <f>SUM(J28:J31)</f>
        <v>103100</v>
      </c>
      <c r="K32" s="44">
        <f>SUM(K28:K31)</f>
        <v>19100</v>
      </c>
      <c r="L32" s="24">
        <f>SUM(L28:L31)</f>
        <v>60000</v>
      </c>
      <c r="M32" s="104">
        <f>SUM(M28:M31)</f>
        <v>24000</v>
      </c>
      <c r="N32" s="7"/>
      <c r="O32" s="33">
        <f>SUM(O28:O31)</f>
        <v>34000</v>
      </c>
      <c r="P32" s="44">
        <f>SUM(P28:P31)</f>
        <v>0</v>
      </c>
      <c r="Q32" s="24">
        <f>SUM(Q28:Q31)</f>
        <v>10000</v>
      </c>
      <c r="R32" s="104">
        <f>SUM(R28:R31)</f>
        <v>24000</v>
      </c>
      <c r="S32" s="18"/>
      <c r="T32" s="33">
        <f>SUM(T28:T31)</f>
        <v>24000</v>
      </c>
      <c r="U32" s="44">
        <f>SUM(U28:U31)</f>
        <v>0</v>
      </c>
      <c r="V32" s="24">
        <f>SUM(V28:V31)</f>
        <v>0</v>
      </c>
      <c r="W32" s="104">
        <f>SUM(W28:W31)</f>
        <v>24000</v>
      </c>
      <c r="X32" s="18"/>
      <c r="Y32" s="33">
        <f>SUM(Y28:Y30)</f>
        <v>24000</v>
      </c>
      <c r="Z32" s="44">
        <f>SUM(Z28:Z31)</f>
        <v>0</v>
      </c>
      <c r="AA32" s="24">
        <f>SUM(AA28:AA31)</f>
        <v>0</v>
      </c>
      <c r="AB32" s="104">
        <f>SUM(AB28:AB31)</f>
        <v>24000</v>
      </c>
    </row>
    <row r="33" spans="2:28" x14ac:dyDescent="0.25">
      <c r="D33" s="31"/>
      <c r="E33" s="42"/>
      <c r="F33" s="224"/>
      <c r="G33" s="435"/>
      <c r="H33" s="102"/>
      <c r="I33" s="13"/>
      <c r="J33" s="31"/>
      <c r="K33" s="42"/>
      <c r="L33" s="21"/>
      <c r="M33" s="102"/>
      <c r="O33" s="31"/>
      <c r="P33" s="21"/>
      <c r="Q33" s="21"/>
      <c r="R33" s="102"/>
      <c r="S33" s="13"/>
      <c r="T33" s="31"/>
      <c r="U33" s="21"/>
      <c r="V33" s="21"/>
      <c r="W33" s="102"/>
      <c r="X33" s="13"/>
      <c r="Y33" s="31"/>
      <c r="Z33" s="21"/>
      <c r="AA33" s="21"/>
      <c r="AB33" s="102"/>
    </row>
    <row r="34" spans="2:28" x14ac:dyDescent="0.25">
      <c r="B34" t="s">
        <v>5</v>
      </c>
      <c r="D34" s="32">
        <f t="shared" ref="D34:D35" si="4">E34+H34</f>
        <v>3851</v>
      </c>
      <c r="E34" s="43">
        <v>3851</v>
      </c>
      <c r="F34" s="660">
        <f>+'CHARGES FIXES'!H28</f>
        <v>3333.3333333333335</v>
      </c>
      <c r="G34" s="434"/>
      <c r="H34" s="106"/>
      <c r="I34" s="14"/>
      <c r="J34" s="269">
        <f t="shared" ref="J34:J35" si="5">SUM(K34:M34)</f>
        <v>2500</v>
      </c>
      <c r="K34" s="46">
        <f>+'CHARGES FIXES'!R28</f>
        <v>2500</v>
      </c>
      <c r="L34" s="26"/>
      <c r="M34" s="106"/>
      <c r="N34" s="5"/>
      <c r="O34" s="269">
        <f t="shared" ref="O34:O35" si="6">SUM(P34:R34)</f>
        <v>2600</v>
      </c>
      <c r="P34" s="26">
        <f>+'CHARGES FIXES'!AA28</f>
        <v>2600</v>
      </c>
      <c r="Q34" s="26"/>
      <c r="R34" s="106"/>
      <c r="S34" s="14"/>
      <c r="T34" s="269">
        <f>SUM(U34:W34)</f>
        <v>2652</v>
      </c>
      <c r="U34" s="26">
        <f t="shared" ref="U34" si="7">+P34*1.02</f>
        <v>2652</v>
      </c>
      <c r="V34" s="26"/>
      <c r="W34" s="106"/>
      <c r="X34" s="14"/>
      <c r="Y34" s="35">
        <f>T34*1.02</f>
        <v>2705.04</v>
      </c>
      <c r="Z34" s="26">
        <f t="shared" ref="Z34" si="8">+U34*1.02</f>
        <v>2705.04</v>
      </c>
      <c r="AA34" s="26"/>
      <c r="AB34" s="106"/>
    </row>
    <row r="35" spans="2:28" x14ac:dyDescent="0.25">
      <c r="B35" t="s">
        <v>25</v>
      </c>
      <c r="D35" s="32">
        <f t="shared" si="4"/>
        <v>2817</v>
      </c>
      <c r="E35" s="43">
        <f>2674+143</f>
        <v>2817</v>
      </c>
      <c r="F35" s="660">
        <f>+'CHARGES FIXES'!H29</f>
        <v>12000</v>
      </c>
      <c r="G35" s="434"/>
      <c r="H35" s="106"/>
      <c r="I35" s="14"/>
      <c r="J35" s="269">
        <f t="shared" si="5"/>
        <v>9000</v>
      </c>
      <c r="K35" s="46">
        <f>+'CHARGES FIXES'!R29</f>
        <v>9000</v>
      </c>
      <c r="L35" s="26"/>
      <c r="M35" s="106"/>
      <c r="N35" s="5"/>
      <c r="O35" s="269">
        <f t="shared" si="6"/>
        <v>9000</v>
      </c>
      <c r="P35" s="26">
        <f>+'CHARGES FIXES'!AA29</f>
        <v>9000</v>
      </c>
      <c r="Q35" s="26"/>
      <c r="R35" s="106"/>
      <c r="S35" s="14"/>
      <c r="T35" s="35"/>
      <c r="U35" s="26"/>
      <c r="V35" s="26"/>
      <c r="W35" s="106"/>
      <c r="X35" s="14"/>
      <c r="Y35" s="35"/>
      <c r="Z35" s="26"/>
      <c r="AA35" s="26"/>
      <c r="AB35" s="106"/>
    </row>
    <row r="36" spans="2:28" x14ac:dyDescent="0.25">
      <c r="D36" s="35"/>
      <c r="E36" s="46"/>
      <c r="F36" s="660"/>
      <c r="G36" s="434"/>
      <c r="H36" s="106"/>
      <c r="I36" s="14"/>
      <c r="J36" s="35"/>
      <c r="K36" s="46"/>
      <c r="L36" s="26"/>
      <c r="M36" s="106"/>
      <c r="N36" s="5"/>
      <c r="O36" s="35"/>
      <c r="P36" s="26"/>
      <c r="Q36" s="26"/>
      <c r="R36" s="106"/>
      <c r="S36" s="14"/>
      <c r="T36" s="35"/>
      <c r="U36" s="26"/>
      <c r="V36" s="26"/>
      <c r="W36" s="106"/>
      <c r="X36" s="14"/>
      <c r="Y36" s="35"/>
      <c r="Z36" s="26"/>
      <c r="AA36" s="26"/>
      <c r="AB36" s="106"/>
    </row>
    <row r="37" spans="2:28" x14ac:dyDescent="0.25">
      <c r="B37" s="9" t="s">
        <v>14</v>
      </c>
      <c r="C37" s="9"/>
      <c r="D37" s="36">
        <f>SUM(D34:D36)</f>
        <v>6668</v>
      </c>
      <c r="E37" s="47">
        <f t="shared" ref="E37:H37" si="9">SUM(E34:E36)</f>
        <v>6668</v>
      </c>
      <c r="F37" s="660">
        <f t="shared" si="9"/>
        <v>15333.333333333334</v>
      </c>
      <c r="G37" s="686">
        <f t="shared" si="9"/>
        <v>0</v>
      </c>
      <c r="H37" s="107">
        <f t="shared" si="9"/>
        <v>0</v>
      </c>
      <c r="I37" s="14"/>
      <c r="J37" s="36">
        <f>SUM(J34:J36)</f>
        <v>11500</v>
      </c>
      <c r="K37" s="47">
        <f t="shared" ref="K37:M37" si="10">SUM(K34:K36)</f>
        <v>11500</v>
      </c>
      <c r="L37" s="27">
        <f t="shared" si="10"/>
        <v>0</v>
      </c>
      <c r="M37" s="107">
        <f t="shared" si="10"/>
        <v>0</v>
      </c>
      <c r="N37" s="8"/>
      <c r="O37" s="36">
        <f>SUM(O34:O36)</f>
        <v>11600</v>
      </c>
      <c r="P37" s="47">
        <f t="shared" ref="P37:R37" si="11">SUM(P34:P36)</f>
        <v>11600</v>
      </c>
      <c r="Q37" s="27">
        <f t="shared" si="11"/>
        <v>0</v>
      </c>
      <c r="R37" s="107">
        <f t="shared" si="11"/>
        <v>0</v>
      </c>
      <c r="S37" s="14"/>
      <c r="T37" s="36">
        <f>SUM(T34:T36)</f>
        <v>2652</v>
      </c>
      <c r="U37" s="47">
        <f t="shared" ref="U37:W37" si="12">SUM(U34:U36)</f>
        <v>2652</v>
      </c>
      <c r="V37" s="27">
        <f t="shared" si="12"/>
        <v>0</v>
      </c>
      <c r="W37" s="107">
        <f t="shared" si="12"/>
        <v>0</v>
      </c>
      <c r="X37" s="14"/>
      <c r="Y37" s="36">
        <f>SUM(Y34:Y36)</f>
        <v>2705.04</v>
      </c>
      <c r="Z37" s="47">
        <f t="shared" ref="Z37" si="13">SUM(Z34:Z36)</f>
        <v>2705.04</v>
      </c>
      <c r="AA37" s="27">
        <f t="shared" ref="AA37" si="14">SUM(AA34:AA36)</f>
        <v>0</v>
      </c>
      <c r="AB37" s="107">
        <f t="shared" ref="AB37" si="15">SUM(AB34:AB36)</f>
        <v>0</v>
      </c>
    </row>
    <row r="38" spans="2:28" x14ac:dyDescent="0.25">
      <c r="D38" s="31"/>
      <c r="E38" s="42"/>
      <c r="F38" s="224"/>
      <c r="G38" s="435"/>
      <c r="H38" s="102"/>
      <c r="I38" s="13"/>
      <c r="J38" s="31"/>
      <c r="K38" s="42"/>
      <c r="L38" s="21"/>
      <c r="M38" s="102"/>
      <c r="O38" s="31"/>
      <c r="P38" s="21"/>
      <c r="Q38" s="21"/>
      <c r="R38" s="102"/>
      <c r="S38" s="13"/>
      <c r="T38" s="31"/>
      <c r="U38" s="21"/>
      <c r="V38" s="21"/>
      <c r="W38" s="102"/>
      <c r="X38" s="13"/>
      <c r="Y38" s="31"/>
      <c r="Z38" s="21"/>
      <c r="AA38" s="21"/>
      <c r="AB38" s="102"/>
    </row>
    <row r="39" spans="2:28" x14ac:dyDescent="0.25">
      <c r="B39" t="s">
        <v>6</v>
      </c>
      <c r="D39" s="32">
        <f t="shared" ref="D39:D43" si="16">E39+H39</f>
        <v>81087</v>
      </c>
      <c r="E39" s="43">
        <f>68407+10430</f>
        <v>78837</v>
      </c>
      <c r="F39" s="660">
        <f>+'CHARGES FIXES'!H34</f>
        <v>93333.333333333328</v>
      </c>
      <c r="G39" s="434"/>
      <c r="H39" s="106">
        <v>2250</v>
      </c>
      <c r="I39" s="14"/>
      <c r="J39" s="269">
        <f t="shared" ref="J39:J43" si="17">SUM(K39:M39)</f>
        <v>72000</v>
      </c>
      <c r="K39" s="46">
        <f>+'CHARGES FIXES'!R34</f>
        <v>72000</v>
      </c>
      <c r="L39" s="26"/>
      <c r="M39" s="106"/>
      <c r="N39" s="5"/>
      <c r="O39" s="269">
        <f t="shared" ref="O39:O43" si="18">SUM(P39:R39)</f>
        <v>73000</v>
      </c>
      <c r="P39" s="26">
        <f>+'CHARGES FIXES'!AA34</f>
        <v>73000</v>
      </c>
      <c r="Q39" s="26"/>
      <c r="R39" s="106"/>
      <c r="S39" s="14"/>
      <c r="T39" s="269">
        <f t="shared" ref="T39:T43" si="19">SUM(U39:W39)</f>
        <v>74460</v>
      </c>
      <c r="U39" s="26">
        <f t="shared" ref="U39:U43" si="20">+P39*1.02</f>
        <v>74460</v>
      </c>
      <c r="V39" s="26"/>
      <c r="W39" s="106"/>
      <c r="X39" s="14"/>
      <c r="Y39" s="35">
        <f>T39*1.02</f>
        <v>75949.2</v>
      </c>
      <c r="Z39" s="26">
        <f t="shared" ref="Z39:Z43" si="21">+U39*1.02</f>
        <v>75949.2</v>
      </c>
      <c r="AA39" s="26"/>
      <c r="AB39" s="106"/>
    </row>
    <row r="40" spans="2:28" x14ac:dyDescent="0.25">
      <c r="B40" t="s">
        <v>451</v>
      </c>
      <c r="D40" s="32">
        <f t="shared" si="16"/>
        <v>25194.080000000002</v>
      </c>
      <c r="E40" s="43">
        <f>3600+7022+1453+60+1118+919+150+1122+39+144+673+969+231+1190+2195+1217+1000+217+1118+240+71+9</f>
        <v>24757</v>
      </c>
      <c r="F40" s="660">
        <f>+'CHARGES FIXES'!H36</f>
        <v>8000</v>
      </c>
      <c r="G40" s="434"/>
      <c r="H40" s="106">
        <f>197.08+240</f>
        <v>437.08000000000004</v>
      </c>
      <c r="I40" s="14"/>
      <c r="J40" s="269">
        <f t="shared" si="17"/>
        <v>6000</v>
      </c>
      <c r="K40" s="46">
        <f>+'CHARGES FIXES'!R36</f>
        <v>6000</v>
      </c>
      <c r="L40" s="26"/>
      <c r="M40" s="106"/>
      <c r="N40" s="5"/>
      <c r="O40" s="269">
        <f t="shared" si="18"/>
        <v>6100</v>
      </c>
      <c r="P40" s="26">
        <f>+'CHARGES FIXES'!AA36</f>
        <v>6100</v>
      </c>
      <c r="Q40" s="26"/>
      <c r="R40" s="106"/>
      <c r="S40" s="14"/>
      <c r="T40" s="269">
        <f t="shared" si="19"/>
        <v>6222</v>
      </c>
      <c r="U40" s="26">
        <f t="shared" si="20"/>
        <v>6222</v>
      </c>
      <c r="V40" s="26"/>
      <c r="W40" s="106"/>
      <c r="X40" s="14"/>
      <c r="Y40" s="35">
        <f>T40*1.02</f>
        <v>6346.4400000000005</v>
      </c>
      <c r="Z40" s="26">
        <f t="shared" si="21"/>
        <v>6346.4400000000005</v>
      </c>
      <c r="AA40" s="26"/>
      <c r="AB40" s="106"/>
    </row>
    <row r="41" spans="2:28" x14ac:dyDescent="0.25">
      <c r="B41" t="s">
        <v>7</v>
      </c>
      <c r="D41" s="32">
        <f t="shared" si="16"/>
        <v>2781</v>
      </c>
      <c r="E41" s="43">
        <v>1923</v>
      </c>
      <c r="F41" s="660">
        <f>+'CHARGES FIXES'!H32</f>
        <v>3200</v>
      </c>
      <c r="G41" s="434"/>
      <c r="H41" s="106">
        <v>858</v>
      </c>
      <c r="I41" s="14"/>
      <c r="J41" s="269">
        <f t="shared" si="17"/>
        <v>2400</v>
      </c>
      <c r="K41" s="46">
        <f>+'CHARGES FIXES'!R32</f>
        <v>2400</v>
      </c>
      <c r="L41" s="26"/>
      <c r="M41" s="106"/>
      <c r="N41" s="5"/>
      <c r="O41" s="269">
        <f t="shared" si="18"/>
        <v>2600</v>
      </c>
      <c r="P41" s="26">
        <f>+'CHARGES FIXES'!AA32</f>
        <v>2600</v>
      </c>
      <c r="Q41" s="26"/>
      <c r="R41" s="106"/>
      <c r="S41" s="14"/>
      <c r="T41" s="269">
        <f t="shared" si="19"/>
        <v>2652</v>
      </c>
      <c r="U41" s="26">
        <f t="shared" si="20"/>
        <v>2652</v>
      </c>
      <c r="V41" s="26"/>
      <c r="W41" s="106"/>
      <c r="X41" s="14"/>
      <c r="Y41" s="35">
        <f>T41*1.02</f>
        <v>2705.04</v>
      </c>
      <c r="Z41" s="26">
        <f t="shared" si="21"/>
        <v>2705.04</v>
      </c>
      <c r="AA41" s="26"/>
      <c r="AB41" s="106"/>
    </row>
    <row r="42" spans="2:28" x14ac:dyDescent="0.25">
      <c r="B42" t="s">
        <v>8</v>
      </c>
      <c r="D42" s="32">
        <f t="shared" si="16"/>
        <v>19908</v>
      </c>
      <c r="E42" s="43">
        <v>11408</v>
      </c>
      <c r="F42" s="660">
        <f>+'CHARGES FIXES'!H33</f>
        <v>24000</v>
      </c>
      <c r="G42" s="434"/>
      <c r="H42" s="106">
        <v>8500</v>
      </c>
      <c r="I42" s="14"/>
      <c r="J42" s="269">
        <f t="shared" si="17"/>
        <v>24000</v>
      </c>
      <c r="K42" s="46">
        <f>+'CHARGES FIXES'!R33</f>
        <v>24000</v>
      </c>
      <c r="L42" s="26"/>
      <c r="M42" s="106"/>
      <c r="N42" s="5"/>
      <c r="O42" s="269">
        <f t="shared" si="18"/>
        <v>24000</v>
      </c>
      <c r="P42" s="26">
        <f>+'CHARGES FIXES'!AA33</f>
        <v>24000</v>
      </c>
      <c r="Q42" s="26"/>
      <c r="R42" s="106"/>
      <c r="S42" s="14"/>
      <c r="T42" s="269">
        <f t="shared" si="19"/>
        <v>24480</v>
      </c>
      <c r="U42" s="26">
        <f t="shared" si="20"/>
        <v>24480</v>
      </c>
      <c r="V42" s="26"/>
      <c r="W42" s="106"/>
      <c r="X42" s="14"/>
      <c r="Y42" s="35">
        <f>T42*1.02</f>
        <v>24969.600000000002</v>
      </c>
      <c r="Z42" s="26">
        <f t="shared" si="21"/>
        <v>24969.600000000002</v>
      </c>
      <c r="AA42" s="26"/>
      <c r="AB42" s="106"/>
    </row>
    <row r="43" spans="2:28" x14ac:dyDescent="0.25">
      <c r="B43" t="s">
        <v>9</v>
      </c>
      <c r="D43" s="32">
        <f t="shared" si="16"/>
        <v>3984</v>
      </c>
      <c r="E43" s="43">
        <f>23+643+2708+610</f>
        <v>3984</v>
      </c>
      <c r="F43" s="660">
        <f>+'CHARGES FIXES'!H35</f>
        <v>4800</v>
      </c>
      <c r="G43" s="434"/>
      <c r="H43" s="106"/>
      <c r="I43" s="14"/>
      <c r="J43" s="269">
        <f t="shared" si="17"/>
        <v>3600</v>
      </c>
      <c r="K43" s="46">
        <f>+'CHARGES FIXES'!R35</f>
        <v>3600</v>
      </c>
      <c r="L43" s="26"/>
      <c r="M43" s="106"/>
      <c r="N43" s="5"/>
      <c r="O43" s="269">
        <f t="shared" si="18"/>
        <v>3600</v>
      </c>
      <c r="P43" s="26">
        <f>+'CHARGES FIXES'!AA35</f>
        <v>3600</v>
      </c>
      <c r="Q43" s="26"/>
      <c r="R43" s="106"/>
      <c r="S43" s="14"/>
      <c r="T43" s="269">
        <f t="shared" si="19"/>
        <v>3672</v>
      </c>
      <c r="U43" s="26">
        <f t="shared" si="20"/>
        <v>3672</v>
      </c>
      <c r="V43" s="26"/>
      <c r="W43" s="106"/>
      <c r="X43" s="14"/>
      <c r="Y43" s="35">
        <f>T43*1.02</f>
        <v>3745.44</v>
      </c>
      <c r="Z43" s="26">
        <f t="shared" si="21"/>
        <v>3745.44</v>
      </c>
      <c r="AA43" s="26"/>
      <c r="AB43" s="106"/>
    </row>
    <row r="44" spans="2:28" x14ac:dyDescent="0.25">
      <c r="D44" s="35"/>
      <c r="E44" s="46"/>
      <c r="F44" s="660"/>
      <c r="G44" s="434"/>
      <c r="H44" s="106"/>
      <c r="I44" s="14"/>
      <c r="J44" s="35"/>
      <c r="K44" s="46"/>
      <c r="L44" s="26"/>
      <c r="M44" s="106"/>
      <c r="N44" s="14"/>
      <c r="O44" s="35"/>
      <c r="P44" s="26"/>
      <c r="Q44" s="26"/>
      <c r="R44" s="106"/>
      <c r="S44" s="14"/>
      <c r="T44" s="35"/>
      <c r="U44" s="26"/>
      <c r="V44" s="26"/>
      <c r="W44" s="106"/>
      <c r="X44" s="14"/>
      <c r="Y44" s="35"/>
      <c r="Z44" s="26"/>
      <c r="AA44" s="26"/>
      <c r="AB44" s="106"/>
    </row>
    <row r="45" spans="2:28" x14ac:dyDescent="0.25">
      <c r="B45" s="9" t="s">
        <v>10</v>
      </c>
      <c r="C45" s="9"/>
      <c r="D45" s="36">
        <f>SUM(D39:D44)</f>
        <v>132954.08000000002</v>
      </c>
      <c r="E45" s="47">
        <f t="shared" ref="E45:H45" si="22">SUM(E39:E44)</f>
        <v>120909</v>
      </c>
      <c r="F45" s="660">
        <f t="shared" si="22"/>
        <v>133333.33333333331</v>
      </c>
      <c r="G45" s="686">
        <f t="shared" si="22"/>
        <v>0</v>
      </c>
      <c r="H45" s="107">
        <f t="shared" si="22"/>
        <v>12045.08</v>
      </c>
      <c r="I45" s="14"/>
      <c r="J45" s="36">
        <f>SUM(J39:J44)</f>
        <v>108000</v>
      </c>
      <c r="K45" s="47">
        <f t="shared" ref="K45:M45" si="23">SUM(K39:K44)</f>
        <v>108000</v>
      </c>
      <c r="L45" s="27">
        <f t="shared" si="23"/>
        <v>0</v>
      </c>
      <c r="M45" s="107">
        <f t="shared" si="23"/>
        <v>0</v>
      </c>
      <c r="N45" s="14"/>
      <c r="O45" s="36">
        <f>SUM(O39:O44)</f>
        <v>109300</v>
      </c>
      <c r="P45" s="47">
        <f t="shared" ref="P45:R45" si="24">SUM(P39:P44)</f>
        <v>109300</v>
      </c>
      <c r="Q45" s="27">
        <f t="shared" si="24"/>
        <v>0</v>
      </c>
      <c r="R45" s="107">
        <f t="shared" si="24"/>
        <v>0</v>
      </c>
      <c r="S45" s="14"/>
      <c r="T45" s="36">
        <f>SUM(T39:T44)</f>
        <v>111486</v>
      </c>
      <c r="U45" s="47">
        <f t="shared" ref="U45:W45" si="25">SUM(U39:U44)</f>
        <v>111486</v>
      </c>
      <c r="V45" s="27">
        <f t="shared" si="25"/>
        <v>0</v>
      </c>
      <c r="W45" s="107">
        <f t="shared" si="25"/>
        <v>0</v>
      </c>
      <c r="X45" s="14"/>
      <c r="Y45" s="36">
        <f>SUM(Y39:Y44)</f>
        <v>113715.72</v>
      </c>
      <c r="Z45" s="47">
        <f t="shared" ref="Z45" si="26">SUM(Z39:Z44)</f>
        <v>113715.72</v>
      </c>
      <c r="AA45" s="27">
        <f t="shared" ref="AA45" si="27">SUM(AA39:AA44)</f>
        <v>0</v>
      </c>
      <c r="AB45" s="107">
        <f t="shared" ref="AB45" si="28">SUM(AB39:AB44)</f>
        <v>0</v>
      </c>
    </row>
    <row r="46" spans="2:28" x14ac:dyDescent="0.25">
      <c r="D46" s="31"/>
      <c r="E46" s="42"/>
      <c r="F46" s="224"/>
      <c r="G46" s="435"/>
      <c r="H46" s="102"/>
      <c r="I46" s="13"/>
      <c r="J46" s="31"/>
      <c r="K46" s="42"/>
      <c r="L46" s="21"/>
      <c r="M46" s="102"/>
      <c r="N46" s="13"/>
      <c r="O46" s="31"/>
      <c r="P46" s="21"/>
      <c r="Q46" s="21"/>
      <c r="R46" s="102"/>
      <c r="S46" s="13"/>
      <c r="T46" s="31"/>
      <c r="U46" s="21"/>
      <c r="V46" s="21"/>
      <c r="W46" s="102"/>
      <c r="X46" s="13"/>
      <c r="Y46" s="31"/>
      <c r="Z46" s="21"/>
      <c r="AA46" s="21"/>
      <c r="AB46" s="102"/>
    </row>
    <row r="47" spans="2:28" x14ac:dyDescent="0.25">
      <c r="B47" t="s">
        <v>24</v>
      </c>
      <c r="D47" s="32">
        <f t="shared" ref="D47:D48" si="29">E47+H47</f>
        <v>0</v>
      </c>
      <c r="E47" s="43"/>
      <c r="F47" s="660"/>
      <c r="G47" s="434"/>
      <c r="H47" s="106">
        <f>'CHARGES FIXES'!H12</f>
        <v>0</v>
      </c>
      <c r="I47" s="14"/>
      <c r="J47" s="269">
        <f t="shared" ref="J47:J48" si="30">SUM(K47:M47)</f>
        <v>148900</v>
      </c>
      <c r="K47" s="46">
        <f>+'CHARGES FIXES'!R12</f>
        <v>22500</v>
      </c>
      <c r="L47" s="26">
        <f>+'CHARGES FIXES'!R13+'CHARGES FIXES'!R14+'CHARGES FIXES'!R15+'CHARGES FIXES'!R16</f>
        <v>80800</v>
      </c>
      <c r="M47" s="106">
        <f>+'CHARGES FIXES'!R11</f>
        <v>45600</v>
      </c>
      <c r="N47" s="14"/>
      <c r="O47" s="269">
        <f t="shared" ref="O47:O48" si="31">SUM(P47:R47)</f>
        <v>174000</v>
      </c>
      <c r="P47" s="26">
        <f>+'CHARGES FIXES'!AA12</f>
        <v>30000</v>
      </c>
      <c r="Q47" s="26">
        <f>+'CHARGES FIXES'!AA13+'CHARGES FIXES'!AA14+'CHARGES FIXES'!AA15+'CHARGES FIXES'!AA16</f>
        <v>98400</v>
      </c>
      <c r="R47" s="106">
        <f>+'CHARGES FIXES'!AA11</f>
        <v>45600</v>
      </c>
      <c r="S47" s="14"/>
      <c r="T47" s="269">
        <f t="shared" ref="T47:T48" si="32">SUM(U47:W47)</f>
        <v>177480</v>
      </c>
      <c r="U47" s="26">
        <f>+P47*1.02</f>
        <v>30600</v>
      </c>
      <c r="V47" s="26">
        <f t="shared" ref="V47:W47" si="33">+Q47*1.02</f>
        <v>100368</v>
      </c>
      <c r="W47" s="106">
        <f t="shared" si="33"/>
        <v>46512</v>
      </c>
      <c r="X47" s="14"/>
      <c r="Y47" s="35">
        <f>T47*1.02</f>
        <v>181029.6</v>
      </c>
      <c r="Z47" s="26">
        <f>+U47*1.02</f>
        <v>31212</v>
      </c>
      <c r="AA47" s="26">
        <f t="shared" ref="AA47:AA48" si="34">+V47*1.02</f>
        <v>102375.36</v>
      </c>
      <c r="AB47" s="106">
        <f t="shared" ref="AB47:AB48" si="35">+W47*1.02</f>
        <v>47442.239999999998</v>
      </c>
    </row>
    <row r="48" spans="2:28" x14ac:dyDescent="0.25">
      <c r="B48" t="s">
        <v>11</v>
      </c>
      <c r="D48" s="32">
        <f t="shared" si="29"/>
        <v>0</v>
      </c>
      <c r="E48" s="43"/>
      <c r="F48" s="660"/>
      <c r="G48" s="434"/>
      <c r="H48" s="106">
        <f>+'CHARGES FIXES'!H20</f>
        <v>0</v>
      </c>
      <c r="I48" s="14"/>
      <c r="J48" s="269">
        <f t="shared" si="30"/>
        <v>59290</v>
      </c>
      <c r="K48" s="46">
        <f>+'CHARGES FIXES'!R21</f>
        <v>9000</v>
      </c>
      <c r="L48" s="26">
        <f>+'CHARGES FIXES'!R22+'CHARGES FIXES'!R23+'CHARGES FIXES'!R24+'CHARGES FIXES'!R25</f>
        <v>32050</v>
      </c>
      <c r="M48" s="106">
        <f>+'CHARGES FIXES'!R20</f>
        <v>18240</v>
      </c>
      <c r="N48" s="14"/>
      <c r="O48" s="269">
        <f t="shared" si="31"/>
        <v>69600</v>
      </c>
      <c r="P48" s="26">
        <f>+'CHARGES FIXES'!AA21</f>
        <v>12000</v>
      </c>
      <c r="Q48" s="26">
        <f>+'CHARGES FIXES'!AA22+'CHARGES FIXES'!AA23+'CHARGES FIXES'!AA24+'CHARGES FIXES'!AA25</f>
        <v>39360</v>
      </c>
      <c r="R48" s="106">
        <f>+'CHARGES FIXES'!AA20</f>
        <v>18240</v>
      </c>
      <c r="S48" s="14"/>
      <c r="T48" s="269">
        <f t="shared" si="32"/>
        <v>70992</v>
      </c>
      <c r="U48" s="26">
        <f>+P48*1.02</f>
        <v>12240</v>
      </c>
      <c r="V48" s="26">
        <f t="shared" ref="V48" si="36">+Q48*1.02</f>
        <v>40147.199999999997</v>
      </c>
      <c r="W48" s="106">
        <f t="shared" ref="W48" si="37">+R48*1.02</f>
        <v>18604.8</v>
      </c>
      <c r="X48" s="14"/>
      <c r="Y48" s="35">
        <f>T48*1.02</f>
        <v>72411.839999999997</v>
      </c>
      <c r="Z48" s="26">
        <f>+U48*1.02</f>
        <v>12484.800000000001</v>
      </c>
      <c r="AA48" s="26">
        <f t="shared" si="34"/>
        <v>40950.144</v>
      </c>
      <c r="AB48" s="106">
        <f t="shared" si="35"/>
        <v>18976.896000000001</v>
      </c>
    </row>
    <row r="49" spans="2:34" x14ac:dyDescent="0.25">
      <c r="D49" s="35"/>
      <c r="E49" s="46"/>
      <c r="F49" s="660"/>
      <c r="G49" s="434"/>
      <c r="H49" s="106"/>
      <c r="I49" s="14"/>
      <c r="J49" s="35"/>
      <c r="K49" s="46"/>
      <c r="L49" s="26"/>
      <c r="M49" s="106"/>
      <c r="N49" s="14"/>
      <c r="O49" s="35"/>
      <c r="P49" s="26"/>
      <c r="Q49" s="26"/>
      <c r="R49" s="106"/>
      <c r="S49" s="14"/>
      <c r="T49" s="35"/>
      <c r="U49" s="26"/>
      <c r="V49" s="26"/>
      <c r="W49" s="106"/>
      <c r="X49" s="14"/>
      <c r="Y49" s="35"/>
      <c r="Z49" s="26"/>
      <c r="AA49" s="26"/>
      <c r="AB49" s="106"/>
    </row>
    <row r="50" spans="2:34" x14ac:dyDescent="0.25">
      <c r="B50" s="9" t="s">
        <v>12</v>
      </c>
      <c r="C50" s="9"/>
      <c r="D50" s="36">
        <f>SUM(D47:D49)</f>
        <v>0</v>
      </c>
      <c r="E50" s="47">
        <f t="shared" ref="E50:H50" si="38">SUM(E47:E49)</f>
        <v>0</v>
      </c>
      <c r="F50" s="660">
        <f t="shared" si="38"/>
        <v>0</v>
      </c>
      <c r="G50" s="686">
        <f t="shared" si="38"/>
        <v>0</v>
      </c>
      <c r="H50" s="107">
        <f t="shared" si="38"/>
        <v>0</v>
      </c>
      <c r="I50" s="14"/>
      <c r="J50" s="36">
        <f>SUM(J47:J49)</f>
        <v>208190</v>
      </c>
      <c r="K50" s="47">
        <f t="shared" ref="K50:M50" si="39">SUM(K47:K49)</f>
        <v>31500</v>
      </c>
      <c r="L50" s="27">
        <f t="shared" si="39"/>
        <v>112850</v>
      </c>
      <c r="M50" s="107">
        <f t="shared" si="39"/>
        <v>63840</v>
      </c>
      <c r="N50" s="14"/>
      <c r="O50" s="36">
        <f>SUM(O47:O49)</f>
        <v>243600</v>
      </c>
      <c r="P50" s="47">
        <f t="shared" ref="P50:R50" si="40">SUM(P47:P49)</f>
        <v>42000</v>
      </c>
      <c r="Q50" s="27">
        <f t="shared" si="40"/>
        <v>137760</v>
      </c>
      <c r="R50" s="107">
        <f t="shared" si="40"/>
        <v>63840</v>
      </c>
      <c r="S50" s="14"/>
      <c r="T50" s="36">
        <f>SUM(T47:T49)</f>
        <v>248472</v>
      </c>
      <c r="U50" s="47">
        <f t="shared" ref="U50:W50" si="41">SUM(U47:U49)</f>
        <v>42840</v>
      </c>
      <c r="V50" s="27">
        <f t="shared" si="41"/>
        <v>140515.20000000001</v>
      </c>
      <c r="W50" s="107">
        <f t="shared" si="41"/>
        <v>65116.800000000003</v>
      </c>
      <c r="X50" s="14"/>
      <c r="Y50" s="36">
        <f>SUM(Y47:Y49)</f>
        <v>253441.44</v>
      </c>
      <c r="Z50" s="47">
        <f t="shared" ref="Z50" si="42">SUM(Z47:Z49)</f>
        <v>43696.800000000003</v>
      </c>
      <c r="AA50" s="27">
        <f t="shared" ref="AA50" si="43">SUM(AA47:AA49)</f>
        <v>143325.50400000002</v>
      </c>
      <c r="AB50" s="107">
        <f t="shared" ref="AB50" si="44">SUM(AB47:AB49)</f>
        <v>66419.135999999999</v>
      </c>
    </row>
    <row r="51" spans="2:34" x14ac:dyDescent="0.25">
      <c r="D51" s="31"/>
      <c r="E51" s="42"/>
      <c r="F51" s="224"/>
      <c r="G51" s="435"/>
      <c r="H51" s="102"/>
      <c r="I51" s="13"/>
      <c r="J51" s="31"/>
      <c r="K51" s="42"/>
      <c r="L51" s="21"/>
      <c r="M51" s="102"/>
      <c r="N51" s="13"/>
      <c r="O51" s="31"/>
      <c r="P51" s="21"/>
      <c r="Q51" s="21"/>
      <c r="R51" s="102"/>
      <c r="S51" s="13"/>
      <c r="T51" s="31"/>
      <c r="U51" s="21"/>
      <c r="V51" s="21"/>
      <c r="W51" s="102"/>
      <c r="X51" s="13"/>
      <c r="Y51" s="31"/>
      <c r="Z51" s="21"/>
      <c r="AA51" s="21"/>
      <c r="AB51" s="102"/>
    </row>
    <row r="52" spans="2:34" x14ac:dyDescent="0.25">
      <c r="B52" t="s">
        <v>450</v>
      </c>
      <c r="D52" s="32">
        <f t="shared" ref="D52" si="45">E52+H52</f>
        <v>11335</v>
      </c>
      <c r="E52" s="43">
        <v>11335</v>
      </c>
      <c r="F52" s="660">
        <f>+'CHARGES FIXES'!H39</f>
        <v>2000</v>
      </c>
      <c r="G52" s="434"/>
      <c r="H52" s="106"/>
      <c r="I52" s="14"/>
      <c r="J52" s="269">
        <f t="shared" ref="J52" si="46">SUM(K52:M52)</f>
        <v>3000</v>
      </c>
      <c r="K52" s="46">
        <f>+'CHARGES FIXES'!R39</f>
        <v>3000</v>
      </c>
      <c r="L52" s="26"/>
      <c r="M52" s="106"/>
      <c r="N52" s="14"/>
      <c r="O52" s="269">
        <f>SUM(P52:R52)</f>
        <v>4500</v>
      </c>
      <c r="P52" s="26">
        <f>+'CHARGES FIXES'!AA39</f>
        <v>4500</v>
      </c>
      <c r="Q52" s="26"/>
      <c r="R52" s="106"/>
      <c r="S52" s="14"/>
      <c r="T52" s="269">
        <f>SUM(U52:W52)</f>
        <v>4590</v>
      </c>
      <c r="U52" s="26">
        <f>+P52*1.02</f>
        <v>4590</v>
      </c>
      <c r="V52" s="26"/>
      <c r="W52" s="106"/>
      <c r="X52" s="14"/>
      <c r="Y52" s="35">
        <f>T52*1.02</f>
        <v>4681.8</v>
      </c>
      <c r="Z52" s="26">
        <f>+U52*1.02</f>
        <v>4681.8</v>
      </c>
      <c r="AA52" s="26"/>
      <c r="AB52" s="106"/>
    </row>
    <row r="53" spans="2:34" x14ac:dyDescent="0.25">
      <c r="D53" s="31"/>
      <c r="E53" s="42"/>
      <c r="F53" s="224"/>
      <c r="G53" s="435"/>
      <c r="H53" s="102"/>
      <c r="I53" s="13"/>
      <c r="J53" s="31"/>
      <c r="K53" s="42"/>
      <c r="L53" s="21"/>
      <c r="M53" s="102"/>
      <c r="N53" s="13"/>
      <c r="O53" s="31"/>
      <c r="P53" s="21"/>
      <c r="Q53" s="21"/>
      <c r="R53" s="102"/>
      <c r="S53" s="13"/>
      <c r="T53" s="31"/>
      <c r="U53" s="21"/>
      <c r="V53" s="21"/>
      <c r="W53" s="102"/>
      <c r="X53" s="13"/>
      <c r="Y53" s="31"/>
      <c r="Z53" s="21"/>
      <c r="AA53" s="21"/>
      <c r="AB53" s="102"/>
    </row>
    <row r="54" spans="2:34" x14ac:dyDescent="0.25">
      <c r="B54" s="9" t="s">
        <v>13</v>
      </c>
      <c r="C54" s="9"/>
      <c r="D54" s="34">
        <f>SUM(D52:D53)</f>
        <v>11335</v>
      </c>
      <c r="E54" s="45">
        <f>SUM(E52:E53)</f>
        <v>11335</v>
      </c>
      <c r="F54" s="659">
        <f>SUM(F52:F53)</f>
        <v>2000</v>
      </c>
      <c r="G54" s="687">
        <f>SUM(G52:G53)</f>
        <v>0</v>
      </c>
      <c r="H54" s="105">
        <f>SUM(H52:H53)</f>
        <v>0</v>
      </c>
      <c r="I54" s="18"/>
      <c r="J54" s="34">
        <f>SUM(J52:J53)</f>
        <v>3000</v>
      </c>
      <c r="K54" s="45">
        <f t="shared" ref="K54:M54" si="47">SUM(K52:K53)</f>
        <v>3000</v>
      </c>
      <c r="L54" s="25">
        <f t="shared" si="47"/>
        <v>0</v>
      </c>
      <c r="M54" s="105">
        <f t="shared" si="47"/>
        <v>0</v>
      </c>
      <c r="N54" s="18"/>
      <c r="O54" s="34">
        <f>SUM(O52:O53)</f>
        <v>4500</v>
      </c>
      <c r="P54" s="45">
        <f t="shared" ref="P54:R54" si="48">SUM(P52:P53)</f>
        <v>4500</v>
      </c>
      <c r="Q54" s="25">
        <f t="shared" si="48"/>
        <v>0</v>
      </c>
      <c r="R54" s="105">
        <f t="shared" si="48"/>
        <v>0</v>
      </c>
      <c r="S54" s="18"/>
      <c r="T54" s="34">
        <f>SUM(T52:T53)</f>
        <v>4590</v>
      </c>
      <c r="U54" s="45">
        <f t="shared" ref="U54:W54" si="49">SUM(U52:U53)</f>
        <v>4590</v>
      </c>
      <c r="V54" s="25">
        <f t="shared" si="49"/>
        <v>0</v>
      </c>
      <c r="W54" s="105">
        <f t="shared" si="49"/>
        <v>0</v>
      </c>
      <c r="X54" s="18"/>
      <c r="Y54" s="34">
        <f>SUM(Y52:Y53)</f>
        <v>4681.8</v>
      </c>
      <c r="Z54" s="45">
        <f t="shared" ref="Z54" si="50">SUM(Z52:Z53)</f>
        <v>4681.8</v>
      </c>
      <c r="AA54" s="25">
        <f t="shared" ref="AA54" si="51">SUM(AA52:AA53)</f>
        <v>0</v>
      </c>
      <c r="AB54" s="105">
        <f t="shared" ref="AB54" si="52">SUM(AB52:AB53)</f>
        <v>0</v>
      </c>
    </row>
    <row r="55" spans="2:34" x14ac:dyDescent="0.25">
      <c r="D55" s="31"/>
      <c r="E55" s="42"/>
      <c r="F55" s="224"/>
      <c r="G55" s="435"/>
      <c r="H55" s="102"/>
      <c r="I55" s="13"/>
      <c r="J55" s="31"/>
      <c r="K55" s="42"/>
      <c r="L55" s="21"/>
      <c r="M55" s="102"/>
      <c r="N55" s="13"/>
      <c r="O55" s="31"/>
      <c r="P55" s="21"/>
      <c r="Q55" s="21"/>
      <c r="R55" s="102"/>
      <c r="S55" s="13"/>
      <c r="T55" s="31"/>
      <c r="U55" s="21"/>
      <c r="V55" s="21"/>
      <c r="W55" s="102"/>
      <c r="X55" s="13"/>
      <c r="Y55" s="31"/>
      <c r="Z55" s="21"/>
      <c r="AA55" s="21"/>
      <c r="AB55" s="102"/>
    </row>
    <row r="56" spans="2:34" x14ac:dyDescent="0.25">
      <c r="B56" t="s">
        <v>15</v>
      </c>
      <c r="D56" s="32">
        <f t="shared" ref="D56:D57" si="53">E56+H56</f>
        <v>3877</v>
      </c>
      <c r="E56" s="43">
        <v>3877</v>
      </c>
      <c r="F56" s="660">
        <f>+'CHARGES FIXES'!H42</f>
        <v>3414</v>
      </c>
      <c r="G56" s="434"/>
      <c r="H56" s="106"/>
      <c r="I56" s="14"/>
      <c r="J56" s="269">
        <f t="shared" ref="J56:J57" si="54">SUM(K56:M56)</f>
        <v>1728.6599999999999</v>
      </c>
      <c r="K56" s="46">
        <f>+'CHARGES FIXES'!R42</f>
        <v>1728.6599999999999</v>
      </c>
      <c r="L56" s="26"/>
      <c r="M56" s="106"/>
      <c r="N56" s="14"/>
      <c r="O56" s="269">
        <f t="shared" ref="O56:O57" si="55">SUM(P56:R56)</f>
        <v>1102.45</v>
      </c>
      <c r="P56" s="26">
        <f>+'CHARGES FIXES'!AA42</f>
        <v>1102.45</v>
      </c>
      <c r="Q56" s="26"/>
      <c r="R56" s="106"/>
      <c r="S56" s="14"/>
      <c r="T56" s="269">
        <f t="shared" ref="T56:T57" si="56">SUM(U56:W56)</f>
        <v>697.62999999999988</v>
      </c>
      <c r="U56" s="26">
        <f>+'Tréso &amp; Emprunts'!U17</f>
        <v>697.62999999999988</v>
      </c>
      <c r="V56" s="26"/>
      <c r="W56" s="106"/>
      <c r="X56" s="14"/>
      <c r="Y56" s="269">
        <f t="shared" ref="Y56:Y57" si="57">SUM(Z56:AB56)</f>
        <v>322.53000000000003</v>
      </c>
      <c r="Z56" s="26">
        <f>+'Tréso &amp; Emprunts'!V17</f>
        <v>322.53000000000003</v>
      </c>
      <c r="AA56" s="26"/>
      <c r="AB56" s="106"/>
    </row>
    <row r="57" spans="2:34" x14ac:dyDescent="0.25">
      <c r="B57" t="s">
        <v>16</v>
      </c>
      <c r="D57" s="32">
        <f t="shared" si="53"/>
        <v>19268</v>
      </c>
      <c r="E57" s="43">
        <v>19268</v>
      </c>
      <c r="F57" s="660">
        <f>+'CHARGES FIXES'!H43</f>
        <v>21333.333333333332</v>
      </c>
      <c r="G57" s="434"/>
      <c r="H57" s="106"/>
      <c r="I57" s="14"/>
      <c r="J57" s="269">
        <f t="shared" si="54"/>
        <v>16000</v>
      </c>
      <c r="K57" s="46">
        <f>+'CHARGES FIXES'!R43</f>
        <v>16000</v>
      </c>
      <c r="L57" s="26"/>
      <c r="M57" s="106"/>
      <c r="N57" s="14"/>
      <c r="O57" s="269">
        <f t="shared" si="55"/>
        <v>14000</v>
      </c>
      <c r="P57" s="26">
        <f>+'CHARGES FIXES'!AA43</f>
        <v>14000</v>
      </c>
      <c r="Q57" s="26"/>
      <c r="R57" s="106"/>
      <c r="S57" s="14"/>
      <c r="T57" s="269">
        <f t="shared" si="56"/>
        <v>12000</v>
      </c>
      <c r="U57" s="26">
        <v>12000</v>
      </c>
      <c r="V57" s="26"/>
      <c r="W57" s="106"/>
      <c r="X57" s="14"/>
      <c r="Y57" s="269">
        <f t="shared" si="57"/>
        <v>10000</v>
      </c>
      <c r="Z57" s="26">
        <v>10000</v>
      </c>
      <c r="AA57" s="26"/>
      <c r="AB57" s="106"/>
    </row>
    <row r="58" spans="2:34" x14ac:dyDescent="0.25">
      <c r="D58" s="31"/>
      <c r="E58" s="43"/>
      <c r="F58" s="224"/>
      <c r="G58" s="435"/>
      <c r="H58" s="102"/>
      <c r="I58" s="13"/>
      <c r="J58" s="31"/>
      <c r="K58" s="42"/>
      <c r="L58" s="21"/>
      <c r="M58" s="102"/>
      <c r="N58" s="13"/>
      <c r="O58" s="31"/>
      <c r="P58" s="21"/>
      <c r="Q58" s="21"/>
      <c r="R58" s="102"/>
      <c r="S58" s="13"/>
      <c r="T58" s="31"/>
      <c r="U58" s="21"/>
      <c r="V58" s="21"/>
      <c r="W58" s="102"/>
      <c r="X58" s="13"/>
      <c r="Y58" s="31"/>
      <c r="Z58" s="21"/>
      <c r="AA58" s="21"/>
      <c r="AB58" s="102"/>
    </row>
    <row r="59" spans="2:34" x14ac:dyDescent="0.25">
      <c r="B59" s="9" t="s">
        <v>17</v>
      </c>
      <c r="C59" s="9"/>
      <c r="D59" s="34">
        <f>SUM(D56:D58)</f>
        <v>23145</v>
      </c>
      <c r="E59" s="45">
        <f t="shared" ref="E59:H59" si="58">SUM(E56:E58)</f>
        <v>23145</v>
      </c>
      <c r="F59" s="659">
        <f t="shared" si="58"/>
        <v>24747.333333333332</v>
      </c>
      <c r="G59" s="687">
        <f t="shared" si="58"/>
        <v>0</v>
      </c>
      <c r="H59" s="105">
        <f t="shared" si="58"/>
        <v>0</v>
      </c>
      <c r="I59" s="18"/>
      <c r="J59" s="34">
        <f>SUM(J56:J58)</f>
        <v>17728.66</v>
      </c>
      <c r="K59" s="45">
        <f t="shared" ref="K59:M59" si="59">SUM(K56:K58)</f>
        <v>17728.66</v>
      </c>
      <c r="L59" s="25">
        <f t="shared" si="59"/>
        <v>0</v>
      </c>
      <c r="M59" s="105">
        <f t="shared" si="59"/>
        <v>0</v>
      </c>
      <c r="N59" s="18"/>
      <c r="O59" s="34">
        <f>SUM(O56:O58)</f>
        <v>15102.45</v>
      </c>
      <c r="P59" s="45">
        <f t="shared" ref="P59:R59" si="60">SUM(P56:P58)</f>
        <v>15102.45</v>
      </c>
      <c r="Q59" s="25">
        <f t="shared" si="60"/>
        <v>0</v>
      </c>
      <c r="R59" s="105">
        <f t="shared" si="60"/>
        <v>0</v>
      </c>
      <c r="S59" s="18"/>
      <c r="T59" s="34">
        <f>SUM(T56:T58)</f>
        <v>12697.63</v>
      </c>
      <c r="U59" s="45">
        <f t="shared" ref="U59:W59" si="61">SUM(U56:U58)</f>
        <v>12697.63</v>
      </c>
      <c r="V59" s="25">
        <f t="shared" si="61"/>
        <v>0</v>
      </c>
      <c r="W59" s="105">
        <f t="shared" si="61"/>
        <v>0</v>
      </c>
      <c r="X59" s="18"/>
      <c r="Y59" s="34">
        <f>SUM(Y56:Y58)</f>
        <v>10322.530000000001</v>
      </c>
      <c r="Z59" s="45">
        <f t="shared" ref="Z59:AB59" si="62">SUM(Z56:Z58)</f>
        <v>10322.530000000001</v>
      </c>
      <c r="AA59" s="25">
        <f t="shared" si="62"/>
        <v>0</v>
      </c>
      <c r="AB59" s="105">
        <f t="shared" si="62"/>
        <v>0</v>
      </c>
    </row>
    <row r="60" spans="2:34" x14ac:dyDescent="0.25">
      <c r="B60" s="268"/>
      <c r="C60" s="268"/>
      <c r="D60" s="269"/>
      <c r="E60" s="270"/>
      <c r="F60" s="659"/>
      <c r="G60" s="685"/>
      <c r="H60" s="272"/>
      <c r="I60" s="18"/>
      <c r="J60" s="269"/>
      <c r="K60" s="270"/>
      <c r="L60" s="271"/>
      <c r="M60" s="272"/>
      <c r="N60" s="18"/>
      <c r="O60" s="269"/>
      <c r="P60" s="271"/>
      <c r="Q60" s="271"/>
      <c r="R60" s="272"/>
      <c r="S60" s="18"/>
      <c r="T60" s="269"/>
      <c r="U60" s="271"/>
      <c r="V60" s="271"/>
      <c r="W60" s="272"/>
      <c r="X60" s="18"/>
      <c r="Y60" s="269"/>
      <c r="Z60" s="271"/>
      <c r="AA60" s="271"/>
      <c r="AB60" s="272"/>
      <c r="AC60" s="13"/>
      <c r="AD60" s="13"/>
      <c r="AE60" s="13"/>
      <c r="AF60" s="13"/>
      <c r="AG60" s="13"/>
      <c r="AH60" s="13"/>
    </row>
    <row r="61" spans="2:34" x14ac:dyDescent="0.25">
      <c r="B61" s="9" t="s">
        <v>453</v>
      </c>
      <c r="C61" s="9"/>
      <c r="D61" s="34">
        <f>+E61</f>
        <v>1425</v>
      </c>
      <c r="E61" s="45">
        <f>-925+2350</f>
        <v>1425</v>
      </c>
      <c r="F61" s="659">
        <v>0</v>
      </c>
      <c r="G61" s="687"/>
      <c r="H61" s="105"/>
      <c r="I61" s="18"/>
      <c r="J61" s="34"/>
      <c r="K61" s="45"/>
      <c r="L61" s="25"/>
      <c r="M61" s="105"/>
      <c r="N61" s="18"/>
      <c r="O61" s="34"/>
      <c r="P61" s="25"/>
      <c r="Q61" s="25"/>
      <c r="R61" s="105"/>
      <c r="S61" s="18"/>
      <c r="T61" s="34"/>
      <c r="U61" s="25"/>
      <c r="V61" s="25"/>
      <c r="W61" s="105"/>
      <c r="X61" s="18"/>
      <c r="Y61" s="34"/>
      <c r="Z61" s="25"/>
      <c r="AA61" s="25"/>
      <c r="AB61" s="105"/>
    </row>
    <row r="62" spans="2:34" x14ac:dyDescent="0.25">
      <c r="B62" t="s">
        <v>41</v>
      </c>
      <c r="D62" s="32" t="s">
        <v>41</v>
      </c>
      <c r="E62" s="43" t="s">
        <v>41</v>
      </c>
      <c r="F62" s="224"/>
      <c r="G62" s="435"/>
      <c r="H62" s="102"/>
      <c r="I62" s="13"/>
      <c r="J62" s="31"/>
      <c r="K62" s="42"/>
      <c r="L62" s="21"/>
      <c r="M62" s="102"/>
      <c r="N62" s="13"/>
      <c r="O62" s="31"/>
      <c r="P62" s="21"/>
      <c r="Q62" s="21"/>
      <c r="R62" s="102"/>
      <c r="S62" s="13"/>
      <c r="T62" s="31"/>
      <c r="U62" s="21"/>
      <c r="V62" s="21"/>
      <c r="W62" s="102"/>
      <c r="X62" s="13"/>
      <c r="Y62" s="31"/>
      <c r="Z62" s="21"/>
      <c r="AA62" s="21"/>
      <c r="AB62" s="102"/>
    </row>
    <row r="63" spans="2:34" x14ac:dyDescent="0.25">
      <c r="D63" s="31"/>
      <c r="E63" s="42"/>
      <c r="F63" s="224"/>
      <c r="G63" s="435"/>
      <c r="H63" s="102"/>
      <c r="I63" s="13"/>
      <c r="J63" s="31"/>
      <c r="K63" s="42"/>
      <c r="L63" s="21"/>
      <c r="M63" s="102"/>
      <c r="N63" s="13"/>
      <c r="O63" s="31"/>
      <c r="P63" s="21"/>
      <c r="Q63" s="21"/>
      <c r="R63" s="102"/>
      <c r="S63" s="13"/>
      <c r="T63" s="31"/>
      <c r="U63" s="21"/>
      <c r="V63" s="21"/>
      <c r="W63" s="102"/>
      <c r="X63" s="13"/>
      <c r="Y63" s="31"/>
      <c r="Z63" s="21"/>
      <c r="AA63" s="21"/>
      <c r="AB63" s="102"/>
    </row>
    <row r="64" spans="2:34" x14ac:dyDescent="0.25">
      <c r="B64" s="38" t="s">
        <v>454</v>
      </c>
      <c r="C64" s="38"/>
      <c r="D64" s="50">
        <f>D32+D37+D45+D50+D54+D59+D26-D61</f>
        <v>176922.08000000002</v>
      </c>
      <c r="E64" s="108">
        <f>E32+E37+E45+E50+E54+E59+E26-E61</f>
        <v>164877</v>
      </c>
      <c r="F64" s="658">
        <f>F32+F37+F45+F50+F54+F59+F26</f>
        <v>197163</v>
      </c>
      <c r="G64" s="688">
        <f>G32+G37+G45+G50+G54+G59+G26</f>
        <v>0</v>
      </c>
      <c r="H64" s="109">
        <f>H32+H37+H45+H50+H54+H59+H26</f>
        <v>12045.08</v>
      </c>
      <c r="I64" s="19"/>
      <c r="J64" s="50">
        <f>J32+J37+J45+J50+J54+J59+J26</f>
        <v>502045.86</v>
      </c>
      <c r="K64" s="108">
        <f t="shared" ref="K64:M64" si="63">K32+K37+K45+K50+K54+K59+K26</f>
        <v>241355.86</v>
      </c>
      <c r="L64" s="51">
        <f t="shared" si="63"/>
        <v>172850</v>
      </c>
      <c r="M64" s="109">
        <f t="shared" si="63"/>
        <v>87840</v>
      </c>
      <c r="N64" s="19"/>
      <c r="O64" s="50">
        <f>O32+O37+O45+O50+O54+O59+O26</f>
        <v>495749.65</v>
      </c>
      <c r="P64" s="108">
        <f t="shared" ref="P64:R64" si="64">P32+P37+P45+P50+P54+P59+P26</f>
        <v>260149.65000000002</v>
      </c>
      <c r="Q64" s="51">
        <f t="shared" si="64"/>
        <v>147760</v>
      </c>
      <c r="R64" s="109">
        <f t="shared" si="64"/>
        <v>87840</v>
      </c>
      <c r="S64" s="19"/>
      <c r="T64" s="50">
        <f>T32+T37+T45+T50+T54+T59+T26</f>
        <v>485144.83</v>
      </c>
      <c r="U64" s="108">
        <f t="shared" ref="U64:W64" si="65">U32+U37+U45+U50+U54+U59+U26</f>
        <v>255512.83000000002</v>
      </c>
      <c r="V64" s="51">
        <f t="shared" si="65"/>
        <v>140515.20000000001</v>
      </c>
      <c r="W64" s="109">
        <f t="shared" si="65"/>
        <v>89116.800000000003</v>
      </c>
      <c r="X64" s="19"/>
      <c r="Y64" s="50">
        <f>Y32+Y37+Y45+Y50+Y54+Y59+Y26</f>
        <v>493713.73000000004</v>
      </c>
      <c r="Z64" s="108">
        <f t="shared" ref="Z64:AB64" si="66">Z32+Z37+Z45+Z50+Z54+Z59+Z26</f>
        <v>259969.08999999997</v>
      </c>
      <c r="AA64" s="51">
        <f t="shared" si="66"/>
        <v>143325.50400000002</v>
      </c>
      <c r="AB64" s="109">
        <f t="shared" si="66"/>
        <v>90419.135999999999</v>
      </c>
    </row>
    <row r="65" spans="2:28" x14ac:dyDescent="0.25">
      <c r="B65" t="s">
        <v>41</v>
      </c>
      <c r="D65" s="32" t="s">
        <v>41</v>
      </c>
      <c r="E65" s="43" t="s">
        <v>41</v>
      </c>
      <c r="F65" s="224"/>
      <c r="G65" s="435"/>
      <c r="H65" s="102"/>
      <c r="I65" s="13"/>
      <c r="J65" s="31"/>
      <c r="K65" s="42"/>
      <c r="L65" s="21"/>
      <c r="M65" s="102"/>
      <c r="N65" s="13"/>
      <c r="O65" s="31"/>
      <c r="P65" s="42"/>
      <c r="Q65" s="21"/>
      <c r="R65" s="102"/>
      <c r="S65" s="13"/>
      <c r="T65" s="31"/>
      <c r="U65" s="42"/>
      <c r="V65" s="21"/>
      <c r="W65" s="102"/>
      <c r="X65" s="13"/>
      <c r="Y65" s="31"/>
      <c r="Z65" s="42"/>
      <c r="AA65" s="21"/>
      <c r="AB65" s="102"/>
    </row>
    <row r="66" spans="2:28" x14ac:dyDescent="0.25">
      <c r="B66" s="38" t="s">
        <v>18</v>
      </c>
      <c r="C66" s="38"/>
      <c r="D66" s="50">
        <f>D15-D64</f>
        <v>-12900.080000000016</v>
      </c>
      <c r="E66" s="108">
        <f>E15-E64</f>
        <v>-855</v>
      </c>
      <c r="F66" s="658">
        <f>F15-F64</f>
        <v>-31997</v>
      </c>
      <c r="G66" s="688">
        <f>G15-G64</f>
        <v>0</v>
      </c>
      <c r="H66" s="109">
        <f>H15-H64</f>
        <v>-12045.08</v>
      </c>
      <c r="I66" s="19"/>
      <c r="J66" s="50">
        <f>J15-J64</f>
        <v>-114021.85999999999</v>
      </c>
      <c r="K66" s="108">
        <f t="shared" ref="K66:M66" si="67">K15-K64</f>
        <v>-72931.859999999986</v>
      </c>
      <c r="L66" s="51">
        <f t="shared" si="67"/>
        <v>46750</v>
      </c>
      <c r="M66" s="109">
        <f t="shared" si="67"/>
        <v>-87840</v>
      </c>
      <c r="N66" s="19"/>
      <c r="O66" s="50">
        <f>O15-O64</f>
        <v>54874.349999999977</v>
      </c>
      <c r="P66" s="108">
        <f t="shared" ref="P66:R66" si="68">P15-P64</f>
        <v>-1325.6500000000233</v>
      </c>
      <c r="Q66" s="51">
        <f t="shared" si="68"/>
        <v>144040</v>
      </c>
      <c r="R66" s="109">
        <f t="shared" si="68"/>
        <v>-87840</v>
      </c>
      <c r="S66" s="19"/>
      <c r="T66" s="50">
        <f>T15-T64</f>
        <v>158279.16999999998</v>
      </c>
      <c r="U66" s="108">
        <f t="shared" ref="U66:W66" si="69">U15-U64</f>
        <v>15311.169999999984</v>
      </c>
      <c r="V66" s="51">
        <f t="shared" si="69"/>
        <v>232084.8</v>
      </c>
      <c r="W66" s="109">
        <f t="shared" si="69"/>
        <v>-89116.800000000003</v>
      </c>
      <c r="X66" s="19"/>
      <c r="Y66" s="50">
        <f>Y15-Y64</f>
        <v>250110.26999999996</v>
      </c>
      <c r="Z66" s="108">
        <f t="shared" ref="Z66:AB66" si="70">Z15-Z64</f>
        <v>22854.910000000033</v>
      </c>
      <c r="AA66" s="51">
        <f t="shared" si="70"/>
        <v>317674.49599999998</v>
      </c>
      <c r="AB66" s="109">
        <f t="shared" si="70"/>
        <v>-90419.135999999999</v>
      </c>
    </row>
    <row r="67" spans="2:28" x14ac:dyDescent="0.25">
      <c r="D67" s="31"/>
      <c r="E67" s="42"/>
      <c r="F67" s="224"/>
      <c r="G67" s="435"/>
      <c r="H67" s="102"/>
      <c r="I67" s="13"/>
      <c r="J67" s="31"/>
      <c r="K67" s="42"/>
      <c r="L67" s="21"/>
      <c r="M67" s="102"/>
      <c r="N67" s="13"/>
      <c r="O67" s="31"/>
      <c r="P67" s="42"/>
      <c r="Q67" s="21"/>
      <c r="R67" s="102"/>
      <c r="S67" s="13"/>
      <c r="T67" s="31"/>
      <c r="U67" s="42"/>
      <c r="V67" s="21"/>
      <c r="W67" s="102"/>
      <c r="X67" s="13"/>
      <c r="Y67" s="31"/>
      <c r="Z67" s="42"/>
      <c r="AA67" s="21"/>
      <c r="AB67" s="102"/>
    </row>
    <row r="68" spans="2:28" x14ac:dyDescent="0.25">
      <c r="B68" t="s">
        <v>19</v>
      </c>
      <c r="D68" s="32">
        <f>D66*0</f>
        <v>0</v>
      </c>
      <c r="E68" s="43"/>
      <c r="F68" s="659"/>
      <c r="G68" s="684"/>
      <c r="H68" s="103"/>
      <c r="I68" s="18"/>
      <c r="J68" s="32">
        <f>J66*0</f>
        <v>0</v>
      </c>
      <c r="K68" s="43">
        <f t="shared" ref="K68:M68" si="71">K66*0</f>
        <v>0</v>
      </c>
      <c r="L68" s="23">
        <f t="shared" si="71"/>
        <v>0</v>
      </c>
      <c r="M68" s="103">
        <f t="shared" si="71"/>
        <v>0</v>
      </c>
      <c r="N68" s="18"/>
      <c r="O68" s="32">
        <v>0</v>
      </c>
      <c r="P68" s="43">
        <v>0</v>
      </c>
      <c r="Q68" s="23">
        <v>0</v>
      </c>
      <c r="R68" s="103">
        <v>0</v>
      </c>
      <c r="S68" s="18"/>
      <c r="T68" s="32"/>
      <c r="U68" s="43"/>
      <c r="V68" s="23"/>
      <c r="W68" s="103"/>
      <c r="X68" s="18"/>
      <c r="Y68" s="32"/>
      <c r="Z68" s="43"/>
      <c r="AA68" s="23"/>
      <c r="AB68" s="103"/>
    </row>
    <row r="69" spans="2:28" x14ac:dyDescent="0.25">
      <c r="D69" s="31"/>
      <c r="E69" s="42"/>
      <c r="F69" s="224"/>
      <c r="G69" s="435"/>
      <c r="H69" s="102"/>
      <c r="I69" s="13"/>
      <c r="J69" s="31"/>
      <c r="K69" s="42"/>
      <c r="L69" s="21"/>
      <c r="M69" s="102"/>
      <c r="N69" s="13"/>
      <c r="O69" s="31"/>
      <c r="P69" s="42"/>
      <c r="Q69" s="21"/>
      <c r="R69" s="102"/>
      <c r="S69" s="13"/>
      <c r="T69" s="31"/>
      <c r="U69" s="42"/>
      <c r="V69" s="21"/>
      <c r="W69" s="102"/>
      <c r="X69" s="13"/>
      <c r="Y69" s="31"/>
      <c r="Z69" s="42"/>
      <c r="AA69" s="21"/>
      <c r="AB69" s="102"/>
    </row>
    <row r="70" spans="2:28" x14ac:dyDescent="0.25">
      <c r="B70" s="38" t="s">
        <v>396</v>
      </c>
      <c r="C70" s="38"/>
      <c r="D70" s="50">
        <f>D66-D68</f>
        <v>-12900.080000000016</v>
      </c>
      <c r="E70" s="108">
        <f t="shared" ref="E70:H70" si="72">E66-E68</f>
        <v>-855</v>
      </c>
      <c r="F70" s="658">
        <f t="shared" si="72"/>
        <v>-31997</v>
      </c>
      <c r="G70" s="688">
        <f t="shared" si="72"/>
        <v>0</v>
      </c>
      <c r="H70" s="109">
        <f t="shared" si="72"/>
        <v>-12045.08</v>
      </c>
      <c r="I70" s="19"/>
      <c r="J70" s="50">
        <f>J66-J68</f>
        <v>-114021.85999999999</v>
      </c>
      <c r="K70" s="108">
        <f t="shared" ref="K70:M70" si="73">K66-K68</f>
        <v>-72931.859999999986</v>
      </c>
      <c r="L70" s="51">
        <f t="shared" si="73"/>
        <v>46750</v>
      </c>
      <c r="M70" s="109">
        <f t="shared" si="73"/>
        <v>-87840</v>
      </c>
      <c r="N70" s="19"/>
      <c r="O70" s="50">
        <f>O66-O68</f>
        <v>54874.349999999977</v>
      </c>
      <c r="P70" s="108">
        <f t="shared" ref="P70:R70" si="74">P66-P68</f>
        <v>-1325.6500000000233</v>
      </c>
      <c r="Q70" s="51">
        <f t="shared" si="74"/>
        <v>144040</v>
      </c>
      <c r="R70" s="109">
        <f t="shared" si="74"/>
        <v>-87840</v>
      </c>
      <c r="S70" s="19"/>
      <c r="T70" s="50">
        <f>T66-T68</f>
        <v>158279.16999999998</v>
      </c>
      <c r="U70" s="108">
        <f t="shared" ref="U70:W70" si="75">U66-U68</f>
        <v>15311.169999999984</v>
      </c>
      <c r="V70" s="51">
        <f t="shared" si="75"/>
        <v>232084.8</v>
      </c>
      <c r="W70" s="109">
        <f t="shared" si="75"/>
        <v>-89116.800000000003</v>
      </c>
      <c r="X70" s="19"/>
      <c r="Y70" s="50">
        <f>Y66-Y68</f>
        <v>250110.26999999996</v>
      </c>
      <c r="Z70" s="108">
        <f t="shared" ref="Z70:AB70" si="76">Z66-Z68</f>
        <v>22854.910000000033</v>
      </c>
      <c r="AA70" s="51">
        <f t="shared" si="76"/>
        <v>317674.49599999998</v>
      </c>
      <c r="AB70" s="109">
        <f t="shared" si="76"/>
        <v>-90419.135999999999</v>
      </c>
    </row>
    <row r="71" spans="2:28" ht="7.15" customHeight="1" thickBot="1" x14ac:dyDescent="0.3">
      <c r="D71" s="37"/>
      <c r="E71" s="48"/>
      <c r="F71" s="694"/>
      <c r="G71" s="90"/>
      <c r="H71" s="110"/>
      <c r="I71" s="13"/>
      <c r="J71" s="37"/>
      <c r="K71" s="48"/>
      <c r="L71" s="90"/>
      <c r="M71" s="110"/>
      <c r="N71" s="13"/>
      <c r="O71" s="37"/>
      <c r="P71" s="90"/>
      <c r="Q71" s="90"/>
      <c r="R71" s="110"/>
      <c r="S71" s="13"/>
      <c r="T71" s="37"/>
      <c r="U71" s="90"/>
      <c r="V71" s="90"/>
      <c r="W71" s="110"/>
      <c r="X71" s="13"/>
      <c r="Y71" s="37"/>
      <c r="Z71" s="90"/>
      <c r="AA71" s="90"/>
      <c r="AB71" s="110"/>
    </row>
    <row r="72" spans="2:28" ht="6.75" hidden="1" customHeight="1" x14ac:dyDescent="0.25">
      <c r="C72" s="547" t="s">
        <v>303</v>
      </c>
      <c r="D72" s="548">
        <f>+D70-F70-G70-H70</f>
        <v>31141.999999999985</v>
      </c>
      <c r="E72" s="548"/>
      <c r="I72" s="13"/>
      <c r="J72" s="549">
        <f>+J70-K70-L70-M70</f>
        <v>0</v>
      </c>
      <c r="N72" s="13"/>
      <c r="O72" s="549">
        <f>+O70-P70-Q70-R70</f>
        <v>0</v>
      </c>
      <c r="S72" s="13"/>
      <c r="T72" s="549">
        <f>+T70-U70-V70-W70</f>
        <v>0</v>
      </c>
      <c r="X72" s="13"/>
      <c r="Y72" s="549">
        <f>+Y70-Z70-AA70-AB70</f>
        <v>0</v>
      </c>
    </row>
    <row r="73" spans="2:28" x14ac:dyDescent="0.25">
      <c r="I73" s="13"/>
      <c r="N73" s="13"/>
      <c r="S73" s="13"/>
      <c r="X73" s="13"/>
    </row>
    <row r="74" spans="2:28" x14ac:dyDescent="0.25">
      <c r="I74" s="13"/>
      <c r="N74" s="13"/>
      <c r="S74" s="13"/>
      <c r="X74" s="13"/>
    </row>
    <row r="75" spans="2:28" x14ac:dyDescent="0.25">
      <c r="S75" s="13"/>
      <c r="X75" s="13"/>
    </row>
    <row r="76" spans="2:28" x14ac:dyDescent="0.25">
      <c r="S76" s="13"/>
    </row>
  </sheetData>
  <mergeCells count="7">
    <mergeCell ref="T4:W4"/>
    <mergeCell ref="Y4:AB4"/>
    <mergeCell ref="E5:F5"/>
    <mergeCell ref="E6:F6"/>
    <mergeCell ref="D4:H4"/>
    <mergeCell ref="J4:M4"/>
    <mergeCell ref="O4:R4"/>
  </mergeCells>
  <pageMargins left="0.7" right="0.7" top="0.75" bottom="0.75" header="0.3" footer="0.3"/>
  <pageSetup paperSize="9" orientation="portrait" r:id="rId1"/>
  <ignoredErrors>
    <ignoredError sqref="U15 P15 V26 Z15 Y12 T12 O12 J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"/>
  <sheetViews>
    <sheetView topLeftCell="A25" workbookViewId="0">
      <selection activeCell="E12" sqref="E12"/>
    </sheetView>
  </sheetViews>
  <sheetFormatPr baseColWidth="10" defaultRowHeight="15" x14ac:dyDescent="0.25"/>
  <cols>
    <col min="1" max="1" width="8.7109375" customWidth="1"/>
    <col min="2" max="2" width="28" customWidth="1"/>
  </cols>
  <sheetData>
    <row r="1" spans="1:9" ht="18.75" x14ac:dyDescent="0.25">
      <c r="B1" t="s">
        <v>41</v>
      </c>
      <c r="D1" s="230">
        <v>1</v>
      </c>
      <c r="E1" s="121" t="s">
        <v>158</v>
      </c>
    </row>
    <row r="3" spans="1:9" ht="15.75" x14ac:dyDescent="0.25">
      <c r="A3" s="267" t="s">
        <v>193</v>
      </c>
      <c r="E3" s="234" t="s">
        <v>164</v>
      </c>
    </row>
    <row r="4" spans="1:9" ht="15.75" x14ac:dyDescent="0.25">
      <c r="E4" s="234"/>
    </row>
    <row r="5" spans="1:9" x14ac:dyDescent="0.25">
      <c r="B5" s="236" t="s">
        <v>165</v>
      </c>
      <c r="C5" s="237"/>
      <c r="D5" s="237"/>
      <c r="E5" s="237"/>
      <c r="F5" s="237"/>
      <c r="G5" s="237"/>
      <c r="H5" s="237"/>
      <c r="I5" s="237"/>
    </row>
    <row r="7" spans="1:9" ht="15.75" x14ac:dyDescent="0.25">
      <c r="B7" s="2" t="s">
        <v>340</v>
      </c>
    </row>
    <row r="8" spans="1:9" x14ac:dyDescent="0.25">
      <c r="C8" s="58"/>
      <c r="D8" s="58"/>
      <c r="E8" s="58"/>
      <c r="F8" s="58"/>
    </row>
    <row r="9" spans="1:9" x14ac:dyDescent="0.25">
      <c r="C9" s="58" t="s">
        <v>189</v>
      </c>
      <c r="D9" s="58" t="s">
        <v>318</v>
      </c>
      <c r="E9" s="58" t="s">
        <v>169</v>
      </c>
      <c r="F9" s="58" t="s">
        <v>220</v>
      </c>
    </row>
    <row r="11" spans="1:9" x14ac:dyDescent="0.25">
      <c r="B11" t="s">
        <v>443</v>
      </c>
      <c r="C11" s="298"/>
      <c r="D11" s="298">
        <v>151174</v>
      </c>
      <c r="E11" s="298">
        <v>7809</v>
      </c>
      <c r="F11" s="298" t="s">
        <v>41</v>
      </c>
      <c r="G11" t="s">
        <v>444</v>
      </c>
    </row>
    <row r="12" spans="1:9" x14ac:dyDescent="0.25">
      <c r="C12" s="298"/>
      <c r="D12" s="298"/>
      <c r="E12" s="298"/>
      <c r="F12" s="298"/>
    </row>
    <row r="14" spans="1:9" x14ac:dyDescent="0.25">
      <c r="B14" s="636" t="s">
        <v>442</v>
      </c>
      <c r="C14" s="631"/>
      <c r="D14" s="631"/>
      <c r="E14" s="631"/>
      <c r="F14" s="631"/>
    </row>
    <row r="15" spans="1:9" x14ac:dyDescent="0.25">
      <c r="B15" s="631" t="s">
        <v>319</v>
      </c>
      <c r="C15" s="631">
        <v>10</v>
      </c>
      <c r="D15" s="632">
        <v>91336</v>
      </c>
      <c r="E15" s="632">
        <v>5830</v>
      </c>
      <c r="F15" s="632">
        <f t="shared" ref="F15:F22" si="0">+D15+E15</f>
        <v>97166</v>
      </c>
    </row>
    <row r="16" spans="1:9" x14ac:dyDescent="0.25">
      <c r="B16" s="633">
        <v>44378</v>
      </c>
      <c r="C16" s="631">
        <v>1</v>
      </c>
      <c r="D16" s="632">
        <v>12000</v>
      </c>
      <c r="E16" s="632">
        <v>500</v>
      </c>
      <c r="F16" s="632">
        <f t="shared" si="0"/>
        <v>12500</v>
      </c>
    </row>
    <row r="17" spans="2:6" x14ac:dyDescent="0.25">
      <c r="B17" s="633">
        <v>44409</v>
      </c>
      <c r="C17" s="631">
        <v>1</v>
      </c>
      <c r="D17" s="632">
        <v>5000</v>
      </c>
      <c r="E17" s="632">
        <v>500</v>
      </c>
      <c r="F17" s="632">
        <f t="shared" si="0"/>
        <v>5500</v>
      </c>
    </row>
    <row r="18" spans="2:6" x14ac:dyDescent="0.25">
      <c r="B18" s="633">
        <v>44440</v>
      </c>
      <c r="C18" s="631">
        <v>1</v>
      </c>
      <c r="D18" s="632">
        <v>12000</v>
      </c>
      <c r="E18" s="632">
        <v>500</v>
      </c>
      <c r="F18" s="632">
        <f t="shared" si="0"/>
        <v>12500</v>
      </c>
    </row>
    <row r="19" spans="2:6" x14ac:dyDescent="0.25">
      <c r="B19" s="633">
        <v>44470</v>
      </c>
      <c r="C19" s="631">
        <v>1</v>
      </c>
      <c r="D19" s="632">
        <v>12000</v>
      </c>
      <c r="E19" s="632">
        <v>500</v>
      </c>
      <c r="F19" s="632">
        <f t="shared" si="0"/>
        <v>12500</v>
      </c>
    </row>
    <row r="20" spans="2:6" x14ac:dyDescent="0.25">
      <c r="B20" s="633">
        <v>44501</v>
      </c>
      <c r="C20" s="631">
        <v>1</v>
      </c>
      <c r="D20" s="632">
        <v>12000</v>
      </c>
      <c r="E20" s="632">
        <v>500</v>
      </c>
      <c r="F20" s="632">
        <f t="shared" si="0"/>
        <v>12500</v>
      </c>
    </row>
    <row r="21" spans="2:6" ht="15.75" thickBot="1" x14ac:dyDescent="0.3">
      <c r="B21" s="633">
        <v>44531</v>
      </c>
      <c r="C21" s="631">
        <v>1</v>
      </c>
      <c r="D21" s="632">
        <v>12000</v>
      </c>
      <c r="E21" s="632">
        <v>500</v>
      </c>
      <c r="F21" s="632">
        <f t="shared" si="0"/>
        <v>12500</v>
      </c>
    </row>
    <row r="22" spans="2:6" ht="15.75" thickBot="1" x14ac:dyDescent="0.3">
      <c r="B22" s="357" t="s">
        <v>220</v>
      </c>
      <c r="C22" s="634">
        <f>SUM(C15:C21)</f>
        <v>16</v>
      </c>
      <c r="D22" s="554">
        <f>SUM(D15:D21)</f>
        <v>156336</v>
      </c>
      <c r="E22" s="554">
        <f>SUM(E15:E21)</f>
        <v>8830</v>
      </c>
      <c r="F22" s="635">
        <f t="shared" si="0"/>
        <v>165166</v>
      </c>
    </row>
    <row r="25" spans="2:6" x14ac:dyDescent="0.25">
      <c r="B25" s="192" t="s">
        <v>138</v>
      </c>
      <c r="C25" s="192"/>
    </row>
    <row r="27" spans="2:6" x14ac:dyDescent="0.25">
      <c r="B27" s="1" t="s">
        <v>136</v>
      </c>
      <c r="C27" t="s">
        <v>139</v>
      </c>
    </row>
    <row r="28" spans="2:6" x14ac:dyDescent="0.25">
      <c r="B28" s="1"/>
    </row>
    <row r="29" spans="2:6" x14ac:dyDescent="0.25">
      <c r="B29" s="1" t="s">
        <v>137</v>
      </c>
      <c r="C29" t="s">
        <v>140</v>
      </c>
    </row>
    <row r="30" spans="2:6" x14ac:dyDescent="0.25">
      <c r="B30" s="1"/>
      <c r="C30" t="s">
        <v>150</v>
      </c>
    </row>
    <row r="32" spans="2:6" x14ac:dyDescent="0.25">
      <c r="B32" t="s">
        <v>142</v>
      </c>
    </row>
    <row r="33" spans="1:6" x14ac:dyDescent="0.25">
      <c r="C33" t="s">
        <v>143</v>
      </c>
    </row>
    <row r="34" spans="1:6" x14ac:dyDescent="0.25">
      <c r="C34" t="s">
        <v>151</v>
      </c>
    </row>
    <row r="36" spans="1:6" x14ac:dyDescent="0.25">
      <c r="B36" s="1" t="s">
        <v>148</v>
      </c>
      <c r="C36" t="s">
        <v>152</v>
      </c>
    </row>
    <row r="38" spans="1:6" x14ac:dyDescent="0.25">
      <c r="B38" s="1" t="s">
        <v>141</v>
      </c>
      <c r="C38" s="193" t="s">
        <v>144</v>
      </c>
    </row>
    <row r="40" spans="1:6" x14ac:dyDescent="0.25">
      <c r="B40" s="1" t="s">
        <v>145</v>
      </c>
      <c r="C40" t="s">
        <v>149</v>
      </c>
    </row>
    <row r="42" spans="1:6" x14ac:dyDescent="0.25">
      <c r="B42" s="1" t="s">
        <v>146</v>
      </c>
      <c r="C42" t="s">
        <v>147</v>
      </c>
    </row>
    <row r="44" spans="1:6" x14ac:dyDescent="0.25">
      <c r="C44" s="13" t="s">
        <v>41</v>
      </c>
      <c r="D44" s="13"/>
      <c r="E44" s="13"/>
      <c r="F44" s="13"/>
    </row>
    <row r="45" spans="1:6" x14ac:dyDescent="0.25">
      <c r="C45" s="13"/>
      <c r="D45" s="13"/>
      <c r="E45" s="13"/>
      <c r="F45" s="13"/>
    </row>
    <row r="46" spans="1:6" x14ac:dyDescent="0.25">
      <c r="A46" s="267" t="s">
        <v>41</v>
      </c>
    </row>
    <row r="49" spans="2:2" x14ac:dyDescent="0.25">
      <c r="B49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K75"/>
  <sheetViews>
    <sheetView topLeftCell="A59" zoomScale="110" zoomScaleNormal="110" workbookViewId="0">
      <selection activeCell="D78" sqref="D78"/>
    </sheetView>
  </sheetViews>
  <sheetFormatPr baseColWidth="10" defaultRowHeight="15" x14ac:dyDescent="0.25"/>
  <cols>
    <col min="1" max="1" width="6.42578125" customWidth="1"/>
    <col min="2" max="2" width="52.7109375" customWidth="1"/>
    <col min="3" max="3" width="11.5703125" bestFit="1" customWidth="1"/>
    <col min="4" max="5" width="13" bestFit="1" customWidth="1"/>
    <col min="6" max="8" width="11.85546875" bestFit="1" customWidth="1"/>
  </cols>
  <sheetData>
    <row r="2" spans="2:11" ht="61.5" customHeight="1" x14ac:dyDescent="0.25">
      <c r="B2" s="230">
        <v>2</v>
      </c>
      <c r="C2" s="121" t="s">
        <v>162</v>
      </c>
      <c r="D2" s="115"/>
      <c r="E2" s="115"/>
      <c r="I2" s="115"/>
      <c r="J2" s="115"/>
      <c r="K2" s="115"/>
    </row>
    <row r="3" spans="2:11" ht="22.5" customHeight="1" x14ac:dyDescent="0.25">
      <c r="B3" s="235" t="s">
        <v>193</v>
      </c>
      <c r="C3" s="235" t="s">
        <v>163</v>
      </c>
      <c r="D3" s="157"/>
      <c r="E3" s="157"/>
      <c r="F3" s="157"/>
      <c r="G3" s="157"/>
      <c r="H3" s="157"/>
      <c r="I3" s="157"/>
      <c r="J3" s="157"/>
      <c r="K3" s="157"/>
    </row>
    <row r="4" spans="2:11" ht="15.75" x14ac:dyDescent="0.25">
      <c r="B4" s="116"/>
      <c r="C4" s="116"/>
      <c r="D4" s="116"/>
      <c r="E4" s="116"/>
      <c r="F4" s="116"/>
      <c r="G4" s="724" t="s">
        <v>97</v>
      </c>
      <c r="H4" s="725"/>
      <c r="I4" s="117"/>
      <c r="J4" s="117"/>
      <c r="K4" s="118"/>
    </row>
    <row r="5" spans="2:11" ht="15.75" x14ac:dyDescent="0.25">
      <c r="B5" s="715"/>
      <c r="C5" s="716"/>
      <c r="D5" s="716"/>
      <c r="E5" s="716"/>
      <c r="F5" s="717"/>
      <c r="G5" s="718"/>
      <c r="H5" s="719"/>
      <c r="I5" s="119"/>
      <c r="J5" s="156"/>
      <c r="K5" s="155"/>
    </row>
    <row r="6" spans="2:11" ht="15.75" x14ac:dyDescent="0.25">
      <c r="B6" s="720" t="s">
        <v>241</v>
      </c>
      <c r="C6" s="721"/>
      <c r="D6" s="721"/>
      <c r="E6" s="721"/>
      <c r="F6" s="721"/>
      <c r="G6" s="722">
        <v>25000</v>
      </c>
      <c r="H6" s="723"/>
      <c r="I6" s="119"/>
      <c r="J6" s="155"/>
      <c r="K6" s="155"/>
    </row>
    <row r="7" spans="2:11" ht="15.75" x14ac:dyDescent="0.25">
      <c r="B7" s="720" t="s">
        <v>240</v>
      </c>
      <c r="C7" s="721"/>
      <c r="D7" s="721"/>
      <c r="E7" s="721"/>
      <c r="F7" s="721"/>
      <c r="G7" s="722">
        <v>6500</v>
      </c>
      <c r="H7" s="723"/>
      <c r="I7" s="119"/>
      <c r="J7" s="155"/>
      <c r="K7" s="155"/>
    </row>
    <row r="8" spans="2:11" ht="15.75" x14ac:dyDescent="0.25">
      <c r="B8" s="726"/>
      <c r="C8" s="721"/>
      <c r="D8" s="721"/>
      <c r="E8" s="721"/>
      <c r="F8" s="721"/>
      <c r="G8" s="727"/>
      <c r="H8" s="719"/>
      <c r="I8" s="119"/>
      <c r="J8" s="155"/>
      <c r="K8" s="155"/>
    </row>
    <row r="9" spans="2:11" ht="15.75" x14ac:dyDescent="0.25">
      <c r="B9" s="123"/>
      <c r="C9" s="123"/>
      <c r="D9" s="123"/>
      <c r="E9" s="123"/>
      <c r="F9" s="123"/>
      <c r="G9" s="124"/>
      <c r="H9" s="124"/>
      <c r="I9" s="120"/>
      <c r="J9" s="122"/>
      <c r="K9" s="122"/>
    </row>
    <row r="10" spans="2:11" ht="15.75" x14ac:dyDescent="0.25">
      <c r="B10" s="123"/>
      <c r="C10" s="123"/>
      <c r="D10" s="123"/>
      <c r="E10" s="123"/>
      <c r="F10" s="123"/>
      <c r="G10" s="124"/>
      <c r="H10" s="124"/>
      <c r="I10" s="120"/>
      <c r="J10" s="122"/>
      <c r="K10" s="122"/>
    </row>
    <row r="11" spans="2:11" ht="15.75" x14ac:dyDescent="0.25">
      <c r="B11" s="123"/>
      <c r="C11" s="123"/>
      <c r="D11" s="123"/>
      <c r="E11" s="123"/>
      <c r="F11" s="123"/>
      <c r="G11" s="124"/>
      <c r="H11" s="124"/>
      <c r="I11" s="120"/>
      <c r="J11" s="122"/>
      <c r="K11" s="122"/>
    </row>
    <row r="12" spans="2:11" ht="15.75" x14ac:dyDescent="0.25">
      <c r="B12" s="123"/>
      <c r="C12" s="123"/>
      <c r="D12" s="123"/>
      <c r="E12" s="123"/>
      <c r="F12" s="123"/>
      <c r="G12" s="124"/>
      <c r="H12" s="124"/>
      <c r="I12" s="120"/>
      <c r="J12" s="122"/>
      <c r="K12" s="122"/>
    </row>
    <row r="13" spans="2:11" ht="15.75" x14ac:dyDescent="0.25">
      <c r="B13" s="728" t="s">
        <v>98</v>
      </c>
      <c r="C13" s="729"/>
      <c r="D13" s="729"/>
      <c r="E13" s="730"/>
      <c r="F13" s="123"/>
      <c r="G13" s="124"/>
      <c r="H13" s="124"/>
      <c r="I13" s="120"/>
      <c r="J13" s="122"/>
      <c r="K13" s="122"/>
    </row>
    <row r="14" spans="2:11" ht="16.5" x14ac:dyDescent="0.25">
      <c r="B14" s="125"/>
      <c r="C14" s="134" t="s">
        <v>94</v>
      </c>
      <c r="D14" s="135"/>
      <c r="E14" s="136"/>
      <c r="G14" s="124"/>
      <c r="H14" s="124"/>
      <c r="I14" s="120"/>
      <c r="J14" s="122"/>
      <c r="K14" s="122"/>
    </row>
    <row r="15" spans="2:11" ht="15" customHeight="1" x14ac:dyDescent="0.25">
      <c r="B15" s="125"/>
      <c r="C15" s="137" t="s">
        <v>95</v>
      </c>
      <c r="D15" s="138"/>
      <c r="E15" s="139"/>
      <c r="G15" s="124"/>
      <c r="H15" s="124"/>
      <c r="I15" s="120"/>
      <c r="J15" s="122"/>
      <c r="K15" s="122"/>
    </row>
    <row r="16" spans="2:11" ht="16.5" x14ac:dyDescent="0.25">
      <c r="B16" s="125"/>
      <c r="C16" s="140" t="s">
        <v>96</v>
      </c>
      <c r="D16" s="141"/>
      <c r="E16" s="142"/>
      <c r="G16" s="124"/>
      <c r="H16" s="124"/>
      <c r="I16" s="120"/>
      <c r="J16" s="122"/>
      <c r="K16" s="122"/>
    </row>
    <row r="17" spans="2:11" x14ac:dyDescent="0.25">
      <c r="I17" s="120"/>
      <c r="J17" s="122"/>
      <c r="K17" s="122"/>
    </row>
    <row r="19" spans="2:11" x14ac:dyDescent="0.25">
      <c r="B19" s="168" t="s">
        <v>127</v>
      </c>
      <c r="C19" s="153" t="s">
        <v>99</v>
      </c>
      <c r="D19" s="153" t="s">
        <v>100</v>
      </c>
      <c r="E19" s="153" t="s">
        <v>107</v>
      </c>
    </row>
    <row r="20" spans="2:11" x14ac:dyDescent="0.25">
      <c r="B20" s="171" t="s">
        <v>109</v>
      </c>
      <c r="C20" s="161">
        <f>+C52</f>
        <v>88000</v>
      </c>
      <c r="D20" s="161">
        <f>+D52</f>
        <v>158000</v>
      </c>
      <c r="E20" s="161">
        <f>+E52</f>
        <v>196000</v>
      </c>
    </row>
    <row r="24" spans="2:11" x14ac:dyDescent="0.25">
      <c r="C24" s="127" t="s">
        <v>101</v>
      </c>
    </row>
    <row r="25" spans="2:11" x14ac:dyDescent="0.25">
      <c r="B25" s="150"/>
    </row>
    <row r="26" spans="2:11" x14ac:dyDescent="0.25">
      <c r="B26" s="394" t="s">
        <v>242</v>
      </c>
      <c r="C26" s="162" t="s">
        <v>41</v>
      </c>
      <c r="D26" s="163" t="s">
        <v>99</v>
      </c>
      <c r="E26" s="163" t="s">
        <v>100</v>
      </c>
      <c r="F26" s="163" t="s">
        <v>107</v>
      </c>
      <c r="G26" s="20"/>
      <c r="H26" s="20"/>
      <c r="I26" s="20" t="s">
        <v>41</v>
      </c>
    </row>
    <row r="27" spans="2:11" x14ac:dyDescent="0.25">
      <c r="B27" s="164" t="s">
        <v>239</v>
      </c>
      <c r="C27" s="162"/>
      <c r="D27" s="165">
        <v>6500</v>
      </c>
      <c r="E27" s="165">
        <v>0</v>
      </c>
      <c r="F27" s="165">
        <v>0</v>
      </c>
      <c r="G27" s="20"/>
      <c r="H27" s="20"/>
      <c r="I27" s="20"/>
    </row>
    <row r="28" spans="2:11" x14ac:dyDescent="0.25">
      <c r="B28" s="164" t="s">
        <v>106</v>
      </c>
      <c r="C28" s="154"/>
      <c r="D28" s="165">
        <f>C20*10%</f>
        <v>8800</v>
      </c>
      <c r="E28" s="165">
        <f>D20*10%</f>
        <v>15800</v>
      </c>
      <c r="F28" s="165">
        <f>E20*10%</f>
        <v>19600</v>
      </c>
      <c r="G28" s="145"/>
      <c r="H28" s="145"/>
      <c r="I28" s="145" t="s">
        <v>41</v>
      </c>
    </row>
    <row r="29" spans="2:11" x14ac:dyDescent="0.25">
      <c r="B29" s="164" t="s">
        <v>243</v>
      </c>
      <c r="C29" s="395"/>
      <c r="D29" s="396">
        <f>+D27+D28</f>
        <v>15300</v>
      </c>
      <c r="E29" s="396">
        <f t="shared" ref="E29:F29" si="0">+E27+E28</f>
        <v>15800</v>
      </c>
      <c r="F29" s="396">
        <f t="shared" si="0"/>
        <v>19600</v>
      </c>
      <c r="G29" s="145"/>
      <c r="H29" s="145"/>
      <c r="I29" s="145"/>
    </row>
    <row r="30" spans="2:11" x14ac:dyDescent="0.25">
      <c r="B30" s="152"/>
      <c r="C30" s="146"/>
      <c r="E30" s="145"/>
      <c r="F30" s="145"/>
      <c r="G30" s="145"/>
      <c r="H30" s="145"/>
      <c r="I30" s="145"/>
    </row>
    <row r="31" spans="2:11" ht="24.75" x14ac:dyDescent="0.25">
      <c r="B31" s="151" t="s">
        <v>103</v>
      </c>
      <c r="C31" s="129" t="s">
        <v>102</v>
      </c>
      <c r="D31" s="147">
        <v>2021</v>
      </c>
      <c r="E31" s="148">
        <v>2022</v>
      </c>
      <c r="F31" s="148">
        <v>2023</v>
      </c>
      <c r="G31" s="148">
        <v>2024</v>
      </c>
      <c r="H31" s="148">
        <v>2025</v>
      </c>
      <c r="I31" s="149">
        <v>2026</v>
      </c>
    </row>
    <row r="32" spans="2:11" x14ac:dyDescent="0.25">
      <c r="B32" s="128"/>
      <c r="C32" s="126"/>
    </row>
    <row r="33" spans="2:9" x14ac:dyDescent="0.25">
      <c r="B33" s="1">
        <v>2021</v>
      </c>
      <c r="C33" s="129">
        <v>0</v>
      </c>
      <c r="D33" s="20">
        <v>0</v>
      </c>
      <c r="E33" s="20">
        <f>C33</f>
        <v>0</v>
      </c>
      <c r="F33" s="20">
        <f>E33</f>
        <v>0</v>
      </c>
      <c r="G33" s="20">
        <f>F33</f>
        <v>0</v>
      </c>
      <c r="H33" s="20">
        <f>G33</f>
        <v>0</v>
      </c>
      <c r="I33" s="20">
        <f>H33</f>
        <v>0</v>
      </c>
    </row>
    <row r="34" spans="2:9" x14ac:dyDescent="0.25">
      <c r="B34" s="1">
        <v>2022</v>
      </c>
      <c r="C34" s="20">
        <v>2</v>
      </c>
      <c r="D34" s="131"/>
      <c r="E34" s="130">
        <f>(D28*C34)+(D27*C34)</f>
        <v>30600</v>
      </c>
      <c r="F34" s="130">
        <f>E28*C34</f>
        <v>31600</v>
      </c>
      <c r="G34" s="130">
        <f>F28*C34</f>
        <v>39200</v>
      </c>
      <c r="H34" s="130">
        <f>F28*C34</f>
        <v>39200</v>
      </c>
      <c r="I34" s="130">
        <f>F28*C34</f>
        <v>39200</v>
      </c>
    </row>
    <row r="35" spans="2:9" x14ac:dyDescent="0.25">
      <c r="B35" s="1">
        <v>2023</v>
      </c>
      <c r="C35" s="20">
        <v>4</v>
      </c>
      <c r="D35" s="131"/>
      <c r="E35" s="131"/>
      <c r="F35" s="130">
        <f>(D28*C35)+(D27*C35)</f>
        <v>61200</v>
      </c>
      <c r="G35" s="130">
        <f>E28*C35</f>
        <v>63200</v>
      </c>
      <c r="H35" s="130">
        <f>F28*C35</f>
        <v>78400</v>
      </c>
      <c r="I35" s="130">
        <f>F28*C35</f>
        <v>78400</v>
      </c>
    </row>
    <row r="36" spans="2:9" x14ac:dyDescent="0.25">
      <c r="B36" s="1">
        <v>2024</v>
      </c>
      <c r="C36" s="20">
        <v>4</v>
      </c>
      <c r="D36" s="131"/>
      <c r="E36" s="131"/>
      <c r="F36" s="131"/>
      <c r="G36" s="130">
        <f>(D28*C36)+(D27*C36)</f>
        <v>61200</v>
      </c>
      <c r="H36" s="130">
        <f>E28*C36</f>
        <v>63200</v>
      </c>
      <c r="I36" s="130">
        <f>F28*C36</f>
        <v>78400</v>
      </c>
    </row>
    <row r="37" spans="2:9" x14ac:dyDescent="0.25">
      <c r="B37" s="1">
        <v>2025</v>
      </c>
      <c r="C37" s="20">
        <v>4</v>
      </c>
      <c r="D37" s="131"/>
      <c r="E37" s="131"/>
      <c r="F37" s="131"/>
      <c r="G37" s="132"/>
      <c r="H37" s="130">
        <f>(D28*C37)+(D27*C37)</f>
        <v>61200</v>
      </c>
      <c r="I37" s="130">
        <f>E28*C37</f>
        <v>63200</v>
      </c>
    </row>
    <row r="38" spans="2:9" x14ac:dyDescent="0.25">
      <c r="B38" s="1">
        <v>2026</v>
      </c>
      <c r="C38" s="20">
        <v>5</v>
      </c>
      <c r="D38" s="131"/>
      <c r="E38" s="131"/>
      <c r="F38" s="131"/>
      <c r="G38" s="132"/>
      <c r="H38" s="132"/>
      <c r="I38" s="130">
        <f>(C38*D28)+(D27*C38)</f>
        <v>76500</v>
      </c>
    </row>
    <row r="40" spans="2:9" x14ac:dyDescent="0.25">
      <c r="B40" s="158" t="s">
        <v>246</v>
      </c>
      <c r="C40" s="133"/>
      <c r="D40" s="159">
        <f>SUM(D33:D37)</f>
        <v>0</v>
      </c>
      <c r="E40" s="159">
        <f>SUM(E33:E37)</f>
        <v>30600</v>
      </c>
      <c r="F40" s="159">
        <f>SUM(F33:F37)</f>
        <v>92800</v>
      </c>
      <c r="G40" s="159">
        <f>SUM(G33:G37)</f>
        <v>163600</v>
      </c>
      <c r="H40" s="159">
        <f>SUM(H33:H37)</f>
        <v>242000</v>
      </c>
      <c r="I40" s="160">
        <f>SUM(I33:I38)</f>
        <v>335700</v>
      </c>
    </row>
    <row r="41" spans="2:9" x14ac:dyDescent="0.25">
      <c r="B41" s="393"/>
      <c r="C41" s="21"/>
      <c r="D41" s="23"/>
      <c r="E41" s="23"/>
      <c r="F41" s="23"/>
      <c r="G41" s="23"/>
      <c r="H41" s="23"/>
      <c r="I41" s="23"/>
    </row>
    <row r="43" spans="2:9" x14ac:dyDescent="0.25">
      <c r="B43" s="1" t="s">
        <v>238</v>
      </c>
    </row>
    <row r="45" spans="2:9" x14ac:dyDescent="0.25">
      <c r="B45" s="168" t="s">
        <v>161</v>
      </c>
      <c r="C45" s="153" t="s">
        <v>99</v>
      </c>
      <c r="D45" s="153" t="s">
        <v>100</v>
      </c>
      <c r="E45" s="153" t="s">
        <v>107</v>
      </c>
      <c r="F45" s="153" t="s">
        <v>119</v>
      </c>
    </row>
    <row r="46" spans="2:9" x14ac:dyDescent="0.25">
      <c r="B46" s="168"/>
      <c r="C46" s="153" t="s">
        <v>41</v>
      </c>
      <c r="D46" s="153" t="s">
        <v>41</v>
      </c>
      <c r="E46" s="153" t="s">
        <v>41</v>
      </c>
      <c r="F46" s="231"/>
    </row>
    <row r="47" spans="2:9" ht="16.899999999999999" customHeight="1" x14ac:dyDescent="0.25">
      <c r="B47" s="170" t="s">
        <v>236</v>
      </c>
      <c r="C47" s="161">
        <v>80000</v>
      </c>
      <c r="D47" s="161">
        <v>130000</v>
      </c>
      <c r="E47" s="161">
        <v>160000</v>
      </c>
      <c r="F47" s="232" t="s">
        <v>120</v>
      </c>
      <c r="G47" s="175" t="s">
        <v>115</v>
      </c>
    </row>
    <row r="48" spans="2:9" ht="16.149999999999999" customHeight="1" x14ac:dyDescent="0.25">
      <c r="B48" s="172" t="s">
        <v>114</v>
      </c>
      <c r="C48" s="161">
        <v>0</v>
      </c>
      <c r="D48" s="161">
        <v>8000</v>
      </c>
      <c r="E48" s="161">
        <v>10000</v>
      </c>
      <c r="F48" s="232" t="s">
        <v>120</v>
      </c>
      <c r="G48" s="175" t="s">
        <v>116</v>
      </c>
    </row>
    <row r="49" spans="2:10" x14ac:dyDescent="0.25">
      <c r="B49" s="172" t="s">
        <v>110</v>
      </c>
      <c r="C49" s="161">
        <v>5000</v>
      </c>
      <c r="D49" s="161">
        <v>15000</v>
      </c>
      <c r="E49" s="161">
        <v>20000</v>
      </c>
      <c r="F49" s="232" t="s">
        <v>120</v>
      </c>
      <c r="G49" s="175" t="s">
        <v>117</v>
      </c>
    </row>
    <row r="50" spans="2:10" x14ac:dyDescent="0.25">
      <c r="B50" s="169" t="s">
        <v>113</v>
      </c>
      <c r="C50" s="161">
        <v>0</v>
      </c>
      <c r="D50" s="161">
        <v>0</v>
      </c>
      <c r="E50" s="161">
        <v>0</v>
      </c>
      <c r="F50" s="232" t="s">
        <v>120</v>
      </c>
      <c r="G50" s="175"/>
    </row>
    <row r="51" spans="2:10" x14ac:dyDescent="0.25">
      <c r="B51" s="172" t="s">
        <v>111</v>
      </c>
      <c r="C51" s="161">
        <v>3000</v>
      </c>
      <c r="D51" s="161">
        <v>5000</v>
      </c>
      <c r="E51" s="161">
        <v>6000</v>
      </c>
      <c r="F51" s="232" t="s">
        <v>120</v>
      </c>
    </row>
    <row r="52" spans="2:10" x14ac:dyDescent="0.25">
      <c r="B52" s="184" t="s">
        <v>126</v>
      </c>
      <c r="C52" s="174">
        <f>SUM(C47:C51)</f>
        <v>88000</v>
      </c>
      <c r="D52" s="174">
        <f>SUM(D47:D51)</f>
        <v>158000</v>
      </c>
      <c r="E52" s="174">
        <f>SUM(E47:E51)</f>
        <v>196000</v>
      </c>
      <c r="F52" s="233"/>
      <c r="G52" s="175" t="s">
        <v>237</v>
      </c>
    </row>
    <row r="53" spans="2:10" x14ac:dyDescent="0.25">
      <c r="B53" s="172" t="s">
        <v>118</v>
      </c>
      <c r="C53" s="161">
        <v>0</v>
      </c>
      <c r="D53" s="161">
        <v>16000</v>
      </c>
      <c r="E53" s="161">
        <v>20000</v>
      </c>
      <c r="F53" s="233" t="s">
        <v>121</v>
      </c>
      <c r="G53" t="s">
        <v>41</v>
      </c>
    </row>
    <row r="54" spans="2:10" x14ac:dyDescent="0.25">
      <c r="B54" s="169" t="s">
        <v>112</v>
      </c>
      <c r="C54" s="161">
        <v>3000</v>
      </c>
      <c r="D54" s="161">
        <v>0</v>
      </c>
      <c r="E54" s="161">
        <v>0</v>
      </c>
      <c r="F54" s="233" t="s">
        <v>121</v>
      </c>
    </row>
    <row r="55" spans="2:10" x14ac:dyDescent="0.25">
      <c r="B55" s="169"/>
      <c r="C55" s="161"/>
      <c r="D55" s="161"/>
      <c r="E55" s="161"/>
      <c r="F55" s="233"/>
    </row>
    <row r="56" spans="2:10" ht="22.5" customHeight="1" x14ac:dyDescent="0.25">
      <c r="B56" s="173" t="s">
        <v>108</v>
      </c>
      <c r="C56" s="174">
        <f>SUM(C52:C55)</f>
        <v>91000</v>
      </c>
      <c r="D56" s="174">
        <f>SUM(D52:D55)</f>
        <v>174000</v>
      </c>
      <c r="E56" s="174">
        <f>SUM(E52:E55)</f>
        <v>216000</v>
      </c>
      <c r="F56" s="66"/>
    </row>
    <row r="58" spans="2:10" ht="27.75" customHeight="1" x14ac:dyDescent="0.25">
      <c r="B58" s="281"/>
    </row>
    <row r="59" spans="2:10" ht="27" customHeight="1" x14ac:dyDescent="0.25">
      <c r="B59" s="282" t="s">
        <v>192</v>
      </c>
    </row>
    <row r="60" spans="2:10" ht="49.15" customHeight="1" x14ac:dyDescent="0.25">
      <c r="B60" s="430"/>
      <c r="C60" s="431"/>
      <c r="D60" s="431"/>
      <c r="E60" s="278" t="s">
        <v>252</v>
      </c>
      <c r="F60" s="147">
        <v>2021</v>
      </c>
      <c r="G60" s="148">
        <v>2022</v>
      </c>
      <c r="H60" s="148">
        <v>2023</v>
      </c>
      <c r="I60" s="148">
        <v>2024</v>
      </c>
      <c r="J60" s="149">
        <v>2025</v>
      </c>
    </row>
    <row r="61" spans="2:10" ht="15.6" customHeight="1" x14ac:dyDescent="0.25">
      <c r="B61" s="283" t="s">
        <v>114</v>
      </c>
      <c r="C61" s="21"/>
      <c r="D61" s="21"/>
      <c r="E61" s="433"/>
      <c r="F61" s="21"/>
      <c r="G61" s="21"/>
      <c r="H61" s="21"/>
      <c r="I61" s="21" t="s">
        <v>41</v>
      </c>
      <c r="J61" s="22"/>
    </row>
    <row r="62" spans="2:10" x14ac:dyDescent="0.25">
      <c r="B62" s="291" t="s">
        <v>342</v>
      </c>
      <c r="C62" s="21"/>
      <c r="D62" s="21"/>
      <c r="E62" s="434">
        <f>SUM(F62:J62)</f>
        <v>20000</v>
      </c>
      <c r="F62" s="292" t="s">
        <v>41</v>
      </c>
      <c r="G62" s="630">
        <v>10000</v>
      </c>
      <c r="H62" s="271">
        <v>10000</v>
      </c>
      <c r="I62" s="292" t="s">
        <v>41</v>
      </c>
      <c r="J62" s="293" t="s">
        <v>41</v>
      </c>
    </row>
    <row r="63" spans="2:10" x14ac:dyDescent="0.25">
      <c r="B63" s="294"/>
      <c r="C63" s="21"/>
      <c r="D63" s="21"/>
      <c r="E63" s="435"/>
      <c r="F63" s="289"/>
      <c r="G63" s="630"/>
      <c r="H63" s="167"/>
      <c r="I63" s="167"/>
      <c r="J63" s="417"/>
    </row>
    <row r="64" spans="2:10" ht="13.15" customHeight="1" x14ac:dyDescent="0.25">
      <c r="B64" s="283" t="s">
        <v>195</v>
      </c>
      <c r="C64" s="21"/>
      <c r="D64" s="21"/>
      <c r="E64" s="435"/>
      <c r="F64" s="289"/>
      <c r="G64" s="630"/>
      <c r="H64" s="167"/>
      <c r="I64" s="21"/>
      <c r="J64" s="22"/>
    </row>
    <row r="65" spans="2:10" x14ac:dyDescent="0.25">
      <c r="B65" s="291" t="s">
        <v>203</v>
      </c>
      <c r="C65" s="21"/>
      <c r="D65" s="21"/>
      <c r="E65" s="434">
        <f>SUM(F65:J65)</f>
        <v>19500</v>
      </c>
      <c r="F65" s="292"/>
      <c r="G65" s="630">
        <f>14500+5000</f>
        <v>19500</v>
      </c>
      <c r="H65" s="292" t="s">
        <v>41</v>
      </c>
      <c r="I65" s="289"/>
      <c r="J65" s="290"/>
    </row>
    <row r="66" spans="2:10" x14ac:dyDescent="0.25">
      <c r="B66" s="294"/>
      <c r="C66" s="21"/>
      <c r="D66" s="21"/>
      <c r="E66" s="435"/>
      <c r="F66" s="289"/>
      <c r="G66" s="630"/>
      <c r="H66" s="167"/>
      <c r="I66" s="21"/>
      <c r="J66" s="22"/>
    </row>
    <row r="67" spans="2:10" x14ac:dyDescent="0.25">
      <c r="B67" s="283" t="s">
        <v>253</v>
      </c>
      <c r="C67" s="21"/>
      <c r="D67" s="21"/>
      <c r="E67" s="435"/>
      <c r="F67" s="289"/>
      <c r="G67" s="368"/>
      <c r="H67" s="21"/>
      <c r="I67" s="21"/>
      <c r="J67" s="22"/>
    </row>
    <row r="68" spans="2:10" x14ac:dyDescent="0.25">
      <c r="B68" s="291" t="s">
        <v>202</v>
      </c>
      <c r="C68" s="21"/>
      <c r="D68" s="167"/>
      <c r="E68" s="434">
        <f>SUM(F68:J68)</f>
        <v>27500</v>
      </c>
      <c r="F68" s="292"/>
      <c r="G68" s="630">
        <f>22500+5000</f>
        <v>27500</v>
      </c>
      <c r="H68" s="292" t="s">
        <v>41</v>
      </c>
      <c r="I68" s="289"/>
      <c r="J68" s="290"/>
    </row>
    <row r="69" spans="2:10" x14ac:dyDescent="0.25">
      <c r="B69" s="294"/>
      <c r="C69" s="21"/>
      <c r="D69" s="21"/>
      <c r="E69" s="435"/>
      <c r="F69" s="289"/>
      <c r="G69" s="630"/>
      <c r="H69" s="167"/>
      <c r="I69" s="21"/>
      <c r="J69" s="22"/>
    </row>
    <row r="70" spans="2:10" ht="15.6" customHeight="1" x14ac:dyDescent="0.25">
      <c r="B70" s="283" t="s">
        <v>199</v>
      </c>
      <c r="C70" s="21"/>
      <c r="D70" s="21"/>
      <c r="E70" s="435"/>
      <c r="F70" s="289"/>
      <c r="G70" s="368"/>
      <c r="H70" s="21"/>
      <c r="I70" s="21"/>
      <c r="J70" s="22"/>
    </row>
    <row r="71" spans="2:10" x14ac:dyDescent="0.25">
      <c r="B71" s="291" t="s">
        <v>203</v>
      </c>
      <c r="C71" s="21"/>
      <c r="D71" s="21"/>
      <c r="E71" s="434">
        <f>SUM(F71:J71)</f>
        <v>3000</v>
      </c>
      <c r="F71" s="292"/>
      <c r="G71" s="630">
        <v>3000</v>
      </c>
      <c r="H71" s="289"/>
      <c r="I71" s="289"/>
      <c r="J71" s="290"/>
    </row>
    <row r="72" spans="2:10" x14ac:dyDescent="0.25">
      <c r="B72" s="294"/>
      <c r="C72" s="21"/>
      <c r="D72" s="21"/>
      <c r="E72" s="435"/>
      <c r="F72" s="21"/>
      <c r="G72" s="21"/>
      <c r="H72" s="21"/>
      <c r="I72" s="21"/>
      <c r="J72" s="22"/>
    </row>
    <row r="73" spans="2:10" x14ac:dyDescent="0.25">
      <c r="B73" s="432" t="s">
        <v>220</v>
      </c>
      <c r="C73" s="133"/>
      <c r="D73" s="133"/>
      <c r="E73" s="436">
        <f t="shared" ref="E73:J73" si="1">SUM(E62:E72)</f>
        <v>70000</v>
      </c>
      <c r="F73" s="279">
        <f t="shared" si="1"/>
        <v>0</v>
      </c>
      <c r="G73" s="279">
        <f t="shared" si="1"/>
        <v>60000</v>
      </c>
      <c r="H73" s="279">
        <f t="shared" si="1"/>
        <v>10000</v>
      </c>
      <c r="I73" s="279">
        <f t="shared" si="1"/>
        <v>0</v>
      </c>
      <c r="J73" s="280">
        <f t="shared" si="1"/>
        <v>0</v>
      </c>
    </row>
    <row r="74" spans="2:10" x14ac:dyDescent="0.25">
      <c r="B74" s="281"/>
    </row>
    <row r="75" spans="2:10" x14ac:dyDescent="0.25">
      <c r="B75" t="s">
        <v>441</v>
      </c>
    </row>
  </sheetData>
  <mergeCells count="10">
    <mergeCell ref="B7:F7"/>
    <mergeCell ref="G7:H7"/>
    <mergeCell ref="B8:F8"/>
    <mergeCell ref="G8:H8"/>
    <mergeCell ref="B13:E13"/>
    <mergeCell ref="B5:F5"/>
    <mergeCell ref="G5:H5"/>
    <mergeCell ref="B6:F6"/>
    <mergeCell ref="G6:H6"/>
    <mergeCell ref="G4:H4"/>
  </mergeCells>
  <pageMargins left="0.7" right="0.7" top="0.75" bottom="0.75" header="0.3" footer="0.3"/>
  <pageSetup paperSize="9" orientation="portrait" r:id="rId1"/>
  <ignoredErrors>
    <ignoredError sqref="C52:D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2"/>
  <sheetViews>
    <sheetView topLeftCell="A34" workbookViewId="0">
      <selection activeCell="G43" sqref="G43"/>
    </sheetView>
  </sheetViews>
  <sheetFormatPr baseColWidth="10" defaultRowHeight="15" x14ac:dyDescent="0.25"/>
  <cols>
    <col min="2" max="2" width="16.140625" customWidth="1"/>
    <col min="5" max="5" width="17.5703125" customWidth="1"/>
    <col min="6" max="6" width="15.28515625" customWidth="1"/>
    <col min="12" max="12" width="2.140625" customWidth="1"/>
  </cols>
  <sheetData>
    <row r="1" spans="1:16" ht="18.75" x14ac:dyDescent="0.25">
      <c r="B1" s="230">
        <v>3</v>
      </c>
      <c r="C1" s="121" t="s">
        <v>160</v>
      </c>
    </row>
    <row r="4" spans="1:16" ht="15.75" x14ac:dyDescent="0.25">
      <c r="A4" s="266" t="s">
        <v>193</v>
      </c>
    </row>
    <row r="5" spans="1:16" ht="15.75" thickBot="1" x14ac:dyDescent="0.3"/>
    <row r="6" spans="1:16" ht="16.5" thickBot="1" x14ac:dyDescent="0.3">
      <c r="B6" s="209" t="s">
        <v>154</v>
      </c>
      <c r="C6" s="210"/>
      <c r="D6" s="211"/>
    </row>
    <row r="8" spans="1:16" x14ac:dyDescent="0.25">
      <c r="B8" s="212" t="s">
        <v>155</v>
      </c>
      <c r="C8" s="133"/>
      <c r="D8" s="133"/>
      <c r="E8" s="133"/>
      <c r="F8" s="627" t="s">
        <v>429</v>
      </c>
      <c r="G8" s="213">
        <v>2021</v>
      </c>
      <c r="H8" s="213">
        <v>2022</v>
      </c>
      <c r="I8" s="213">
        <v>2023</v>
      </c>
      <c r="J8" s="213">
        <v>2024</v>
      </c>
      <c r="K8" s="213">
        <v>2025</v>
      </c>
      <c r="L8" s="213"/>
      <c r="M8" s="213" t="s">
        <v>135</v>
      </c>
      <c r="N8" s="214"/>
      <c r="P8">
        <v>2021</v>
      </c>
    </row>
    <row r="10" spans="1:16" ht="16.5" x14ac:dyDescent="0.25">
      <c r="B10" s="205" t="s">
        <v>176</v>
      </c>
      <c r="C10" s="206" t="s">
        <v>423</v>
      </c>
      <c r="D10" s="207"/>
      <c r="E10" s="207"/>
      <c r="F10" s="625" t="s">
        <v>415</v>
      </c>
      <c r="G10" s="191">
        <v>0</v>
      </c>
      <c r="H10" s="191">
        <v>25584</v>
      </c>
      <c r="I10" s="191">
        <v>25584</v>
      </c>
      <c r="J10" s="191">
        <v>25584</v>
      </c>
      <c r="K10" s="191">
        <v>25584</v>
      </c>
      <c r="M10" s="628" t="s">
        <v>153</v>
      </c>
    </row>
    <row r="11" spans="1:16" ht="16.5" x14ac:dyDescent="0.25">
      <c r="B11" s="208" t="s">
        <v>176</v>
      </c>
      <c r="C11" s="189" t="s">
        <v>424</v>
      </c>
      <c r="D11" s="190"/>
      <c r="E11" s="190"/>
      <c r="F11" s="625" t="s">
        <v>416</v>
      </c>
      <c r="G11" s="191">
        <f>SUM(L11:W11)</f>
        <v>1</v>
      </c>
      <c r="H11" s="191">
        <v>25440</v>
      </c>
      <c r="I11" s="191">
        <v>25440</v>
      </c>
      <c r="J11" s="191">
        <v>25440</v>
      </c>
      <c r="K11" s="191">
        <v>25440</v>
      </c>
      <c r="P11">
        <v>1</v>
      </c>
    </row>
    <row r="12" spans="1:16" ht="16.5" x14ac:dyDescent="0.25">
      <c r="B12" s="208" t="s">
        <v>176</v>
      </c>
      <c r="C12" s="189" t="s">
        <v>414</v>
      </c>
      <c r="D12" s="190"/>
      <c r="E12" s="190"/>
      <c r="F12" s="625" t="s">
        <v>417</v>
      </c>
      <c r="G12" s="191">
        <f>SUM(L12:W12)</f>
        <v>0</v>
      </c>
      <c r="H12" s="191">
        <v>38400</v>
      </c>
      <c r="I12" s="191">
        <v>76800</v>
      </c>
      <c r="J12" s="191">
        <v>76800</v>
      </c>
      <c r="K12" s="191">
        <v>76800</v>
      </c>
    </row>
    <row r="13" spans="1:16" ht="16.5" x14ac:dyDescent="0.25">
      <c r="B13" s="208" t="s">
        <v>176</v>
      </c>
      <c r="C13" s="194" t="s">
        <v>419</v>
      </c>
      <c r="D13" s="195"/>
      <c r="E13" s="195"/>
      <c r="F13" s="625" t="s">
        <v>420</v>
      </c>
      <c r="G13" s="191">
        <v>0</v>
      </c>
      <c r="H13" s="191">
        <v>36000</v>
      </c>
      <c r="I13" s="191">
        <v>66000</v>
      </c>
      <c r="J13" s="191">
        <v>66000</v>
      </c>
      <c r="K13" s="191">
        <v>66000</v>
      </c>
      <c r="M13" t="s">
        <v>175</v>
      </c>
    </row>
    <row r="14" spans="1:16" ht="16.5" x14ac:dyDescent="0.25">
      <c r="B14" s="208" t="s">
        <v>176</v>
      </c>
      <c r="C14" s="194" t="s">
        <v>134</v>
      </c>
      <c r="D14" s="195"/>
      <c r="E14" s="195"/>
      <c r="F14" s="625" t="s">
        <v>418</v>
      </c>
      <c r="G14" s="191">
        <f>SUM(L14:W14)</f>
        <v>0</v>
      </c>
      <c r="H14" s="191">
        <v>16000</v>
      </c>
      <c r="I14" s="191">
        <v>38000</v>
      </c>
      <c r="J14" s="191">
        <v>50000</v>
      </c>
      <c r="K14" s="191">
        <v>62000</v>
      </c>
      <c r="M14" t="s">
        <v>177</v>
      </c>
    </row>
    <row r="15" spans="1:16" ht="16.5" x14ac:dyDescent="0.25">
      <c r="B15" s="216" t="s">
        <v>176</v>
      </c>
      <c r="C15" s="217" t="s">
        <v>421</v>
      </c>
      <c r="D15" s="218"/>
      <c r="E15" s="218"/>
      <c r="F15" s="626" t="s">
        <v>422</v>
      </c>
      <c r="G15" s="219">
        <f>SUM(L15:W15)</f>
        <v>0</v>
      </c>
      <c r="H15" s="219">
        <v>27000</v>
      </c>
      <c r="I15" s="219">
        <v>27000</v>
      </c>
      <c r="J15" s="219">
        <v>27000</v>
      </c>
      <c r="K15" s="219">
        <v>27000</v>
      </c>
      <c r="M15" t="s">
        <v>157</v>
      </c>
    </row>
    <row r="16" spans="1:16" x14ac:dyDescent="0.25">
      <c r="B16" s="220"/>
      <c r="C16" s="221"/>
      <c r="D16" s="221"/>
      <c r="E16" s="221"/>
      <c r="F16" s="221"/>
      <c r="G16" s="221"/>
      <c r="H16" s="221"/>
      <c r="I16" s="221"/>
      <c r="J16" s="222"/>
      <c r="K16" s="222"/>
    </row>
    <row r="17" spans="1:11" x14ac:dyDescent="0.25">
      <c r="B17" s="223" t="s">
        <v>156</v>
      </c>
      <c r="C17" s="224"/>
      <c r="D17" s="224"/>
      <c r="E17" s="224"/>
      <c r="F17" s="224"/>
      <c r="G17" s="224"/>
      <c r="H17" s="225">
        <f>SUM(H10:H16)</f>
        <v>168424</v>
      </c>
      <c r="I17" s="225">
        <f>SUM(I10:I16)</f>
        <v>258824</v>
      </c>
      <c r="J17" s="226">
        <f>SUM(J10:J16)</f>
        <v>270824</v>
      </c>
      <c r="K17" s="226">
        <f>SUM(K10:K16)</f>
        <v>282824</v>
      </c>
    </row>
    <row r="18" spans="1:11" x14ac:dyDescent="0.25">
      <c r="B18" s="227"/>
      <c r="C18" s="228"/>
      <c r="D18" s="228"/>
      <c r="E18" s="228"/>
      <c r="F18" s="228"/>
      <c r="G18" s="228"/>
      <c r="H18" s="228"/>
      <c r="I18" s="228"/>
      <c r="J18" s="229"/>
      <c r="K18" s="229"/>
    </row>
    <row r="21" spans="1:11" x14ac:dyDescent="0.25">
      <c r="A21" s="215" t="s">
        <v>153</v>
      </c>
      <c r="B21" s="196" t="s">
        <v>425</v>
      </c>
      <c r="C21" s="197"/>
      <c r="D21" s="197"/>
      <c r="E21" s="198"/>
    </row>
    <row r="22" spans="1:11" x14ac:dyDescent="0.25">
      <c r="B22" s="199" t="s">
        <v>402</v>
      </c>
      <c r="C22" s="200"/>
      <c r="D22" s="200"/>
      <c r="E22" s="201"/>
    </row>
    <row r="23" spans="1:11" x14ac:dyDescent="0.25">
      <c r="B23" s="202" t="s">
        <v>428</v>
      </c>
      <c r="C23" s="203"/>
      <c r="D23" s="203"/>
      <c r="E23" s="204"/>
    </row>
    <row r="26" spans="1:11" ht="16.5" x14ac:dyDescent="0.25">
      <c r="B26" s="183" t="s">
        <v>174</v>
      </c>
    </row>
    <row r="27" spans="1:11" x14ac:dyDescent="0.25">
      <c r="B27" s="150"/>
    </row>
    <row r="28" spans="1:11" x14ac:dyDescent="0.25">
      <c r="B28" s="150"/>
    </row>
    <row r="29" spans="1:11" ht="24" x14ac:dyDescent="0.25">
      <c r="B29" s="182" t="s">
        <v>122</v>
      </c>
      <c r="C29" s="162" t="s">
        <v>105</v>
      </c>
      <c r="D29" s="163" t="s">
        <v>99</v>
      </c>
      <c r="E29" s="163" t="s">
        <v>123</v>
      </c>
      <c r="F29" s="16"/>
      <c r="G29" s="20"/>
      <c r="H29" s="20"/>
      <c r="I29" s="20"/>
      <c r="J29" s="20" t="s">
        <v>41</v>
      </c>
    </row>
    <row r="30" spans="1:11" x14ac:dyDescent="0.25">
      <c r="B30" s="164" t="s">
        <v>41</v>
      </c>
      <c r="C30" s="154"/>
      <c r="D30" s="165">
        <v>8000</v>
      </c>
      <c r="E30" s="165">
        <v>3000</v>
      </c>
      <c r="F30" s="176"/>
      <c r="G30" s="145"/>
      <c r="H30" s="145"/>
      <c r="I30" s="145"/>
      <c r="J30" s="145" t="s">
        <v>41</v>
      </c>
    </row>
    <row r="31" spans="1:11" x14ac:dyDescent="0.25">
      <c r="B31" s="177"/>
      <c r="C31" s="21"/>
      <c r="D31" s="176"/>
      <c r="E31" s="176"/>
      <c r="F31" s="176"/>
      <c r="G31" s="145"/>
      <c r="H31" s="145"/>
      <c r="I31" s="145"/>
      <c r="J31" s="145"/>
    </row>
    <row r="32" spans="1:11" x14ac:dyDescent="0.25">
      <c r="B32" s="152"/>
      <c r="C32" s="146"/>
      <c r="E32" s="145"/>
      <c r="F32" s="145"/>
      <c r="G32" s="145"/>
      <c r="H32" s="145"/>
      <c r="I32" s="145"/>
      <c r="J32" s="145"/>
    </row>
    <row r="33" spans="1:9" ht="24.75" x14ac:dyDescent="0.25">
      <c r="B33" s="259" t="s">
        <v>125</v>
      </c>
      <c r="C33" s="251" t="s">
        <v>102</v>
      </c>
      <c r="D33" s="147">
        <v>2021</v>
      </c>
      <c r="E33" s="148">
        <v>2022</v>
      </c>
      <c r="F33" s="148">
        <v>2023</v>
      </c>
      <c r="G33" s="148">
        <v>2024</v>
      </c>
      <c r="H33" s="148">
        <v>2025</v>
      </c>
      <c r="I33" s="149">
        <v>2026</v>
      </c>
    </row>
    <row r="34" spans="1:9" x14ac:dyDescent="0.25">
      <c r="B34" s="260"/>
      <c r="C34" s="252"/>
      <c r="D34" s="21"/>
      <c r="E34" s="21"/>
      <c r="F34" s="21"/>
      <c r="G34" s="21"/>
      <c r="H34" s="21"/>
      <c r="I34" s="22"/>
    </row>
    <row r="35" spans="1:9" x14ac:dyDescent="0.25">
      <c r="B35" s="261">
        <v>2021</v>
      </c>
      <c r="C35" s="253">
        <v>0</v>
      </c>
      <c r="D35" s="254">
        <v>0</v>
      </c>
      <c r="E35" s="254">
        <f>C35</f>
        <v>0</v>
      </c>
      <c r="F35" s="254">
        <f>E35</f>
        <v>0</v>
      </c>
      <c r="G35" s="254">
        <f>F35</f>
        <v>0</v>
      </c>
      <c r="H35" s="254">
        <f>G35</f>
        <v>0</v>
      </c>
      <c r="I35" s="255">
        <f>H35</f>
        <v>0</v>
      </c>
    </row>
    <row r="36" spans="1:9" x14ac:dyDescent="0.25">
      <c r="B36" s="262">
        <v>2022</v>
      </c>
      <c r="C36" s="254">
        <v>2</v>
      </c>
      <c r="D36" s="224"/>
      <c r="E36" s="256">
        <f>D30*C36</f>
        <v>16000</v>
      </c>
      <c r="F36" s="256">
        <f>E30*C36</f>
        <v>6000</v>
      </c>
      <c r="G36" s="256">
        <f>E30*C36</f>
        <v>6000</v>
      </c>
      <c r="H36" s="256">
        <f>E30*C36</f>
        <v>6000</v>
      </c>
      <c r="I36" s="257">
        <f>E30*C36</f>
        <v>6000</v>
      </c>
    </row>
    <row r="37" spans="1:9" x14ac:dyDescent="0.25">
      <c r="B37" s="262">
        <v>2023</v>
      </c>
      <c r="C37" s="254">
        <v>4</v>
      </c>
      <c r="D37" s="224"/>
      <c r="E37" s="224"/>
      <c r="F37" s="256">
        <f>D30*C37</f>
        <v>32000</v>
      </c>
      <c r="G37" s="256">
        <f>E30*C37</f>
        <v>12000</v>
      </c>
      <c r="H37" s="256">
        <f>E30*C37</f>
        <v>12000</v>
      </c>
      <c r="I37" s="257">
        <f>E30*C37</f>
        <v>12000</v>
      </c>
    </row>
    <row r="38" spans="1:9" x14ac:dyDescent="0.25">
      <c r="B38" s="262">
        <v>2024</v>
      </c>
      <c r="C38" s="254">
        <v>4</v>
      </c>
      <c r="D38" s="224"/>
      <c r="E38" s="224"/>
      <c r="F38" s="224"/>
      <c r="G38" s="256">
        <f>D30*C38</f>
        <v>32000</v>
      </c>
      <c r="H38" s="256">
        <f>E30*C38</f>
        <v>12000</v>
      </c>
      <c r="I38" s="257">
        <f>E30*C38</f>
        <v>12000</v>
      </c>
    </row>
    <row r="39" spans="1:9" x14ac:dyDescent="0.25">
      <c r="B39" s="262">
        <v>2025</v>
      </c>
      <c r="C39" s="254">
        <v>4</v>
      </c>
      <c r="D39" s="224"/>
      <c r="E39" s="224"/>
      <c r="F39" s="224"/>
      <c r="G39" s="258"/>
      <c r="H39" s="256">
        <f>D30*C39</f>
        <v>32000</v>
      </c>
      <c r="I39" s="257">
        <f>E30*C39</f>
        <v>12000</v>
      </c>
    </row>
    <row r="40" spans="1:9" x14ac:dyDescent="0.25">
      <c r="B40" s="262">
        <v>2026</v>
      </c>
      <c r="C40" s="254">
        <v>5</v>
      </c>
      <c r="D40" s="224"/>
      <c r="E40" s="224"/>
      <c r="F40" s="224"/>
      <c r="G40" s="258"/>
      <c r="H40" s="258"/>
      <c r="I40" s="257">
        <f>D30*C40</f>
        <v>40000</v>
      </c>
    </row>
    <row r="41" spans="1:9" x14ac:dyDescent="0.25">
      <c r="B41" s="263"/>
      <c r="C41" s="21"/>
      <c r="D41" s="21"/>
      <c r="E41" s="21"/>
      <c r="F41" s="21"/>
      <c r="G41" s="21"/>
      <c r="H41" s="21"/>
      <c r="I41" s="22"/>
    </row>
    <row r="42" spans="1:9" ht="45" x14ac:dyDescent="0.25">
      <c r="B42" s="178" t="s">
        <v>124</v>
      </c>
      <c r="C42" s="179"/>
      <c r="D42" s="180">
        <f>SUM(D35:D39)</f>
        <v>0</v>
      </c>
      <c r="E42" s="180">
        <f>SUM(E35:E39)</f>
        <v>16000</v>
      </c>
      <c r="F42" s="180">
        <f>SUM(F35:F39)</f>
        <v>38000</v>
      </c>
      <c r="G42" s="180">
        <f>SUM(G35:G39)</f>
        <v>50000</v>
      </c>
      <c r="H42" s="180">
        <f>SUM(H35:H39)</f>
        <v>62000</v>
      </c>
      <c r="I42" s="181">
        <f>SUM(I36:I40)</f>
        <v>82000</v>
      </c>
    </row>
    <row r="45" spans="1:9" ht="15.75" x14ac:dyDescent="0.25">
      <c r="A45" s="266" t="s">
        <v>192</v>
      </c>
    </row>
    <row r="46" spans="1:9" ht="15.75" x14ac:dyDescent="0.25">
      <c r="A46" s="266"/>
      <c r="B46" s="295"/>
      <c r="C46" s="133"/>
      <c r="D46" s="296">
        <v>2021</v>
      </c>
      <c r="E46" s="296">
        <v>2022</v>
      </c>
      <c r="F46" s="296">
        <v>2023</v>
      </c>
      <c r="G46" s="296">
        <v>2024</v>
      </c>
      <c r="H46" s="297">
        <v>2025</v>
      </c>
    </row>
    <row r="47" spans="1:9" ht="15.75" x14ac:dyDescent="0.25">
      <c r="A47" s="266"/>
      <c r="B47" s="284"/>
      <c r="C47" s="21"/>
      <c r="D47" s="285"/>
      <c r="E47" s="285"/>
      <c r="F47" s="285"/>
      <c r="G47" s="285"/>
      <c r="H47" s="286"/>
    </row>
    <row r="48" spans="1:9" x14ac:dyDescent="0.25">
      <c r="B48" s="287" t="s">
        <v>8</v>
      </c>
      <c r="C48" s="21"/>
      <c r="D48" s="21"/>
      <c r="E48" s="21"/>
      <c r="F48" s="21"/>
      <c r="G48" s="21"/>
      <c r="H48" s="22"/>
    </row>
    <row r="49" spans="1:8" x14ac:dyDescent="0.25">
      <c r="A49" s="273" t="s">
        <v>41</v>
      </c>
      <c r="B49" s="287" t="s">
        <v>197</v>
      </c>
      <c r="C49" s="21"/>
      <c r="D49" s="631"/>
      <c r="E49" s="288">
        <v>15000</v>
      </c>
      <c r="F49" s="289"/>
      <c r="G49" s="289"/>
      <c r="H49" s="290"/>
    </row>
    <row r="50" spans="1:8" x14ac:dyDescent="0.25">
      <c r="B50" s="287" t="s">
        <v>196</v>
      </c>
      <c r="C50" s="21"/>
      <c r="D50" s="631"/>
      <c r="E50" s="288">
        <v>4100</v>
      </c>
      <c r="F50" s="289"/>
      <c r="G50" s="289"/>
      <c r="H50" s="290"/>
    </row>
    <row r="51" spans="1:8" x14ac:dyDescent="0.25">
      <c r="B51" s="284"/>
      <c r="C51" s="21"/>
      <c r="E51" s="21"/>
      <c r="F51" s="21"/>
      <c r="G51" s="21"/>
      <c r="H51" s="22"/>
    </row>
    <row r="52" spans="1:8" x14ac:dyDescent="0.25">
      <c r="B52" s="693"/>
      <c r="C52" s="133"/>
      <c r="D52" s="279">
        <f t="shared" ref="D52:H52" si="0">SUM(D49:D51)</f>
        <v>0</v>
      </c>
      <c r="E52" s="279">
        <f>SUM(E49:E51)</f>
        <v>19100</v>
      </c>
      <c r="F52" s="279">
        <f t="shared" si="0"/>
        <v>0</v>
      </c>
      <c r="G52" s="279">
        <f t="shared" si="0"/>
        <v>0</v>
      </c>
      <c r="H52" s="280">
        <f t="shared" si="0"/>
        <v>0</v>
      </c>
    </row>
  </sheetData>
  <pageMargins left="0.7" right="0.7" top="0.75" bottom="0.75" header="0.3" footer="0.3"/>
  <pageSetup paperSize="9" orientation="portrait" r:id="rId1"/>
  <ignoredErrors>
    <ignoredError sqref="M10" numberStoredAsText="1"/>
    <ignoredError sqref="G11:G12 G1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4"/>
  <sheetViews>
    <sheetView tabSelected="1" workbookViewId="0">
      <selection activeCell="F12" sqref="F12"/>
    </sheetView>
  </sheetViews>
  <sheetFormatPr baseColWidth="10" defaultRowHeight="15" x14ac:dyDescent="0.25"/>
  <cols>
    <col min="3" max="3" width="35" customWidth="1"/>
    <col min="4" max="4" width="14.140625" customWidth="1"/>
    <col min="5" max="5" width="12.42578125" customWidth="1"/>
  </cols>
  <sheetData>
    <row r="6" spans="3:7" x14ac:dyDescent="0.25">
      <c r="C6" t="s">
        <v>431</v>
      </c>
      <c r="F6">
        <v>12</v>
      </c>
    </row>
    <row r="8" spans="3:7" x14ac:dyDescent="0.25">
      <c r="C8" t="s">
        <v>432</v>
      </c>
      <c r="F8">
        <v>300</v>
      </c>
      <c r="G8" t="s">
        <v>433</v>
      </c>
    </row>
    <row r="9" spans="3:7" x14ac:dyDescent="0.25">
      <c r="C9" t="s">
        <v>434</v>
      </c>
      <c r="F9">
        <v>25</v>
      </c>
    </row>
    <row r="10" spans="3:7" x14ac:dyDescent="0.25">
      <c r="C10" t="s">
        <v>437</v>
      </c>
      <c r="F10" t="s">
        <v>41</v>
      </c>
    </row>
    <row r="11" spans="3:7" x14ac:dyDescent="0.25">
      <c r="C11" s="629" t="s">
        <v>435</v>
      </c>
      <c r="D11" s="629">
        <v>25</v>
      </c>
      <c r="E11" s="629" t="s">
        <v>438</v>
      </c>
      <c r="F11">
        <f>+F8*F9</f>
        <v>7500</v>
      </c>
    </row>
    <row r="12" spans="3:7" x14ac:dyDescent="0.25">
      <c r="C12" s="629" t="s">
        <v>436</v>
      </c>
      <c r="D12" s="629">
        <v>2.5</v>
      </c>
      <c r="E12" s="629" t="s">
        <v>438</v>
      </c>
      <c r="F12">
        <v>25</v>
      </c>
    </row>
    <row r="13" spans="3:7" x14ac:dyDescent="0.25">
      <c r="C13" s="629" t="s">
        <v>439</v>
      </c>
      <c r="D13">
        <v>2.5</v>
      </c>
    </row>
    <row r="14" spans="3:7" x14ac:dyDescent="0.25">
      <c r="C14" s="629" t="s">
        <v>440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"/>
  <sheetViews>
    <sheetView workbookViewId="0">
      <selection activeCell="J31" sqref="J31"/>
    </sheetView>
  </sheetViews>
  <sheetFormatPr baseColWidth="10" defaultRowHeight="15" x14ac:dyDescent="0.25"/>
  <cols>
    <col min="2" max="2" width="13" customWidth="1"/>
    <col min="4" max="4" width="14.5703125" customWidth="1"/>
    <col min="5" max="5" width="13.42578125" customWidth="1"/>
    <col min="6" max="6" width="18" customWidth="1"/>
    <col min="8" max="8" width="15.28515625" customWidth="1"/>
    <col min="9" max="9" width="13.42578125" customWidth="1"/>
    <col min="10" max="10" width="14.85546875" customWidth="1"/>
    <col min="11" max="11" width="13.85546875" customWidth="1"/>
  </cols>
  <sheetData>
    <row r="1" spans="1:11" ht="18.75" x14ac:dyDescent="0.25">
      <c r="B1" s="230">
        <v>4</v>
      </c>
      <c r="C1" s="121" t="s">
        <v>159</v>
      </c>
    </row>
    <row r="4" spans="1:11" ht="15.75" x14ac:dyDescent="0.25">
      <c r="A4" s="266" t="s">
        <v>193</v>
      </c>
    </row>
    <row r="6" spans="1:11" x14ac:dyDescent="0.25">
      <c r="B6" s="1" t="s">
        <v>128</v>
      </c>
    </row>
    <row r="8" spans="1:11" ht="66.75" customHeight="1" x14ac:dyDescent="0.25">
      <c r="B8" s="154"/>
      <c r="C8" s="244" t="s">
        <v>205</v>
      </c>
      <c r="D8" s="731" t="s">
        <v>179</v>
      </c>
      <c r="E8" s="732"/>
      <c r="F8" s="245" t="s">
        <v>181</v>
      </c>
      <c r="G8" s="244" t="s">
        <v>129</v>
      </c>
      <c r="H8" s="244" t="s">
        <v>184</v>
      </c>
      <c r="I8" s="244" t="s">
        <v>178</v>
      </c>
      <c r="J8" s="244" t="s">
        <v>183</v>
      </c>
      <c r="K8" s="244" t="s">
        <v>130</v>
      </c>
    </row>
    <row r="9" spans="1:11" ht="14.45" customHeight="1" x14ac:dyDescent="0.25">
      <c r="B9" s="154"/>
      <c r="C9" s="244" t="s">
        <v>182</v>
      </c>
      <c r="D9" s="391" t="s">
        <v>180</v>
      </c>
      <c r="E9" s="392" t="s">
        <v>182</v>
      </c>
      <c r="F9" s="245" t="s">
        <v>180</v>
      </c>
      <c r="G9" s="244" t="s">
        <v>182</v>
      </c>
      <c r="H9" s="244" t="s">
        <v>250</v>
      </c>
      <c r="I9" s="244" t="s">
        <v>178</v>
      </c>
      <c r="J9" s="244" t="s">
        <v>182</v>
      </c>
      <c r="K9" s="244" t="s">
        <v>250</v>
      </c>
    </row>
    <row r="10" spans="1:11" x14ac:dyDescent="0.25">
      <c r="B10" s="246"/>
      <c r="C10" s="247"/>
      <c r="D10" s="248" t="s">
        <v>41</v>
      </c>
      <c r="E10" s="249" t="s">
        <v>41</v>
      </c>
      <c r="F10" s="247"/>
      <c r="G10" s="250" t="s">
        <v>185</v>
      </c>
      <c r="H10" s="250" t="s">
        <v>186</v>
      </c>
      <c r="I10" s="250" t="s">
        <v>247</v>
      </c>
      <c r="J10" s="250" t="s">
        <v>249</v>
      </c>
      <c r="K10" s="250" t="s">
        <v>248</v>
      </c>
    </row>
    <row r="11" spans="1:11" x14ac:dyDescent="0.25">
      <c r="B11" s="154"/>
      <c r="C11" s="299"/>
      <c r="D11" s="154"/>
      <c r="E11" s="154"/>
      <c r="F11" s="154"/>
      <c r="G11" s="154"/>
      <c r="H11" s="188"/>
      <c r="I11" s="154"/>
      <c r="J11" s="154"/>
      <c r="K11" s="154"/>
    </row>
    <row r="12" spans="1:11" x14ac:dyDescent="0.25">
      <c r="B12" s="154" t="s">
        <v>131</v>
      </c>
      <c r="C12" s="300">
        <v>3800</v>
      </c>
      <c r="D12" s="187">
        <v>0.05</v>
      </c>
      <c r="E12" s="398">
        <f>+C12*D12</f>
        <v>190</v>
      </c>
      <c r="F12" s="187">
        <v>0.5</v>
      </c>
      <c r="G12" s="188">
        <f>+E12*F12</f>
        <v>95</v>
      </c>
      <c r="H12" s="397">
        <v>20</v>
      </c>
      <c r="I12" s="188">
        <v>10</v>
      </c>
      <c r="J12" s="186">
        <f>+G12*I12</f>
        <v>950</v>
      </c>
      <c r="K12" s="300">
        <f>+J12*H12</f>
        <v>19000</v>
      </c>
    </row>
    <row r="13" spans="1:11" x14ac:dyDescent="0.25">
      <c r="B13" s="154" t="s">
        <v>132</v>
      </c>
      <c r="C13" s="300">
        <v>20000</v>
      </c>
      <c r="D13" s="187">
        <v>0.05</v>
      </c>
      <c r="E13" s="398">
        <f t="shared" ref="E13:E14" si="0">+C13*D13</f>
        <v>1000</v>
      </c>
      <c r="F13" s="187">
        <v>0.5</v>
      </c>
      <c r="G13" s="188">
        <f t="shared" ref="G13:G14" si="1">+E13*F13</f>
        <v>500</v>
      </c>
      <c r="H13" s="397">
        <v>20</v>
      </c>
      <c r="I13" s="188">
        <v>10</v>
      </c>
      <c r="J13" s="186">
        <f t="shared" ref="J13:J14" si="2">+G13*I13</f>
        <v>5000</v>
      </c>
      <c r="K13" s="300">
        <f t="shared" ref="K13:K14" si="3">+J13*H13</f>
        <v>100000</v>
      </c>
    </row>
    <row r="14" spans="1:11" x14ac:dyDescent="0.25">
      <c r="B14" s="154" t="s">
        <v>133</v>
      </c>
      <c r="C14" s="300">
        <v>100000</v>
      </c>
      <c r="D14" s="187">
        <v>0.05</v>
      </c>
      <c r="E14" s="398">
        <f t="shared" si="0"/>
        <v>5000</v>
      </c>
      <c r="F14" s="187">
        <v>0.03</v>
      </c>
      <c r="G14" s="188">
        <f t="shared" si="1"/>
        <v>150</v>
      </c>
      <c r="H14" s="397">
        <v>20</v>
      </c>
      <c r="I14" s="188">
        <v>10</v>
      </c>
      <c r="J14" s="186">
        <f t="shared" si="2"/>
        <v>1500</v>
      </c>
      <c r="K14" s="300">
        <f t="shared" si="3"/>
        <v>30000</v>
      </c>
    </row>
    <row r="15" spans="1:11" x14ac:dyDescent="0.25">
      <c r="C15" s="61"/>
      <c r="H15" s="20"/>
    </row>
    <row r="16" spans="1:11" x14ac:dyDescent="0.25">
      <c r="C16" s="61"/>
      <c r="E16" t="s">
        <v>41</v>
      </c>
      <c r="H16" s="20"/>
    </row>
    <row r="17" spans="1:8" x14ac:dyDescent="0.25">
      <c r="A17" s="13"/>
      <c r="B17" s="13" t="s">
        <v>347</v>
      </c>
      <c r="C17" s="268"/>
      <c r="D17" s="13"/>
      <c r="F17" s="13" t="s">
        <v>348</v>
      </c>
      <c r="H17" s="618"/>
    </row>
    <row r="18" spans="1:8" x14ac:dyDescent="0.25">
      <c r="A18" s="13"/>
      <c r="B18" s="13"/>
      <c r="C18" s="268"/>
      <c r="D18" s="13"/>
      <c r="E18" s="13"/>
      <c r="F18" s="13"/>
      <c r="G18" s="13"/>
      <c r="H18" s="618"/>
    </row>
    <row r="19" spans="1:8" x14ac:dyDescent="0.25">
      <c r="A19" s="13"/>
      <c r="B19" s="13"/>
      <c r="C19" s="268"/>
      <c r="D19" s="13"/>
      <c r="E19" s="13"/>
      <c r="F19" s="13"/>
      <c r="G19" s="13"/>
      <c r="H19" s="618"/>
    </row>
    <row r="20" spans="1:8" x14ac:dyDescent="0.25">
      <c r="A20" s="13"/>
      <c r="B20" s="13"/>
      <c r="C20" s="268"/>
      <c r="D20" s="13"/>
      <c r="E20" s="13"/>
      <c r="F20" s="13"/>
      <c r="G20" s="13"/>
      <c r="H20" s="618"/>
    </row>
    <row r="21" spans="1:8" x14ac:dyDescent="0.25">
      <c r="A21" s="13"/>
      <c r="B21" s="13"/>
      <c r="C21" s="268"/>
      <c r="D21" s="13"/>
      <c r="E21" s="13"/>
      <c r="F21" s="13"/>
      <c r="G21" s="13"/>
      <c r="H21" s="618"/>
    </row>
    <row r="22" spans="1:8" ht="15.75" x14ac:dyDescent="0.25">
      <c r="A22" s="619" t="s">
        <v>192</v>
      </c>
      <c r="B22" s="13"/>
      <c r="C22" s="13" t="s">
        <v>346</v>
      </c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</sheetData>
  <mergeCells count="1">
    <mergeCell ref="D8:E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INDEX</vt:lpstr>
      <vt:lpstr>TdF Equilibré</vt:lpstr>
      <vt:lpstr>TdF Besoins</vt:lpstr>
      <vt:lpstr>Résultat par entité</vt:lpstr>
      <vt:lpstr>BM 1 Co-working Nogent</vt:lpstr>
      <vt:lpstr>BM 2 Franchise</vt:lpstr>
      <vt:lpstr>BM 3 Formation</vt:lpstr>
      <vt:lpstr>FORMATION</vt:lpstr>
      <vt:lpstr>BM 4 QVT</vt:lpstr>
      <vt:lpstr>Tréso &amp; Emprunts</vt:lpstr>
      <vt:lpstr>CHARGES FIXES</vt:lpstr>
      <vt:lpstr>MKT</vt:lpstr>
      <vt:lpstr>Loyers et TF</vt:lpstr>
      <vt:lpstr>Cptes Intercos</vt:lpstr>
      <vt:lpstr>BP Franchisé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Utilisateur Windows</cp:lastModifiedBy>
  <cp:lastPrinted>2021-08-25T13:07:48Z</cp:lastPrinted>
  <dcterms:created xsi:type="dcterms:W3CDTF">2014-09-12T15:08:03Z</dcterms:created>
  <dcterms:modified xsi:type="dcterms:W3CDTF">2022-02-22T18:41:07Z</dcterms:modified>
</cp:coreProperties>
</file>