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ropbox\13-Khépri Santé\EONA RV 20_05-2021\Cession\"/>
    </mc:Choice>
  </mc:AlternateContent>
  <bookViews>
    <workbookView xWindow="0" yWindow="0" windowWidth="8190" windowHeight="6360" activeTab="1"/>
  </bookViews>
  <sheets>
    <sheet name="KHEPRI INVEST DEF" sheetId="4" r:id="rId1"/>
    <sheet name="KHEPRI FORMATION DEF" sheetId="2" r:id="rId2"/>
    <sheet name="KHEPRI INVEST V1" sheetId="1" r:id="rId3"/>
    <sheet name="Suivi bq dépenses recettes" sheetId="3" r:id="rId4"/>
  </sheets>
  <definedNames>
    <definedName name="_xlnm.Print_Area" localSheetId="0">'KHEPRI INVEST DEF'!$A$8:$N$36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2" i="2" l="1"/>
  <c r="Q46" i="2"/>
  <c r="Q63" i="2"/>
  <c r="Q30" i="2" s="1"/>
  <c r="Q37" i="2" s="1"/>
  <c r="R26" i="2"/>
  <c r="P63" i="2"/>
  <c r="P30" i="2" s="1"/>
  <c r="P37" i="2" s="1"/>
  <c r="L63" i="2"/>
  <c r="L30" i="2" s="1"/>
  <c r="L37" i="2" s="1"/>
  <c r="L35" i="4"/>
  <c r="K35" i="4"/>
  <c r="J35" i="4"/>
  <c r="I35" i="4"/>
  <c r="H35" i="4"/>
  <c r="G35" i="4"/>
  <c r="F35" i="4"/>
  <c r="E35" i="4"/>
  <c r="D35" i="4"/>
  <c r="C35" i="4"/>
  <c r="O22" i="2"/>
  <c r="O37" i="2" s="1"/>
  <c r="F39" i="2"/>
  <c r="F35" i="2"/>
  <c r="N59" i="2"/>
  <c r="N61" i="2"/>
  <c r="N31" i="2"/>
  <c r="N22" i="2"/>
  <c r="N47" i="2"/>
  <c r="R47" i="2" s="1"/>
  <c r="N55" i="2"/>
  <c r="N58" i="2"/>
  <c r="R58" i="2" s="1"/>
  <c r="N52" i="2"/>
  <c r="N57" i="2"/>
  <c r="R57" i="2" s="1"/>
  <c r="N56" i="2"/>
  <c r="R56" i="2" s="1"/>
  <c r="N50" i="2"/>
  <c r="R50" i="2" s="1"/>
  <c r="N49" i="2"/>
  <c r="R49" i="2" s="1"/>
  <c r="N48" i="2"/>
  <c r="R48" i="2" s="1"/>
  <c r="N44" i="2"/>
  <c r="O63" i="2"/>
  <c r="N46" i="3"/>
  <c r="N45" i="3"/>
  <c r="N44" i="3"/>
  <c r="N43" i="3"/>
  <c r="N42" i="3"/>
  <c r="AB45" i="3"/>
  <c r="AA44" i="3"/>
  <c r="Z43" i="3"/>
  <c r="Z42" i="3"/>
  <c r="Y43" i="3"/>
  <c r="X42" i="3"/>
  <c r="W42" i="3"/>
  <c r="V42" i="3"/>
  <c r="U43" i="3"/>
  <c r="U42" i="3"/>
  <c r="T43" i="3"/>
  <c r="T42" i="3"/>
  <c r="S43" i="3"/>
  <c r="S42" i="3"/>
  <c r="R43" i="3"/>
  <c r="R42" i="3"/>
  <c r="Q43" i="3"/>
  <c r="Q42" i="3"/>
  <c r="P43" i="3"/>
  <c r="P42" i="3"/>
  <c r="O42" i="3"/>
  <c r="N56" i="3"/>
  <c r="J56" i="3"/>
  <c r="I56" i="3"/>
  <c r="H56" i="3"/>
  <c r="G56" i="3"/>
  <c r="F56" i="3"/>
  <c r="J41" i="3"/>
  <c r="I41" i="3"/>
  <c r="H41" i="3"/>
  <c r="G41" i="3"/>
  <c r="F41" i="3"/>
  <c r="N63" i="2" l="1"/>
  <c r="N30" i="2" s="1"/>
  <c r="R44" i="2"/>
  <c r="N55" i="3"/>
  <c r="N54" i="3"/>
  <c r="N53" i="3"/>
  <c r="J52" i="3"/>
  <c r="J7" i="3" s="1"/>
  <c r="I52" i="3"/>
  <c r="I7" i="3" s="1"/>
  <c r="H52" i="3"/>
  <c r="H7" i="3" s="1"/>
  <c r="G52" i="3"/>
  <c r="N52" i="3" s="1"/>
  <c r="F52" i="3"/>
  <c r="N51" i="3"/>
  <c r="N50" i="3"/>
  <c r="N49" i="3"/>
  <c r="J39" i="3"/>
  <c r="I39" i="3"/>
  <c r="H39" i="3"/>
  <c r="G39" i="3"/>
  <c r="J38" i="3"/>
  <c r="I38" i="3"/>
  <c r="H38" i="3"/>
  <c r="F38" i="3"/>
  <c r="N37" i="3"/>
  <c r="J36" i="3"/>
  <c r="I36" i="3"/>
  <c r="H36" i="3"/>
  <c r="G36" i="3"/>
  <c r="F35" i="3"/>
  <c r="F36" i="3" s="1"/>
  <c r="N34" i="3"/>
  <c r="N33" i="3"/>
  <c r="Y33" i="3" s="1"/>
  <c r="Y41" i="3" s="1"/>
  <c r="N32" i="3"/>
  <c r="X32" i="3" s="1"/>
  <c r="X41" i="3" s="1"/>
  <c r="N31" i="3"/>
  <c r="W31" i="3" s="1"/>
  <c r="W41" i="3" s="1"/>
  <c r="N30" i="3"/>
  <c r="V30" i="3" s="1"/>
  <c r="V41" i="3" s="1"/>
  <c r="J29" i="3"/>
  <c r="I29" i="3"/>
  <c r="H29" i="3"/>
  <c r="G29" i="3"/>
  <c r="F29" i="3"/>
  <c r="N28" i="3"/>
  <c r="U28" i="3" s="1"/>
  <c r="J27" i="3"/>
  <c r="I27" i="3"/>
  <c r="H27" i="3"/>
  <c r="G27" i="3"/>
  <c r="F27" i="3"/>
  <c r="N26" i="3"/>
  <c r="T26" i="3" s="1"/>
  <c r="J25" i="3"/>
  <c r="I25" i="3"/>
  <c r="H25" i="3"/>
  <c r="G25" i="3"/>
  <c r="F25" i="3"/>
  <c r="N24" i="3"/>
  <c r="T24" i="3" s="1"/>
  <c r="J23" i="3"/>
  <c r="I23" i="3"/>
  <c r="H23" i="3"/>
  <c r="G23" i="3"/>
  <c r="F23" i="3"/>
  <c r="N22" i="3"/>
  <c r="S22" i="3" s="1"/>
  <c r="J21" i="3"/>
  <c r="I21" i="3"/>
  <c r="H21" i="3"/>
  <c r="G21" i="3"/>
  <c r="F21" i="3"/>
  <c r="N20" i="3"/>
  <c r="R20" i="3" s="1"/>
  <c r="J19" i="3"/>
  <c r="I19" i="3"/>
  <c r="H19" i="3"/>
  <c r="G19" i="3"/>
  <c r="F19" i="3"/>
  <c r="N18" i="3"/>
  <c r="Q18" i="3" s="1"/>
  <c r="J17" i="3"/>
  <c r="I16" i="3"/>
  <c r="I17" i="3" s="1"/>
  <c r="H16" i="3"/>
  <c r="G16" i="3"/>
  <c r="G17" i="3" s="1"/>
  <c r="F16" i="3"/>
  <c r="F17" i="3" s="1"/>
  <c r="N15" i="3"/>
  <c r="F7" i="3"/>
  <c r="R43" i="2"/>
  <c r="M30" i="2"/>
  <c r="M37" i="2" s="1"/>
  <c r="R34" i="2"/>
  <c r="J30" i="2"/>
  <c r="J37" i="2" s="1"/>
  <c r="H30" i="2"/>
  <c r="H37" i="2" s="1"/>
  <c r="J63" i="2"/>
  <c r="H63" i="2"/>
  <c r="G40" i="2"/>
  <c r="G63" i="2" s="1"/>
  <c r="G30" i="2" s="1"/>
  <c r="G25" i="2" s="1"/>
  <c r="I63" i="2"/>
  <c r="I30" i="2" s="1"/>
  <c r="R41" i="2"/>
  <c r="R39" i="2"/>
  <c r="R45" i="2"/>
  <c r="J21" i="1"/>
  <c r="J24" i="1" s="1"/>
  <c r="E32" i="1"/>
  <c r="L32" i="1" s="1"/>
  <c r="I21" i="1"/>
  <c r="I24" i="1" s="1"/>
  <c r="M63" i="2"/>
  <c r="K63" i="2"/>
  <c r="K30" i="2" s="1"/>
  <c r="K37" i="2" s="1"/>
  <c r="H16" i="1"/>
  <c r="L16" i="1" s="1"/>
  <c r="K35" i="1"/>
  <c r="J35" i="1"/>
  <c r="I35" i="1"/>
  <c r="H35" i="1"/>
  <c r="G35" i="1"/>
  <c r="F35" i="1"/>
  <c r="G21" i="1"/>
  <c r="G24" i="1" s="1"/>
  <c r="K24" i="1"/>
  <c r="F24" i="1"/>
  <c r="F21" i="1"/>
  <c r="R59" i="2"/>
  <c r="R55" i="2"/>
  <c r="R54" i="2"/>
  <c r="R53" i="2"/>
  <c r="R52" i="2"/>
  <c r="R28" i="2"/>
  <c r="R29" i="2"/>
  <c r="R24" i="2"/>
  <c r="R23" i="2"/>
  <c r="R22" i="2"/>
  <c r="R21" i="2"/>
  <c r="R20" i="2"/>
  <c r="R19" i="2"/>
  <c r="R18" i="2"/>
  <c r="R35" i="2"/>
  <c r="R33" i="2"/>
  <c r="R32" i="2"/>
  <c r="D17" i="2"/>
  <c r="R17" i="2" s="1"/>
  <c r="D16" i="2"/>
  <c r="R16" i="2" s="1"/>
  <c r="D63" i="2"/>
  <c r="D30" i="2" s="1"/>
  <c r="R62" i="2"/>
  <c r="R61" i="2"/>
  <c r="R60" i="2"/>
  <c r="R51" i="2"/>
  <c r="R46" i="2"/>
  <c r="R42" i="2"/>
  <c r="R36" i="2"/>
  <c r="R31" i="2"/>
  <c r="R27" i="2"/>
  <c r="R15" i="2"/>
  <c r="R14" i="2"/>
  <c r="R13" i="2"/>
  <c r="E34" i="1"/>
  <c r="E33" i="1"/>
  <c r="L33" i="1" s="1"/>
  <c r="E31" i="1"/>
  <c r="L31" i="1" s="1"/>
  <c r="E30" i="1"/>
  <c r="L30" i="1" s="1"/>
  <c r="E29" i="1"/>
  <c r="L29" i="1" s="1"/>
  <c r="E28" i="1"/>
  <c r="L28" i="1" s="1"/>
  <c r="E27" i="1"/>
  <c r="L27" i="1" s="1"/>
  <c r="E26" i="1"/>
  <c r="L26" i="1" s="1"/>
  <c r="L34" i="1"/>
  <c r="L23" i="1"/>
  <c r="L22" i="1"/>
  <c r="L19" i="1"/>
  <c r="L18" i="1"/>
  <c r="L17" i="1"/>
  <c r="L15" i="1"/>
  <c r="L14" i="1"/>
  <c r="L13" i="1"/>
  <c r="D35" i="1"/>
  <c r="D21" i="1" s="1"/>
  <c r="D24" i="1" s="1"/>
  <c r="N37" i="2" l="1"/>
  <c r="N29" i="3"/>
  <c r="U29" i="3" s="1"/>
  <c r="U41" i="3"/>
  <c r="G7" i="3"/>
  <c r="N23" i="3"/>
  <c r="S23" i="3" s="1"/>
  <c r="S41" i="3" s="1"/>
  <c r="N27" i="3"/>
  <c r="T27" i="3" s="1"/>
  <c r="O15" i="3"/>
  <c r="O41" i="3" s="1"/>
  <c r="N21" i="3"/>
  <c r="R21" i="3" s="1"/>
  <c r="R41" i="3" s="1"/>
  <c r="N25" i="3"/>
  <c r="T25" i="3" s="1"/>
  <c r="N38" i="3"/>
  <c r="AA38" i="3" s="1"/>
  <c r="AA41" i="3" s="1"/>
  <c r="H17" i="3"/>
  <c r="H9" i="3" s="1"/>
  <c r="N39" i="3"/>
  <c r="AB39" i="3" s="1"/>
  <c r="AB41" i="3" s="1"/>
  <c r="N35" i="3"/>
  <c r="Z35" i="3" s="1"/>
  <c r="I9" i="3"/>
  <c r="J9" i="3"/>
  <c r="N36" i="3"/>
  <c r="Z36" i="3" s="1"/>
  <c r="N19" i="3"/>
  <c r="Q19" i="3" s="1"/>
  <c r="Q41" i="3" s="1"/>
  <c r="N16" i="3"/>
  <c r="P16" i="3" s="1"/>
  <c r="F9" i="3"/>
  <c r="F11" i="3" s="1"/>
  <c r="G5" i="3" s="1"/>
  <c r="G9" i="3"/>
  <c r="I37" i="2"/>
  <c r="G37" i="2"/>
  <c r="F63" i="2"/>
  <c r="F30" i="2" s="1"/>
  <c r="F25" i="2" s="1"/>
  <c r="R40" i="2"/>
  <c r="R63" i="2" s="1"/>
  <c r="H24" i="1"/>
  <c r="L35" i="1"/>
  <c r="D37" i="2"/>
  <c r="E63" i="2"/>
  <c r="E21" i="1"/>
  <c r="E20" i="1" s="1"/>
  <c r="L20" i="1" s="1"/>
  <c r="E35" i="1"/>
  <c r="T41" i="3" l="1"/>
  <c r="Z41" i="3"/>
  <c r="N17" i="3"/>
  <c r="P17" i="3" s="1"/>
  <c r="P41" i="3" s="1"/>
  <c r="G11" i="3"/>
  <c r="H5" i="3" s="1"/>
  <c r="H11" i="3" s="1"/>
  <c r="I5" i="3" s="1"/>
  <c r="I11" i="3" s="1"/>
  <c r="J5" i="3" s="1"/>
  <c r="J11" i="3" s="1"/>
  <c r="R25" i="2"/>
  <c r="S25" i="2" s="1"/>
  <c r="M35" i="1"/>
  <c r="S63" i="2"/>
  <c r="E37" i="2"/>
  <c r="R30" i="2"/>
  <c r="L21" i="1"/>
  <c r="L24" i="1" s="1"/>
  <c r="E24" i="1"/>
  <c r="R37" i="2" l="1"/>
  <c r="F37" i="2"/>
  <c r="N41" i="3"/>
  <c r="N47" i="3" s="1"/>
  <c r="M24" i="1"/>
  <c r="S37" i="2" l="1"/>
</calcChain>
</file>

<file path=xl/sharedStrings.xml><?xml version="1.0" encoding="utf-8"?>
<sst xmlns="http://schemas.openxmlformats.org/spreadsheetml/2006/main" count="260" uniqueCount="193">
  <si>
    <t>KHEPRI INVEST</t>
  </si>
  <si>
    <t>Situation au 30/11/2021</t>
  </si>
  <si>
    <t>KHEPRI FORMATION</t>
  </si>
  <si>
    <t xml:space="preserve"> </t>
  </si>
  <si>
    <t>BILAN - ACTIF</t>
  </si>
  <si>
    <t>CPTE DE RES.</t>
  </si>
  <si>
    <t>Titres KHEPRI FORMATION</t>
  </si>
  <si>
    <t>Montants exprimés en Euros</t>
  </si>
  <si>
    <t>31/12/2020</t>
  </si>
  <si>
    <t>Titres VISIAPY</t>
  </si>
  <si>
    <t>Crédit de TVA</t>
  </si>
  <si>
    <t>C/c KHEPRI FORMATION</t>
  </si>
  <si>
    <t>Capital social</t>
  </si>
  <si>
    <t>Prix de souscription des BSA</t>
  </si>
  <si>
    <t>Résultat</t>
  </si>
  <si>
    <t>C/c Evelyne REVELLAT</t>
  </si>
  <si>
    <t>Dettes fournisseurs</t>
  </si>
  <si>
    <t>Compte bancaire BNP</t>
  </si>
  <si>
    <t>Total - Contrôle à zéro</t>
  </si>
  <si>
    <t>Ventes de masques</t>
  </si>
  <si>
    <t>Achats de masques</t>
  </si>
  <si>
    <t>Fourn. Non stockées, eau, énergie</t>
  </si>
  <si>
    <t>Sous-traitance générale</t>
  </si>
  <si>
    <t>Primes d'assurance</t>
  </si>
  <si>
    <t>Honoraires</t>
  </si>
  <si>
    <t>Services bancaires et assimilés</t>
  </si>
  <si>
    <t>Charges directes de gestion courante</t>
  </si>
  <si>
    <t>TOTAL Résultat</t>
  </si>
  <si>
    <t>BILAN - PASSIF</t>
  </si>
  <si>
    <t>30/11/2021</t>
  </si>
  <si>
    <t>Affectation résultat</t>
  </si>
  <si>
    <t>30/06/2021</t>
  </si>
  <si>
    <t>Frais d'établissement</t>
  </si>
  <si>
    <t>Logiciels</t>
  </si>
  <si>
    <t>Matériels</t>
  </si>
  <si>
    <t>Agencements, installations</t>
  </si>
  <si>
    <t>Mobilier</t>
  </si>
  <si>
    <t>Dépôt caution loyer</t>
  </si>
  <si>
    <t>Clients Factures à établir</t>
  </si>
  <si>
    <t>Fournisseurs</t>
  </si>
  <si>
    <t>Rabais, remises, ristournes à obtenir</t>
  </si>
  <si>
    <t>TVA</t>
  </si>
  <si>
    <t>Produits à recevoir</t>
  </si>
  <si>
    <t>C/c VISIAPY</t>
  </si>
  <si>
    <t>Charges constatées d'avance</t>
  </si>
  <si>
    <t>Réserve légale</t>
  </si>
  <si>
    <t>Report à nouveau</t>
  </si>
  <si>
    <t>TOTAL - Contrôle à zéro</t>
  </si>
  <si>
    <t>Convention de signe :</t>
  </si>
  <si>
    <t>montants positifs :</t>
  </si>
  <si>
    <t>montants négatifs :</t>
  </si>
  <si>
    <t>débit - actifs, charges, déficits</t>
  </si>
  <si>
    <t>crédit - passifs, produits, bénéfices</t>
  </si>
  <si>
    <t>Emprunts</t>
  </si>
  <si>
    <t>C/c KHEPRI INVEST</t>
  </si>
  <si>
    <t>Clients créditeurs</t>
  </si>
  <si>
    <t>Prestation de sce - Co-Working</t>
  </si>
  <si>
    <t>Prestation de sce - Formation</t>
  </si>
  <si>
    <t>Produits divers de gestion courante</t>
  </si>
  <si>
    <t>Autres achats et charges externes</t>
  </si>
  <si>
    <t>CET</t>
  </si>
  <si>
    <t>Taxes foncières</t>
  </si>
  <si>
    <t>Taxe sur les bureaux</t>
  </si>
  <si>
    <t>Dotation aux amortissements</t>
  </si>
  <si>
    <t>Autres charges</t>
  </si>
  <si>
    <t>Intérêts des emprunts</t>
  </si>
  <si>
    <t>Dégrèvement impôts</t>
  </si>
  <si>
    <t>Sous-traitance Hellopro</t>
  </si>
  <si>
    <t>289 € x 6 mois</t>
  </si>
  <si>
    <t>Assurance</t>
  </si>
  <si>
    <t>Certification Qualiopi pour KHEPRI FORMATION</t>
  </si>
  <si>
    <t>12/03/2021</t>
  </si>
  <si>
    <t>02/09/2021</t>
  </si>
  <si>
    <t>Quote-part loyer 2021</t>
  </si>
  <si>
    <t>Quote-part loyer</t>
  </si>
  <si>
    <t>23/09/2021</t>
  </si>
  <si>
    <t>29,22 € - Solde bancaire au 30/11/2021.</t>
  </si>
  <si>
    <t>Quote-part loyer 2021 de KHEPRI INVEST</t>
  </si>
  <si>
    <t>Quote-part de loyer refacturé à KHEPRI INVEST</t>
  </si>
  <si>
    <t>CA Formation</t>
  </si>
  <si>
    <t>CA               Co-working</t>
  </si>
  <si>
    <t>Prestation de sce - Bilan de compétence</t>
  </si>
  <si>
    <t>CA Bilan de compétence</t>
  </si>
  <si>
    <t>Cost Formation</t>
  </si>
  <si>
    <t>Cost Bilan de compétence</t>
  </si>
  <si>
    <t>Fournisseurs - Factures Non Parvenues</t>
  </si>
  <si>
    <t>Produits à recevoir OPCO - Carole F.</t>
  </si>
  <si>
    <t>Produits à recevoir OPCO</t>
  </si>
  <si>
    <t>suivi  banque Khépri Formation de juin à novembre 2021</t>
  </si>
  <si>
    <t>totaux</t>
  </si>
  <si>
    <t>solde début mois</t>
  </si>
  <si>
    <t>recettes</t>
  </si>
  <si>
    <t>depenses</t>
  </si>
  <si>
    <t>solde fin mois</t>
  </si>
  <si>
    <t xml:space="preserve">DEPENSES </t>
  </si>
  <si>
    <t>fournisseurs sous traitance  ttc</t>
  </si>
  <si>
    <t>charges edf ht</t>
  </si>
  <si>
    <t>tva /edf</t>
  </si>
  <si>
    <t>charges dotolib ht</t>
  </si>
  <si>
    <t>tva /dotlib</t>
  </si>
  <si>
    <t>charges medoucine ht</t>
  </si>
  <si>
    <t>tva /medoucine</t>
  </si>
  <si>
    <t>charges B+conseil ht</t>
  </si>
  <si>
    <t xml:space="preserve">tva / B+conseil </t>
  </si>
  <si>
    <t>loyer ht 2eme</t>
  </si>
  <si>
    <t>tva /loyer 2eme</t>
  </si>
  <si>
    <t>loyer ht 4eme</t>
  </si>
  <si>
    <t>loyer sept oct 2021</t>
  </si>
  <si>
    <t>tva / loyer 4eme</t>
  </si>
  <si>
    <t>acofi honoraires ht</t>
  </si>
  <si>
    <t>acofi honoraires tva</t>
  </si>
  <si>
    <t>cfe impots</t>
  </si>
  <si>
    <t>note de frais Ev Revellat ind km 2021</t>
  </si>
  <si>
    <t>frais bque - retrocession</t>
  </si>
  <si>
    <t xml:space="preserve">tva à payer </t>
  </si>
  <si>
    <t>Autres charges externes ht</t>
  </si>
  <si>
    <t>Autres charges externes tva</t>
  </si>
  <si>
    <t>emprunts / capital</t>
  </si>
  <si>
    <t>emprunts /intèrets</t>
  </si>
  <si>
    <t>RECETTES</t>
  </si>
  <si>
    <t>formation exo</t>
  </si>
  <si>
    <t>co working ht</t>
  </si>
  <si>
    <t>co working tva</t>
  </si>
  <si>
    <t>cpte groupe khepri invest</t>
  </si>
  <si>
    <t xml:space="preserve">Pour info : </t>
  </si>
  <si>
    <t>dotations /immob : 16 mois : 21 333 €</t>
  </si>
  <si>
    <t>od 11/2021</t>
  </si>
  <si>
    <t>donc sur 15 mois : 20 000 €</t>
  </si>
  <si>
    <t>TTC</t>
  </si>
  <si>
    <t>Fournisseur</t>
  </si>
  <si>
    <t>EDF</t>
  </si>
  <si>
    <t>Doctolib</t>
  </si>
  <si>
    <t>Médoucine</t>
  </si>
  <si>
    <t>B+Conseil</t>
  </si>
  <si>
    <t>Loyer</t>
  </si>
  <si>
    <t>Acofi</t>
  </si>
  <si>
    <t>CFE</t>
  </si>
  <si>
    <t>Ndf</t>
  </si>
  <si>
    <t>Frais Bq</t>
  </si>
  <si>
    <t>Chg externes</t>
  </si>
  <si>
    <t>Capital</t>
  </si>
  <si>
    <t>Intérêts</t>
  </si>
  <si>
    <t>TOTAL DEPENSES</t>
  </si>
  <si>
    <t>TOTAL RECETTES</t>
  </si>
  <si>
    <t>HT</t>
  </si>
  <si>
    <t>Capital emprunts</t>
  </si>
  <si>
    <t>Intérêts emprunts</t>
  </si>
  <si>
    <t>Total :</t>
  </si>
  <si>
    <t>Loyers</t>
  </si>
  <si>
    <t>Ss-traitance</t>
  </si>
  <si>
    <t>B+ Conseil</t>
  </si>
  <si>
    <t>Notes de frais</t>
  </si>
  <si>
    <t>Sous-traitance</t>
  </si>
  <si>
    <t>Flux de charges et autres débits  de 07/2021 à 10/2021</t>
  </si>
  <si>
    <t>HT sans TVA</t>
  </si>
  <si>
    <t xml:space="preserve"> -3 382 € solde au 30/11/2021</t>
  </si>
  <si>
    <t>Solde TVA - Reclassement</t>
  </si>
  <si>
    <t xml:space="preserve">KHEPRI INVEST </t>
  </si>
  <si>
    <t>Balance au 30 novembre 2021</t>
  </si>
  <si>
    <t>invest==&gt;</t>
  </si>
  <si>
    <t xml:space="preserve">solde au </t>
  </si>
  <si>
    <t>tva</t>
  </si>
  <si>
    <t>formation</t>
  </si>
  <si>
    <t>quote part</t>
  </si>
  <si>
    <t>Fr bque</t>
  </si>
  <si>
    <t>Hello pro</t>
  </si>
  <si>
    <t>av qualiopi</t>
  </si>
  <si>
    <t>loyer</t>
  </si>
  <si>
    <t>prest co working</t>
  </si>
  <si>
    <t>BSA Beaujon</t>
  </si>
  <si>
    <t>BSA Canton</t>
  </si>
  <si>
    <t>BSA Marcy</t>
  </si>
  <si>
    <t>Titres Visiapy</t>
  </si>
  <si>
    <t>Titres khépri Formation</t>
  </si>
  <si>
    <t>Cpta EC hono 2020</t>
  </si>
  <si>
    <t>crédit tva 2020</t>
  </si>
  <si>
    <t>Tva/Cpta EC hono 2020</t>
  </si>
  <si>
    <t>Khepri Formation</t>
  </si>
  <si>
    <t>CC Evelyne Revellat</t>
  </si>
  <si>
    <t>banque BNP</t>
  </si>
  <si>
    <t xml:space="preserve">ok </t>
  </si>
  <si>
    <t>hello pro sous traitance</t>
  </si>
  <si>
    <t>Quote part loyer</t>
  </si>
  <si>
    <t>Frais banque</t>
  </si>
  <si>
    <t>perte</t>
  </si>
  <si>
    <t>TOTAUX</t>
  </si>
  <si>
    <t>445667</t>
  </si>
  <si>
    <t>Compte bancaire BNP 10092048 23</t>
  </si>
  <si>
    <t>Encaissement co-working par Khépri Invest au lieu de Khépri Formation</t>
  </si>
  <si>
    <t>Régularisation de charge et rbt prêt d'honneur KHEPRI INVEST</t>
  </si>
  <si>
    <t>OK - 3 382 € solde au 30/11/2021</t>
  </si>
  <si>
    <t>OK - 55 683 € contrepartie cpte KHEPRI INVEST</t>
  </si>
  <si>
    <t>OK contrepartie dans les livres de KHEPRI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</si>
</sst>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€_-;\-* #,##0\ _€_-;_-* &quot;-&quot;\ _€_-;_-@_-"/>
    <numFmt numFmtId="164" formatCode="_-* #,##0.00_-;\-* #,##0.00_-;_-* &quot;-&quot;??_-;_-@_-"/>
    <numFmt numFmtId="165" formatCode="_-* #,##0\ _€_-;\-* #,##0\ _€_-;_-* &quot;-&quot;??\ _€_-;_-@_-"/>
    <numFmt numFmtId="166" formatCode="#,##0\ _€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D9D9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41" fontId="0" fillId="0" borderId="0" xfId="0" applyNumberFormat="1"/>
    <xf numFmtId="0" fontId="2" fillId="0" borderId="0" xfId="0" applyFont="1"/>
    <xf numFmtId="0" fontId="3" fillId="0" borderId="0" xfId="0" applyFont="1"/>
    <xf numFmtId="41" fontId="3" fillId="0" borderId="0" xfId="0" applyNumberFormat="1" applyFont="1"/>
    <xf numFmtId="41" fontId="1" fillId="2" borderId="0" xfId="0" applyNumberFormat="1" applyFont="1" applyFill="1"/>
    <xf numFmtId="41" fontId="0" fillId="2" borderId="0" xfId="0" applyNumberFormat="1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0" xfId="0" quotePrefix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quotePrefix="1" applyFont="1" applyAlignment="1">
      <alignment horizontal="center" vertical="center" wrapText="1"/>
    </xf>
    <xf numFmtId="41" fontId="0" fillId="0" borderId="0" xfId="0" quotePrefix="1" applyNumberFormat="1"/>
    <xf numFmtId="41" fontId="0" fillId="3" borderId="0" xfId="0" applyNumberFormat="1" applyFill="1"/>
    <xf numFmtId="0" fontId="1" fillId="3" borderId="0" xfId="0" applyFont="1" applyFill="1"/>
    <xf numFmtId="41" fontId="1" fillId="3" borderId="0" xfId="0" applyNumberFormat="1" applyFont="1" applyFill="1"/>
    <xf numFmtId="0" fontId="0" fillId="2" borderId="0" xfId="0" applyFill="1"/>
    <xf numFmtId="0" fontId="0" fillId="4" borderId="0" xfId="0" applyFill="1"/>
    <xf numFmtId="41" fontId="0" fillId="4" borderId="0" xfId="0" applyNumberFormat="1" applyFill="1"/>
    <xf numFmtId="0" fontId="1" fillId="2" borderId="0" xfId="0" applyFont="1" applyFill="1"/>
    <xf numFmtId="17" fontId="0" fillId="0" borderId="0" xfId="0" applyNumberFormat="1"/>
    <xf numFmtId="0" fontId="0" fillId="0" borderId="0" xfId="0" applyAlignment="1">
      <alignment horizontal="center"/>
    </xf>
    <xf numFmtId="165" fontId="1" fillId="0" borderId="0" xfId="1" applyNumberFormat="1" applyFont="1"/>
    <xf numFmtId="165" fontId="0" fillId="0" borderId="0" xfId="1" applyNumberFormat="1" applyFont="1"/>
    <xf numFmtId="165" fontId="0" fillId="0" borderId="0" xfId="0" applyNumberFormat="1"/>
    <xf numFmtId="0" fontId="6" fillId="0" borderId="0" xfId="0" applyFont="1"/>
    <xf numFmtId="165" fontId="1" fillId="0" borderId="0" xfId="0" applyNumberFormat="1" applyFont="1"/>
    <xf numFmtId="166" fontId="1" fillId="0" borderId="0" xfId="0" applyNumberFormat="1" applyFont="1"/>
    <xf numFmtId="0" fontId="0" fillId="5" borderId="0" xfId="0" applyFill="1"/>
    <xf numFmtId="165" fontId="0" fillId="5" borderId="0" xfId="0" applyNumberFormat="1" applyFill="1"/>
    <xf numFmtId="0" fontId="0" fillId="0" borderId="0" xfId="0" applyFill="1"/>
    <xf numFmtId="165" fontId="5" fillId="0" borderId="0" xfId="1" applyNumberFormat="1" applyFont="1"/>
    <xf numFmtId="165" fontId="5" fillId="0" borderId="0" xfId="1" applyNumberFormat="1" applyFont="1" applyAlignment="1">
      <alignment horizontal="center" vertical="center"/>
    </xf>
    <xf numFmtId="0" fontId="0" fillId="0" borderId="0" xfId="0" applyFont="1"/>
    <xf numFmtId="165" fontId="5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right" vertical="center"/>
    </xf>
    <xf numFmtId="165" fontId="5" fillId="3" borderId="0" xfId="1" applyNumberFormat="1" applyFont="1" applyFill="1"/>
    <xf numFmtId="165" fontId="5" fillId="3" borderId="0" xfId="1" applyNumberFormat="1" applyFont="1" applyFill="1" applyAlignment="1">
      <alignment horizontal="center" vertical="center"/>
    </xf>
    <xf numFmtId="165" fontId="0" fillId="3" borderId="0" xfId="1" applyNumberFormat="1" applyFont="1" applyFill="1"/>
    <xf numFmtId="165" fontId="1" fillId="0" borderId="0" xfId="1" quotePrefix="1" applyNumberFormat="1" applyFont="1"/>
    <xf numFmtId="0" fontId="7" fillId="6" borderId="1" xfId="0" applyFont="1" applyFill="1" applyBorder="1"/>
    <xf numFmtId="0" fontId="7" fillId="0" borderId="0" xfId="0" applyFont="1"/>
    <xf numFmtId="0" fontId="7" fillId="6" borderId="2" xfId="0" applyFont="1" applyFill="1" applyBorder="1"/>
    <xf numFmtId="0" fontId="8" fillId="0" borderId="0" xfId="0" applyFont="1"/>
    <xf numFmtId="0" fontId="8" fillId="6" borderId="3" xfId="0" applyFont="1" applyFill="1" applyBorder="1"/>
    <xf numFmtId="0" fontId="7" fillId="6" borderId="4" xfId="0" applyFont="1" applyFill="1" applyBorder="1"/>
    <xf numFmtId="0" fontId="7" fillId="6" borderId="0" xfId="0" applyFont="1" applyFill="1"/>
    <xf numFmtId="0" fontId="8" fillId="6" borderId="5" xfId="0" applyFont="1" applyFill="1" applyBorder="1"/>
    <xf numFmtId="0" fontId="7" fillId="6" borderId="6" xfId="0" applyFont="1" applyFill="1" applyBorder="1"/>
    <xf numFmtId="0" fontId="7" fillId="6" borderId="7" xfId="0" applyFont="1" applyFill="1" applyBorder="1"/>
    <xf numFmtId="0" fontId="8" fillId="6" borderId="8" xfId="0" applyFont="1" applyFill="1" applyBorder="1"/>
    <xf numFmtId="0" fontId="8" fillId="6" borderId="1" xfId="0" applyFont="1" applyFill="1" applyBorder="1"/>
    <xf numFmtId="0" fontId="8" fillId="6" borderId="2" xfId="0" applyFont="1" applyFill="1" applyBorder="1"/>
    <xf numFmtId="0" fontId="9" fillId="0" borderId="0" xfId="0" applyFont="1"/>
    <xf numFmtId="0" fontId="9" fillId="6" borderId="4" xfId="0" applyFont="1" applyFill="1" applyBorder="1"/>
    <xf numFmtId="0" fontId="9" fillId="6" borderId="0" xfId="0" applyFont="1" applyFill="1"/>
    <xf numFmtId="0" fontId="9" fillId="6" borderId="0" xfId="0" applyFont="1" applyFill="1" applyAlignment="1">
      <alignment horizontal="center"/>
    </xf>
    <xf numFmtId="0" fontId="9" fillId="6" borderId="5" xfId="0" applyFont="1" applyFill="1" applyBorder="1"/>
    <xf numFmtId="0" fontId="9" fillId="6" borderId="4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14" fontId="9" fillId="6" borderId="4" xfId="0" applyNumberFormat="1" applyFont="1" applyFill="1" applyBorder="1" applyAlignment="1">
      <alignment horizontal="center"/>
    </xf>
    <xf numFmtId="14" fontId="9" fillId="6" borderId="5" xfId="0" applyNumberFormat="1" applyFont="1" applyFill="1" applyBorder="1" applyAlignment="1">
      <alignment horizontal="center"/>
    </xf>
    <xf numFmtId="0" fontId="9" fillId="6" borderId="6" xfId="0" applyFont="1" applyFill="1" applyBorder="1"/>
    <xf numFmtId="0" fontId="9" fillId="6" borderId="7" xfId="0" applyFont="1" applyFill="1" applyBorder="1"/>
    <xf numFmtId="0" fontId="9" fillId="6" borderId="8" xfId="0" applyFont="1" applyFill="1" applyBorder="1"/>
    <xf numFmtId="3" fontId="8" fillId="0" borderId="0" xfId="0" applyNumberFormat="1" applyFont="1"/>
    <xf numFmtId="0" fontId="8" fillId="6" borderId="9" xfId="0" applyFont="1" applyFill="1" applyBorder="1"/>
    <xf numFmtId="3" fontId="8" fillId="6" borderId="10" xfId="0" applyNumberFormat="1" applyFont="1" applyFill="1" applyBorder="1"/>
    <xf numFmtId="3" fontId="8" fillId="6" borderId="3" xfId="0" applyNumberFormat="1" applyFont="1" applyFill="1" applyBorder="1"/>
    <xf numFmtId="0" fontId="8" fillId="6" borderId="6" xfId="0" applyFont="1" applyFill="1" applyBorder="1"/>
    <xf numFmtId="0" fontId="9" fillId="6" borderId="1" xfId="0" applyFont="1" applyFill="1" applyBorder="1"/>
    <xf numFmtId="0" fontId="8" fillId="6" borderId="7" xfId="0" applyFont="1" applyFill="1" applyBorder="1"/>
    <xf numFmtId="0" fontId="8" fillId="6" borderId="2" xfId="0" applyFont="1" applyFill="1" applyBorder="1" applyAlignment="1">
      <alignment wrapText="1"/>
    </xf>
    <xf numFmtId="0" fontId="10" fillId="6" borderId="0" xfId="0" applyFont="1" applyFill="1" applyAlignment="1">
      <alignment horizontal="center" wrapText="1"/>
    </xf>
    <xf numFmtId="0" fontId="9" fillId="6" borderId="7" xfId="0" applyFont="1" applyFill="1" applyBorder="1" applyAlignment="1">
      <alignment wrapText="1"/>
    </xf>
    <xf numFmtId="0" fontId="9" fillId="6" borderId="7" xfId="0" quotePrefix="1" applyFont="1" applyFill="1" applyBorder="1" applyAlignment="1">
      <alignment horizontal="center"/>
    </xf>
    <xf numFmtId="3" fontId="8" fillId="6" borderId="2" xfId="0" applyNumberFormat="1" applyFont="1" applyFill="1" applyBorder="1"/>
    <xf numFmtId="41" fontId="1" fillId="0" borderId="0" xfId="0" applyNumberFormat="1" applyFo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40"/>
  <sheetViews>
    <sheetView topLeftCell="A13" workbookViewId="0">
      <selection activeCell="O11" sqref="O11"/>
    </sheetView>
  </sheetViews>
  <sheetFormatPr baseColWidth="10" defaultRowHeight="15" x14ac:dyDescent="0.25"/>
  <cols>
    <col min="2" max="2" width="25.5703125" customWidth="1"/>
  </cols>
  <sheetData>
    <row r="1" spans="1:14" ht="18.75" x14ac:dyDescent="0.3">
      <c r="A1" s="50" t="s">
        <v>157</v>
      </c>
      <c r="B1" s="52"/>
      <c r="C1" s="52"/>
      <c r="D1" s="52"/>
      <c r="E1" s="52"/>
      <c r="F1" s="54"/>
      <c r="G1" s="53"/>
      <c r="H1" s="53"/>
      <c r="I1" s="53"/>
      <c r="J1" s="53"/>
      <c r="K1" s="53"/>
      <c r="L1" s="53"/>
      <c r="M1" s="53"/>
      <c r="N1" s="53"/>
    </row>
    <row r="2" spans="1:14" ht="18.75" x14ac:dyDescent="0.3">
      <c r="A2" s="55"/>
      <c r="B2" s="56"/>
      <c r="C2" s="56"/>
      <c r="D2" s="56"/>
      <c r="E2" s="56"/>
      <c r="F2" s="57"/>
      <c r="G2" s="53"/>
      <c r="H2" s="53"/>
      <c r="I2" s="53"/>
      <c r="J2" s="53"/>
      <c r="K2" s="53"/>
      <c r="L2" s="53"/>
      <c r="M2" s="53"/>
      <c r="N2" s="53"/>
    </row>
    <row r="3" spans="1:14" ht="18.75" x14ac:dyDescent="0.3">
      <c r="A3" s="55"/>
      <c r="B3" s="56"/>
      <c r="C3" s="56"/>
      <c r="D3" s="56"/>
      <c r="E3" s="56"/>
      <c r="F3" s="57"/>
      <c r="G3" s="53"/>
      <c r="H3" s="53"/>
      <c r="I3" s="53"/>
      <c r="J3" s="53"/>
      <c r="K3" s="53"/>
      <c r="L3" s="53"/>
      <c r="M3" s="53"/>
      <c r="N3" s="53"/>
    </row>
    <row r="4" spans="1:14" ht="18.75" x14ac:dyDescent="0.3">
      <c r="A4" s="55"/>
      <c r="B4" s="56"/>
      <c r="C4" s="56" t="s">
        <v>158</v>
      </c>
      <c r="D4" s="56"/>
      <c r="E4" s="56"/>
      <c r="F4" s="57"/>
      <c r="G4" s="53"/>
      <c r="H4" s="53"/>
      <c r="I4" s="53"/>
      <c r="J4" s="53"/>
      <c r="K4" s="53"/>
      <c r="L4" s="53"/>
      <c r="M4" s="53"/>
      <c r="N4" s="53"/>
    </row>
    <row r="5" spans="1:14" ht="19.5" thickBot="1" x14ac:dyDescent="0.35">
      <c r="A5" s="58"/>
      <c r="B5" s="59"/>
      <c r="C5" s="59"/>
      <c r="D5" s="59"/>
      <c r="E5" s="59"/>
      <c r="F5" s="60"/>
      <c r="G5" s="53"/>
      <c r="H5" s="53"/>
      <c r="I5" s="53"/>
      <c r="J5" s="53"/>
      <c r="K5" s="53"/>
      <c r="L5" s="53"/>
      <c r="M5" s="53"/>
      <c r="N5" s="53"/>
    </row>
    <row r="6" spans="1:14" ht="18.75" x14ac:dyDescent="0.3">
      <c r="A6" s="51"/>
      <c r="B6" s="51"/>
      <c r="C6" s="51"/>
      <c r="D6" s="51"/>
      <c r="E6" s="51"/>
      <c r="F6" s="53"/>
      <c r="G6" s="53"/>
      <c r="H6" s="53"/>
      <c r="I6" s="53"/>
      <c r="J6" s="53"/>
      <c r="K6" s="53"/>
      <c r="L6" s="53"/>
      <c r="M6" s="53"/>
      <c r="N6" s="53"/>
    </row>
    <row r="7" spans="1:14" ht="19.5" thickBot="1" x14ac:dyDescent="0.35">
      <c r="A7" s="51"/>
      <c r="B7" s="51"/>
      <c r="C7" s="51"/>
      <c r="D7" s="51"/>
      <c r="E7" s="51"/>
      <c r="F7" s="53"/>
      <c r="G7" s="53"/>
      <c r="H7" s="53"/>
      <c r="I7" s="53"/>
      <c r="J7" s="53"/>
      <c r="K7" s="53"/>
      <c r="L7" s="53"/>
      <c r="M7" s="53"/>
      <c r="N7" s="53"/>
    </row>
    <row r="8" spans="1:14" x14ac:dyDescent="0.25">
      <c r="A8" s="53"/>
      <c r="B8" s="53"/>
      <c r="C8" s="61"/>
      <c r="D8" s="62"/>
      <c r="E8" s="62"/>
      <c r="F8" s="62"/>
      <c r="G8" s="62"/>
      <c r="H8" s="62"/>
      <c r="I8" s="62"/>
      <c r="J8" s="62"/>
      <c r="K8" s="82"/>
      <c r="L8" s="54"/>
      <c r="M8" s="53"/>
      <c r="N8" s="53"/>
    </row>
    <row r="9" spans="1:14" x14ac:dyDescent="0.25">
      <c r="A9" s="53"/>
      <c r="B9" s="53"/>
      <c r="C9" s="64"/>
      <c r="D9" s="65"/>
      <c r="E9" s="66"/>
      <c r="F9" s="66"/>
      <c r="G9" s="66"/>
      <c r="H9" s="66" t="s">
        <v>159</v>
      </c>
      <c r="I9" s="66" t="s">
        <v>159</v>
      </c>
      <c r="J9" s="65"/>
      <c r="K9" s="83" t="s">
        <v>159</v>
      </c>
      <c r="L9" s="67"/>
      <c r="M9" s="63"/>
      <c r="N9" s="53"/>
    </row>
    <row r="10" spans="1:14" x14ac:dyDescent="0.25">
      <c r="A10" s="53"/>
      <c r="B10" s="53"/>
      <c r="C10" s="68" t="s">
        <v>160</v>
      </c>
      <c r="D10" s="65"/>
      <c r="E10" s="66"/>
      <c r="F10" s="66"/>
      <c r="G10" s="66" t="s">
        <v>161</v>
      </c>
      <c r="H10" s="66" t="s">
        <v>162</v>
      </c>
      <c r="I10" s="66" t="s">
        <v>162</v>
      </c>
      <c r="J10" s="66" t="s">
        <v>163</v>
      </c>
      <c r="K10" s="83" t="s">
        <v>162</v>
      </c>
      <c r="L10" s="69" t="s">
        <v>160</v>
      </c>
      <c r="M10" s="63"/>
      <c r="N10" s="53"/>
    </row>
    <row r="11" spans="1:14" ht="26.25" x14ac:dyDescent="0.25">
      <c r="A11" s="53"/>
      <c r="B11" s="53"/>
      <c r="C11" s="70">
        <v>44197</v>
      </c>
      <c r="D11" s="66" t="s">
        <v>69</v>
      </c>
      <c r="E11" s="66" t="s">
        <v>164</v>
      </c>
      <c r="F11" s="66" t="s">
        <v>165</v>
      </c>
      <c r="G11" s="66" t="s">
        <v>165</v>
      </c>
      <c r="H11" s="66" t="s">
        <v>166</v>
      </c>
      <c r="I11" s="66" t="s">
        <v>166</v>
      </c>
      <c r="J11" s="66" t="s">
        <v>167</v>
      </c>
      <c r="K11" s="83" t="s">
        <v>168</v>
      </c>
      <c r="L11" s="71">
        <v>44530</v>
      </c>
      <c r="M11" s="63"/>
      <c r="N11" s="53"/>
    </row>
    <row r="12" spans="1:14" x14ac:dyDescent="0.25">
      <c r="A12" s="53"/>
      <c r="B12" s="53"/>
      <c r="C12" s="64"/>
      <c r="D12" s="66">
        <v>616000</v>
      </c>
      <c r="E12" s="66">
        <v>627000</v>
      </c>
      <c r="F12" s="66">
        <v>611000</v>
      </c>
      <c r="G12" s="66">
        <v>445667</v>
      </c>
      <c r="H12" s="66">
        <v>451100</v>
      </c>
      <c r="I12" s="66">
        <v>451100</v>
      </c>
      <c r="J12" s="66">
        <v>613000</v>
      </c>
      <c r="K12" s="83">
        <v>451100</v>
      </c>
      <c r="L12" s="67"/>
      <c r="M12" s="63"/>
      <c r="N12" s="53"/>
    </row>
    <row r="13" spans="1:14" ht="15.75" thickBot="1" x14ac:dyDescent="0.3">
      <c r="A13" s="53"/>
      <c r="B13" s="53"/>
      <c r="C13" s="72"/>
      <c r="D13" s="73"/>
      <c r="E13" s="73"/>
      <c r="F13" s="73"/>
      <c r="G13" s="73"/>
      <c r="H13" s="73"/>
      <c r="I13" s="73"/>
      <c r="J13" s="85" t="s">
        <v>186</v>
      </c>
      <c r="K13" s="84"/>
      <c r="L13" s="74"/>
      <c r="M13" s="63"/>
      <c r="N13" s="53"/>
    </row>
    <row r="14" spans="1:14" x14ac:dyDescent="0.2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4" x14ac:dyDescent="0.25">
      <c r="A15" s="53">
        <v>101310</v>
      </c>
      <c r="B15" s="53" t="s">
        <v>140</v>
      </c>
      <c r="C15" s="75">
        <v>-281000</v>
      </c>
      <c r="D15" s="53"/>
      <c r="E15" s="53"/>
      <c r="F15" s="53"/>
      <c r="G15" s="53"/>
      <c r="H15" s="53"/>
      <c r="I15" s="53"/>
      <c r="J15" s="53"/>
      <c r="K15" s="53"/>
      <c r="L15" s="75">
        <v>-281000</v>
      </c>
      <c r="M15" s="53"/>
      <c r="N15" s="53"/>
    </row>
    <row r="16" spans="1:14" x14ac:dyDescent="0.25">
      <c r="A16" s="53">
        <v>119000</v>
      </c>
      <c r="B16" s="53" t="s">
        <v>46</v>
      </c>
      <c r="C16" s="75">
        <v>19947</v>
      </c>
      <c r="D16" s="53"/>
      <c r="E16" s="53"/>
      <c r="F16" s="53"/>
      <c r="G16" s="53"/>
      <c r="H16" s="53"/>
      <c r="I16" s="53"/>
      <c r="J16" s="53"/>
      <c r="K16" s="53"/>
      <c r="L16" s="75">
        <v>19947</v>
      </c>
      <c r="M16" s="53"/>
      <c r="N16" s="53"/>
    </row>
    <row r="17" spans="1:14" x14ac:dyDescent="0.25">
      <c r="A17" s="53">
        <v>104501</v>
      </c>
      <c r="B17" s="53" t="s">
        <v>169</v>
      </c>
      <c r="C17" s="75">
        <v>-10000</v>
      </c>
      <c r="D17" s="53"/>
      <c r="E17" s="53"/>
      <c r="F17" s="53"/>
      <c r="G17" s="53"/>
      <c r="H17" s="53"/>
      <c r="I17" s="53"/>
      <c r="J17" s="53"/>
      <c r="K17" s="53"/>
      <c r="L17" s="75">
        <v>-10000</v>
      </c>
      <c r="M17" s="53"/>
      <c r="N17" s="53"/>
    </row>
    <row r="18" spans="1:14" x14ac:dyDescent="0.25">
      <c r="A18" s="53">
        <v>104502</v>
      </c>
      <c r="B18" s="53" t="s">
        <v>170</v>
      </c>
      <c r="C18" s="75">
        <v>-20000</v>
      </c>
      <c r="D18" s="53"/>
      <c r="E18" s="53"/>
      <c r="F18" s="53"/>
      <c r="G18" s="53"/>
      <c r="H18" s="53"/>
      <c r="I18" s="53"/>
      <c r="J18" s="53"/>
      <c r="K18" s="53"/>
      <c r="L18" s="75">
        <v>-20000</v>
      </c>
      <c r="M18" s="53"/>
      <c r="N18" s="53"/>
    </row>
    <row r="19" spans="1:14" x14ac:dyDescent="0.25">
      <c r="A19" s="53">
        <v>104503</v>
      </c>
      <c r="B19" s="53" t="s">
        <v>171</v>
      </c>
      <c r="C19" s="75">
        <v>-13000</v>
      </c>
      <c r="D19" s="53"/>
      <c r="E19" s="53"/>
      <c r="F19" s="53"/>
      <c r="G19" s="53"/>
      <c r="H19" s="53"/>
      <c r="I19" s="53"/>
      <c r="J19" s="53"/>
      <c r="K19" s="53"/>
      <c r="L19" s="75">
        <v>-13000</v>
      </c>
      <c r="M19" s="53"/>
      <c r="N19" s="53"/>
    </row>
    <row r="20" spans="1:14" x14ac:dyDescent="0.25">
      <c r="A20" s="53">
        <v>261200</v>
      </c>
      <c r="B20" s="53" t="s">
        <v>172</v>
      </c>
      <c r="C20" s="75">
        <v>1000</v>
      </c>
      <c r="D20" s="53"/>
      <c r="E20" s="53"/>
      <c r="F20" s="53"/>
      <c r="G20" s="53"/>
      <c r="H20" s="53"/>
      <c r="I20" s="53"/>
      <c r="J20" s="53"/>
      <c r="K20" s="53"/>
      <c r="L20" s="75">
        <v>1000</v>
      </c>
      <c r="M20" s="53"/>
      <c r="N20" s="53"/>
    </row>
    <row r="21" spans="1:14" x14ac:dyDescent="0.25">
      <c r="A21" s="53">
        <v>261300</v>
      </c>
      <c r="B21" s="53" t="s">
        <v>173</v>
      </c>
      <c r="C21" s="75">
        <v>280000</v>
      </c>
      <c r="D21" s="53"/>
      <c r="E21" s="53"/>
      <c r="F21" s="53"/>
      <c r="G21" s="53"/>
      <c r="H21" s="53"/>
      <c r="I21" s="53"/>
      <c r="J21" s="53"/>
      <c r="K21" s="53"/>
      <c r="L21" s="75">
        <v>280000</v>
      </c>
      <c r="M21" s="53"/>
      <c r="N21" s="53"/>
    </row>
    <row r="22" spans="1:14" x14ac:dyDescent="0.25">
      <c r="A22" s="53">
        <v>401000</v>
      </c>
      <c r="B22" s="53" t="s">
        <v>174</v>
      </c>
      <c r="C22" s="53">
        <v>-600</v>
      </c>
      <c r="D22" s="53"/>
      <c r="E22" s="53"/>
      <c r="F22" s="53"/>
      <c r="G22" s="53"/>
      <c r="H22" s="53"/>
      <c r="I22" s="53"/>
      <c r="J22" s="53"/>
      <c r="K22" s="53"/>
      <c r="L22" s="53">
        <v>-600</v>
      </c>
      <c r="M22" s="53"/>
      <c r="N22" s="53"/>
    </row>
    <row r="23" spans="1:14" x14ac:dyDescent="0.25">
      <c r="A23" s="53">
        <v>445670</v>
      </c>
      <c r="B23" s="53" t="s">
        <v>175</v>
      </c>
      <c r="C23" s="75">
        <v>2034</v>
      </c>
      <c r="D23" s="53"/>
      <c r="E23" s="53"/>
      <c r="F23" s="53"/>
      <c r="G23" s="53"/>
      <c r="H23" s="53"/>
      <c r="I23" s="53"/>
      <c r="J23" s="53"/>
      <c r="K23" s="53"/>
      <c r="L23" s="75">
        <v>2034</v>
      </c>
      <c r="M23" s="53"/>
      <c r="N23" s="53"/>
    </row>
    <row r="24" spans="1:14" x14ac:dyDescent="0.25">
      <c r="A24" s="53">
        <v>445667</v>
      </c>
      <c r="B24" s="53" t="s">
        <v>176</v>
      </c>
      <c r="C24" s="53">
        <v>100</v>
      </c>
      <c r="D24" s="53"/>
      <c r="E24" s="53"/>
      <c r="F24" s="53"/>
      <c r="G24" s="53">
        <v>48</v>
      </c>
      <c r="H24" s="53"/>
      <c r="I24" s="53"/>
      <c r="J24" s="53">
        <v>450</v>
      </c>
      <c r="K24" s="53"/>
      <c r="L24" s="53">
        <v>598</v>
      </c>
      <c r="M24" s="53"/>
      <c r="N24" s="53"/>
    </row>
    <row r="25" spans="1:14" x14ac:dyDescent="0.25">
      <c r="A25" s="53">
        <v>451100</v>
      </c>
      <c r="B25" s="53" t="s">
        <v>177</v>
      </c>
      <c r="C25" s="75">
        <v>51243</v>
      </c>
      <c r="D25" s="53"/>
      <c r="E25" s="53"/>
      <c r="F25" s="53"/>
      <c r="G25" s="53"/>
      <c r="H25" s="75">
        <v>1560</v>
      </c>
      <c r="I25" s="75">
        <v>3000</v>
      </c>
      <c r="J25" s="53"/>
      <c r="K25" s="53">
        <v>-120</v>
      </c>
      <c r="L25" s="75">
        <v>55683</v>
      </c>
      <c r="M25" s="63" t="s">
        <v>192</v>
      </c>
      <c r="N25" s="53"/>
    </row>
    <row r="26" spans="1:14" x14ac:dyDescent="0.25">
      <c r="A26" s="53">
        <v>455110</v>
      </c>
      <c r="B26" s="53" t="s">
        <v>178</v>
      </c>
      <c r="C26" s="75">
        <v>-38040</v>
      </c>
      <c r="D26" s="53"/>
      <c r="E26" s="53"/>
      <c r="F26" s="53"/>
      <c r="G26" s="53"/>
      <c r="H26" s="53"/>
      <c r="I26" s="53"/>
      <c r="J26" s="53"/>
      <c r="K26" s="53"/>
      <c r="L26" s="75">
        <v>-38040</v>
      </c>
      <c r="M26" s="53"/>
      <c r="N26" s="53"/>
    </row>
    <row r="27" spans="1:14" ht="15.75" thickBot="1" x14ac:dyDescent="0.3">
      <c r="A27" s="53">
        <v>512000</v>
      </c>
      <c r="B27" s="53" t="s">
        <v>179</v>
      </c>
      <c r="C27" s="75">
        <v>8316</v>
      </c>
      <c r="D27" s="53">
        <v>-710</v>
      </c>
      <c r="E27" s="53">
        <v>-148</v>
      </c>
      <c r="F27" s="53">
        <v>-240</v>
      </c>
      <c r="G27" s="53">
        <v>-48</v>
      </c>
      <c r="H27" s="75">
        <v>-1560</v>
      </c>
      <c r="I27" s="75">
        <v>-3000</v>
      </c>
      <c r="J27" s="75">
        <v>-2700</v>
      </c>
      <c r="K27" s="53">
        <v>120</v>
      </c>
      <c r="L27" s="53">
        <v>30</v>
      </c>
      <c r="M27" s="53" t="s">
        <v>180</v>
      </c>
      <c r="N27" s="53"/>
    </row>
    <row r="28" spans="1:14" ht="15.75" thickBot="1" x14ac:dyDescent="0.3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76" t="s">
        <v>14</v>
      </c>
      <c r="N28" s="77">
        <v>-3348</v>
      </c>
    </row>
    <row r="29" spans="1:14" x14ac:dyDescent="0.25">
      <c r="A29" s="53">
        <v>611000</v>
      </c>
      <c r="B29" s="53" t="s">
        <v>181</v>
      </c>
      <c r="C29" s="53"/>
      <c r="D29" s="53"/>
      <c r="E29" s="53"/>
      <c r="F29" s="53">
        <v>240</v>
      </c>
      <c r="G29" s="53"/>
      <c r="H29" s="53"/>
      <c r="I29" s="53"/>
      <c r="J29" s="53"/>
      <c r="K29" s="53"/>
      <c r="L29" s="53">
        <v>240</v>
      </c>
      <c r="M29" s="53"/>
      <c r="N29" s="53"/>
    </row>
    <row r="30" spans="1:14" x14ac:dyDescent="0.25">
      <c r="A30" s="53">
        <v>613000</v>
      </c>
      <c r="B30" s="53" t="s">
        <v>182</v>
      </c>
      <c r="C30" s="53"/>
      <c r="D30" s="53"/>
      <c r="E30" s="53"/>
      <c r="F30" s="53"/>
      <c r="G30" s="53"/>
      <c r="H30" s="53"/>
      <c r="I30" s="53"/>
      <c r="J30" s="75">
        <v>2250</v>
      </c>
      <c r="K30" s="53"/>
      <c r="L30" s="75">
        <v>2250</v>
      </c>
      <c r="M30" s="53"/>
      <c r="N30" s="53"/>
    </row>
    <row r="31" spans="1:14" x14ac:dyDescent="0.25">
      <c r="A31" s="53">
        <v>616000</v>
      </c>
      <c r="B31" s="53" t="s">
        <v>69</v>
      </c>
      <c r="C31" s="53"/>
      <c r="D31" s="53">
        <v>710</v>
      </c>
      <c r="E31" s="53"/>
      <c r="F31" s="53"/>
      <c r="G31" s="53"/>
      <c r="H31" s="53"/>
      <c r="I31" s="53"/>
      <c r="J31" s="53"/>
      <c r="K31" s="53"/>
      <c r="L31" s="53">
        <v>710</v>
      </c>
      <c r="M31" s="53"/>
      <c r="N31" s="53"/>
    </row>
    <row r="32" spans="1:14" ht="15.75" thickBot="1" x14ac:dyDescent="0.3">
      <c r="A32" s="53">
        <v>627000</v>
      </c>
      <c r="B32" s="53" t="s">
        <v>183</v>
      </c>
      <c r="C32" s="53"/>
      <c r="D32" s="53"/>
      <c r="E32" s="53">
        <v>148</v>
      </c>
      <c r="F32" s="53"/>
      <c r="G32" s="53"/>
      <c r="H32" s="53"/>
      <c r="I32" s="53"/>
      <c r="J32" s="53"/>
      <c r="K32" s="53"/>
      <c r="L32" s="53">
        <v>148</v>
      </c>
      <c r="M32" s="53"/>
      <c r="N32" s="53"/>
    </row>
    <row r="33" spans="1:14" x14ac:dyDescent="0.25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61" t="s">
        <v>14</v>
      </c>
      <c r="N33" s="78">
        <v>-3348</v>
      </c>
    </row>
    <row r="34" spans="1:14" ht="15.75" thickBot="1" x14ac:dyDescent="0.3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79" t="s">
        <v>184</v>
      </c>
      <c r="N34" s="60"/>
    </row>
    <row r="35" spans="1:14" x14ac:dyDescent="0.25">
      <c r="A35" s="53"/>
      <c r="B35" s="80" t="s">
        <v>185</v>
      </c>
      <c r="C35" s="86">
        <f>SUM(C15:C34)</f>
        <v>0</v>
      </c>
      <c r="D35" s="86">
        <f t="shared" ref="D35:L35" si="0">SUM(D15:D34)</f>
        <v>0</v>
      </c>
      <c r="E35" s="86">
        <f t="shared" si="0"/>
        <v>0</v>
      </c>
      <c r="F35" s="86">
        <f t="shared" si="0"/>
        <v>0</v>
      </c>
      <c r="G35" s="86">
        <f t="shared" si="0"/>
        <v>0</v>
      </c>
      <c r="H35" s="86">
        <f t="shared" si="0"/>
        <v>0</v>
      </c>
      <c r="I35" s="86">
        <f t="shared" si="0"/>
        <v>0</v>
      </c>
      <c r="J35" s="86">
        <f t="shared" si="0"/>
        <v>0</v>
      </c>
      <c r="K35" s="86">
        <f t="shared" si="0"/>
        <v>0</v>
      </c>
      <c r="L35" s="78">
        <f t="shared" si="0"/>
        <v>0</v>
      </c>
      <c r="M35" s="53"/>
      <c r="N35" s="53"/>
    </row>
    <row r="36" spans="1:14" ht="15.75" thickBot="1" x14ac:dyDescent="0.3">
      <c r="A36" s="53"/>
      <c r="B36" s="79"/>
      <c r="C36" s="81"/>
      <c r="D36" s="81"/>
      <c r="E36" s="81"/>
      <c r="F36" s="81"/>
      <c r="G36" s="81"/>
      <c r="H36" s="81"/>
      <c r="I36" s="81"/>
      <c r="J36" s="81"/>
      <c r="K36" s="81"/>
      <c r="L36" s="60"/>
      <c r="M36" s="53"/>
      <c r="N36" s="53"/>
    </row>
    <row r="37" spans="1:14" x14ac:dyDescent="0.25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x14ac:dyDescent="0.25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x14ac:dyDescent="0.25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x14ac:dyDescent="0.2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</row>
  </sheetData>
  <pageMargins left="0.7" right="0.7" top="0.75" bottom="0.75" header="0.3" footer="0.3"/>
  <pageSetup paperSize="9" scale="74" fitToHeight="0" orientation="landscape" r:id="rId1"/>
  <ignoredErrors>
    <ignoredError sqref="J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2:AM134"/>
  <sheetViews>
    <sheetView tabSelected="1" topLeftCell="B7" workbookViewId="0">
      <pane xSplit="3" ySplit="5" topLeftCell="M12" activePane="bottomRight" state="frozen"/>
      <selection activeCell="B7" sqref="B7"/>
      <selection pane="topRight" activeCell="E7" sqref="E7"/>
      <selection pane="bottomLeft" activeCell="B12" sqref="B12"/>
      <selection pane="bottomRight" activeCell="R63" sqref="R63"/>
    </sheetView>
  </sheetViews>
  <sheetFormatPr baseColWidth="10" defaultRowHeight="15" x14ac:dyDescent="0.25"/>
  <cols>
    <col min="1" max="1" width="5.42578125" customWidth="1"/>
    <col min="2" max="2" width="17.140625" customWidth="1"/>
    <col min="3" max="3" width="43.7109375" customWidth="1"/>
  </cols>
  <sheetData>
    <row r="2" spans="1:39" x14ac:dyDescent="0.25">
      <c r="B2" s="1" t="s">
        <v>2</v>
      </c>
    </row>
    <row r="3" spans="1:39" x14ac:dyDescent="0.25">
      <c r="B3" s="1" t="s">
        <v>1</v>
      </c>
    </row>
    <row r="4" spans="1:39" x14ac:dyDescent="0.25">
      <c r="B4" s="1"/>
    </row>
    <row r="5" spans="1:39" x14ac:dyDescent="0.25">
      <c r="B5" s="3" t="s">
        <v>7</v>
      </c>
    </row>
    <row r="6" spans="1:39" x14ac:dyDescent="0.25">
      <c r="B6" s="3" t="s">
        <v>48</v>
      </c>
    </row>
    <row r="7" spans="1:39" x14ac:dyDescent="0.25">
      <c r="B7" s="14" t="s">
        <v>49</v>
      </c>
      <c r="C7" s="3" t="s">
        <v>51</v>
      </c>
    </row>
    <row r="8" spans="1:39" x14ac:dyDescent="0.25">
      <c r="B8" s="14" t="s">
        <v>50</v>
      </c>
      <c r="C8" s="3" t="s">
        <v>52</v>
      </c>
    </row>
    <row r="9" spans="1:39" ht="81.75" customHeight="1" x14ac:dyDescent="0.25">
      <c r="A9" s="9"/>
      <c r="B9" s="9"/>
      <c r="C9" s="9"/>
      <c r="D9" s="10" t="s">
        <v>31</v>
      </c>
      <c r="E9" s="13" t="s">
        <v>30</v>
      </c>
      <c r="F9" s="13" t="s">
        <v>80</v>
      </c>
      <c r="G9" s="13" t="s">
        <v>79</v>
      </c>
      <c r="H9" s="13" t="s">
        <v>83</v>
      </c>
      <c r="I9" s="13" t="s">
        <v>82</v>
      </c>
      <c r="J9" s="13" t="s">
        <v>84</v>
      </c>
      <c r="K9" s="13" t="s">
        <v>70</v>
      </c>
      <c r="L9" s="13" t="s">
        <v>77</v>
      </c>
      <c r="M9" s="13" t="s">
        <v>86</v>
      </c>
      <c r="N9" s="13" t="s">
        <v>153</v>
      </c>
      <c r="O9" s="13" t="s">
        <v>156</v>
      </c>
      <c r="P9" s="13" t="s">
        <v>188</v>
      </c>
      <c r="Q9" s="13" t="s">
        <v>189</v>
      </c>
      <c r="R9" s="10" t="s">
        <v>29</v>
      </c>
      <c r="S9" s="11"/>
      <c r="T9" s="11"/>
      <c r="U9" s="11"/>
      <c r="V9" s="11"/>
      <c r="W9" s="11"/>
      <c r="X9" s="11"/>
      <c r="Y9" s="11"/>
      <c r="Z9" s="11"/>
      <c r="AA9" s="11"/>
      <c r="AB9" s="9"/>
      <c r="AC9" s="9"/>
      <c r="AD9" s="9"/>
      <c r="AE9" s="9"/>
    </row>
    <row r="10" spans="1:39" hidden="1" x14ac:dyDescent="0.25">
      <c r="A10" s="9"/>
      <c r="B10" s="12"/>
      <c r="C10" s="12"/>
      <c r="D10" s="15"/>
      <c r="E10" s="16"/>
      <c r="F10" s="16"/>
      <c r="G10" s="16"/>
      <c r="H10" s="16"/>
      <c r="I10" s="16"/>
      <c r="J10" s="16"/>
      <c r="K10" s="16"/>
      <c r="L10" s="20"/>
      <c r="M10" s="12"/>
      <c r="N10" s="12"/>
      <c r="O10" s="12"/>
      <c r="P10" s="12"/>
      <c r="Q10" s="12"/>
      <c r="R10" s="15"/>
      <c r="S10" s="12"/>
      <c r="T10" s="11"/>
      <c r="U10" s="11"/>
      <c r="V10" s="11"/>
      <c r="W10" s="11"/>
      <c r="X10" s="11"/>
      <c r="Y10" s="11"/>
      <c r="Z10" s="11"/>
      <c r="AA10" s="11"/>
      <c r="AB10" s="9"/>
      <c r="AC10" s="9"/>
      <c r="AD10" s="9"/>
      <c r="AE10" s="9"/>
    </row>
    <row r="11" spans="1:39" hidden="1" x14ac:dyDescent="0.25">
      <c r="A11" s="9"/>
      <c r="B11" s="12"/>
      <c r="C11" s="12"/>
      <c r="D11" s="15"/>
      <c r="E11" s="16"/>
      <c r="F11" s="16"/>
      <c r="G11" s="16"/>
      <c r="H11" s="16"/>
      <c r="I11" s="16"/>
      <c r="J11" s="16"/>
      <c r="K11" s="17" t="s">
        <v>3</v>
      </c>
      <c r="L11" s="17" t="s">
        <v>3</v>
      </c>
      <c r="M11" s="12"/>
      <c r="N11" s="12"/>
      <c r="O11" s="12"/>
      <c r="P11" s="12"/>
      <c r="Q11" s="12"/>
      <c r="R11" s="15"/>
      <c r="S11" s="12"/>
      <c r="T11" s="11"/>
      <c r="U11" s="11"/>
      <c r="V11" s="11"/>
      <c r="W11" s="11"/>
      <c r="X11" s="11"/>
      <c r="Y11" s="11"/>
      <c r="Z11" s="11"/>
      <c r="AA11" s="11"/>
      <c r="AB11" s="9"/>
      <c r="AC11" s="9"/>
      <c r="AD11" s="9"/>
      <c r="AE11" s="9"/>
    </row>
    <row r="12" spans="1:39" x14ac:dyDescent="0.25">
      <c r="E12" s="8" t="s">
        <v>3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39" x14ac:dyDescent="0.25">
      <c r="B13" s="1" t="s">
        <v>4</v>
      </c>
      <c r="C13" t="s">
        <v>32</v>
      </c>
      <c r="D13" s="2">
        <v>255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>
        <f t="shared" ref="R13:R36" si="0">SUM(D13:Q13)</f>
        <v>255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x14ac:dyDescent="0.25">
      <c r="C14" t="s">
        <v>33</v>
      </c>
      <c r="D14" s="2">
        <v>6111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>
        <f t="shared" si="0"/>
        <v>6111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x14ac:dyDescent="0.25">
      <c r="C15" t="s">
        <v>34</v>
      </c>
      <c r="D15" s="2">
        <v>5799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>
        <f t="shared" si="0"/>
        <v>5799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x14ac:dyDescent="0.25">
      <c r="C16" t="s">
        <v>35</v>
      </c>
      <c r="D16" s="2">
        <f>102046-37192</f>
        <v>64854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>
        <f t="shared" si="0"/>
        <v>64854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2:39" x14ac:dyDescent="0.25">
      <c r="C17" t="s">
        <v>36</v>
      </c>
      <c r="D17" s="2">
        <f>5975-2863</f>
        <v>3112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>
        <f t="shared" si="0"/>
        <v>3112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2:39" x14ac:dyDescent="0.25">
      <c r="C18" t="s">
        <v>37</v>
      </c>
      <c r="D18" s="2">
        <v>13693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>
        <f t="shared" si="0"/>
        <v>13693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2:39" x14ac:dyDescent="0.25">
      <c r="C19" t="s">
        <v>38</v>
      </c>
      <c r="D19" s="2">
        <v>2698</v>
      </c>
      <c r="E19" s="2"/>
      <c r="F19" s="2"/>
      <c r="G19" s="2"/>
      <c r="H19" s="2"/>
      <c r="I19" s="2">
        <v>1800</v>
      </c>
      <c r="J19" s="2"/>
      <c r="K19" s="2"/>
      <c r="L19" s="2"/>
      <c r="M19" s="2"/>
      <c r="N19" s="2"/>
      <c r="O19" s="2"/>
      <c r="P19" s="2"/>
      <c r="Q19" s="2"/>
      <c r="R19" s="2">
        <f t="shared" si="0"/>
        <v>4498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2:39" x14ac:dyDescent="0.25">
      <c r="C20" t="s">
        <v>39</v>
      </c>
      <c r="D20" s="2">
        <v>113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>
        <f t="shared" si="0"/>
        <v>113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2:39" x14ac:dyDescent="0.25">
      <c r="C21" t="s">
        <v>40</v>
      </c>
      <c r="D21" s="2">
        <v>1800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>
        <f t="shared" si="0"/>
        <v>1800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2:39" x14ac:dyDescent="0.25">
      <c r="C22" t="s">
        <v>41</v>
      </c>
      <c r="D22" s="2">
        <v>6758</v>
      </c>
      <c r="E22" s="2"/>
      <c r="F22" s="2"/>
      <c r="G22" s="2"/>
      <c r="H22" s="2"/>
      <c r="I22" s="2"/>
      <c r="J22" s="2"/>
      <c r="K22" s="2"/>
      <c r="L22" s="2"/>
      <c r="M22" s="2"/>
      <c r="N22" s="2">
        <f>+'Suivi bq dépenses recettes'!N43</f>
        <v>10342.833333333334</v>
      </c>
      <c r="O22" s="2">
        <f>-O35</f>
        <v>-10970</v>
      </c>
      <c r="P22" s="2"/>
      <c r="Q22" s="2"/>
      <c r="R22" s="2">
        <f t="shared" si="0"/>
        <v>6130.8333333333358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2:39" x14ac:dyDescent="0.25">
      <c r="C23" t="s">
        <v>42</v>
      </c>
      <c r="D23" s="2">
        <v>940</v>
      </c>
      <c r="E23" s="2"/>
      <c r="F23" s="2"/>
      <c r="G23" s="2"/>
      <c r="H23" s="2"/>
      <c r="I23" s="2"/>
      <c r="J23" s="2"/>
      <c r="K23" s="2"/>
      <c r="L23" s="2"/>
      <c r="M23" s="2">
        <v>3150</v>
      </c>
      <c r="N23" s="2"/>
      <c r="O23" s="2"/>
      <c r="P23" s="2"/>
      <c r="Q23" s="2"/>
      <c r="R23" s="2">
        <f t="shared" si="0"/>
        <v>4090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2:39" x14ac:dyDescent="0.25">
      <c r="C24" s="27" t="s">
        <v>43</v>
      </c>
      <c r="D24" s="28">
        <v>3259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>
        <f t="shared" si="0"/>
        <v>3259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2:39" x14ac:dyDescent="0.25">
      <c r="C25" s="27" t="s">
        <v>187</v>
      </c>
      <c r="D25" s="28">
        <v>955</v>
      </c>
      <c r="E25" s="28"/>
      <c r="F25" s="28">
        <f>-F30-F35</f>
        <v>61344</v>
      </c>
      <c r="G25" s="28">
        <f>-G30</f>
        <v>1450</v>
      </c>
      <c r="H25" s="28"/>
      <c r="I25" s="28"/>
      <c r="J25" s="28"/>
      <c r="K25" s="28"/>
      <c r="L25" s="28">
        <v>2700</v>
      </c>
      <c r="M25" s="28"/>
      <c r="N25" s="28">
        <v>-69404</v>
      </c>
      <c r="O25" s="28"/>
      <c r="P25" s="28"/>
      <c r="Q25" s="28">
        <v>-427</v>
      </c>
      <c r="R25" s="28">
        <f t="shared" si="0"/>
        <v>-3382</v>
      </c>
      <c r="S25" s="2">
        <f>+R25+3382</f>
        <v>0</v>
      </c>
      <c r="T25" s="49" t="s">
        <v>190</v>
      </c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2:39" x14ac:dyDescent="0.25">
      <c r="C26" t="s">
        <v>44</v>
      </c>
      <c r="D26" s="2">
        <v>427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>
        <v>-427</v>
      </c>
      <c r="R26" s="2">
        <f t="shared" si="0"/>
        <v>0</v>
      </c>
      <c r="S26" s="2" t="s">
        <v>3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2:39" x14ac:dyDescent="0.25">
      <c r="B27" s="1" t="s">
        <v>28</v>
      </c>
      <c r="C27" t="s">
        <v>12</v>
      </c>
      <c r="D27" s="2">
        <v>-10000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>
        <f t="shared" si="0"/>
        <v>-10000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2:39" x14ac:dyDescent="0.25">
      <c r="C28" t="s">
        <v>45</v>
      </c>
      <c r="D28" s="2">
        <v>-92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>
        <f t="shared" si="0"/>
        <v>-92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2:39" x14ac:dyDescent="0.25">
      <c r="C29" t="s">
        <v>46</v>
      </c>
      <c r="D29" s="2">
        <v>58255</v>
      </c>
      <c r="E29" s="2" t="s">
        <v>3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>
        <f t="shared" si="0"/>
        <v>58255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2:39" x14ac:dyDescent="0.25">
      <c r="C30" s="26" t="s">
        <v>14</v>
      </c>
      <c r="D30" s="7">
        <f>+D63</f>
        <v>8582</v>
      </c>
      <c r="E30" s="7" t="s">
        <v>3</v>
      </c>
      <c r="F30" s="7">
        <f>+F63</f>
        <v>-51120</v>
      </c>
      <c r="G30" s="7">
        <f t="shared" ref="G30:I30" si="1">+G63</f>
        <v>-1450</v>
      </c>
      <c r="H30" s="7">
        <f>-H34</f>
        <v>1600</v>
      </c>
      <c r="I30" s="7">
        <f t="shared" si="1"/>
        <v>-1800</v>
      </c>
      <c r="J30" s="7">
        <f>-J34</f>
        <v>1000</v>
      </c>
      <c r="K30" s="7">
        <f>+K63</f>
        <v>4560</v>
      </c>
      <c r="L30" s="7">
        <f>+L63</f>
        <v>-2250</v>
      </c>
      <c r="M30" s="7">
        <f>-M23</f>
        <v>-3150</v>
      </c>
      <c r="N30" s="7">
        <f>+N63</f>
        <v>48526.166666666672</v>
      </c>
      <c r="O30" s="7"/>
      <c r="P30" s="7">
        <f>+P63</f>
        <v>-120</v>
      </c>
      <c r="Q30" s="7">
        <f>+Q63</f>
        <v>1530</v>
      </c>
      <c r="R30" s="7">
        <f t="shared" si="0"/>
        <v>5908.1666666666715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2:39" x14ac:dyDescent="0.25">
      <c r="C31" t="s">
        <v>53</v>
      </c>
      <c r="D31" s="2">
        <v>-105857</v>
      </c>
      <c r="E31" s="2"/>
      <c r="F31" s="2"/>
      <c r="G31" s="2"/>
      <c r="H31" s="2"/>
      <c r="I31" s="2"/>
      <c r="J31" s="2"/>
      <c r="K31" s="2"/>
      <c r="L31" s="2"/>
      <c r="M31" s="2"/>
      <c r="N31" s="2">
        <f>+'Suivi bq dépenses recettes'!N44</f>
        <v>10535</v>
      </c>
      <c r="O31" s="2"/>
      <c r="P31" s="2"/>
      <c r="Q31" s="2"/>
      <c r="R31" s="2">
        <f t="shared" si="0"/>
        <v>-95322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2:39" x14ac:dyDescent="0.25">
      <c r="C32" s="27" t="s">
        <v>54</v>
      </c>
      <c r="D32" s="28">
        <v>-50567</v>
      </c>
      <c r="E32" s="28"/>
      <c r="F32" s="28"/>
      <c r="G32" s="28"/>
      <c r="H32" s="28"/>
      <c r="I32" s="28"/>
      <c r="J32" s="28"/>
      <c r="K32" s="28">
        <v>-4560</v>
      </c>
      <c r="L32" s="28"/>
      <c r="M32" s="28"/>
      <c r="N32" s="28"/>
      <c r="O32" s="28"/>
      <c r="P32" s="28">
        <v>120</v>
      </c>
      <c r="Q32" s="28">
        <v>-676</v>
      </c>
      <c r="R32" s="28">
        <f t="shared" si="0"/>
        <v>-55683</v>
      </c>
      <c r="S32" s="2">
        <f>+R32+55683</f>
        <v>0</v>
      </c>
      <c r="T32" s="87" t="s">
        <v>191</v>
      </c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2:39" x14ac:dyDescent="0.25">
      <c r="C33" t="s">
        <v>39</v>
      </c>
      <c r="D33" s="2">
        <v>-10334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>
        <f t="shared" si="0"/>
        <v>-10334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2:39" x14ac:dyDescent="0.25">
      <c r="C34" t="s">
        <v>85</v>
      </c>
      <c r="D34" s="2">
        <v>0</v>
      </c>
      <c r="E34" s="2"/>
      <c r="F34" s="2"/>
      <c r="G34" s="2"/>
      <c r="H34" s="2">
        <v>-1600</v>
      </c>
      <c r="I34" s="2"/>
      <c r="J34" s="2">
        <v>-1000</v>
      </c>
      <c r="K34" s="2"/>
      <c r="L34" s="2"/>
      <c r="M34" s="2"/>
      <c r="N34" s="2"/>
      <c r="O34" s="2"/>
      <c r="P34" s="2"/>
      <c r="Q34" s="2"/>
      <c r="R34" s="2">
        <f t="shared" si="0"/>
        <v>-2600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2:39" x14ac:dyDescent="0.25">
      <c r="C35" t="s">
        <v>41</v>
      </c>
      <c r="D35" s="2">
        <v>-746</v>
      </c>
      <c r="E35" s="2"/>
      <c r="F35" s="2">
        <f>-'Suivi bq dépenses recettes'!N52</f>
        <v>-10224</v>
      </c>
      <c r="G35" s="2"/>
      <c r="H35" s="2"/>
      <c r="I35" s="2"/>
      <c r="J35" s="2"/>
      <c r="K35" s="2"/>
      <c r="L35" s="2">
        <v>-450</v>
      </c>
      <c r="M35" s="2"/>
      <c r="N35" s="2" t="s">
        <v>3</v>
      </c>
      <c r="O35" s="2">
        <v>10970</v>
      </c>
      <c r="P35" s="2"/>
      <c r="Q35" s="2"/>
      <c r="R35" s="2">
        <f t="shared" si="0"/>
        <v>-450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2:39" x14ac:dyDescent="0.25">
      <c r="C36" t="s">
        <v>55</v>
      </c>
      <c r="D36" s="2">
        <v>-15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>
        <f t="shared" si="0"/>
        <v>-15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2:39" x14ac:dyDescent="0.25">
      <c r="C37" s="24" t="s">
        <v>18</v>
      </c>
      <c r="D37" s="25">
        <f t="shared" ref="D37:R37" si="2">SUM(D13:D36)</f>
        <v>0</v>
      </c>
      <c r="E37" s="25">
        <f t="shared" si="2"/>
        <v>0</v>
      </c>
      <c r="F37" s="25">
        <f t="shared" si="2"/>
        <v>0</v>
      </c>
      <c r="G37" s="25">
        <f t="shared" si="2"/>
        <v>0</v>
      </c>
      <c r="H37" s="25">
        <f t="shared" si="2"/>
        <v>0</v>
      </c>
      <c r="I37" s="25">
        <f t="shared" si="2"/>
        <v>0</v>
      </c>
      <c r="J37" s="25">
        <f t="shared" si="2"/>
        <v>0</v>
      </c>
      <c r="K37" s="25">
        <f t="shared" si="2"/>
        <v>0</v>
      </c>
      <c r="L37" s="25">
        <f t="shared" si="2"/>
        <v>0</v>
      </c>
      <c r="M37" s="25">
        <f t="shared" si="2"/>
        <v>0</v>
      </c>
      <c r="N37" s="25">
        <f t="shared" si="2"/>
        <v>0</v>
      </c>
      <c r="O37" s="25">
        <f t="shared" si="2"/>
        <v>0</v>
      </c>
      <c r="P37" s="25">
        <f t="shared" si="2"/>
        <v>0</v>
      </c>
      <c r="Q37" s="25">
        <f t="shared" si="2"/>
        <v>0</v>
      </c>
      <c r="R37" s="25">
        <f t="shared" si="2"/>
        <v>0</v>
      </c>
      <c r="S37" s="23">
        <f>SUM(D37:Q37)-R37</f>
        <v>0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2:39" x14ac:dyDescent="0.25">
      <c r="C38" s="4"/>
      <c r="D38" s="5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 t="s">
        <v>3</v>
      </c>
      <c r="S38" s="2"/>
      <c r="T38" s="2" t="s">
        <v>3</v>
      </c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2:39" x14ac:dyDescent="0.25">
      <c r="B39" s="1" t="s">
        <v>5</v>
      </c>
      <c r="C39" t="s">
        <v>56</v>
      </c>
      <c r="D39" s="2">
        <v>-91336</v>
      </c>
      <c r="E39" s="2" t="s">
        <v>3</v>
      </c>
      <c r="F39" s="2">
        <f>-135223-D39-5433-845-955</f>
        <v>-51120</v>
      </c>
      <c r="G39" s="2"/>
      <c r="H39" s="2"/>
      <c r="I39" s="2"/>
      <c r="J39" s="2"/>
      <c r="K39" s="2"/>
      <c r="L39" s="2"/>
      <c r="M39" s="2"/>
      <c r="N39" s="2"/>
      <c r="O39" s="2"/>
      <c r="P39" s="2">
        <v>-120</v>
      </c>
      <c r="Q39" s="2"/>
      <c r="R39" s="2">
        <f t="shared" ref="R39:R62" si="3">SUM(D39:Q39)</f>
        <v>-142576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2:39" x14ac:dyDescent="0.25">
      <c r="C40" t="s">
        <v>57</v>
      </c>
      <c r="D40" s="2">
        <v>-5830</v>
      </c>
      <c r="E40" s="2" t="s">
        <v>3</v>
      </c>
      <c r="F40" s="2"/>
      <c r="G40" s="2">
        <f>-7280-D40</f>
        <v>-1450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>
        <f t="shared" si="3"/>
        <v>-7280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2:39" x14ac:dyDescent="0.25">
      <c r="C41" t="s">
        <v>81</v>
      </c>
      <c r="D41" s="2">
        <v>0</v>
      </c>
      <c r="E41" s="2"/>
      <c r="F41" s="2"/>
      <c r="G41" s="2"/>
      <c r="H41" s="2"/>
      <c r="I41" s="2">
        <v>-1800</v>
      </c>
      <c r="J41" s="2"/>
      <c r="K41" s="2"/>
      <c r="L41" s="2"/>
      <c r="M41" s="2"/>
      <c r="N41" s="2"/>
      <c r="O41" s="2"/>
      <c r="P41" s="2"/>
      <c r="Q41" s="2"/>
      <c r="R41" s="2">
        <f t="shared" si="3"/>
        <v>-1800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2:39" x14ac:dyDescent="0.25">
      <c r="C42" t="s">
        <v>58</v>
      </c>
      <c r="D42" s="2">
        <v>-1</v>
      </c>
      <c r="E42" s="2" t="s">
        <v>3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>
        <f t="shared" si="3"/>
        <v>-1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2:39" x14ac:dyDescent="0.25">
      <c r="C43" t="s">
        <v>87</v>
      </c>
      <c r="D43" s="2">
        <v>0</v>
      </c>
      <c r="E43" s="2"/>
      <c r="F43" s="2"/>
      <c r="G43" s="2"/>
      <c r="H43" s="2"/>
      <c r="I43" s="2"/>
      <c r="J43" s="2"/>
      <c r="K43" s="2"/>
      <c r="L43" s="2"/>
      <c r="M43" s="2">
        <v>-3150</v>
      </c>
      <c r="N43" s="2"/>
      <c r="O43" s="2"/>
      <c r="P43" s="2"/>
      <c r="Q43" s="2"/>
      <c r="R43" s="2">
        <f t="shared" si="3"/>
        <v>-3150</v>
      </c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2:39" x14ac:dyDescent="0.25">
      <c r="C44" t="s">
        <v>148</v>
      </c>
      <c r="D44" s="2">
        <v>0</v>
      </c>
      <c r="E44" s="2"/>
      <c r="F44" s="2"/>
      <c r="G44" s="2"/>
      <c r="H44" s="2"/>
      <c r="I44" s="2"/>
      <c r="J44" s="2"/>
      <c r="K44" s="2"/>
      <c r="L44" s="2"/>
      <c r="M44" s="2"/>
      <c r="N44" s="2">
        <f>+'Suivi bq dépenses recettes'!T42</f>
        <v>28252</v>
      </c>
      <c r="O44" s="2"/>
      <c r="P44" s="2"/>
      <c r="Q44" s="2"/>
      <c r="R44" s="2">
        <f t="shared" si="3"/>
        <v>28252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2:39" x14ac:dyDescent="0.25">
      <c r="C45" t="s">
        <v>78</v>
      </c>
      <c r="D45" s="2">
        <v>0</v>
      </c>
      <c r="E45" s="2"/>
      <c r="F45" s="2"/>
      <c r="G45" s="2"/>
      <c r="H45" s="2"/>
      <c r="I45" s="2"/>
      <c r="J45" s="2"/>
      <c r="K45" s="2"/>
      <c r="L45" s="2">
        <v>-2250</v>
      </c>
      <c r="M45" s="2"/>
      <c r="N45" s="2"/>
      <c r="O45" s="2"/>
      <c r="P45" s="2"/>
      <c r="Q45" s="2"/>
      <c r="R45" s="2">
        <f t="shared" si="3"/>
        <v>-2250</v>
      </c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2:39" x14ac:dyDescent="0.25">
      <c r="C46" t="s">
        <v>59</v>
      </c>
      <c r="D46" s="2">
        <v>82286</v>
      </c>
      <c r="E46" s="2" t="s">
        <v>3</v>
      </c>
      <c r="F46" s="2"/>
      <c r="G46" s="2"/>
      <c r="H46" s="2">
        <v>1600</v>
      </c>
      <c r="I46" s="2"/>
      <c r="J46" s="2">
        <v>1000</v>
      </c>
      <c r="K46" s="2">
        <v>4560</v>
      </c>
      <c r="L46" s="2"/>
      <c r="M46" s="2"/>
      <c r="N46" s="2"/>
      <c r="O46" s="2"/>
      <c r="P46" s="2"/>
      <c r="Q46" s="2">
        <f>-Q26+427+676</f>
        <v>1530</v>
      </c>
      <c r="R46" s="2">
        <f t="shared" si="3"/>
        <v>90976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2:39" x14ac:dyDescent="0.25">
      <c r="C47" t="s">
        <v>152</v>
      </c>
      <c r="D47" s="2">
        <v>0</v>
      </c>
      <c r="E47" s="2"/>
      <c r="F47" s="2"/>
      <c r="G47" s="2"/>
      <c r="H47" s="2"/>
      <c r="I47" s="2"/>
      <c r="J47" s="2"/>
      <c r="K47" s="2"/>
      <c r="L47" s="2"/>
      <c r="M47" s="2"/>
      <c r="N47" s="2">
        <f>+'Suivi bq dépenses recettes'!O42</f>
        <v>2800</v>
      </c>
      <c r="O47" s="2"/>
      <c r="P47" s="2"/>
      <c r="Q47" s="2"/>
      <c r="R47" s="2">
        <f t="shared" si="3"/>
        <v>2800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2:39" x14ac:dyDescent="0.25">
      <c r="C48" t="s">
        <v>130</v>
      </c>
      <c r="D48" s="2">
        <v>0</v>
      </c>
      <c r="E48" s="2"/>
      <c r="F48" s="2"/>
      <c r="G48" s="2"/>
      <c r="H48" s="2"/>
      <c r="I48" s="2"/>
      <c r="J48" s="2"/>
      <c r="K48" s="2"/>
      <c r="L48" s="2"/>
      <c r="M48" s="2"/>
      <c r="N48" s="2">
        <f>+'Suivi bq dépenses recettes'!P42</f>
        <v>806.66666666666674</v>
      </c>
      <c r="O48" s="2"/>
      <c r="P48" s="2"/>
      <c r="Q48" s="2"/>
      <c r="R48" s="2">
        <f t="shared" si="3"/>
        <v>806.66666666666674</v>
      </c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3:39" x14ac:dyDescent="0.25">
      <c r="C49" t="s">
        <v>131</v>
      </c>
      <c r="D49" s="2">
        <v>0</v>
      </c>
      <c r="E49" s="2"/>
      <c r="F49" s="2"/>
      <c r="G49" s="2"/>
      <c r="H49" s="2"/>
      <c r="I49" s="2"/>
      <c r="J49" s="2"/>
      <c r="K49" s="2"/>
      <c r="L49" s="2"/>
      <c r="M49" s="2"/>
      <c r="N49" s="2">
        <f>+'Suivi bq dépenses recettes'!Q42</f>
        <v>2062.5</v>
      </c>
      <c r="O49" s="2"/>
      <c r="P49" s="2"/>
      <c r="Q49" s="2"/>
      <c r="R49" s="2">
        <f t="shared" si="3"/>
        <v>2062.5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3:39" x14ac:dyDescent="0.25">
      <c r="C50" t="s">
        <v>132</v>
      </c>
      <c r="D50" s="2">
        <v>0</v>
      </c>
      <c r="E50" s="2"/>
      <c r="F50" s="2"/>
      <c r="G50" s="2"/>
      <c r="H50" s="2"/>
      <c r="I50" s="2"/>
      <c r="J50" s="2"/>
      <c r="K50" s="2"/>
      <c r="L50" s="2"/>
      <c r="M50" s="2"/>
      <c r="N50" s="2">
        <f>+'Suivi bq dépenses recettes'!R42</f>
        <v>690</v>
      </c>
      <c r="O50" s="2"/>
      <c r="P50" s="2"/>
      <c r="Q50" s="2"/>
      <c r="R50" s="2">
        <f t="shared" si="3"/>
        <v>690</v>
      </c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3:39" x14ac:dyDescent="0.25">
      <c r="C51" t="s">
        <v>60</v>
      </c>
      <c r="D51" s="2">
        <v>3652</v>
      </c>
      <c r="E51" s="2" t="s">
        <v>3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>
        <f t="shared" si="3"/>
        <v>3652</v>
      </c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3:39" x14ac:dyDescent="0.25">
      <c r="C52" t="s">
        <v>61</v>
      </c>
      <c r="D52" s="2">
        <v>3886</v>
      </c>
      <c r="E52" s="2"/>
      <c r="F52" s="2"/>
      <c r="G52" s="2"/>
      <c r="H52" s="2"/>
      <c r="I52" s="2"/>
      <c r="J52" s="2"/>
      <c r="K52" s="2"/>
      <c r="L52" s="2"/>
      <c r="M52" s="2"/>
      <c r="N52" s="2">
        <f>+'Suivi bq dépenses recettes'!V42</f>
        <v>1564</v>
      </c>
      <c r="O52" s="2"/>
      <c r="P52" s="2"/>
      <c r="Q52" s="2"/>
      <c r="R52" s="2">
        <f t="shared" si="3"/>
        <v>5450</v>
      </c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3:39" x14ac:dyDescent="0.25">
      <c r="C53" t="s">
        <v>62</v>
      </c>
      <c r="D53" s="2">
        <v>966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>
        <f t="shared" si="3"/>
        <v>966</v>
      </c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3:39" x14ac:dyDescent="0.25">
      <c r="C54" t="s">
        <v>63</v>
      </c>
      <c r="D54" s="2">
        <v>13225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>
        <f t="shared" si="3"/>
        <v>13225</v>
      </c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3:39" x14ac:dyDescent="0.25">
      <c r="C55" t="s">
        <v>64</v>
      </c>
      <c r="D55" s="2">
        <v>51</v>
      </c>
      <c r="E55" s="2"/>
      <c r="F55" s="2"/>
      <c r="G55" s="2"/>
      <c r="H55" s="2"/>
      <c r="I55" s="2"/>
      <c r="J55" s="2"/>
      <c r="K55" s="2"/>
      <c r="L55" s="2"/>
      <c r="M55" s="2"/>
      <c r="N55" s="2">
        <f>+'Suivi bq dépenses recettes'!Z42</f>
        <v>3513</v>
      </c>
      <c r="O55" s="2"/>
      <c r="P55" s="2"/>
      <c r="Q55" s="2"/>
      <c r="R55" s="2">
        <f t="shared" si="3"/>
        <v>3564</v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3:39" x14ac:dyDescent="0.25">
      <c r="C56" t="s">
        <v>150</v>
      </c>
      <c r="D56" s="2">
        <v>0</v>
      </c>
      <c r="E56" s="2"/>
      <c r="F56" s="2"/>
      <c r="G56" s="2"/>
      <c r="H56" s="2"/>
      <c r="I56" s="2"/>
      <c r="J56" s="2"/>
      <c r="K56" s="2"/>
      <c r="L56" s="2"/>
      <c r="M56" s="2"/>
      <c r="N56" s="2">
        <f>+'Suivi bq dépenses recettes'!S42</f>
        <v>2165</v>
      </c>
      <c r="O56" s="2"/>
      <c r="P56" s="2"/>
      <c r="Q56" s="2"/>
      <c r="R56" s="2">
        <f t="shared" si="3"/>
        <v>2165</v>
      </c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3:39" x14ac:dyDescent="0.25">
      <c r="C57" t="s">
        <v>135</v>
      </c>
      <c r="D57" s="2">
        <v>0</v>
      </c>
      <c r="E57" s="2"/>
      <c r="F57" s="2"/>
      <c r="G57" s="2"/>
      <c r="H57" s="2"/>
      <c r="I57" s="2"/>
      <c r="J57" s="2"/>
      <c r="K57" s="2"/>
      <c r="L57" s="2"/>
      <c r="M57" s="2"/>
      <c r="N57" s="2">
        <f>+'Suivi bq dépenses recettes'!U42</f>
        <v>2870</v>
      </c>
      <c r="O57" s="2"/>
      <c r="P57" s="2"/>
      <c r="Q57" s="2"/>
      <c r="R57" s="2">
        <f t="shared" si="3"/>
        <v>2870</v>
      </c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3:39" x14ac:dyDescent="0.25">
      <c r="C58" t="s">
        <v>151</v>
      </c>
      <c r="D58" s="2">
        <v>0</v>
      </c>
      <c r="E58" s="2"/>
      <c r="F58" s="2"/>
      <c r="G58" s="2"/>
      <c r="H58" s="2"/>
      <c r="I58" s="2"/>
      <c r="J58" s="2"/>
      <c r="K58" s="2"/>
      <c r="L58" s="2"/>
      <c r="M58" s="2"/>
      <c r="N58" s="2">
        <f>+'Suivi bq dépenses recettes'!W42</f>
        <v>1080</v>
      </c>
      <c r="O58" s="2"/>
      <c r="P58" s="2"/>
      <c r="Q58" s="2"/>
      <c r="R58" s="2">
        <f t="shared" si="3"/>
        <v>1080</v>
      </c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3:39" x14ac:dyDescent="0.25">
      <c r="C59" t="s">
        <v>65</v>
      </c>
      <c r="D59" s="2">
        <v>4973</v>
      </c>
      <c r="E59" s="2"/>
      <c r="F59" s="2"/>
      <c r="G59" s="2"/>
      <c r="H59" s="2"/>
      <c r="I59" s="2"/>
      <c r="J59" s="2"/>
      <c r="K59" s="2"/>
      <c r="L59" s="2"/>
      <c r="M59" s="2"/>
      <c r="N59" s="2">
        <f>+'Suivi bq dépenses recettes'!N45</f>
        <v>2537</v>
      </c>
      <c r="O59" s="2"/>
      <c r="P59" s="2"/>
      <c r="Q59" s="2"/>
      <c r="R59" s="2">
        <f t="shared" si="3"/>
        <v>7510</v>
      </c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3:39" x14ac:dyDescent="0.25">
      <c r="C60" t="s">
        <v>66</v>
      </c>
      <c r="D60" s="2">
        <v>-3290</v>
      </c>
      <c r="E60" s="2" t="s">
        <v>3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>
        <f t="shared" si="3"/>
        <v>-3290</v>
      </c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3:39" x14ac:dyDescent="0.25">
      <c r="C61" t="s">
        <v>25</v>
      </c>
      <c r="D61" s="2">
        <v>0</v>
      </c>
      <c r="E61" s="2" t="s">
        <v>3</v>
      </c>
      <c r="F61" s="2"/>
      <c r="G61" s="2"/>
      <c r="H61" s="2"/>
      <c r="I61" s="2"/>
      <c r="J61" s="2"/>
      <c r="K61" s="2"/>
      <c r="L61" s="2"/>
      <c r="M61" s="2"/>
      <c r="N61" s="2">
        <f>+'Suivi bq dépenses recettes'!X42</f>
        <v>186</v>
      </c>
      <c r="O61" s="2"/>
      <c r="P61" s="2"/>
      <c r="Q61" s="2"/>
      <c r="R61" s="2">
        <f t="shared" si="3"/>
        <v>186</v>
      </c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3:39" x14ac:dyDescent="0.25">
      <c r="C62" t="s">
        <v>26</v>
      </c>
      <c r="D62" s="2">
        <v>0</v>
      </c>
      <c r="E62" s="2" t="s">
        <v>3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>
        <f t="shared" si="3"/>
        <v>0</v>
      </c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3:39" x14ac:dyDescent="0.25">
      <c r="C63" s="29" t="s">
        <v>27</v>
      </c>
      <c r="D63" s="6">
        <f>SUM(D39:D62)</f>
        <v>8582</v>
      </c>
      <c r="E63" s="6">
        <f>SUM(E39:E62)</f>
        <v>0</v>
      </c>
      <c r="F63" s="6">
        <f t="shared" ref="F63:J63" si="4">SUM(F39:F62)</f>
        <v>-51120</v>
      </c>
      <c r="G63" s="6">
        <f t="shared" si="4"/>
        <v>-1450</v>
      </c>
      <c r="H63" s="6">
        <f t="shared" si="4"/>
        <v>1600</v>
      </c>
      <c r="I63" s="6">
        <f t="shared" si="4"/>
        <v>-1800</v>
      </c>
      <c r="J63" s="6">
        <f t="shared" si="4"/>
        <v>1000</v>
      </c>
      <c r="K63" s="6">
        <f t="shared" ref="K63" si="5">SUM(K39:K62)</f>
        <v>4560</v>
      </c>
      <c r="L63" s="6">
        <f t="shared" ref="L63" si="6">SUM(L39:L62)</f>
        <v>-2250</v>
      </c>
      <c r="M63" s="6">
        <f t="shared" ref="M63:Q63" si="7">SUM(M39:M62)</f>
        <v>-3150</v>
      </c>
      <c r="N63" s="6">
        <f t="shared" si="7"/>
        <v>48526.166666666672</v>
      </c>
      <c r="O63" s="6">
        <f t="shared" si="7"/>
        <v>0</v>
      </c>
      <c r="P63" s="6">
        <f t="shared" si="7"/>
        <v>-120</v>
      </c>
      <c r="Q63" s="6">
        <f t="shared" si="7"/>
        <v>1530</v>
      </c>
      <c r="R63" s="6">
        <f>SUM(R39:R62)</f>
        <v>5908.1666666666642</v>
      </c>
      <c r="S63" s="23">
        <f>SUM(D63:Q63)-R63</f>
        <v>7.2759576141834259E-12</v>
      </c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3:39" x14ac:dyDescent="0.25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4:39" x14ac:dyDescent="0.25">
      <c r="D65" s="2"/>
      <c r="E65" s="2"/>
      <c r="F65" s="2"/>
      <c r="G65" s="2"/>
      <c r="H65" s="2"/>
      <c r="I65" s="2"/>
      <c r="J65" s="2"/>
      <c r="K65" s="2"/>
      <c r="L65" s="2"/>
      <c r="M65" s="2"/>
      <c r="N65" s="2" t="s">
        <v>3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4:39" x14ac:dyDescent="0.25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4:39" x14ac:dyDescent="0.25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4:39" x14ac:dyDescent="0.25"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4:39" x14ac:dyDescent="0.25"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4:39" x14ac:dyDescent="0.25"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4:39" x14ac:dyDescent="0.25"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4:39" x14ac:dyDescent="0.25"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4:39" x14ac:dyDescent="0.25"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4:39" x14ac:dyDescent="0.25"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4:39" x14ac:dyDescent="0.25"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4:39" x14ac:dyDescent="0.25"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4:39" x14ac:dyDescent="0.25"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4:39" x14ac:dyDescent="0.25"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4:39" x14ac:dyDescent="0.25"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4:39" x14ac:dyDescent="0.25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4:39" x14ac:dyDescent="0.25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4:39" x14ac:dyDescent="0.25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4:39" x14ac:dyDescent="0.25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4:39" x14ac:dyDescent="0.25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4:39" x14ac:dyDescent="0.25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4:39" x14ac:dyDescent="0.25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4:39" x14ac:dyDescent="0.25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4:39" x14ac:dyDescent="0.25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4:39" x14ac:dyDescent="0.25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4:39" x14ac:dyDescent="0.25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4:39" x14ac:dyDescent="0.25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4:39" x14ac:dyDescent="0.25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4:39" x14ac:dyDescent="0.25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4:39" x14ac:dyDescent="0.25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4:39" x14ac:dyDescent="0.25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4:39" x14ac:dyDescent="0.25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4:39" x14ac:dyDescent="0.25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4:39" x14ac:dyDescent="0.25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4:39" x14ac:dyDescent="0.25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4:39" x14ac:dyDescent="0.25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4:39" x14ac:dyDescent="0.25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4:39" x14ac:dyDescent="0.25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4:39" x14ac:dyDescent="0.25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4:39" x14ac:dyDescent="0.25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4:39" x14ac:dyDescent="0.25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4:39" x14ac:dyDescent="0.25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4:39" x14ac:dyDescent="0.25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4:39" x14ac:dyDescent="0.25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4:39" x14ac:dyDescent="0.25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4:39" x14ac:dyDescent="0.25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4:39" x14ac:dyDescent="0.25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4:39" x14ac:dyDescent="0.25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4:39" x14ac:dyDescent="0.25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4:39" x14ac:dyDescent="0.25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4:39" x14ac:dyDescent="0.25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4:39" x14ac:dyDescent="0.25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4:39" x14ac:dyDescent="0.25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4:39" x14ac:dyDescent="0.25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spans="4:39" x14ac:dyDescent="0.25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4:39" x14ac:dyDescent="0.25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4:39" x14ac:dyDescent="0.25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spans="4:39" x14ac:dyDescent="0.25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spans="4:39" x14ac:dyDescent="0.25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spans="4:39" x14ac:dyDescent="0.25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spans="4:39" x14ac:dyDescent="0.25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spans="4:39" x14ac:dyDescent="0.25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spans="4:39" x14ac:dyDescent="0.25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4:39" x14ac:dyDescent="0.25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spans="4:39" x14ac:dyDescent="0.25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spans="4:39" x14ac:dyDescent="0.25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</row>
    <row r="131" spans="4:39" x14ac:dyDescent="0.25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 spans="4:39" x14ac:dyDescent="0.25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</row>
    <row r="133" spans="4:39" x14ac:dyDescent="0.25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</row>
    <row r="134" spans="4:39" x14ac:dyDescent="0.25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</sheetData>
  <pageMargins left="0.7" right="0.7" top="0.75" bottom="0.75" header="0.3" footer="0.3"/>
  <pageSetup paperSize="9" orientation="portrait" r:id="rId1"/>
  <ignoredErrors>
    <ignoredError sqref="H30:J30 M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06"/>
  <sheetViews>
    <sheetView topLeftCell="A16" workbookViewId="0">
      <selection activeCell="D25" sqref="D25"/>
    </sheetView>
  </sheetViews>
  <sheetFormatPr baseColWidth="10" defaultRowHeight="15" x14ac:dyDescent="0.25"/>
  <cols>
    <col min="1" max="1" width="5.42578125" customWidth="1"/>
    <col min="2" max="2" width="17.28515625" customWidth="1"/>
    <col min="3" max="3" width="33.28515625" customWidth="1"/>
  </cols>
  <sheetData>
    <row r="2" spans="1:33" x14ac:dyDescent="0.25">
      <c r="B2" s="1" t="s">
        <v>0</v>
      </c>
    </row>
    <row r="3" spans="1:33" x14ac:dyDescent="0.25">
      <c r="B3" s="1" t="s">
        <v>1</v>
      </c>
    </row>
    <row r="4" spans="1:33" x14ac:dyDescent="0.25">
      <c r="B4" s="1"/>
    </row>
    <row r="5" spans="1:33" x14ac:dyDescent="0.25">
      <c r="B5" s="3" t="s">
        <v>7</v>
      </c>
    </row>
    <row r="6" spans="1:33" x14ac:dyDescent="0.25">
      <c r="B6" s="3" t="s">
        <v>48</v>
      </c>
    </row>
    <row r="7" spans="1:33" x14ac:dyDescent="0.25">
      <c r="B7" s="14" t="s">
        <v>49</v>
      </c>
      <c r="C7" s="3" t="s">
        <v>51</v>
      </c>
    </row>
    <row r="8" spans="1:33" x14ac:dyDescent="0.25">
      <c r="B8" s="14" t="s">
        <v>50</v>
      </c>
      <c r="C8" s="3" t="s">
        <v>52</v>
      </c>
    </row>
    <row r="9" spans="1:33" ht="90" x14ac:dyDescent="0.25">
      <c r="A9" s="9"/>
      <c r="B9" s="9"/>
      <c r="C9" s="9"/>
      <c r="D9" s="10" t="s">
        <v>8</v>
      </c>
      <c r="E9" s="13" t="s">
        <v>30</v>
      </c>
      <c r="F9" s="13" t="s">
        <v>67</v>
      </c>
      <c r="G9" s="13" t="s">
        <v>69</v>
      </c>
      <c r="H9" s="13" t="s">
        <v>70</v>
      </c>
      <c r="I9" s="13" t="s">
        <v>73</v>
      </c>
      <c r="J9" s="13" t="s">
        <v>73</v>
      </c>
      <c r="K9" s="11"/>
      <c r="L9" s="10" t="s">
        <v>29</v>
      </c>
      <c r="M9" s="11"/>
      <c r="N9" s="11"/>
      <c r="O9" s="11"/>
      <c r="P9" s="11"/>
      <c r="Q9" s="11"/>
      <c r="R9" s="11"/>
      <c r="S9" s="11"/>
      <c r="T9" s="11"/>
      <c r="U9" s="11"/>
      <c r="V9" s="9"/>
      <c r="W9" s="9"/>
      <c r="X9" s="9"/>
      <c r="Y9" s="9"/>
    </row>
    <row r="10" spans="1:33" ht="24" x14ac:dyDescent="0.25">
      <c r="A10" s="18"/>
      <c r="B10" s="18"/>
      <c r="C10" s="18"/>
      <c r="D10" s="19"/>
      <c r="E10" s="20"/>
      <c r="F10" s="21" t="s">
        <v>68</v>
      </c>
      <c r="G10" s="20"/>
      <c r="H10" s="20"/>
      <c r="I10" s="20"/>
      <c r="J10" s="18"/>
      <c r="K10" s="18"/>
      <c r="L10" s="19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9"/>
    </row>
    <row r="11" spans="1:33" x14ac:dyDescent="0.25">
      <c r="A11" s="18"/>
      <c r="B11" s="18"/>
      <c r="C11" s="18"/>
      <c r="D11" s="19"/>
      <c r="E11" s="20"/>
      <c r="F11" s="21"/>
      <c r="G11" s="20"/>
      <c r="H11" s="17" t="s">
        <v>71</v>
      </c>
      <c r="I11" s="17" t="s">
        <v>72</v>
      </c>
      <c r="J11" s="17" t="s">
        <v>75</v>
      </c>
      <c r="K11" s="18"/>
      <c r="L11" s="19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9"/>
    </row>
    <row r="12" spans="1:33" x14ac:dyDescent="0.25">
      <c r="E12" s="8" t="s">
        <v>3</v>
      </c>
      <c r="F12" s="8"/>
      <c r="G12" s="8"/>
      <c r="H12" s="8"/>
      <c r="I12" s="8"/>
      <c r="J12" s="8"/>
      <c r="K12" s="8"/>
    </row>
    <row r="13" spans="1:33" x14ac:dyDescent="0.25">
      <c r="B13" s="1" t="s">
        <v>4</v>
      </c>
      <c r="C13" t="s">
        <v>6</v>
      </c>
      <c r="D13" s="2">
        <v>280000</v>
      </c>
      <c r="E13" s="2"/>
      <c r="F13" s="2"/>
      <c r="G13" s="2"/>
      <c r="H13" s="2"/>
      <c r="I13" s="2"/>
      <c r="J13" s="2"/>
      <c r="K13" s="2"/>
      <c r="L13" s="2">
        <f t="shared" ref="L13:L23" si="0">SUM(D13:K13)</f>
        <v>280000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x14ac:dyDescent="0.25">
      <c r="C14" t="s">
        <v>9</v>
      </c>
      <c r="D14" s="2">
        <v>1000</v>
      </c>
      <c r="E14" s="2"/>
      <c r="F14" s="2"/>
      <c r="G14" s="2"/>
      <c r="H14" s="2"/>
      <c r="I14" s="2"/>
      <c r="J14" s="2"/>
      <c r="K14" s="2"/>
      <c r="L14" s="2">
        <f t="shared" si="0"/>
        <v>1000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x14ac:dyDescent="0.25">
      <c r="C15" t="s">
        <v>10</v>
      </c>
      <c r="D15" s="2">
        <v>2134</v>
      </c>
      <c r="E15" s="2"/>
      <c r="F15" s="2"/>
      <c r="G15" s="2"/>
      <c r="H15" s="2"/>
      <c r="I15" s="2"/>
      <c r="J15" s="2"/>
      <c r="K15" s="2"/>
      <c r="L15" s="2">
        <f t="shared" si="0"/>
        <v>2134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x14ac:dyDescent="0.25">
      <c r="C16" s="27" t="s">
        <v>11</v>
      </c>
      <c r="D16" s="28">
        <v>51243</v>
      </c>
      <c r="E16" s="28"/>
      <c r="F16" s="28"/>
      <c r="G16" s="28"/>
      <c r="H16" s="28">
        <f>-H17</f>
        <v>3000</v>
      </c>
      <c r="I16" s="28"/>
      <c r="J16" s="28"/>
      <c r="K16" s="28"/>
      <c r="L16" s="28">
        <f t="shared" si="0"/>
        <v>54243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C17" s="27" t="s">
        <v>17</v>
      </c>
      <c r="D17" s="28">
        <v>8316</v>
      </c>
      <c r="E17" s="28"/>
      <c r="F17" s="28">
        <v>-1735</v>
      </c>
      <c r="G17" s="28">
        <v>-852</v>
      </c>
      <c r="H17" s="28">
        <v>-3000</v>
      </c>
      <c r="I17" s="28">
        <v>-1700</v>
      </c>
      <c r="J17" s="28">
        <v>-1000</v>
      </c>
      <c r="K17" s="28"/>
      <c r="L17" s="28">
        <f t="shared" si="0"/>
        <v>29</v>
      </c>
      <c r="M17" s="22" t="s">
        <v>76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1" t="s">
        <v>28</v>
      </c>
      <c r="C18" t="s">
        <v>12</v>
      </c>
      <c r="D18" s="2">
        <v>-281000</v>
      </c>
      <c r="E18" s="2"/>
      <c r="F18" s="2"/>
      <c r="G18" s="2"/>
      <c r="H18" s="2"/>
      <c r="I18" s="2"/>
      <c r="J18" s="2"/>
      <c r="K18" s="2"/>
      <c r="L18" s="2">
        <f t="shared" si="0"/>
        <v>-281000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C19" t="s">
        <v>13</v>
      </c>
      <c r="D19" s="2">
        <v>-43000</v>
      </c>
      <c r="E19" s="2"/>
      <c r="F19" s="2"/>
      <c r="G19" s="2"/>
      <c r="H19" s="2"/>
      <c r="I19" s="2"/>
      <c r="J19" s="2"/>
      <c r="K19" s="2"/>
      <c r="L19" s="2">
        <f t="shared" si="0"/>
        <v>-43000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C20" t="s">
        <v>46</v>
      </c>
      <c r="D20" s="2">
        <v>0</v>
      </c>
      <c r="E20" s="2">
        <f>-E21</f>
        <v>19947</v>
      </c>
      <c r="F20" s="2"/>
      <c r="G20" s="2"/>
      <c r="H20" s="2"/>
      <c r="I20" s="2"/>
      <c r="J20" s="2"/>
      <c r="K20" s="2"/>
      <c r="L20" s="2">
        <f t="shared" si="0"/>
        <v>19947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C21" t="s">
        <v>14</v>
      </c>
      <c r="D21" s="7">
        <f>+D35</f>
        <v>19947</v>
      </c>
      <c r="E21" s="7">
        <f>-D21</f>
        <v>-19947</v>
      </c>
      <c r="F21" s="7">
        <f>-F17</f>
        <v>1735</v>
      </c>
      <c r="G21" s="7">
        <f>-G17</f>
        <v>852</v>
      </c>
      <c r="H21" s="7"/>
      <c r="I21" s="7">
        <f>-I17</f>
        <v>1700</v>
      </c>
      <c r="J21" s="7">
        <f>-J17</f>
        <v>1000</v>
      </c>
      <c r="K21" s="7"/>
      <c r="L21" s="7">
        <f t="shared" si="0"/>
        <v>5287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2:33" x14ac:dyDescent="0.25">
      <c r="C22" s="27" t="s">
        <v>15</v>
      </c>
      <c r="D22" s="28">
        <v>-38040</v>
      </c>
      <c r="E22" s="28"/>
      <c r="F22" s="28"/>
      <c r="G22" s="28"/>
      <c r="H22" s="28"/>
      <c r="I22" s="28"/>
      <c r="J22" s="28"/>
      <c r="K22" s="28"/>
      <c r="L22" s="28">
        <f t="shared" si="0"/>
        <v>-38040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2:33" x14ac:dyDescent="0.25">
      <c r="C23" t="s">
        <v>16</v>
      </c>
      <c r="D23" s="2">
        <v>-600</v>
      </c>
      <c r="E23" s="2"/>
      <c r="F23" s="2"/>
      <c r="G23" s="2"/>
      <c r="H23" s="2"/>
      <c r="I23" s="2"/>
      <c r="J23" s="2"/>
      <c r="K23" s="2"/>
      <c r="L23" s="2">
        <f t="shared" si="0"/>
        <v>-600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2:33" x14ac:dyDescent="0.25">
      <c r="C24" s="24" t="s">
        <v>47</v>
      </c>
      <c r="D24" s="25">
        <f>SUM(D13:D23)</f>
        <v>0</v>
      </c>
      <c r="E24" s="25">
        <f t="shared" ref="E24" si="1">SUM(E13:E23)</f>
        <v>0</v>
      </c>
      <c r="F24" s="25">
        <f t="shared" ref="F24" si="2">SUM(F13:F23)</f>
        <v>0</v>
      </c>
      <c r="G24" s="25">
        <f t="shared" ref="G24" si="3">SUM(G13:G23)</f>
        <v>0</v>
      </c>
      <c r="H24" s="25">
        <f t="shared" ref="H24" si="4">SUM(H13:H23)</f>
        <v>0</v>
      </c>
      <c r="I24" s="25">
        <f t="shared" ref="I24" si="5">SUM(I13:I23)</f>
        <v>0</v>
      </c>
      <c r="J24" s="25">
        <f t="shared" ref="J24" si="6">SUM(J13:J23)</f>
        <v>0</v>
      </c>
      <c r="K24" s="25">
        <f t="shared" ref="K24" si="7">SUM(K13:K23)</f>
        <v>0</v>
      </c>
      <c r="L24" s="25">
        <f>SUM(L13:L23)</f>
        <v>0</v>
      </c>
      <c r="M24" s="23">
        <f>SUM(D24:K24)-L24</f>
        <v>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2:33" x14ac:dyDescent="0.25">
      <c r="C25" s="4"/>
      <c r="D25" s="5"/>
      <c r="E25" s="2"/>
      <c r="F25" s="2"/>
      <c r="G25" s="2"/>
      <c r="H25" s="2"/>
      <c r="I25" s="2"/>
      <c r="J25" s="2"/>
      <c r="K25" s="2"/>
      <c r="L25" s="2" t="s">
        <v>3</v>
      </c>
      <c r="M25" s="2"/>
      <c r="N25" s="2" t="s">
        <v>3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2:33" x14ac:dyDescent="0.25">
      <c r="B26" s="1" t="s">
        <v>5</v>
      </c>
      <c r="C26" t="s">
        <v>19</v>
      </c>
      <c r="D26" s="2">
        <v>-3160</v>
      </c>
      <c r="E26" s="2">
        <f>-D26</f>
        <v>3160</v>
      </c>
      <c r="F26" s="2"/>
      <c r="G26" s="2"/>
      <c r="H26" s="2"/>
      <c r="I26" s="2"/>
      <c r="J26" s="2"/>
      <c r="K26" s="2"/>
      <c r="L26" s="2">
        <f t="shared" ref="L26:L34" si="8">SUM(D26:K26)</f>
        <v>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2:33" x14ac:dyDescent="0.25">
      <c r="C27" t="s">
        <v>20</v>
      </c>
      <c r="D27" s="2">
        <v>14400</v>
      </c>
      <c r="E27" s="2">
        <f t="shared" ref="E27:E34" si="9">-D27</f>
        <v>-14400</v>
      </c>
      <c r="F27" s="2"/>
      <c r="G27" s="2"/>
      <c r="H27" s="2"/>
      <c r="I27" s="2"/>
      <c r="J27" s="2"/>
      <c r="K27" s="2"/>
      <c r="L27" s="2">
        <f t="shared" si="8"/>
        <v>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2:33" x14ac:dyDescent="0.25">
      <c r="C28" t="s">
        <v>21</v>
      </c>
      <c r="D28" s="2">
        <v>1810</v>
      </c>
      <c r="E28" s="2">
        <f t="shared" si="9"/>
        <v>-1810</v>
      </c>
      <c r="F28" s="2"/>
      <c r="G28" s="2"/>
      <c r="H28" s="2"/>
      <c r="I28" s="2"/>
      <c r="J28" s="2"/>
      <c r="K28" s="2"/>
      <c r="L28" s="2">
        <f t="shared" si="8"/>
        <v>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2:33" x14ac:dyDescent="0.25">
      <c r="C29" t="s">
        <v>22</v>
      </c>
      <c r="D29" s="2">
        <v>1920</v>
      </c>
      <c r="E29" s="2">
        <f t="shared" si="9"/>
        <v>-1920</v>
      </c>
      <c r="F29" s="2">
        <v>1735</v>
      </c>
      <c r="G29" s="2" t="s">
        <v>3</v>
      </c>
      <c r="H29" s="2"/>
      <c r="I29" s="2"/>
      <c r="J29" s="2"/>
      <c r="K29" s="2"/>
      <c r="L29" s="2">
        <f t="shared" si="8"/>
        <v>1735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2:33" x14ac:dyDescent="0.25">
      <c r="C30" t="s">
        <v>23</v>
      </c>
      <c r="D30" s="2">
        <v>630</v>
      </c>
      <c r="E30" s="2">
        <f t="shared" si="9"/>
        <v>-630</v>
      </c>
      <c r="F30" s="2"/>
      <c r="G30" s="2">
        <v>852</v>
      </c>
      <c r="H30" s="2"/>
      <c r="I30" s="2"/>
      <c r="J30" s="2"/>
      <c r="K30" s="2"/>
      <c r="L30" s="2">
        <f t="shared" si="8"/>
        <v>852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2:33" x14ac:dyDescent="0.25">
      <c r="C31" t="s">
        <v>24</v>
      </c>
      <c r="D31" s="2">
        <v>4000</v>
      </c>
      <c r="E31" s="2">
        <f t="shared" si="9"/>
        <v>-4000</v>
      </c>
      <c r="F31" s="2"/>
      <c r="G31" s="2"/>
      <c r="H31" s="2"/>
      <c r="I31" s="2"/>
      <c r="J31" s="2"/>
      <c r="K31" s="2"/>
      <c r="L31" s="2">
        <f t="shared" si="8"/>
        <v>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2:33" x14ac:dyDescent="0.25">
      <c r="C32" t="s">
        <v>74</v>
      </c>
      <c r="D32" s="2">
        <v>0</v>
      </c>
      <c r="E32" s="2">
        <f t="shared" si="9"/>
        <v>0</v>
      </c>
      <c r="F32" s="2"/>
      <c r="G32" s="2"/>
      <c r="H32" s="2"/>
      <c r="I32" s="2">
        <v>1700</v>
      </c>
      <c r="J32" s="2">
        <v>1000</v>
      </c>
      <c r="K32" s="2"/>
      <c r="L32" s="2">
        <f t="shared" si="8"/>
        <v>2700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3:33" x14ac:dyDescent="0.25">
      <c r="C33" t="s">
        <v>25</v>
      </c>
      <c r="D33" s="2">
        <v>346</v>
      </c>
      <c r="E33" s="2">
        <f t="shared" si="9"/>
        <v>-346</v>
      </c>
      <c r="F33" s="2"/>
      <c r="G33" s="2"/>
      <c r="H33" s="2"/>
      <c r="I33" s="2"/>
      <c r="J33" s="2"/>
      <c r="K33" s="2"/>
      <c r="L33" s="2">
        <f t="shared" si="8"/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3:33" x14ac:dyDescent="0.25">
      <c r="C34" t="s">
        <v>26</v>
      </c>
      <c r="D34" s="2">
        <v>1</v>
      </c>
      <c r="E34" s="2">
        <f t="shared" si="9"/>
        <v>-1</v>
      </c>
      <c r="F34" s="2"/>
      <c r="G34" s="2"/>
      <c r="H34" s="2"/>
      <c r="I34" s="2"/>
      <c r="J34" s="2"/>
      <c r="K34" s="2"/>
      <c r="L34" s="2">
        <f t="shared" si="8"/>
        <v>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3:33" x14ac:dyDescent="0.25">
      <c r="C35" s="29" t="s">
        <v>27</v>
      </c>
      <c r="D35" s="6">
        <f>SUM(D26:D34)</f>
        <v>19947</v>
      </c>
      <c r="E35" s="6">
        <f>SUM(E26:E34)</f>
        <v>-19947</v>
      </c>
      <c r="F35" s="6">
        <f t="shared" ref="F35" si="10">SUM(F26:F34)</f>
        <v>1735</v>
      </c>
      <c r="G35" s="6">
        <f t="shared" ref="G35" si="11">SUM(G26:G34)</f>
        <v>852</v>
      </c>
      <c r="H35" s="6">
        <f t="shared" ref="H35" si="12">SUM(H26:H34)</f>
        <v>0</v>
      </c>
      <c r="I35" s="6">
        <f t="shared" ref="I35" si="13">SUM(I26:I34)</f>
        <v>1700</v>
      </c>
      <c r="J35" s="6">
        <f t="shared" ref="J35" si="14">SUM(J26:J34)</f>
        <v>1000</v>
      </c>
      <c r="K35" s="6">
        <f t="shared" ref="K35" si="15">SUM(K26:K34)</f>
        <v>0</v>
      </c>
      <c r="L35" s="6">
        <f>SUM(L26:L34)</f>
        <v>5287</v>
      </c>
      <c r="M35" s="23">
        <f>SUM(D35:K35)-L35</f>
        <v>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3:33" x14ac:dyDescent="0.25"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3:33" x14ac:dyDescent="0.25"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3:33" x14ac:dyDescent="0.25"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3:33" x14ac:dyDescent="0.25"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3:33" x14ac:dyDescent="0.25"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3:33" x14ac:dyDescent="0.25"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3:33" x14ac:dyDescent="0.25"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3:33" x14ac:dyDescent="0.25"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3:33" x14ac:dyDescent="0.25"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3:33" x14ac:dyDescent="0.25"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3:33" x14ac:dyDescent="0.25"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3:33" x14ac:dyDescent="0.25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3:33" x14ac:dyDescent="0.25"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4:33" x14ac:dyDescent="0.25"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4:33" x14ac:dyDescent="0.25"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4:33" x14ac:dyDescent="0.25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4:33" x14ac:dyDescent="0.25"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4:33" x14ac:dyDescent="0.25"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4:33" x14ac:dyDescent="0.25"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4:33" x14ac:dyDescent="0.25"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4:33" x14ac:dyDescent="0.25"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4:33" x14ac:dyDescent="0.25"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4:33" x14ac:dyDescent="0.25"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4:33" x14ac:dyDescent="0.25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4:33" x14ac:dyDescent="0.25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4:33" x14ac:dyDescent="0.25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4:33" x14ac:dyDescent="0.25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4:33" x14ac:dyDescent="0.25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4:33" x14ac:dyDescent="0.25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4:33" x14ac:dyDescent="0.25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4:33" x14ac:dyDescent="0.25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4:33" x14ac:dyDescent="0.25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4:33" x14ac:dyDescent="0.25"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4:33" x14ac:dyDescent="0.25"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4:33" x14ac:dyDescent="0.25"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4:33" x14ac:dyDescent="0.25"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4:33" x14ac:dyDescent="0.25"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4:33" x14ac:dyDescent="0.25"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4:33" x14ac:dyDescent="0.25"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4:33" x14ac:dyDescent="0.25"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4:33" x14ac:dyDescent="0.25"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4:33" x14ac:dyDescent="0.25"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4:33" x14ac:dyDescent="0.25"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4:33" x14ac:dyDescent="0.25"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4:33" x14ac:dyDescent="0.25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4:33" x14ac:dyDescent="0.25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4:33" x14ac:dyDescent="0.25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4:33" x14ac:dyDescent="0.25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4:33" x14ac:dyDescent="0.25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4:33" x14ac:dyDescent="0.25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4:33" x14ac:dyDescent="0.25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4:33" x14ac:dyDescent="0.25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4:33" x14ac:dyDescent="0.25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4:33" x14ac:dyDescent="0.25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4:33" x14ac:dyDescent="0.25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4:33" x14ac:dyDescent="0.25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4:33" x14ac:dyDescent="0.25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4:33" x14ac:dyDescent="0.25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4:33" x14ac:dyDescent="0.25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4:33" x14ac:dyDescent="0.25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4:33" x14ac:dyDescent="0.25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4:33" x14ac:dyDescent="0.25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4:33" x14ac:dyDescent="0.25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4:33" x14ac:dyDescent="0.25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4:33" x14ac:dyDescent="0.25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4:33" x14ac:dyDescent="0.25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4:33" x14ac:dyDescent="0.25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4:33" x14ac:dyDescent="0.25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4:33" x14ac:dyDescent="0.25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4:33" x14ac:dyDescent="0.25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4:33" x14ac:dyDescent="0.25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3"/>
  <sheetViews>
    <sheetView workbookViewId="0">
      <pane xSplit="3" ySplit="12" topLeftCell="D26" activePane="bottomRight" state="frozen"/>
      <selection pane="topRight" activeCell="D1" sqref="D1"/>
      <selection pane="bottomLeft" activeCell="A13" sqref="A13"/>
      <selection pane="bottomRight" activeCell="F9" sqref="F9"/>
    </sheetView>
  </sheetViews>
  <sheetFormatPr baseColWidth="10" defaultRowHeight="15" x14ac:dyDescent="0.25"/>
  <cols>
    <col min="2" max="2" width="13.28515625" customWidth="1"/>
    <col min="13" max="13" width="15.5703125" customWidth="1"/>
    <col min="14" max="14" width="15.85546875" customWidth="1"/>
  </cols>
  <sheetData>
    <row r="1" spans="1:28" x14ac:dyDescent="0.25">
      <c r="A1" s="1" t="s">
        <v>88</v>
      </c>
    </row>
    <row r="3" spans="1:28" x14ac:dyDescent="0.25">
      <c r="A3" s="1"/>
      <c r="E3" s="30"/>
      <c r="F3" s="30">
        <v>44378</v>
      </c>
      <c r="G3" s="30">
        <v>44409</v>
      </c>
      <c r="H3" s="30">
        <v>44440</v>
      </c>
      <c r="I3" s="30">
        <v>44470</v>
      </c>
      <c r="J3" s="30">
        <v>44501</v>
      </c>
      <c r="K3" s="30"/>
      <c r="N3" s="31" t="s">
        <v>89</v>
      </c>
    </row>
    <row r="5" spans="1:28" x14ac:dyDescent="0.25">
      <c r="A5" s="1" t="s">
        <v>90</v>
      </c>
      <c r="B5" s="1"/>
      <c r="C5" s="1"/>
      <c r="D5" s="1"/>
      <c r="E5" s="32"/>
      <c r="F5" s="32">
        <v>955</v>
      </c>
      <c r="G5" s="32">
        <f>+F11</f>
        <v>-525.19999999999891</v>
      </c>
      <c r="H5" s="32">
        <f>+G11</f>
        <v>-1867.3999999999996</v>
      </c>
      <c r="I5" s="32">
        <f>+H11</f>
        <v>-2516</v>
      </c>
      <c r="J5" s="32">
        <f>+I11</f>
        <v>426.99999999999818</v>
      </c>
      <c r="K5" s="33"/>
      <c r="L5" s="33"/>
      <c r="M5" s="33"/>
      <c r="N5" s="33"/>
      <c r="O5" s="33"/>
    </row>
    <row r="6" spans="1:28" x14ac:dyDescent="0.25"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28" x14ac:dyDescent="0.25">
      <c r="A7" t="s">
        <v>91</v>
      </c>
      <c r="F7" s="33">
        <f>SUM(F49:F55)</f>
        <v>11185.2</v>
      </c>
      <c r="G7" s="33">
        <f>SUM(G49:G55)</f>
        <v>10194</v>
      </c>
      <c r="H7" s="33">
        <f>SUM(H49:H55)</f>
        <v>13374.4</v>
      </c>
      <c r="I7" s="33">
        <f>SUM(I49:I55)</f>
        <v>16803.599999999999</v>
      </c>
      <c r="J7" s="33">
        <f>SUM(J49:J55)</f>
        <v>13936.8</v>
      </c>
      <c r="K7" s="33"/>
      <c r="L7" s="33"/>
      <c r="M7" s="33"/>
      <c r="N7" s="33"/>
      <c r="O7" s="33"/>
    </row>
    <row r="8" spans="1:28" x14ac:dyDescent="0.25">
      <c r="F8" s="33"/>
      <c r="G8" s="33"/>
      <c r="H8" s="33"/>
      <c r="I8" s="33"/>
      <c r="J8" s="33"/>
      <c r="K8" s="33"/>
      <c r="L8" s="33"/>
      <c r="M8" s="33"/>
      <c r="N8" s="33"/>
      <c r="O8" s="33"/>
    </row>
    <row r="9" spans="1:28" x14ac:dyDescent="0.25">
      <c r="A9" t="s">
        <v>92</v>
      </c>
      <c r="E9" s="34"/>
      <c r="F9" s="34">
        <f>SUM(F15:F39)</f>
        <v>12665.4</v>
      </c>
      <c r="G9" s="34">
        <f>SUM(G15:G39)</f>
        <v>11536.2</v>
      </c>
      <c r="H9" s="34">
        <f>SUM(H15:H39)</f>
        <v>14023</v>
      </c>
      <c r="I9" s="34">
        <f>SUM(I15:I39)</f>
        <v>13860.6</v>
      </c>
      <c r="J9" s="34">
        <f>SUM(J15:J39)</f>
        <v>17318.800000000003</v>
      </c>
      <c r="K9" s="33"/>
      <c r="L9" s="33"/>
      <c r="M9" s="33"/>
      <c r="N9" s="33"/>
      <c r="O9" s="33"/>
    </row>
    <row r="10" spans="1:28" x14ac:dyDescent="0.25"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28" x14ac:dyDescent="0.25">
      <c r="A11" s="1" t="s">
        <v>93</v>
      </c>
      <c r="B11" s="1"/>
      <c r="C11" s="1"/>
      <c r="D11" s="1"/>
      <c r="E11" s="1"/>
      <c r="F11" s="32">
        <f>F5+F7-F9</f>
        <v>-525.19999999999891</v>
      </c>
      <c r="G11" s="32">
        <f>G5+G7-G9</f>
        <v>-1867.3999999999996</v>
      </c>
      <c r="H11" s="32">
        <f t="shared" ref="H11:J11" si="0">H5+H7-H9</f>
        <v>-2516</v>
      </c>
      <c r="I11" s="32">
        <f t="shared" si="0"/>
        <v>426.99999999999818</v>
      </c>
      <c r="J11" s="32">
        <f t="shared" si="0"/>
        <v>-2955.0000000000055</v>
      </c>
      <c r="K11" s="32" t="s">
        <v>155</v>
      </c>
      <c r="L11" s="32"/>
      <c r="M11" s="33"/>
      <c r="N11" s="33"/>
      <c r="O11" s="33" t="s">
        <v>129</v>
      </c>
    </row>
    <row r="12" spans="1:28" x14ac:dyDescent="0.25">
      <c r="F12" s="33"/>
      <c r="G12" s="33"/>
      <c r="H12" s="33"/>
      <c r="I12" s="33"/>
      <c r="J12" s="33"/>
      <c r="K12" s="33" t="s">
        <v>3</v>
      </c>
      <c r="L12" s="33"/>
      <c r="M12" s="33"/>
      <c r="N12" s="33"/>
      <c r="O12" s="33" t="s">
        <v>149</v>
      </c>
      <c r="P12" t="s">
        <v>130</v>
      </c>
      <c r="Q12" t="s">
        <v>131</v>
      </c>
      <c r="R12" s="33" t="s">
        <v>132</v>
      </c>
      <c r="S12" s="33" t="s">
        <v>133</v>
      </c>
      <c r="T12" s="33" t="s">
        <v>134</v>
      </c>
      <c r="U12" s="33" t="s">
        <v>135</v>
      </c>
      <c r="V12" s="33" t="s">
        <v>136</v>
      </c>
      <c r="W12" s="33" t="s">
        <v>137</v>
      </c>
      <c r="X12" s="33" t="s">
        <v>138</v>
      </c>
      <c r="Y12" s="33" t="s">
        <v>41</v>
      </c>
      <c r="Z12" s="33" t="s">
        <v>139</v>
      </c>
      <c r="AA12" s="33" t="s">
        <v>140</v>
      </c>
      <c r="AB12" s="33" t="s">
        <v>141</v>
      </c>
    </row>
    <row r="13" spans="1:28" x14ac:dyDescent="0.25">
      <c r="A13" s="1" t="s">
        <v>94</v>
      </c>
      <c r="F13" s="33"/>
      <c r="G13" s="33"/>
      <c r="H13" s="33"/>
      <c r="I13" s="33"/>
      <c r="J13" s="33"/>
      <c r="K13" s="33"/>
      <c r="L13" s="33"/>
      <c r="M13" s="33"/>
      <c r="N13" s="33"/>
      <c r="O13" s="33" t="s">
        <v>128</v>
      </c>
    </row>
    <row r="14" spans="1:28" x14ac:dyDescent="0.25">
      <c r="F14" s="33"/>
      <c r="G14" s="33"/>
      <c r="H14" s="33"/>
      <c r="I14" s="33"/>
      <c r="J14" s="33"/>
      <c r="K14" s="33"/>
      <c r="L14" s="33"/>
      <c r="M14" s="33"/>
      <c r="N14" s="33"/>
      <c r="O14" s="33" t="s">
        <v>3</v>
      </c>
    </row>
    <row r="15" spans="1:28" x14ac:dyDescent="0.25">
      <c r="A15" t="s">
        <v>95</v>
      </c>
      <c r="F15" s="33"/>
      <c r="G15" s="33"/>
      <c r="H15" s="33">
        <v>1600</v>
      </c>
      <c r="I15" s="33">
        <v>1200</v>
      </c>
      <c r="J15" s="33"/>
      <c r="K15" s="33"/>
      <c r="L15" s="33"/>
      <c r="M15" s="33"/>
      <c r="N15" s="33">
        <f>SUM(F15:K15)</f>
        <v>2800</v>
      </c>
      <c r="O15" s="33">
        <f>+N15</f>
        <v>2800</v>
      </c>
    </row>
    <row r="16" spans="1:28" x14ac:dyDescent="0.25">
      <c r="A16" t="s">
        <v>96</v>
      </c>
      <c r="F16" s="33">
        <f>412/1.2</f>
        <v>343.33333333333337</v>
      </c>
      <c r="G16" s="33">
        <f>169/1.2</f>
        <v>140.83333333333334</v>
      </c>
      <c r="H16" s="33">
        <f>204/1.2</f>
        <v>170</v>
      </c>
      <c r="I16" s="33">
        <f>183/1.2</f>
        <v>152.5</v>
      </c>
      <c r="J16" s="33">
        <v>0</v>
      </c>
      <c r="K16" s="33"/>
      <c r="L16" s="33"/>
      <c r="M16" s="33"/>
      <c r="N16" s="33">
        <f t="shared" ref="N16:N55" si="1">SUM(F16:K16)</f>
        <v>806.66666666666674</v>
      </c>
      <c r="O16" s="33"/>
      <c r="P16" s="34">
        <f>+N16</f>
        <v>806.66666666666674</v>
      </c>
    </row>
    <row r="17" spans="1:24" x14ac:dyDescent="0.25">
      <c r="A17" s="38" t="s">
        <v>97</v>
      </c>
      <c r="B17" s="38"/>
      <c r="F17" s="33">
        <f>F16*0.2</f>
        <v>68.666666666666671</v>
      </c>
      <c r="G17" s="33">
        <f t="shared" ref="G17:J17" si="2">G16*0.2</f>
        <v>28.166666666666671</v>
      </c>
      <c r="H17" s="33">
        <f t="shared" si="2"/>
        <v>34</v>
      </c>
      <c r="I17" s="33">
        <f t="shared" si="2"/>
        <v>30.5</v>
      </c>
      <c r="J17" s="33">
        <f t="shared" si="2"/>
        <v>0</v>
      </c>
      <c r="K17" s="33"/>
      <c r="L17" s="33"/>
      <c r="M17" s="33"/>
      <c r="N17" s="33">
        <f t="shared" si="1"/>
        <v>161.33333333333334</v>
      </c>
      <c r="O17" s="33"/>
      <c r="P17" s="39">
        <f>+N17</f>
        <v>161.33333333333334</v>
      </c>
    </row>
    <row r="18" spans="1:24" x14ac:dyDescent="0.25">
      <c r="A18" t="s">
        <v>98</v>
      </c>
      <c r="F18" s="33">
        <v>412.5</v>
      </c>
      <c r="G18" s="33">
        <v>412.5</v>
      </c>
      <c r="H18" s="33">
        <v>412.5</v>
      </c>
      <c r="I18" s="33">
        <v>412.5</v>
      </c>
      <c r="J18" s="33">
        <v>412.5</v>
      </c>
      <c r="K18" s="33"/>
      <c r="L18" s="33"/>
      <c r="M18" s="33"/>
      <c r="N18" s="33">
        <f t="shared" si="1"/>
        <v>2062.5</v>
      </c>
      <c r="O18" s="33"/>
      <c r="Q18" s="34">
        <f>+N18</f>
        <v>2062.5</v>
      </c>
    </row>
    <row r="19" spans="1:24" x14ac:dyDescent="0.25">
      <c r="A19" s="38" t="s">
        <v>99</v>
      </c>
      <c r="B19" s="38"/>
      <c r="F19" s="33">
        <f>F18*0.2</f>
        <v>82.5</v>
      </c>
      <c r="G19" s="33">
        <f t="shared" ref="G19:J19" si="3">G18*0.2</f>
        <v>82.5</v>
      </c>
      <c r="H19" s="33">
        <f t="shared" si="3"/>
        <v>82.5</v>
      </c>
      <c r="I19" s="33">
        <f t="shared" si="3"/>
        <v>82.5</v>
      </c>
      <c r="J19" s="33">
        <f t="shared" si="3"/>
        <v>82.5</v>
      </c>
      <c r="K19" s="33"/>
      <c r="L19" s="33"/>
      <c r="M19" s="33"/>
      <c r="N19" s="33">
        <f t="shared" si="1"/>
        <v>412.5</v>
      </c>
      <c r="O19" s="33"/>
      <c r="Q19" s="39">
        <f>+N19</f>
        <v>412.5</v>
      </c>
    </row>
    <row r="20" spans="1:24" x14ac:dyDescent="0.25">
      <c r="A20" t="s">
        <v>100</v>
      </c>
      <c r="F20" s="33">
        <v>326</v>
      </c>
      <c r="G20" s="33">
        <v>91</v>
      </c>
      <c r="H20" s="33">
        <v>91</v>
      </c>
      <c r="I20" s="33">
        <v>91</v>
      </c>
      <c r="J20" s="33">
        <v>91</v>
      </c>
      <c r="K20" s="33"/>
      <c r="L20" s="33"/>
      <c r="M20" s="33"/>
      <c r="N20" s="33">
        <f t="shared" si="1"/>
        <v>690</v>
      </c>
      <c r="O20" s="33"/>
      <c r="R20" s="34">
        <f>+N20</f>
        <v>690</v>
      </c>
    </row>
    <row r="21" spans="1:24" x14ac:dyDescent="0.25">
      <c r="A21" s="38" t="s">
        <v>101</v>
      </c>
      <c r="B21" s="38"/>
      <c r="F21" s="33">
        <f>F20*0.2</f>
        <v>65.2</v>
      </c>
      <c r="G21" s="33">
        <f t="shared" ref="G21:J21" si="4">G20*0.2</f>
        <v>18.2</v>
      </c>
      <c r="H21" s="33">
        <f t="shared" si="4"/>
        <v>18.2</v>
      </c>
      <c r="I21" s="33">
        <f t="shared" si="4"/>
        <v>18.2</v>
      </c>
      <c r="J21" s="33">
        <f t="shared" si="4"/>
        <v>18.2</v>
      </c>
      <c r="K21" s="33"/>
      <c r="L21" s="33"/>
      <c r="M21" s="33"/>
      <c r="N21" s="33">
        <f t="shared" si="1"/>
        <v>138</v>
      </c>
      <c r="O21" s="33"/>
      <c r="R21" s="39">
        <f>+N21</f>
        <v>138</v>
      </c>
    </row>
    <row r="22" spans="1:24" x14ac:dyDescent="0.25">
      <c r="A22" t="s">
        <v>102</v>
      </c>
      <c r="F22" s="33">
        <v>433</v>
      </c>
      <c r="G22" s="33">
        <v>433</v>
      </c>
      <c r="H22" s="33">
        <v>433</v>
      </c>
      <c r="I22" s="33">
        <v>433</v>
      </c>
      <c r="J22" s="33">
        <v>433</v>
      </c>
      <c r="K22" s="33"/>
      <c r="L22" s="33"/>
      <c r="M22" s="33"/>
      <c r="N22" s="33">
        <f t="shared" si="1"/>
        <v>2165</v>
      </c>
      <c r="O22" s="33"/>
      <c r="S22" s="34">
        <f>+N22</f>
        <v>2165</v>
      </c>
    </row>
    <row r="23" spans="1:24" x14ac:dyDescent="0.25">
      <c r="A23" s="38" t="s">
        <v>103</v>
      </c>
      <c r="B23" s="38"/>
      <c r="F23" s="33">
        <f>F22*0.2</f>
        <v>86.600000000000009</v>
      </c>
      <c r="G23" s="33">
        <f t="shared" ref="G23:J23" si="5">G22*0.2</f>
        <v>86.600000000000009</v>
      </c>
      <c r="H23" s="33">
        <f t="shared" si="5"/>
        <v>86.600000000000009</v>
      </c>
      <c r="I23" s="33">
        <f t="shared" si="5"/>
        <v>86.600000000000009</v>
      </c>
      <c r="J23" s="33">
        <f t="shared" si="5"/>
        <v>86.600000000000009</v>
      </c>
      <c r="K23" s="33"/>
      <c r="L23" s="33"/>
      <c r="M23" s="33"/>
      <c r="N23" s="33">
        <f t="shared" si="1"/>
        <v>433.00000000000006</v>
      </c>
      <c r="O23" s="33"/>
      <c r="S23" s="39">
        <f>+N23</f>
        <v>433.00000000000006</v>
      </c>
    </row>
    <row r="24" spans="1:24" x14ac:dyDescent="0.25">
      <c r="A24" t="s">
        <v>104</v>
      </c>
      <c r="F24" s="33">
        <v>2743</v>
      </c>
      <c r="G24" s="33">
        <v>2743</v>
      </c>
      <c r="H24" s="33">
        <v>2743</v>
      </c>
      <c r="I24" s="33">
        <v>2743</v>
      </c>
      <c r="J24" s="33">
        <v>2743</v>
      </c>
      <c r="K24" s="33"/>
      <c r="L24" s="33"/>
      <c r="M24" s="33"/>
      <c r="N24" s="33">
        <f t="shared" si="1"/>
        <v>13715</v>
      </c>
      <c r="O24" s="33"/>
      <c r="T24" s="34">
        <f>+N24</f>
        <v>13715</v>
      </c>
    </row>
    <row r="25" spans="1:24" x14ac:dyDescent="0.25">
      <c r="A25" s="38" t="s">
        <v>105</v>
      </c>
      <c r="B25" s="38"/>
      <c r="F25" s="33">
        <f>F24*0.2</f>
        <v>548.6</v>
      </c>
      <c r="G25" s="33">
        <f t="shared" ref="G25:J25" si="6">G24*0.2</f>
        <v>548.6</v>
      </c>
      <c r="H25" s="33">
        <f t="shared" si="6"/>
        <v>548.6</v>
      </c>
      <c r="I25" s="33">
        <f t="shared" si="6"/>
        <v>548.6</v>
      </c>
      <c r="J25" s="33">
        <f t="shared" si="6"/>
        <v>548.6</v>
      </c>
      <c r="K25" s="33"/>
      <c r="L25" s="33"/>
      <c r="M25" s="33"/>
      <c r="N25" s="33">
        <f t="shared" si="1"/>
        <v>2743</v>
      </c>
      <c r="O25" s="33"/>
      <c r="T25" s="39">
        <f>+N25</f>
        <v>2743</v>
      </c>
    </row>
    <row r="26" spans="1:24" x14ac:dyDescent="0.25">
      <c r="A26" t="s">
        <v>106</v>
      </c>
      <c r="F26" s="33">
        <v>2638</v>
      </c>
      <c r="G26" s="33">
        <v>2397</v>
      </c>
      <c r="H26" s="33">
        <v>2397</v>
      </c>
      <c r="I26" s="33">
        <v>2397</v>
      </c>
      <c r="J26" s="33">
        <v>4708</v>
      </c>
      <c r="K26" s="33" t="s">
        <v>107</v>
      </c>
      <c r="L26" s="33"/>
      <c r="M26" s="33"/>
      <c r="N26" s="33">
        <f t="shared" si="1"/>
        <v>14537</v>
      </c>
      <c r="O26" s="33"/>
      <c r="T26" s="34">
        <f>+N26</f>
        <v>14537</v>
      </c>
    </row>
    <row r="27" spans="1:24" x14ac:dyDescent="0.25">
      <c r="A27" s="38" t="s">
        <v>108</v>
      </c>
      <c r="B27" s="38"/>
      <c r="F27" s="33">
        <f>F26*0.2</f>
        <v>527.6</v>
      </c>
      <c r="G27" s="33">
        <f t="shared" ref="G27:J27" si="7">G26*0.2</f>
        <v>479.40000000000003</v>
      </c>
      <c r="H27" s="33">
        <f t="shared" si="7"/>
        <v>479.40000000000003</v>
      </c>
      <c r="I27" s="33">
        <f t="shared" si="7"/>
        <v>479.40000000000003</v>
      </c>
      <c r="J27" s="33">
        <f t="shared" si="7"/>
        <v>941.6</v>
      </c>
      <c r="K27" s="33"/>
      <c r="L27" s="33"/>
      <c r="M27" s="33"/>
      <c r="N27" s="33">
        <f t="shared" si="1"/>
        <v>2907.4</v>
      </c>
      <c r="O27" s="33"/>
      <c r="T27" s="39">
        <f>+N27</f>
        <v>2907.4</v>
      </c>
    </row>
    <row r="28" spans="1:24" x14ac:dyDescent="0.25">
      <c r="A28" t="s">
        <v>109</v>
      </c>
      <c r="F28" s="33">
        <v>448</v>
      </c>
      <c r="G28" s="33">
        <v>448</v>
      </c>
      <c r="H28" s="33">
        <v>658</v>
      </c>
      <c r="I28" s="33">
        <v>658</v>
      </c>
      <c r="J28" s="33">
        <v>658</v>
      </c>
      <c r="K28" s="33"/>
      <c r="L28" s="33"/>
      <c r="M28" s="33"/>
      <c r="N28" s="33">
        <f t="shared" si="1"/>
        <v>2870</v>
      </c>
      <c r="O28" s="33"/>
      <c r="T28" s="34" t="s">
        <v>3</v>
      </c>
      <c r="U28" s="34">
        <f>+N28</f>
        <v>2870</v>
      </c>
    </row>
    <row r="29" spans="1:24" x14ac:dyDescent="0.25">
      <c r="A29" s="38" t="s">
        <v>110</v>
      </c>
      <c r="B29" s="38"/>
      <c r="F29" s="33">
        <f>F28*0.2</f>
        <v>89.600000000000009</v>
      </c>
      <c r="G29" s="33">
        <f t="shared" ref="G29:J29" si="8">G28*0.2</f>
        <v>89.600000000000009</v>
      </c>
      <c r="H29" s="33">
        <f t="shared" si="8"/>
        <v>131.6</v>
      </c>
      <c r="I29" s="33">
        <f t="shared" si="8"/>
        <v>131.6</v>
      </c>
      <c r="J29" s="33">
        <f t="shared" si="8"/>
        <v>131.6</v>
      </c>
      <c r="K29" s="33"/>
      <c r="L29" s="33"/>
      <c r="M29" s="33"/>
      <c r="N29" s="33">
        <f t="shared" si="1"/>
        <v>574</v>
      </c>
      <c r="O29" s="33"/>
      <c r="U29" s="39">
        <f>+N29</f>
        <v>574</v>
      </c>
    </row>
    <row r="30" spans="1:24" x14ac:dyDescent="0.25">
      <c r="A30" t="s">
        <v>111</v>
      </c>
      <c r="F30" s="33">
        <v>391</v>
      </c>
      <c r="G30" s="33">
        <v>391</v>
      </c>
      <c r="H30" s="33">
        <v>391</v>
      </c>
      <c r="I30" s="33">
        <v>391</v>
      </c>
      <c r="J30" s="33"/>
      <c r="K30" s="33"/>
      <c r="L30" s="33"/>
      <c r="M30" s="33"/>
      <c r="N30" s="33">
        <f t="shared" si="1"/>
        <v>1564</v>
      </c>
      <c r="O30" s="33"/>
      <c r="V30" s="34">
        <f>+N30</f>
        <v>1564</v>
      </c>
    </row>
    <row r="31" spans="1:24" x14ac:dyDescent="0.25">
      <c r="A31" t="s">
        <v>112</v>
      </c>
      <c r="F31" s="33"/>
      <c r="G31" s="33"/>
      <c r="H31" s="33"/>
      <c r="I31" s="33"/>
      <c r="J31" s="33">
        <v>1080</v>
      </c>
      <c r="K31" s="33"/>
      <c r="L31" s="33"/>
      <c r="M31" s="33"/>
      <c r="N31" s="33">
        <f t="shared" si="1"/>
        <v>1080</v>
      </c>
      <c r="O31" s="33"/>
      <c r="W31" s="34">
        <f>+N31</f>
        <v>1080</v>
      </c>
    </row>
    <row r="32" spans="1:24" x14ac:dyDescent="0.25">
      <c r="A32" t="s">
        <v>113</v>
      </c>
      <c r="F32" s="33">
        <v>159</v>
      </c>
      <c r="G32" s="33">
        <v>-248</v>
      </c>
      <c r="H32" s="33">
        <v>131</v>
      </c>
      <c r="I32" s="33">
        <v>101</v>
      </c>
      <c r="J32" s="33">
        <v>43</v>
      </c>
      <c r="K32" s="33"/>
      <c r="L32" s="33"/>
      <c r="M32" s="33"/>
      <c r="N32" s="33">
        <f t="shared" si="1"/>
        <v>186</v>
      </c>
      <c r="O32" s="33"/>
      <c r="X32" s="34">
        <f>+N32</f>
        <v>186</v>
      </c>
    </row>
    <row r="33" spans="1:30" x14ac:dyDescent="0.25">
      <c r="A33" s="38" t="s">
        <v>114</v>
      </c>
      <c r="B33" s="38"/>
      <c r="F33" s="33"/>
      <c r="G33" s="33"/>
      <c r="H33" s="33"/>
      <c r="I33" s="33">
        <v>567</v>
      </c>
      <c r="J33" s="33">
        <v>1704</v>
      </c>
      <c r="K33" s="33"/>
      <c r="L33" s="33"/>
      <c r="M33" s="33"/>
      <c r="N33" s="33">
        <f t="shared" si="1"/>
        <v>2271</v>
      </c>
      <c r="O33" s="33"/>
      <c r="Y33" s="39">
        <f>+N33</f>
        <v>2271</v>
      </c>
    </row>
    <row r="34" spans="1:30" x14ac:dyDescent="0.25">
      <c r="F34" s="33"/>
      <c r="G34" s="33"/>
      <c r="H34" s="33"/>
      <c r="I34" s="33"/>
      <c r="J34" s="33"/>
      <c r="K34" s="33"/>
      <c r="L34" s="33"/>
      <c r="M34" s="33"/>
      <c r="N34" s="33">
        <f t="shared" si="1"/>
        <v>0</v>
      </c>
      <c r="O34" s="33"/>
    </row>
    <row r="35" spans="1:30" x14ac:dyDescent="0.25">
      <c r="A35" s="40" t="s">
        <v>115</v>
      </c>
      <c r="B35" s="40"/>
      <c r="F35" s="33">
        <f>3139-2320</f>
        <v>819</v>
      </c>
      <c r="G35" s="33">
        <v>589</v>
      </c>
      <c r="H35" s="33">
        <v>773</v>
      </c>
      <c r="I35" s="33">
        <v>541</v>
      </c>
      <c r="J35" s="33">
        <v>791</v>
      </c>
      <c r="K35" s="33"/>
      <c r="L35" s="33"/>
      <c r="M35" s="33"/>
      <c r="N35" s="33">
        <f t="shared" si="1"/>
        <v>3513</v>
      </c>
      <c r="O35" s="33"/>
      <c r="Z35" s="34">
        <f>+N35</f>
        <v>3513</v>
      </c>
    </row>
    <row r="36" spans="1:30" x14ac:dyDescent="0.25">
      <c r="A36" s="38" t="s">
        <v>116</v>
      </c>
      <c r="B36" s="38"/>
      <c r="F36" s="33">
        <f>F35*0.2</f>
        <v>163.80000000000001</v>
      </c>
      <c r="G36" s="33">
        <f t="shared" ref="G36:J36" si="9">G35*0.2</f>
        <v>117.80000000000001</v>
      </c>
      <c r="H36" s="33">
        <f t="shared" si="9"/>
        <v>154.60000000000002</v>
      </c>
      <c r="I36" s="33">
        <f t="shared" si="9"/>
        <v>108.2</v>
      </c>
      <c r="J36" s="33">
        <f t="shared" si="9"/>
        <v>158.20000000000002</v>
      </c>
      <c r="K36" s="33"/>
      <c r="L36" s="33"/>
      <c r="M36" s="33"/>
      <c r="N36" s="33">
        <f t="shared" si="1"/>
        <v>702.60000000000014</v>
      </c>
      <c r="O36" s="33"/>
      <c r="Z36" s="39">
        <f>+N36</f>
        <v>702.60000000000014</v>
      </c>
    </row>
    <row r="37" spans="1:30" x14ac:dyDescent="0.25">
      <c r="F37" s="33"/>
      <c r="G37" s="33"/>
      <c r="H37" s="33"/>
      <c r="I37" s="33"/>
      <c r="J37" s="33"/>
      <c r="K37" s="33"/>
      <c r="L37" s="33"/>
      <c r="M37" s="33"/>
      <c r="N37" s="33">
        <f t="shared" si="1"/>
        <v>0</v>
      </c>
      <c r="O37" s="33"/>
    </row>
    <row r="38" spans="1:30" x14ac:dyDescent="0.25">
      <c r="A38" t="s">
        <v>117</v>
      </c>
      <c r="F38" s="33">
        <f>2107</f>
        <v>2107</v>
      </c>
      <c r="G38" s="33">
        <v>2107</v>
      </c>
      <c r="H38" s="33">
        <f>2107</f>
        <v>2107</v>
      </c>
      <c r="I38" s="33">
        <f>2107</f>
        <v>2107</v>
      </c>
      <c r="J38" s="33">
        <f>2107</f>
        <v>2107</v>
      </c>
      <c r="K38" s="33"/>
      <c r="L38" s="33"/>
      <c r="M38" s="33"/>
      <c r="N38" s="33">
        <f t="shared" si="1"/>
        <v>10535</v>
      </c>
      <c r="O38" s="33"/>
      <c r="AA38" s="34">
        <f>+N38</f>
        <v>10535</v>
      </c>
    </row>
    <row r="39" spans="1:30" x14ac:dyDescent="0.25">
      <c r="A39" t="s">
        <v>118</v>
      </c>
      <c r="F39" s="33">
        <v>213</v>
      </c>
      <c r="G39" s="33">
        <f t="shared" ref="G39:J39" si="10">214+367</f>
        <v>581</v>
      </c>
      <c r="H39" s="33">
        <f t="shared" si="10"/>
        <v>581</v>
      </c>
      <c r="I39" s="33">
        <f t="shared" si="10"/>
        <v>581</v>
      </c>
      <c r="J39" s="33">
        <f t="shared" si="10"/>
        <v>581</v>
      </c>
      <c r="K39" s="33"/>
      <c r="L39" s="33"/>
      <c r="M39" s="33"/>
      <c r="N39" s="33">
        <f t="shared" si="1"/>
        <v>2537</v>
      </c>
      <c r="O39" s="33"/>
      <c r="AB39" s="34">
        <f>+N39</f>
        <v>2537</v>
      </c>
    </row>
    <row r="40" spans="1:30" x14ac:dyDescent="0.25"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1:30" x14ac:dyDescent="0.25">
      <c r="A41" s="1" t="s">
        <v>142</v>
      </c>
      <c r="B41" s="1"/>
      <c r="C41" s="1"/>
      <c r="D41" s="1"/>
      <c r="E41" s="1"/>
      <c r="F41" s="36">
        <f>SUM(F15:F40)</f>
        <v>12665.4</v>
      </c>
      <c r="G41" s="36">
        <f t="shared" ref="G41:J41" si="11">SUM(G15:G40)</f>
        <v>11536.2</v>
      </c>
      <c r="H41" s="36">
        <f t="shared" si="11"/>
        <v>14023</v>
      </c>
      <c r="I41" s="36">
        <f t="shared" si="11"/>
        <v>13860.6</v>
      </c>
      <c r="J41" s="36">
        <f t="shared" si="11"/>
        <v>17318.800000000003</v>
      </c>
      <c r="N41" s="32">
        <f>SUM(N15:N40)</f>
        <v>69404</v>
      </c>
      <c r="O41" s="32">
        <f t="shared" ref="O41:AB41" si="12">SUM(O15:O40)</f>
        <v>2800</v>
      </c>
      <c r="P41" s="32">
        <f t="shared" si="12"/>
        <v>968.00000000000011</v>
      </c>
      <c r="Q41" s="32">
        <f t="shared" si="12"/>
        <v>2475</v>
      </c>
      <c r="R41" s="32">
        <f t="shared" si="12"/>
        <v>828</v>
      </c>
      <c r="S41" s="32">
        <f t="shared" si="12"/>
        <v>2598</v>
      </c>
      <c r="T41" s="32">
        <f t="shared" si="12"/>
        <v>33902.400000000001</v>
      </c>
      <c r="U41" s="32">
        <f t="shared" si="12"/>
        <v>3444</v>
      </c>
      <c r="V41" s="32">
        <f t="shared" si="12"/>
        <v>1564</v>
      </c>
      <c r="W41" s="32">
        <f t="shared" si="12"/>
        <v>1080</v>
      </c>
      <c r="X41" s="32">
        <f t="shared" si="12"/>
        <v>186</v>
      </c>
      <c r="Y41" s="32">
        <f t="shared" si="12"/>
        <v>2271</v>
      </c>
      <c r="Z41" s="32">
        <f t="shared" si="12"/>
        <v>4215.6000000000004</v>
      </c>
      <c r="AA41" s="32">
        <f t="shared" si="12"/>
        <v>10535</v>
      </c>
      <c r="AB41" s="32">
        <f t="shared" si="12"/>
        <v>2537</v>
      </c>
    </row>
    <row r="42" spans="1:30" x14ac:dyDescent="0.25">
      <c r="M42" s="42" t="s">
        <v>144</v>
      </c>
      <c r="N42" s="47">
        <f>SUM(O42:AB42)</f>
        <v>45989.166666666672</v>
      </c>
      <c r="O42" s="46">
        <f>+O15</f>
        <v>2800</v>
      </c>
      <c r="P42" s="46">
        <f>+P16</f>
        <v>806.66666666666674</v>
      </c>
      <c r="Q42" s="46">
        <f>+Q18</f>
        <v>2062.5</v>
      </c>
      <c r="R42" s="46">
        <f>+R20</f>
        <v>690</v>
      </c>
      <c r="S42" s="46">
        <f>+S22</f>
        <v>2165</v>
      </c>
      <c r="T42" s="46">
        <f>+T24+T26</f>
        <v>28252</v>
      </c>
      <c r="U42" s="46">
        <f>+U28</f>
        <v>2870</v>
      </c>
      <c r="V42" s="46">
        <f>+V30</f>
        <v>1564</v>
      </c>
      <c r="W42" s="46">
        <f>+W41</f>
        <v>1080</v>
      </c>
      <c r="X42" s="46">
        <f>+X32</f>
        <v>186</v>
      </c>
      <c r="Y42" s="41"/>
      <c r="Z42" s="46">
        <f>+Z35</f>
        <v>3513</v>
      </c>
      <c r="AA42" s="41"/>
      <c r="AB42" s="41"/>
      <c r="AC42" s="43"/>
      <c r="AD42" s="43"/>
    </row>
    <row r="43" spans="1:30" x14ac:dyDescent="0.25">
      <c r="M43" s="42" t="s">
        <v>41</v>
      </c>
      <c r="N43" s="47">
        <f t="shared" ref="N43:N45" si="13">SUM(O43:AB43)</f>
        <v>10342.833333333334</v>
      </c>
      <c r="O43" s="41"/>
      <c r="P43" s="41">
        <f>+P17</f>
        <v>161.33333333333334</v>
      </c>
      <c r="Q43" s="41">
        <f>+Q19</f>
        <v>412.5</v>
      </c>
      <c r="R43" s="41">
        <f>+R21</f>
        <v>138</v>
      </c>
      <c r="S43" s="41">
        <f>+S23</f>
        <v>433.00000000000006</v>
      </c>
      <c r="T43" s="41">
        <f>+T25+T27</f>
        <v>5650.4</v>
      </c>
      <c r="U43" s="41">
        <f>+U29</f>
        <v>574</v>
      </c>
      <c r="V43" s="41"/>
      <c r="W43" s="41"/>
      <c r="X43" s="41"/>
      <c r="Y43" s="41">
        <f>+Y33</f>
        <v>2271</v>
      </c>
      <c r="Z43" s="41">
        <f>+Z36</f>
        <v>702.60000000000014</v>
      </c>
      <c r="AA43" s="41"/>
      <c r="AB43" s="41"/>
      <c r="AC43" s="43"/>
      <c r="AD43" s="43"/>
    </row>
    <row r="44" spans="1:30" x14ac:dyDescent="0.25">
      <c r="M44" s="42" t="s">
        <v>145</v>
      </c>
      <c r="N44" s="42">
        <f t="shared" si="13"/>
        <v>10535</v>
      </c>
      <c r="O44" s="41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41">
        <f>+AA38</f>
        <v>10535</v>
      </c>
      <c r="AB44" s="41"/>
    </row>
    <row r="45" spans="1:30" x14ac:dyDescent="0.25">
      <c r="M45" s="44" t="s">
        <v>146</v>
      </c>
      <c r="N45" s="42">
        <f t="shared" si="13"/>
        <v>2537</v>
      </c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41"/>
      <c r="AB45" s="41">
        <f>+AB39</f>
        <v>2537</v>
      </c>
    </row>
    <row r="46" spans="1:30" x14ac:dyDescent="0.25">
      <c r="M46" s="45" t="s">
        <v>147</v>
      </c>
      <c r="N46" s="32">
        <f>SUM(N42:N45)</f>
        <v>69404</v>
      </c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</row>
    <row r="47" spans="1:30" x14ac:dyDescent="0.25">
      <c r="A47" s="1" t="s">
        <v>119</v>
      </c>
      <c r="N47" s="33">
        <f>+N41-SUM(O41:AB41)</f>
        <v>0</v>
      </c>
    </row>
    <row r="48" spans="1:30" x14ac:dyDescent="0.25">
      <c r="N48" s="33"/>
    </row>
    <row r="49" spans="1:14" x14ac:dyDescent="0.25">
      <c r="A49" t="s">
        <v>120</v>
      </c>
      <c r="H49" s="33">
        <v>1450</v>
      </c>
      <c r="I49" s="33"/>
      <c r="M49" s="9" t="s">
        <v>154</v>
      </c>
      <c r="N49" s="48">
        <f t="shared" si="1"/>
        <v>1450</v>
      </c>
    </row>
    <row r="50" spans="1:14" x14ac:dyDescent="0.25">
      <c r="M50" s="9"/>
      <c r="N50" s="33">
        <f t="shared" si="1"/>
        <v>0</v>
      </c>
    </row>
    <row r="51" spans="1:14" x14ac:dyDescent="0.25">
      <c r="A51" t="s">
        <v>121</v>
      </c>
      <c r="F51" s="33">
        <v>9321</v>
      </c>
      <c r="G51" s="33">
        <v>8495</v>
      </c>
      <c r="H51" s="33">
        <v>7687</v>
      </c>
      <c r="I51" s="33">
        <v>14003</v>
      </c>
      <c r="J51" s="33">
        <v>11614</v>
      </c>
      <c r="M51" s="9" t="s">
        <v>144</v>
      </c>
      <c r="N51" s="33">
        <f t="shared" si="1"/>
        <v>51120</v>
      </c>
    </row>
    <row r="52" spans="1:14" x14ac:dyDescent="0.25">
      <c r="A52" t="s">
        <v>122</v>
      </c>
      <c r="F52" s="33">
        <f>F51*0.2</f>
        <v>1864.2</v>
      </c>
      <c r="G52" s="33">
        <f>G51*0.2</f>
        <v>1699</v>
      </c>
      <c r="H52" s="33">
        <f t="shared" ref="H52:J52" si="14">H51*0.2</f>
        <v>1537.4</v>
      </c>
      <c r="I52" s="33">
        <f t="shared" si="14"/>
        <v>2800.6000000000004</v>
      </c>
      <c r="J52" s="33">
        <f t="shared" si="14"/>
        <v>2322.8000000000002</v>
      </c>
      <c r="M52" s="9" t="s">
        <v>41</v>
      </c>
      <c r="N52" s="33">
        <f t="shared" si="1"/>
        <v>10224</v>
      </c>
    </row>
    <row r="53" spans="1:14" x14ac:dyDescent="0.25">
      <c r="M53" s="9"/>
      <c r="N53" s="33">
        <f t="shared" si="1"/>
        <v>0</v>
      </c>
    </row>
    <row r="54" spans="1:14" x14ac:dyDescent="0.25">
      <c r="A54" t="s">
        <v>123</v>
      </c>
      <c r="H54" s="33">
        <v>2700</v>
      </c>
      <c r="M54" s="9"/>
      <c r="N54" s="33">
        <f t="shared" si="1"/>
        <v>2700</v>
      </c>
    </row>
    <row r="55" spans="1:14" x14ac:dyDescent="0.25">
      <c r="M55" s="9"/>
      <c r="N55" s="33">
        <f t="shared" si="1"/>
        <v>0</v>
      </c>
    </row>
    <row r="56" spans="1:14" x14ac:dyDescent="0.25">
      <c r="A56" s="1" t="s">
        <v>143</v>
      </c>
      <c r="B56" s="1"/>
      <c r="C56" s="1"/>
      <c r="D56" s="1"/>
      <c r="E56" s="1"/>
      <c r="F56" s="37">
        <f>SUM(F49:F55)</f>
        <v>11185.2</v>
      </c>
      <c r="G56" s="37">
        <f t="shared" ref="G56:J56" si="15">SUM(G49:G55)</f>
        <v>10194</v>
      </c>
      <c r="H56" s="37">
        <f t="shared" si="15"/>
        <v>13374.4</v>
      </c>
      <c r="I56" s="37">
        <f t="shared" si="15"/>
        <v>16803.599999999999</v>
      </c>
      <c r="J56" s="37">
        <f t="shared" si="15"/>
        <v>13936.8</v>
      </c>
      <c r="K56" s="1"/>
      <c r="L56" s="1"/>
      <c r="M56" s="11"/>
      <c r="N56" s="37">
        <f t="shared" ref="N56" si="16">SUM(N49:N55)</f>
        <v>65494</v>
      </c>
    </row>
    <row r="57" spans="1:14" x14ac:dyDescent="0.25">
      <c r="M57" s="9"/>
    </row>
    <row r="58" spans="1:14" x14ac:dyDescent="0.25">
      <c r="A58" s="1" t="s">
        <v>124</v>
      </c>
      <c r="B58" s="1"/>
      <c r="C58" s="1"/>
      <c r="D58" s="1"/>
      <c r="E58" s="1"/>
    </row>
    <row r="59" spans="1:14" x14ac:dyDescent="0.25">
      <c r="A59" s="1"/>
      <c r="B59" s="1"/>
      <c r="C59" s="1"/>
      <c r="D59" s="1"/>
      <c r="E59" s="1"/>
    </row>
    <row r="60" spans="1:14" x14ac:dyDescent="0.25">
      <c r="A60" s="1"/>
      <c r="B60" s="1" t="s">
        <v>125</v>
      </c>
      <c r="C60" s="1"/>
      <c r="D60" s="1"/>
      <c r="E60" s="1"/>
    </row>
    <row r="61" spans="1:14" x14ac:dyDescent="0.25">
      <c r="A61" s="1"/>
      <c r="B61" s="1"/>
      <c r="C61" s="1"/>
      <c r="D61" s="1"/>
      <c r="E61" s="1"/>
    </row>
    <row r="62" spans="1:14" x14ac:dyDescent="0.25">
      <c r="A62" s="35" t="s">
        <v>126</v>
      </c>
      <c r="B62" s="35"/>
      <c r="C62" s="35" t="s">
        <v>127</v>
      </c>
      <c r="D62" s="35"/>
      <c r="E62" s="35"/>
    </row>
    <row r="63" spans="1:14" x14ac:dyDescent="0.25">
      <c r="A63" s="1"/>
      <c r="B63" s="1"/>
      <c r="C63" s="1"/>
      <c r="D63" s="1"/>
      <c r="E6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KHEPRI INVEST DEF</vt:lpstr>
      <vt:lpstr>KHEPRI FORMATION DEF</vt:lpstr>
      <vt:lpstr>KHEPRI INVEST V1</vt:lpstr>
      <vt:lpstr>Suivi bq dépenses recettes</vt:lpstr>
      <vt:lpstr>'KHEPRI INVEST DEF'!Zone_d_impression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GUIBERT ASSOCIES</dc:creator>
  <cp:lastModifiedBy>Utilisateur Windows</cp:lastModifiedBy>
  <cp:lastPrinted>2021-12-24T08:23:21Z</cp:lastPrinted>
  <dcterms:created xsi:type="dcterms:W3CDTF">2021-12-19T11:18:29Z</dcterms:created>
  <dcterms:modified xsi:type="dcterms:W3CDTF">2021-12-24T11:54:08Z</dcterms:modified>
</cp:coreProperties>
</file>