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16815" windowHeight="7740" activeTab="1"/>
  </bookViews>
  <sheets>
    <sheet name="Ateliers collectifs" sheetId="1" r:id="rId1"/>
    <sheet name="Prévention Burn Out" sheetId="2" r:id="rId2"/>
    <sheet name="Pause Récupération" sheetId="3" r:id="rId3"/>
    <sheet name="Programme de Remise en santé" sheetId="4" r:id="rId4"/>
    <sheet name="Formations finançables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" i="4" l="1"/>
  <c r="U14" i="4"/>
  <c r="S14" i="4"/>
  <c r="R14" i="4"/>
  <c r="J11" i="4"/>
  <c r="E11" i="4"/>
  <c r="E9" i="4"/>
  <c r="I9" i="4"/>
  <c r="J9" i="4" s="1"/>
  <c r="H15" i="1"/>
  <c r="I15" i="1" l="1"/>
  <c r="H10" i="4" l="1"/>
  <c r="K9" i="4"/>
  <c r="F14" i="4"/>
  <c r="L10" i="4"/>
  <c r="J13" i="4"/>
  <c r="J12" i="4"/>
  <c r="G13" i="4"/>
  <c r="G12" i="4"/>
  <c r="G11" i="4"/>
  <c r="K11" i="4" s="1"/>
  <c r="G10" i="4"/>
  <c r="G9" i="4"/>
  <c r="E13" i="4"/>
  <c r="L13" i="4" s="1"/>
  <c r="E12" i="4"/>
  <c r="L12" i="4" s="1"/>
  <c r="L11" i="4"/>
  <c r="L9" i="4"/>
  <c r="J10" i="4" l="1"/>
  <c r="J14" i="4" s="1"/>
  <c r="E14" i="4"/>
  <c r="L14" i="4" s="1"/>
  <c r="G14" i="4"/>
  <c r="M9" i="4"/>
  <c r="K13" i="4"/>
  <c r="M13" i="4" s="1"/>
  <c r="M11" i="4"/>
  <c r="K12" i="4"/>
  <c r="M12" i="4" s="1"/>
  <c r="E10" i="3"/>
  <c r="F10" i="3"/>
  <c r="F9" i="3"/>
  <c r="F11" i="3"/>
  <c r="F12" i="3"/>
  <c r="F13" i="3"/>
  <c r="F14" i="3"/>
  <c r="E12" i="3"/>
  <c r="E14" i="3"/>
  <c r="B17" i="3"/>
  <c r="C17" i="3"/>
  <c r="D17" i="3"/>
  <c r="F17" i="3" l="1"/>
  <c r="G17" i="3"/>
  <c r="E17" i="3"/>
  <c r="O14" i="4"/>
  <c r="K16" i="4"/>
  <c r="K10" i="4"/>
  <c r="M10" i="4" s="1"/>
  <c r="L16" i="4"/>
  <c r="L17" i="4" s="1"/>
  <c r="H17" i="3" l="1"/>
  <c r="K17" i="3" s="1"/>
  <c r="K14" i="4"/>
  <c r="M14" i="4" s="1"/>
  <c r="L34" i="1"/>
  <c r="H8" i="2"/>
  <c r="I7" i="2"/>
  <c r="G14" i="2"/>
  <c r="Q8" i="2"/>
  <c r="Q9" i="2"/>
  <c r="Q10" i="2"/>
  <c r="Q11" i="2"/>
  <c r="S11" i="2" s="1"/>
  <c r="U11" i="2" s="1"/>
  <c r="Q7" i="2"/>
  <c r="H11" i="2"/>
  <c r="R11" i="2"/>
  <c r="K11" i="2" s="1"/>
  <c r="I11" i="2"/>
  <c r="R10" i="2"/>
  <c r="I10" i="2"/>
  <c r="N10" i="2" s="1"/>
  <c r="H10" i="2"/>
  <c r="R9" i="2"/>
  <c r="K9" i="2" s="1"/>
  <c r="M9" i="2" s="1"/>
  <c r="I9" i="2"/>
  <c r="N9" i="2" s="1"/>
  <c r="H9" i="2"/>
  <c r="R8" i="2"/>
  <c r="K8" i="2" s="1"/>
  <c r="M8" i="2" s="1"/>
  <c r="I8" i="2"/>
  <c r="N8" i="2" s="1"/>
  <c r="R7" i="2"/>
  <c r="H7" i="2"/>
  <c r="N47" i="1"/>
  <c r="N45" i="1"/>
  <c r="N46" i="1" s="1"/>
  <c r="S7" i="2" l="1"/>
  <c r="S10" i="2"/>
  <c r="U10" i="2" s="1"/>
  <c r="H12" i="2"/>
  <c r="J18" i="3"/>
  <c r="M17" i="3"/>
  <c r="L17" i="3"/>
  <c r="M16" i="4"/>
  <c r="P14" i="4"/>
  <c r="U7" i="2"/>
  <c r="M11" i="2"/>
  <c r="R14" i="2"/>
  <c r="I14" i="2"/>
  <c r="N14" i="2" s="1"/>
  <c r="O14" i="2" s="1"/>
  <c r="K10" i="2"/>
  <c r="M10" i="2" s="1"/>
  <c r="K7" i="2"/>
  <c r="S8" i="2"/>
  <c r="U8" i="2" s="1"/>
  <c r="S9" i="2"/>
  <c r="U9" i="2" s="1"/>
  <c r="N11" i="2"/>
  <c r="N7" i="2"/>
  <c r="M7" i="2" l="1"/>
  <c r="K12" i="2"/>
  <c r="K14" i="2" s="1"/>
  <c r="S14" i="2"/>
  <c r="T14" i="2" s="1"/>
  <c r="U14" i="2" s="1"/>
  <c r="V14" i="2" s="1"/>
  <c r="M12" i="2"/>
  <c r="Q20" i="1"/>
  <c r="H20" i="1"/>
  <c r="Q19" i="1"/>
  <c r="H19" i="1"/>
  <c r="Q18" i="1"/>
  <c r="H18" i="1"/>
  <c r="Q17" i="1"/>
  <c r="K17" i="1" s="1"/>
  <c r="L17" i="1" s="1"/>
  <c r="F17" i="1" s="1"/>
  <c r="I17" i="1" s="1"/>
  <c r="M17" i="1" s="1"/>
  <c r="N17" i="1" s="1"/>
  <c r="H17" i="1"/>
  <c r="Q16" i="1"/>
  <c r="H16" i="1"/>
  <c r="Q15" i="1"/>
  <c r="Q6" i="1"/>
  <c r="R6" i="1" s="1"/>
  <c r="M6" i="1"/>
  <c r="N6" i="1" s="1"/>
  <c r="S6" i="1" s="1"/>
  <c r="I6" i="1"/>
  <c r="H6" i="1"/>
  <c r="R17" i="1" l="1"/>
  <c r="R20" i="1"/>
  <c r="K20" i="1"/>
  <c r="L20" i="1" s="1"/>
  <c r="F20" i="1" s="1"/>
  <c r="I20" i="1" s="1"/>
  <c r="M20" i="1" s="1"/>
  <c r="N20" i="1" s="1"/>
  <c r="S20" i="1" s="1"/>
  <c r="R18" i="1"/>
  <c r="K18" i="1"/>
  <c r="L18" i="1" s="1"/>
  <c r="F18" i="1" s="1"/>
  <c r="I18" i="1" s="1"/>
  <c r="M18" i="1" s="1"/>
  <c r="N18" i="1" s="1"/>
  <c r="S18" i="1" s="1"/>
  <c r="R16" i="1"/>
  <c r="R21" i="1" s="1"/>
  <c r="K16" i="1"/>
  <c r="L16" i="1" s="1"/>
  <c r="F16" i="1" s="1"/>
  <c r="I16" i="1" s="1"/>
  <c r="M16" i="1" s="1"/>
  <c r="N16" i="1" s="1"/>
  <c r="S16" i="1" s="1"/>
  <c r="K15" i="1"/>
  <c r="R15" i="1"/>
  <c r="K6" i="1"/>
  <c r="L6" i="1" s="1"/>
  <c r="R19" i="1"/>
  <c r="K19" i="1"/>
  <c r="L19" i="1" s="1"/>
  <c r="F19" i="1" s="1"/>
  <c r="I19" i="1" s="1"/>
  <c r="M19" i="1" s="1"/>
  <c r="N19" i="1" s="1"/>
  <c r="S19" i="1" s="1"/>
  <c r="S17" i="1"/>
  <c r="M15" i="1"/>
  <c r="N15" i="1" s="1"/>
  <c r="S15" i="1" s="1"/>
  <c r="L15" i="1" l="1"/>
  <c r="K21" i="1"/>
  <c r="M21" i="1"/>
  <c r="N21" i="1" s="1"/>
  <c r="S21" i="1" s="1"/>
  <c r="T21" i="1" s="1"/>
  <c r="S22" i="1" l="1"/>
</calcChain>
</file>

<file path=xl/comments1.xml><?xml version="1.0" encoding="utf-8"?>
<comments xmlns="http://schemas.openxmlformats.org/spreadsheetml/2006/main">
  <authors>
    <author>Utilisateur</author>
  </authors>
  <commentList>
    <comment ref="J17" authorId="0" shapeId="0">
      <text>
        <r>
          <rPr>
            <b/>
            <sz val="9"/>
            <color indexed="81"/>
            <rFont val="Tahoma"/>
            <family val="2"/>
          </rPr>
          <t>100€/thérapeute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Avec un minimum de 200€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<sst xmlns="http://schemas.openxmlformats.org/spreadsheetml/2006/main" count="236" uniqueCount="196">
  <si>
    <t>ATELIERS COLLECTIFS A VISEE THERAPEUTIQUE</t>
  </si>
  <si>
    <t>PRATICIEN</t>
  </si>
  <si>
    <t>Discipline Atelier</t>
  </si>
  <si>
    <t>NBRE SEANCES/pack</t>
  </si>
  <si>
    <t>Prix unitaire séance payé par le client</t>
  </si>
  <si>
    <t>Durée/Nbre heures/séance</t>
  </si>
  <si>
    <t>Nbre heures total formations dispensées</t>
  </si>
  <si>
    <t>Prix du pack payé par le client</t>
  </si>
  <si>
    <t>NBRE STAGIAIRES</t>
  </si>
  <si>
    <t>Frais réservation salles/H (18€/h)</t>
  </si>
  <si>
    <t>CA total TTC</t>
  </si>
  <si>
    <t>CA Kh Santé après HT</t>
  </si>
  <si>
    <t>% Commis-sionnement</t>
  </si>
  <si>
    <t>Prestations praticiens PRIX/H</t>
  </si>
  <si>
    <t>Nbre heures /praticien</t>
  </si>
  <si>
    <t>Total prestations reversées</t>
  </si>
  <si>
    <t>Marge nette Khépri Santé</t>
  </si>
  <si>
    <t>Nathalie Uzan</t>
  </si>
  <si>
    <t>Prévention du burn out</t>
  </si>
  <si>
    <t>Emelyne Humez</t>
  </si>
  <si>
    <t>Yoga</t>
  </si>
  <si>
    <t>D. Assemaine / D. Lyon</t>
  </si>
  <si>
    <t>Qi Gong</t>
  </si>
  <si>
    <t>Carole Fournaise</t>
  </si>
  <si>
    <t>Dévelp. Personnel par la création artistique du collage</t>
  </si>
  <si>
    <t>Carole Baudrier</t>
  </si>
  <si>
    <t>Tango thérapie</t>
  </si>
  <si>
    <t>Fériale Daoudi</t>
  </si>
  <si>
    <t>Aroma-Phyto</t>
  </si>
  <si>
    <t xml:space="preserve">KHEPRI SANTE </t>
  </si>
  <si>
    <t>COMMENTAIRES / MODELES ECONOMIQUES</t>
  </si>
  <si>
    <t>Adhésions clients (carte de fidélité)</t>
  </si>
  <si>
    <t xml:space="preserve">Mise à disposition de Guides livres blancs </t>
  </si>
  <si>
    <t>Livre Blanc</t>
  </si>
  <si>
    <t xml:space="preserve"> Ateliers collectifs bénéficiaires initiation à la santé naturelle</t>
  </si>
  <si>
    <t>Vente complémentaire 1</t>
  </si>
  <si>
    <t>Avantages</t>
  </si>
  <si>
    <t>Visio-conférences gratuites par les médecins</t>
  </si>
  <si>
    <t>Si en 2022 = 3 visios de sensibilisation et d'éducation à la santé = 6000€</t>
  </si>
  <si>
    <t>Vente complémentaire 2</t>
  </si>
  <si>
    <t>Vente complémentaire 3</t>
  </si>
  <si>
    <t>Programme de fidélisation</t>
  </si>
  <si>
    <t xml:space="preserve">Condition de participation si carte de fidélité = 10€ , soit 200 pers. X 10€  ==&gt; 2000€ </t>
  </si>
  <si>
    <t>Pour les années = prévision de 1 visio tous les 2 mois, soit 5 par an = 5x2000€ = 10000€</t>
  </si>
  <si>
    <t>ATELIERS MAINTIEN DE L'EQUILIBRE PHYSIQUE ET PSYCHIQUE AU TRAVAIL</t>
  </si>
  <si>
    <t xml:space="preserve">5 séances de 2H / 1 psychologue et 1 praticien différent par séance </t>
  </si>
  <si>
    <t>Margaux Honoré</t>
  </si>
  <si>
    <t>Evelyne Revellat</t>
  </si>
  <si>
    <t>Fleurs de Bach</t>
  </si>
  <si>
    <t>EFT ou sophrologie</t>
  </si>
  <si>
    <t>Chiropraxie</t>
  </si>
  <si>
    <t>Prix de vente et rentabilité</t>
  </si>
  <si>
    <t>Fiche technique</t>
  </si>
  <si>
    <t>Total honoraires reversées</t>
  </si>
  <si>
    <t>Heures /stagiaire</t>
  </si>
  <si>
    <t>Frais total</t>
  </si>
  <si>
    <t>Prix du pack payé par le client HT</t>
  </si>
  <si>
    <t>3 groupes d'ateliers par an</t>
  </si>
  <si>
    <t>Coût /participant</t>
  </si>
  <si>
    <t>CA Kh Santé  HT</t>
  </si>
  <si>
    <t>Prix de vente</t>
  </si>
  <si>
    <t xml:space="preserve">Durée de la formation  </t>
  </si>
  <si>
    <t>5 fois 2 heures</t>
  </si>
  <si>
    <t>Nbre participants entreprise</t>
  </si>
  <si>
    <t>3 packs Prévention du burn out par an</t>
  </si>
  <si>
    <t>3 autres formations soutien aux aidants</t>
  </si>
  <si>
    <t>Dominique Lyon</t>
  </si>
  <si>
    <t>Nawal Tahiri</t>
  </si>
  <si>
    <t>Saraline Lumbroso</t>
  </si>
  <si>
    <t>Initiation MTC</t>
  </si>
  <si>
    <t>Confiance en soi</t>
  </si>
  <si>
    <t>Léa Sion</t>
  </si>
  <si>
    <t>Naturopathie</t>
  </si>
  <si>
    <t>Magali Richardin</t>
  </si>
  <si>
    <t>MTC et Bio-résonance</t>
  </si>
  <si>
    <t>Parentalité</t>
  </si>
  <si>
    <t>Sandrine Itie-Danino</t>
  </si>
  <si>
    <t>Betty Locatelli</t>
  </si>
  <si>
    <t>Kobido</t>
  </si>
  <si>
    <t>Keren Sarah</t>
  </si>
  <si>
    <t>Co-développement</t>
  </si>
  <si>
    <t>Sophrologie</t>
  </si>
  <si>
    <t>0 € prix unitaire, guide d'éducation à la santé (le n°1 est prêt à être diffusé)</t>
  </si>
  <si>
    <t>2023 : moyenne de 150 clients x 25 € /an= 3750€</t>
  </si>
  <si>
    <t>il est envisagée en 2024 d'avoir 200 clients (10% de la clientèle totale de Khépri Santé) = 5000€</t>
  </si>
  <si>
    <t>PRATICIEN FORMATEUR</t>
  </si>
  <si>
    <t>Certaines de ces formations peuvent être dédiées à des professionnels de la santé</t>
  </si>
  <si>
    <t>Maturité de réalisation</t>
  </si>
  <si>
    <t>ok</t>
  </si>
  <si>
    <t>?</t>
  </si>
  <si>
    <t>Nbre participants</t>
  </si>
  <si>
    <t>THEME</t>
  </si>
  <si>
    <t>Entretenir sa vitalité et renforcer son système immunitaire</t>
  </si>
  <si>
    <t>PRATIQUES</t>
  </si>
  <si>
    <t>HORAIRES</t>
  </si>
  <si>
    <t>Shiatsu                         D Lyon</t>
  </si>
  <si>
    <t>Phyto/Aroma Feriale</t>
  </si>
  <si>
    <t>Les pauses récupération / Séquences découverte</t>
  </si>
  <si>
    <t>Description :</t>
  </si>
  <si>
    <t>30min individuelle découverte d'un soin</t>
  </si>
  <si>
    <t>1 pack 80 € = 3 soins individ. X 30 min</t>
  </si>
  <si>
    <t>Nbre de soins</t>
  </si>
  <si>
    <t>14H30-15H</t>
  </si>
  <si>
    <t>15H - 15H30</t>
  </si>
  <si>
    <t>15H30 - 16H</t>
  </si>
  <si>
    <t>16H-16H30</t>
  </si>
  <si>
    <t>16H30-17H</t>
  </si>
  <si>
    <t>17H-17H30</t>
  </si>
  <si>
    <t>14H Ouveture collective</t>
  </si>
  <si>
    <t>Kinésiologie</t>
  </si>
  <si>
    <t>Ouverture :</t>
  </si>
  <si>
    <t>Méditation des 5 sens</t>
  </si>
  <si>
    <t xml:space="preserve">Clôture : </t>
  </si>
  <si>
    <t>Sophrologie (Shultz ou autre protocole selon thèmatique de la séquence découverte)</t>
  </si>
  <si>
    <t>Total participants</t>
  </si>
  <si>
    <t>Prix entrée</t>
  </si>
  <si>
    <t>Nbre heures Intervenants</t>
  </si>
  <si>
    <t>3 heures intervention</t>
  </si>
  <si>
    <t>80€ la soirée de 4 h ou demi-journée le dimanche</t>
  </si>
  <si>
    <t>Nbre de Mois 9</t>
  </si>
  <si>
    <t>Lumière</t>
  </si>
  <si>
    <t>Huiles Essentielles</t>
  </si>
  <si>
    <t>Tapis</t>
  </si>
  <si>
    <t>Tisanes</t>
  </si>
  <si>
    <t>Accesoires pour l'ambiance</t>
  </si>
  <si>
    <t>Heure / intervenant</t>
  </si>
  <si>
    <t>CA TTC / Séquence</t>
  </si>
  <si>
    <t>Frais salle Kh Santé</t>
  </si>
  <si>
    <t>3 indiv./1 ouvert/clôture / 1 Organisatrice / Kh. Santé  Salle</t>
  </si>
  <si>
    <t>Programme de Remise en santé / Programme de récupération</t>
  </si>
  <si>
    <t>Coût praticien/H</t>
  </si>
  <si>
    <t>Frais salle/H</t>
  </si>
  <si>
    <t>Pratique</t>
  </si>
  <si>
    <t>Nbre heures / patient</t>
  </si>
  <si>
    <t>Energétique</t>
  </si>
  <si>
    <t>Osteo</t>
  </si>
  <si>
    <t>Acupuncture</t>
  </si>
  <si>
    <t>Montant total</t>
  </si>
  <si>
    <t>Prix séance patient TTC/heure</t>
  </si>
  <si>
    <t>1 évaluateur suivi, Coût /RV 30min</t>
  </si>
  <si>
    <t>Prix Client /Bilan énergétique et anamnèse (analyse du besoin avec synthèse)</t>
  </si>
  <si>
    <t xml:space="preserve"> </t>
  </si>
  <si>
    <t>Produit Entrée de gamme : 12 soins de 1H / avec un bilan énergétique</t>
  </si>
  <si>
    <t>Exemple de cure :</t>
  </si>
  <si>
    <t>COUTS</t>
  </si>
  <si>
    <t>PRIX VENTE</t>
  </si>
  <si>
    <t>Coût Bilan</t>
  </si>
  <si>
    <t>Vente TTC /patient</t>
  </si>
  <si>
    <t>Vente HT</t>
  </si>
  <si>
    <t>Total des coûts</t>
  </si>
  <si>
    <t>Frais réservation salles/H</t>
  </si>
  <si>
    <t>Coût évaluation suivi-enquête satisfaction/H</t>
  </si>
  <si>
    <t>Honoraires praticiens / Heure</t>
  </si>
  <si>
    <t>Coût honoraires praticien/bilan</t>
  </si>
  <si>
    <t>Coût Suivi par praticien évaluateur satisfaction</t>
  </si>
  <si>
    <t>N.B.</t>
  </si>
  <si>
    <t>C'est le même praticien qui fait le bilan et les évalutations</t>
  </si>
  <si>
    <t>Je te présente plus tard le catalogue des modules qui sont prêts</t>
  </si>
  <si>
    <t>ainsi que la liste de mes formateurs</t>
  </si>
  <si>
    <t>je dois leur faire signer la charte Qualiopi cette semaine</t>
  </si>
  <si>
    <t>Prix location salle/h</t>
  </si>
  <si>
    <t>Nbre Heures formation</t>
  </si>
  <si>
    <t>Coût /stagiaire</t>
  </si>
  <si>
    <t>Honoraires Interv./H</t>
  </si>
  <si>
    <t>Bilan énergétique 1,30</t>
  </si>
  <si>
    <t>2 Evaluations de 30min.</t>
  </si>
  <si>
    <t>CA / AN 2022</t>
  </si>
  <si>
    <t>NBRE clients/an 2022</t>
  </si>
  <si>
    <t>contrôle TVA</t>
  </si>
  <si>
    <t>CA / AN 2023</t>
  </si>
  <si>
    <t>Marge nette/ AN 2023</t>
  </si>
  <si>
    <t>Marge nette/ AN 2022</t>
  </si>
  <si>
    <t>NBRE clients/an 2023</t>
  </si>
  <si>
    <t>NBRE clients/an 2024</t>
  </si>
  <si>
    <t>CA / AN 2024</t>
  </si>
  <si>
    <t>Marge nette/ AN 2024</t>
  </si>
  <si>
    <t>Honoraires 3 Intervenants</t>
  </si>
  <si>
    <t>Honoraires Organisatrice</t>
  </si>
  <si>
    <t>CA HT/ Séquence</t>
  </si>
  <si>
    <t>CA 2023</t>
  </si>
  <si>
    <t>CA 2022</t>
  </si>
  <si>
    <t>Nbre de Mois 6</t>
  </si>
  <si>
    <t>Nbre Intervenants:  3</t>
  </si>
  <si>
    <t>Nbre Intervenants</t>
  </si>
  <si>
    <t>Fréquence évènement</t>
  </si>
  <si>
    <t>Durée</t>
  </si>
  <si>
    <t>Nbre places disponibles</t>
  </si>
  <si>
    <t>Prix Entrée</t>
  </si>
  <si>
    <t xml:space="preserve">Offe </t>
  </si>
  <si>
    <t>3 soins de 30min</t>
  </si>
  <si>
    <t>17H30 - 18H Clôture collective</t>
  </si>
  <si>
    <t>4 H</t>
  </si>
  <si>
    <t>3, plus une organisatrice</t>
  </si>
  <si>
    <t>1 fois/ mois</t>
  </si>
  <si>
    <t>Fiche technique et pratiques</t>
  </si>
  <si>
    <t>PARAMETRES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</si>
</sst>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#,##0_ ;[Red]\-#,##0\ "/>
    <numFmt numFmtId="165" formatCode="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6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6" fontId="0" fillId="2" borderId="1" xfId="0" applyNumberFormat="1" applyFill="1" applyBorder="1" applyAlignment="1">
      <alignment vertical="center"/>
    </xf>
    <xf numFmtId="6" fontId="1" fillId="0" borderId="1" xfId="0" applyNumberFormat="1" applyFont="1" applyBorder="1"/>
    <xf numFmtId="0" fontId="1" fillId="0" borderId="1" xfId="0" applyFont="1" applyBorder="1"/>
    <xf numFmtId="6" fontId="3" fillId="2" borderId="1" xfId="0" applyNumberFormat="1" applyFont="1" applyFill="1" applyBorder="1"/>
    <xf numFmtId="0" fontId="4" fillId="0" borderId="0" xfId="0" applyFont="1" applyAlignment="1"/>
    <xf numFmtId="0" fontId="0" fillId="0" borderId="0" xfId="0" applyFont="1" applyAlignment="1"/>
    <xf numFmtId="0" fontId="6" fillId="3" borderId="4" xfId="0" applyFont="1" applyFill="1" applyBorder="1" applyAlignment="1">
      <alignment vertical="center"/>
    </xf>
    <xf numFmtId="0" fontId="7" fillId="0" borderId="0" xfId="0" applyFont="1" applyAlignment="1"/>
    <xf numFmtId="0" fontId="8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5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6" fontId="0" fillId="0" borderId="0" xfId="0" applyNumberFormat="1"/>
    <xf numFmtId="6" fontId="1" fillId="0" borderId="0" xfId="0" applyNumberFormat="1" applyFont="1"/>
    <xf numFmtId="6" fontId="3" fillId="0" borderId="0" xfId="0" applyNumberFormat="1" applyFont="1"/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6" fontId="0" fillId="0" borderId="0" xfId="0" applyNumberFormat="1" applyFill="1" applyBorder="1" applyAlignment="1">
      <alignment horizontal="center"/>
    </xf>
    <xf numFmtId="0" fontId="0" fillId="0" borderId="0" xfId="0" applyBorder="1"/>
    <xf numFmtId="6" fontId="0" fillId="0" borderId="0" xfId="0" applyNumberFormat="1" applyBorder="1"/>
    <xf numFmtId="6" fontId="0" fillId="2" borderId="0" xfId="0" applyNumberFormat="1" applyFill="1" applyBorder="1"/>
    <xf numFmtId="0" fontId="1" fillId="0" borderId="0" xfId="0" applyFont="1" applyBorder="1"/>
    <xf numFmtId="6" fontId="3" fillId="2" borderId="0" xfId="0" applyNumberFormat="1" applyFont="1" applyFill="1" applyBorder="1"/>
    <xf numFmtId="0" fontId="0" fillId="0" borderId="1" xfId="0" applyFill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4" borderId="0" xfId="0" applyFont="1" applyFill="1"/>
    <xf numFmtId="0" fontId="1" fillId="6" borderId="0" xfId="0" applyFont="1" applyFill="1"/>
    <xf numFmtId="0" fontId="0" fillId="0" borderId="1" xfId="0" applyBorder="1" applyAlignment="1">
      <alignment horizontal="center" vertical="center" wrapText="1"/>
    </xf>
    <xf numFmtId="0" fontId="0" fillId="6" borderId="1" xfId="0" applyFill="1" applyBorder="1"/>
    <xf numFmtId="0" fontId="1" fillId="6" borderId="1" xfId="0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vertical="center" wrapText="1"/>
    </xf>
    <xf numFmtId="1" fontId="0" fillId="0" borderId="1" xfId="0" applyNumberFormat="1" applyBorder="1"/>
    <xf numFmtId="0" fontId="3" fillId="0" borderId="1" xfId="0" applyFont="1" applyBorder="1"/>
    <xf numFmtId="6" fontId="1" fillId="0" borderId="1" xfId="0" applyNumberFormat="1" applyFont="1" applyFill="1" applyBorder="1"/>
    <xf numFmtId="1" fontId="12" fillId="0" borderId="1" xfId="0" applyNumberFormat="1" applyFont="1" applyBorder="1"/>
    <xf numFmtId="164" fontId="0" fillId="0" borderId="1" xfId="0" applyNumberFormat="1" applyBorder="1"/>
    <xf numFmtId="0" fontId="1" fillId="6" borderId="0" xfId="0" applyFont="1" applyFill="1" applyBorder="1"/>
    <xf numFmtId="0" fontId="0" fillId="0" borderId="0" xfId="0" applyBorder="1" applyAlignment="1">
      <alignment horizontal="center" vertical="center"/>
    </xf>
    <xf numFmtId="165" fontId="0" fillId="0" borderId="1" xfId="0" applyNumberFormat="1" applyBorder="1"/>
    <xf numFmtId="0" fontId="0" fillId="0" borderId="0" xfId="0" applyAlignment="1">
      <alignment vertical="center"/>
    </xf>
    <xf numFmtId="6" fontId="0" fillId="0" borderId="0" xfId="0" applyNumberFormat="1" applyAlignment="1">
      <alignment horizontal="center" vertical="center"/>
    </xf>
    <xf numFmtId="6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opLeftCell="D6" workbookViewId="0">
      <selection activeCell="E25" sqref="E25"/>
    </sheetView>
  </sheetViews>
  <sheetFormatPr baseColWidth="10" defaultRowHeight="15" x14ac:dyDescent="0.25"/>
  <cols>
    <col min="2" max="2" width="5.5703125" customWidth="1"/>
    <col min="3" max="4" width="21.42578125" customWidth="1"/>
    <col min="5" max="5" width="9.28515625" customWidth="1"/>
    <col min="6" max="6" width="9.140625" customWidth="1"/>
    <col min="7" max="7" width="7.7109375" customWidth="1"/>
    <col min="8" max="8" width="11.5703125" customWidth="1"/>
    <col min="9" max="9" width="11.140625" customWidth="1"/>
    <col min="10" max="10" width="11" customWidth="1"/>
    <col min="12" max="12" width="9.28515625" customWidth="1"/>
    <col min="13" max="15" width="9.5703125" customWidth="1"/>
    <col min="16" max="16" width="10.7109375" customWidth="1"/>
  </cols>
  <sheetData>
    <row r="2" spans="1:20" ht="26.25" x14ac:dyDescent="0.4">
      <c r="C2" s="1" t="s">
        <v>0</v>
      </c>
    </row>
    <row r="3" spans="1:20" x14ac:dyDescent="0.25">
      <c r="C3" s="50" t="s">
        <v>86</v>
      </c>
    </row>
    <row r="5" spans="1:20" ht="75" x14ac:dyDescent="0.25">
      <c r="A5" s="52" t="s">
        <v>87</v>
      </c>
      <c r="B5" s="2"/>
      <c r="C5" s="3" t="s">
        <v>85</v>
      </c>
      <c r="D5" s="3" t="s">
        <v>2</v>
      </c>
      <c r="E5" s="3" t="s">
        <v>3</v>
      </c>
      <c r="F5" s="3" t="s">
        <v>4</v>
      </c>
      <c r="G5" s="4" t="s">
        <v>5</v>
      </c>
      <c r="H5" s="4" t="s">
        <v>6</v>
      </c>
      <c r="I5" s="3" t="s">
        <v>7</v>
      </c>
      <c r="J5" s="3" t="s">
        <v>8</v>
      </c>
      <c r="K5" s="5" t="s">
        <v>150</v>
      </c>
      <c r="L5" s="3" t="s">
        <v>162</v>
      </c>
      <c r="M5" s="5" t="s">
        <v>10</v>
      </c>
      <c r="N5" s="6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7" t="s">
        <v>16</v>
      </c>
      <c r="T5" s="32" t="s">
        <v>57</v>
      </c>
    </row>
    <row r="6" spans="1:20" x14ac:dyDescent="0.25">
      <c r="A6" s="53" t="s">
        <v>88</v>
      </c>
      <c r="B6" s="2">
        <v>1</v>
      </c>
      <c r="C6" s="8" t="s">
        <v>17</v>
      </c>
      <c r="D6" s="8" t="s">
        <v>18</v>
      </c>
      <c r="E6" s="8">
        <v>5</v>
      </c>
      <c r="F6" s="8">
        <v>60</v>
      </c>
      <c r="G6" s="9">
        <v>2</v>
      </c>
      <c r="H6" s="9">
        <f>G6*E6*J6</f>
        <v>50</v>
      </c>
      <c r="I6" s="10">
        <f>F6*E6</f>
        <v>300</v>
      </c>
      <c r="J6" s="8">
        <v>5</v>
      </c>
      <c r="K6" s="2">
        <f>18*Q6</f>
        <v>180</v>
      </c>
      <c r="L6" s="8">
        <f>K6/J6</f>
        <v>36</v>
      </c>
      <c r="M6" s="11">
        <f t="shared" ref="M6:M20" si="0">J6*I6</f>
        <v>1500</v>
      </c>
      <c r="N6" s="12">
        <f>M6*80%</f>
        <v>1200</v>
      </c>
      <c r="O6" s="11"/>
      <c r="P6" s="2">
        <v>50</v>
      </c>
      <c r="Q6" s="2">
        <f t="shared" ref="Q6:Q20" si="1">E6*G6</f>
        <v>10</v>
      </c>
      <c r="R6" s="2">
        <f>P6*Q6</f>
        <v>500</v>
      </c>
      <c r="S6" s="12">
        <f>N6-R6</f>
        <v>700</v>
      </c>
    </row>
    <row r="7" spans="1:20" x14ac:dyDescent="0.25">
      <c r="A7" s="53" t="s">
        <v>88</v>
      </c>
      <c r="B7" s="2"/>
      <c r="C7" s="8" t="s">
        <v>67</v>
      </c>
      <c r="D7" s="8" t="s">
        <v>69</v>
      </c>
      <c r="E7" s="8"/>
      <c r="F7" s="8"/>
      <c r="G7" s="9"/>
      <c r="H7" s="9"/>
      <c r="I7" s="10"/>
      <c r="J7" s="8"/>
      <c r="K7" s="2"/>
      <c r="L7" s="8"/>
      <c r="M7" s="11"/>
      <c r="N7" s="12"/>
      <c r="O7" s="11"/>
      <c r="P7" s="2"/>
      <c r="Q7" s="2"/>
      <c r="R7" s="2"/>
      <c r="S7" s="12"/>
    </row>
    <row r="8" spans="1:20" x14ac:dyDescent="0.25">
      <c r="A8" s="53" t="s">
        <v>88</v>
      </c>
      <c r="B8" s="2"/>
      <c r="C8" s="8" t="s">
        <v>68</v>
      </c>
      <c r="D8" s="8" t="s">
        <v>70</v>
      </c>
      <c r="E8" s="8"/>
      <c r="F8" s="8"/>
      <c r="G8" s="9"/>
      <c r="H8" s="9"/>
      <c r="I8" s="10"/>
      <c r="J8" s="8"/>
      <c r="K8" s="2"/>
      <c r="L8" s="8"/>
      <c r="M8" s="11"/>
      <c r="N8" s="12"/>
      <c r="O8" s="11"/>
      <c r="P8" s="2"/>
      <c r="Q8" s="2"/>
      <c r="R8" s="2"/>
      <c r="S8" s="12"/>
    </row>
    <row r="9" spans="1:20" x14ac:dyDescent="0.25">
      <c r="A9" s="53" t="s">
        <v>88</v>
      </c>
      <c r="B9" s="2"/>
      <c r="C9" s="8" t="s">
        <v>71</v>
      </c>
      <c r="D9" s="8" t="s">
        <v>72</v>
      </c>
      <c r="E9" s="8"/>
      <c r="F9" s="8"/>
      <c r="G9" s="9"/>
      <c r="H9" s="9"/>
      <c r="I9" s="10"/>
      <c r="J9" s="8"/>
      <c r="K9" s="2"/>
      <c r="L9" s="8"/>
      <c r="M9" s="11"/>
      <c r="N9" s="12"/>
      <c r="O9" s="11"/>
      <c r="P9" s="2"/>
      <c r="Q9" s="2"/>
      <c r="R9" s="2"/>
      <c r="S9" s="12"/>
    </row>
    <row r="10" spans="1:20" x14ac:dyDescent="0.25">
      <c r="A10" s="53" t="s">
        <v>88</v>
      </c>
      <c r="B10" s="2"/>
      <c r="C10" s="8" t="s">
        <v>73</v>
      </c>
      <c r="D10" s="8" t="s">
        <v>74</v>
      </c>
      <c r="E10" s="8"/>
      <c r="F10" s="8"/>
      <c r="G10" s="9"/>
      <c r="H10" s="9"/>
      <c r="I10" s="10"/>
      <c r="J10" s="8"/>
      <c r="K10" s="2"/>
      <c r="L10" s="8"/>
      <c r="M10" s="11"/>
      <c r="N10" s="12"/>
      <c r="O10" s="11"/>
      <c r="P10" s="2"/>
      <c r="Q10" s="2"/>
      <c r="R10" s="2"/>
      <c r="S10" s="12"/>
    </row>
    <row r="11" spans="1:20" x14ac:dyDescent="0.25">
      <c r="A11" s="53" t="s">
        <v>88</v>
      </c>
      <c r="B11" s="2"/>
      <c r="C11" s="8" t="s">
        <v>77</v>
      </c>
      <c r="D11" s="8" t="s">
        <v>78</v>
      </c>
      <c r="E11" s="8"/>
      <c r="F11" s="8"/>
      <c r="G11" s="9"/>
      <c r="H11" s="9"/>
      <c r="I11" s="10"/>
      <c r="J11" s="8"/>
      <c r="K11" s="2"/>
      <c r="L11" s="8"/>
      <c r="M11" s="11"/>
      <c r="N11" s="12"/>
      <c r="O11" s="11"/>
      <c r="P11" s="2"/>
      <c r="Q11" s="2"/>
      <c r="R11" s="2"/>
      <c r="S11" s="12"/>
    </row>
    <row r="12" spans="1:20" x14ac:dyDescent="0.25">
      <c r="A12" s="53" t="s">
        <v>88</v>
      </c>
      <c r="B12" s="2"/>
      <c r="C12" s="8"/>
      <c r="D12" s="8" t="s">
        <v>81</v>
      </c>
      <c r="E12" s="8"/>
      <c r="F12" s="8"/>
      <c r="G12" s="9"/>
      <c r="H12" s="9"/>
      <c r="I12" s="10"/>
      <c r="J12" s="8"/>
      <c r="K12" s="2"/>
      <c r="L12" s="8"/>
      <c r="M12" s="11"/>
      <c r="N12" s="12"/>
      <c r="O12" s="11"/>
      <c r="P12" s="2"/>
      <c r="Q12" s="2"/>
      <c r="R12" s="2"/>
      <c r="S12" s="12"/>
    </row>
    <row r="13" spans="1:20" x14ac:dyDescent="0.25">
      <c r="A13" s="53" t="s">
        <v>88</v>
      </c>
      <c r="B13" s="2"/>
      <c r="C13" s="8" t="s">
        <v>79</v>
      </c>
      <c r="D13" s="8" t="s">
        <v>80</v>
      </c>
      <c r="E13" s="8"/>
      <c r="F13" s="8"/>
      <c r="G13" s="9"/>
      <c r="H13" s="9"/>
      <c r="I13" s="10"/>
      <c r="J13" s="8"/>
      <c r="K13" s="2"/>
      <c r="L13" s="8"/>
      <c r="M13" s="11"/>
      <c r="N13" s="12"/>
      <c r="O13" s="11"/>
      <c r="P13" s="2"/>
      <c r="Q13" s="2"/>
      <c r="R13" s="2"/>
      <c r="S13" s="12"/>
    </row>
    <row r="14" spans="1:20" x14ac:dyDescent="0.25">
      <c r="A14" s="53" t="s">
        <v>88</v>
      </c>
      <c r="B14" s="2"/>
      <c r="C14" s="8" t="s">
        <v>76</v>
      </c>
      <c r="D14" s="8" t="s">
        <v>75</v>
      </c>
      <c r="E14" s="8"/>
      <c r="F14" s="8"/>
      <c r="G14" s="9"/>
      <c r="H14" s="9"/>
      <c r="I14" s="10"/>
      <c r="J14" s="8"/>
      <c r="K14" s="2"/>
      <c r="L14" s="8"/>
      <c r="M14" s="11"/>
      <c r="N14" s="12"/>
      <c r="O14" s="11"/>
      <c r="P14" s="2"/>
      <c r="Q14" s="2"/>
      <c r="R14" s="2"/>
      <c r="S14" s="12"/>
    </row>
    <row r="15" spans="1:20" x14ac:dyDescent="0.25">
      <c r="A15" s="53" t="s">
        <v>88</v>
      </c>
      <c r="B15" s="2">
        <v>2</v>
      </c>
      <c r="C15" s="8" t="s">
        <v>19</v>
      </c>
      <c r="D15" s="8" t="s">
        <v>20</v>
      </c>
      <c r="E15" s="8">
        <v>10</v>
      </c>
      <c r="F15" s="8">
        <v>27</v>
      </c>
      <c r="G15" s="9">
        <v>1</v>
      </c>
      <c r="H15" s="9">
        <f>G15*E15*J15</f>
        <v>100</v>
      </c>
      <c r="I15" s="10">
        <f>F15*E15</f>
        <v>270</v>
      </c>
      <c r="J15" s="8">
        <v>10</v>
      </c>
      <c r="K15" s="2">
        <f>E23*Q15</f>
        <v>200</v>
      </c>
      <c r="L15" s="8">
        <f>K15/H15</f>
        <v>2</v>
      </c>
      <c r="M15" s="11">
        <f>J15*I15</f>
        <v>2700</v>
      </c>
      <c r="N15" s="12">
        <f t="shared" ref="N15:N21" si="2">M15*80%</f>
        <v>2160</v>
      </c>
      <c r="O15" s="11"/>
      <c r="P15" s="2">
        <v>50</v>
      </c>
      <c r="Q15" s="2">
        <f t="shared" si="1"/>
        <v>10</v>
      </c>
      <c r="R15" s="2">
        <f>P15*Q15</f>
        <v>500</v>
      </c>
      <c r="S15" s="12">
        <f t="shared" ref="S15:S21" si="3">N15-R15</f>
        <v>1660</v>
      </c>
    </row>
    <row r="16" spans="1:20" x14ac:dyDescent="0.25">
      <c r="A16" s="53" t="s">
        <v>88</v>
      </c>
      <c r="B16" s="2">
        <v>3</v>
      </c>
      <c r="C16" s="8" t="s">
        <v>21</v>
      </c>
      <c r="D16" s="8" t="s">
        <v>22</v>
      </c>
      <c r="E16" s="8">
        <v>10</v>
      </c>
      <c r="F16" s="8">
        <f>25+L16</f>
        <v>27</v>
      </c>
      <c r="G16" s="9">
        <v>1</v>
      </c>
      <c r="H16" s="9">
        <f t="shared" ref="H16:H19" si="4">G16*E16*J16</f>
        <v>100</v>
      </c>
      <c r="I16" s="10">
        <f t="shared" ref="I16:I20" si="5">F16*E16</f>
        <v>270</v>
      </c>
      <c r="J16" s="8">
        <v>10</v>
      </c>
      <c r="K16" s="2">
        <f>E23*Q16</f>
        <v>200</v>
      </c>
      <c r="L16" s="8">
        <f t="shared" ref="L16:L20" si="6">K16/H16</f>
        <v>2</v>
      </c>
      <c r="M16" s="11">
        <f t="shared" si="0"/>
        <v>2700</v>
      </c>
      <c r="N16" s="12">
        <f t="shared" si="2"/>
        <v>2160</v>
      </c>
      <c r="O16" s="11"/>
      <c r="P16" s="2">
        <v>50</v>
      </c>
      <c r="Q16" s="2">
        <f t="shared" si="1"/>
        <v>10</v>
      </c>
      <c r="R16" s="2">
        <f t="shared" ref="R16:R20" si="7">P16*Q16</f>
        <v>500</v>
      </c>
      <c r="S16" s="12">
        <f t="shared" si="3"/>
        <v>1660</v>
      </c>
    </row>
    <row r="17" spans="1:20" ht="45" x14ac:dyDescent="0.25">
      <c r="A17" s="54" t="s">
        <v>88</v>
      </c>
      <c r="B17" s="2">
        <v>4</v>
      </c>
      <c r="C17" s="13" t="s">
        <v>23</v>
      </c>
      <c r="D17" s="14" t="s">
        <v>24</v>
      </c>
      <c r="E17" s="13">
        <v>5</v>
      </c>
      <c r="F17" s="13">
        <f>60+L17</f>
        <v>64</v>
      </c>
      <c r="G17" s="15">
        <v>4</v>
      </c>
      <c r="H17" s="9">
        <f t="shared" si="4"/>
        <v>100</v>
      </c>
      <c r="I17" s="16">
        <f t="shared" si="5"/>
        <v>320</v>
      </c>
      <c r="J17" s="13">
        <v>5</v>
      </c>
      <c r="K17" s="2">
        <f>E23*Q17</f>
        <v>400</v>
      </c>
      <c r="L17" s="8">
        <f t="shared" si="6"/>
        <v>4</v>
      </c>
      <c r="M17" s="18">
        <f t="shared" si="0"/>
        <v>1600</v>
      </c>
      <c r="N17" s="19">
        <f t="shared" si="2"/>
        <v>1280</v>
      </c>
      <c r="O17" s="18"/>
      <c r="P17" s="17">
        <v>50</v>
      </c>
      <c r="Q17" s="17">
        <f t="shared" si="1"/>
        <v>20</v>
      </c>
      <c r="R17" s="17">
        <f t="shared" si="7"/>
        <v>1000</v>
      </c>
      <c r="S17" s="19">
        <f t="shared" si="3"/>
        <v>280</v>
      </c>
    </row>
    <row r="18" spans="1:20" x14ac:dyDescent="0.25">
      <c r="A18" s="53" t="s">
        <v>88</v>
      </c>
      <c r="B18" s="2">
        <v>5</v>
      </c>
      <c r="C18" s="8" t="s">
        <v>25</v>
      </c>
      <c r="D18" s="8" t="s">
        <v>26</v>
      </c>
      <c r="E18" s="8">
        <v>5</v>
      </c>
      <c r="F18" s="8">
        <f>60+L18</f>
        <v>62</v>
      </c>
      <c r="G18" s="9">
        <v>2</v>
      </c>
      <c r="H18" s="9">
        <f t="shared" si="4"/>
        <v>100</v>
      </c>
      <c r="I18" s="10">
        <f t="shared" si="5"/>
        <v>310</v>
      </c>
      <c r="J18" s="8">
        <v>10</v>
      </c>
      <c r="K18" s="2">
        <f>E23*Q18</f>
        <v>200</v>
      </c>
      <c r="L18" s="8">
        <f t="shared" si="6"/>
        <v>2</v>
      </c>
      <c r="M18" s="11">
        <f t="shared" si="0"/>
        <v>3100</v>
      </c>
      <c r="N18" s="12">
        <f t="shared" si="2"/>
        <v>2480</v>
      </c>
      <c r="O18" s="11"/>
      <c r="P18" s="2">
        <v>50</v>
      </c>
      <c r="Q18" s="2">
        <f t="shared" si="1"/>
        <v>10</v>
      </c>
      <c r="R18" s="2">
        <f t="shared" si="7"/>
        <v>500</v>
      </c>
      <c r="S18" s="12">
        <f t="shared" si="3"/>
        <v>1980</v>
      </c>
    </row>
    <row r="19" spans="1:20" x14ac:dyDescent="0.25">
      <c r="A19" s="53" t="s">
        <v>89</v>
      </c>
      <c r="B19" s="2">
        <v>6</v>
      </c>
      <c r="C19" s="8" t="s">
        <v>27</v>
      </c>
      <c r="D19" s="8" t="s">
        <v>28</v>
      </c>
      <c r="E19" s="8">
        <v>5</v>
      </c>
      <c r="F19" s="8">
        <f>60+L19</f>
        <v>62</v>
      </c>
      <c r="G19" s="9">
        <v>2</v>
      </c>
      <c r="H19" s="9">
        <f t="shared" si="4"/>
        <v>100</v>
      </c>
      <c r="I19" s="10">
        <f t="shared" si="5"/>
        <v>310</v>
      </c>
      <c r="J19" s="8">
        <v>10</v>
      </c>
      <c r="K19" s="2">
        <f>E23*Q19</f>
        <v>200</v>
      </c>
      <c r="L19" s="8">
        <f t="shared" si="6"/>
        <v>2</v>
      </c>
      <c r="M19" s="11">
        <f t="shared" si="0"/>
        <v>3100</v>
      </c>
      <c r="N19" s="12">
        <f t="shared" si="2"/>
        <v>2480</v>
      </c>
      <c r="O19" s="11"/>
      <c r="P19" s="2">
        <v>50</v>
      </c>
      <c r="Q19" s="2">
        <f t="shared" si="1"/>
        <v>10</v>
      </c>
      <c r="R19" s="2">
        <f t="shared" si="7"/>
        <v>500</v>
      </c>
      <c r="S19" s="12">
        <f t="shared" si="3"/>
        <v>1980</v>
      </c>
    </row>
    <row r="20" spans="1:20" x14ac:dyDescent="0.25">
      <c r="A20" s="53" t="s">
        <v>88</v>
      </c>
      <c r="B20" s="2">
        <v>7</v>
      </c>
      <c r="C20" s="8" t="s">
        <v>23</v>
      </c>
      <c r="D20" s="8" t="s">
        <v>18</v>
      </c>
      <c r="E20" s="8">
        <v>5</v>
      </c>
      <c r="F20" s="8">
        <f>60+L20</f>
        <v>64</v>
      </c>
      <c r="G20" s="9">
        <v>2</v>
      </c>
      <c r="H20" s="9">
        <f>G20*E20*J20</f>
        <v>50</v>
      </c>
      <c r="I20" s="10">
        <f t="shared" si="5"/>
        <v>320</v>
      </c>
      <c r="J20" s="8">
        <v>5</v>
      </c>
      <c r="K20" s="2">
        <f>E23*Q20</f>
        <v>200</v>
      </c>
      <c r="L20" s="8">
        <f t="shared" si="6"/>
        <v>4</v>
      </c>
      <c r="M20" s="11">
        <f t="shared" si="0"/>
        <v>1600</v>
      </c>
      <c r="N20" s="12">
        <f t="shared" si="2"/>
        <v>1280</v>
      </c>
      <c r="O20" s="11"/>
      <c r="P20" s="2">
        <v>50</v>
      </c>
      <c r="Q20" s="2">
        <f t="shared" si="1"/>
        <v>10</v>
      </c>
      <c r="R20" s="2">
        <f t="shared" si="7"/>
        <v>500</v>
      </c>
      <c r="S20" s="12">
        <f t="shared" si="3"/>
        <v>780</v>
      </c>
    </row>
    <row r="21" spans="1:20" ht="15.75" x14ac:dyDescent="0.25">
      <c r="K21" s="2">
        <f>SUM(K15:K20)</f>
        <v>1400</v>
      </c>
      <c r="M21" s="20">
        <f>SUM(M6:M20)</f>
        <v>16300</v>
      </c>
      <c r="N21" s="12">
        <f t="shared" si="2"/>
        <v>13040</v>
      </c>
      <c r="O21" s="11"/>
      <c r="P21" s="2"/>
      <c r="Q21" s="2"/>
      <c r="R21" s="21">
        <f>SUM(R6:R20)</f>
        <v>4000</v>
      </c>
      <c r="S21" s="22">
        <f t="shared" si="3"/>
        <v>9040</v>
      </c>
      <c r="T21" s="35">
        <f>S21*3</f>
        <v>27120</v>
      </c>
    </row>
    <row r="22" spans="1:20" x14ac:dyDescent="0.25">
      <c r="S22" s="33">
        <f>N21-S21</f>
        <v>4000</v>
      </c>
    </row>
    <row r="23" spans="1:20" x14ac:dyDescent="0.25">
      <c r="D23" s="37" t="s">
        <v>160</v>
      </c>
      <c r="E23" s="37">
        <v>20</v>
      </c>
    </row>
    <row r="24" spans="1:20" x14ac:dyDescent="0.25">
      <c r="D24" s="37" t="s">
        <v>161</v>
      </c>
    </row>
    <row r="25" spans="1:20" x14ac:dyDescent="0.25">
      <c r="D25" s="37" t="s">
        <v>163</v>
      </c>
      <c r="E25" s="54">
        <v>50</v>
      </c>
    </row>
    <row r="27" spans="1:20" ht="18" x14ac:dyDescent="0.25">
      <c r="C27" s="23" t="s">
        <v>29</v>
      </c>
      <c r="D27" s="24"/>
      <c r="E27" s="24"/>
      <c r="F27" s="24"/>
      <c r="G27" s="24"/>
      <c r="H27" s="24"/>
      <c r="I27" s="24"/>
    </row>
    <row r="28" spans="1:20" ht="18" x14ac:dyDescent="0.25">
      <c r="C28" s="23" t="s">
        <v>30</v>
      </c>
      <c r="D28" s="24"/>
      <c r="E28" s="24"/>
      <c r="F28" s="24"/>
      <c r="G28" s="24"/>
      <c r="H28" s="24"/>
      <c r="I28" s="24"/>
    </row>
    <row r="29" spans="1:20" x14ac:dyDescent="0.25">
      <c r="C29" s="24"/>
      <c r="D29" s="24"/>
      <c r="E29" s="24"/>
      <c r="F29" s="24"/>
      <c r="G29" s="24"/>
      <c r="H29" s="24"/>
      <c r="I29" s="24"/>
    </row>
    <row r="30" spans="1:20" x14ac:dyDescent="0.25">
      <c r="C30" s="24"/>
      <c r="D30" s="24"/>
      <c r="E30" s="24"/>
      <c r="F30" s="24"/>
      <c r="G30" s="24"/>
      <c r="H30" s="24"/>
      <c r="I30" s="24"/>
    </row>
    <row r="31" spans="1:20" ht="36" x14ac:dyDescent="0.25">
      <c r="C31" s="30" t="s">
        <v>35</v>
      </c>
      <c r="D31" s="25" t="s">
        <v>31</v>
      </c>
      <c r="E31" s="24"/>
      <c r="F31" s="24"/>
      <c r="G31" s="24"/>
      <c r="H31" s="24"/>
      <c r="I31" s="24"/>
    </row>
    <row r="32" spans="1:20" x14ac:dyDescent="0.25">
      <c r="C32" s="24"/>
      <c r="D32" s="24"/>
      <c r="E32" s="24"/>
      <c r="F32" s="24"/>
      <c r="G32" s="24"/>
      <c r="H32" s="24"/>
      <c r="I32" s="24"/>
    </row>
    <row r="33" spans="3:14" x14ac:dyDescent="0.25">
      <c r="C33" s="24"/>
      <c r="D33" s="26" t="s">
        <v>83</v>
      </c>
      <c r="E33" s="24"/>
      <c r="F33" s="24"/>
      <c r="G33" s="24"/>
      <c r="H33" s="24"/>
      <c r="I33" s="24"/>
    </row>
    <row r="34" spans="3:14" x14ac:dyDescent="0.25">
      <c r="C34" s="24"/>
      <c r="D34" s="24" t="s">
        <v>84</v>
      </c>
      <c r="E34" s="24"/>
      <c r="F34" s="24"/>
      <c r="G34" s="24"/>
      <c r="H34" s="24"/>
      <c r="I34" s="24"/>
      <c r="L34">
        <f>200*25</f>
        <v>5000</v>
      </c>
    </row>
    <row r="35" spans="3:14" x14ac:dyDescent="0.25">
      <c r="C35" s="24"/>
      <c r="D35" s="24"/>
      <c r="E35" s="24"/>
      <c r="F35" s="24"/>
      <c r="G35" s="24"/>
      <c r="H35" s="24"/>
      <c r="I35" s="24"/>
    </row>
    <row r="36" spans="3:14" x14ac:dyDescent="0.25">
      <c r="C36" s="24"/>
      <c r="D36" s="24"/>
      <c r="E36" s="24"/>
      <c r="F36" s="24"/>
      <c r="G36" s="24"/>
      <c r="H36" s="24"/>
      <c r="I36" s="24"/>
    </row>
    <row r="37" spans="3:14" ht="18" x14ac:dyDescent="0.25">
      <c r="C37" s="30" t="s">
        <v>36</v>
      </c>
      <c r="D37" s="25" t="s">
        <v>32</v>
      </c>
      <c r="E37" s="27"/>
      <c r="F37" s="28"/>
      <c r="G37" s="24"/>
      <c r="H37" s="24"/>
      <c r="I37" s="24"/>
    </row>
    <row r="38" spans="3:14" x14ac:dyDescent="0.25">
      <c r="C38" s="24"/>
      <c r="D38" s="24"/>
      <c r="E38" s="24"/>
      <c r="F38" s="24"/>
      <c r="G38" s="24"/>
      <c r="H38" s="24"/>
      <c r="I38" s="24"/>
    </row>
    <row r="39" spans="3:14" x14ac:dyDescent="0.25">
      <c r="C39" s="24" t="s">
        <v>33</v>
      </c>
      <c r="D39" s="26" t="s">
        <v>82</v>
      </c>
      <c r="E39" s="24"/>
      <c r="F39" s="24"/>
      <c r="G39" s="24"/>
      <c r="H39" s="24"/>
      <c r="I39" s="24"/>
    </row>
    <row r="40" spans="3:14" x14ac:dyDescent="0.25">
      <c r="C40" s="24"/>
      <c r="D40" s="24"/>
      <c r="E40" s="24"/>
      <c r="F40" s="24"/>
      <c r="G40" s="24"/>
      <c r="H40" s="24"/>
      <c r="I40" s="24"/>
    </row>
    <row r="41" spans="3:14" x14ac:dyDescent="0.25">
      <c r="C41" s="24"/>
      <c r="D41" s="24"/>
      <c r="E41" s="24"/>
      <c r="F41" s="24"/>
      <c r="G41" s="24"/>
      <c r="H41" s="24"/>
      <c r="I41" s="24"/>
    </row>
    <row r="42" spans="3:14" ht="36" x14ac:dyDescent="0.25">
      <c r="C42" s="30" t="s">
        <v>39</v>
      </c>
      <c r="D42" s="25" t="s">
        <v>34</v>
      </c>
      <c r="E42" s="27"/>
      <c r="F42" s="29"/>
      <c r="G42" s="24"/>
      <c r="H42" s="24"/>
      <c r="I42" s="24"/>
    </row>
    <row r="43" spans="3:14" x14ac:dyDescent="0.25">
      <c r="C43" s="24"/>
      <c r="D43" s="24"/>
      <c r="E43" s="24"/>
      <c r="F43" s="24"/>
      <c r="G43" s="24"/>
      <c r="H43" s="24"/>
      <c r="I43" s="24"/>
    </row>
    <row r="44" spans="3:14" ht="36" x14ac:dyDescent="0.25">
      <c r="C44" s="30" t="s">
        <v>40</v>
      </c>
      <c r="D44" s="28" t="s">
        <v>37</v>
      </c>
      <c r="E44" s="24"/>
      <c r="F44" s="24"/>
      <c r="G44" s="24"/>
      <c r="H44" s="24"/>
      <c r="I44" s="24"/>
      <c r="J44" s="24"/>
      <c r="K44" s="24"/>
      <c r="L44" s="24"/>
      <c r="M44" s="24"/>
    </row>
    <row r="45" spans="3:14" ht="30" x14ac:dyDescent="0.25">
      <c r="C45" s="31" t="s">
        <v>41</v>
      </c>
      <c r="D45" s="26" t="s">
        <v>42</v>
      </c>
      <c r="E45" s="24"/>
      <c r="F45" s="24"/>
      <c r="G45" s="24"/>
      <c r="H45" s="24"/>
      <c r="I45" s="24"/>
      <c r="J45" s="24"/>
      <c r="K45" s="24"/>
      <c r="L45" s="24"/>
      <c r="M45" s="24"/>
      <c r="N45">
        <f>10*200</f>
        <v>2000</v>
      </c>
    </row>
    <row r="46" spans="3:14" x14ac:dyDescent="0.25">
      <c r="C46" s="24"/>
      <c r="D46" s="26" t="s">
        <v>38</v>
      </c>
      <c r="E46" s="24"/>
      <c r="F46" s="24"/>
      <c r="G46" s="24"/>
      <c r="H46" s="24"/>
      <c r="I46" s="24"/>
      <c r="J46" s="24"/>
      <c r="K46" s="24"/>
      <c r="L46" s="24"/>
      <c r="M46" s="24"/>
      <c r="N46">
        <f>N45*2</f>
        <v>4000</v>
      </c>
    </row>
    <row r="47" spans="3:14" x14ac:dyDescent="0.25">
      <c r="C47" s="24"/>
      <c r="D47" s="26" t="s">
        <v>43</v>
      </c>
      <c r="E47" s="24"/>
      <c r="F47" s="24"/>
      <c r="G47" s="24"/>
      <c r="H47" s="24"/>
      <c r="I47" s="24"/>
      <c r="J47" s="24"/>
      <c r="K47" s="24"/>
      <c r="L47" s="24"/>
      <c r="M47" s="24"/>
      <c r="N47">
        <f>5*2000</f>
        <v>10000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1"/>
  <sheetViews>
    <sheetView tabSelected="1" topLeftCell="A7" workbookViewId="0">
      <selection activeCell="D19" sqref="D19"/>
    </sheetView>
  </sheetViews>
  <sheetFormatPr baseColWidth="10" defaultRowHeight="15" x14ac:dyDescent="0.25"/>
  <cols>
    <col min="2" max="2" width="5.5703125" customWidth="1"/>
    <col min="3" max="3" width="19.85546875" customWidth="1"/>
    <col min="4" max="4" width="21.42578125" customWidth="1"/>
    <col min="5" max="5" width="9.28515625" customWidth="1"/>
    <col min="6" max="6" width="9.140625" customWidth="1"/>
    <col min="7" max="7" width="9.5703125" customWidth="1"/>
    <col min="8" max="8" width="11.5703125" customWidth="1"/>
    <col min="9" max="9" width="11.140625" customWidth="1"/>
    <col min="10" max="10" width="11" customWidth="1"/>
    <col min="13" max="13" width="9.28515625" customWidth="1"/>
    <col min="14" max="16" width="9.5703125" customWidth="1"/>
    <col min="17" max="17" width="10.7109375" customWidth="1"/>
  </cols>
  <sheetData>
    <row r="2" spans="2:22" ht="26.25" x14ac:dyDescent="0.4">
      <c r="C2" s="1" t="s">
        <v>44</v>
      </c>
    </row>
    <row r="3" spans="2:22" x14ac:dyDescent="0.25">
      <c r="C3" t="s">
        <v>18</v>
      </c>
    </row>
    <row r="4" spans="2:22" x14ac:dyDescent="0.25">
      <c r="C4" t="s">
        <v>45</v>
      </c>
    </row>
    <row r="6" spans="2:22" ht="75" x14ac:dyDescent="0.25">
      <c r="B6" s="2"/>
      <c r="C6" s="3" t="s">
        <v>1</v>
      </c>
      <c r="D6" s="3" t="s">
        <v>2</v>
      </c>
      <c r="E6" s="3" t="s">
        <v>3</v>
      </c>
      <c r="F6" s="3" t="s">
        <v>4</v>
      </c>
      <c r="G6" s="4" t="s">
        <v>5</v>
      </c>
      <c r="H6" s="4" t="s">
        <v>6</v>
      </c>
      <c r="I6" s="3" t="s">
        <v>56</v>
      </c>
      <c r="J6" s="3" t="s">
        <v>8</v>
      </c>
      <c r="K6" s="5" t="s">
        <v>9</v>
      </c>
      <c r="L6" s="5"/>
      <c r="M6" s="3" t="s">
        <v>58</v>
      </c>
      <c r="N6" s="6" t="s">
        <v>59</v>
      </c>
      <c r="O6" s="5" t="s">
        <v>10</v>
      </c>
      <c r="P6" s="5" t="s">
        <v>12</v>
      </c>
      <c r="Q6" s="5" t="s">
        <v>13</v>
      </c>
      <c r="R6" s="5" t="s">
        <v>14</v>
      </c>
      <c r="S6" s="5" t="s">
        <v>53</v>
      </c>
      <c r="T6" s="7" t="s">
        <v>16</v>
      </c>
      <c r="U6" s="32" t="s">
        <v>64</v>
      </c>
      <c r="V6" s="32" t="s">
        <v>65</v>
      </c>
    </row>
    <row r="7" spans="2:22" x14ac:dyDescent="0.25">
      <c r="B7" s="2">
        <v>1</v>
      </c>
      <c r="C7" s="8" t="s">
        <v>17</v>
      </c>
      <c r="D7" s="8" t="s">
        <v>18</v>
      </c>
      <c r="E7" s="8">
        <v>5</v>
      </c>
      <c r="F7" s="8">
        <v>60</v>
      </c>
      <c r="G7" s="9">
        <v>2</v>
      </c>
      <c r="H7" s="9">
        <f>G7*E7*J7</f>
        <v>60</v>
      </c>
      <c r="I7" s="10">
        <f>F7*E7</f>
        <v>300</v>
      </c>
      <c r="J7" s="8">
        <v>6</v>
      </c>
      <c r="K7" s="2">
        <f>18*R7</f>
        <v>180</v>
      </c>
      <c r="L7" s="2"/>
      <c r="M7" s="8">
        <f>K7/J7</f>
        <v>30</v>
      </c>
      <c r="N7" s="12">
        <f>O7*80%</f>
        <v>0</v>
      </c>
      <c r="O7" s="11"/>
      <c r="P7" s="11"/>
      <c r="Q7" s="2">
        <f>F7-10</f>
        <v>50</v>
      </c>
      <c r="R7" s="2">
        <f>E7*G7</f>
        <v>10</v>
      </c>
      <c r="S7" s="2">
        <f>Q7*R7</f>
        <v>500</v>
      </c>
      <c r="T7" s="12"/>
      <c r="U7" s="2">
        <f>S7*3</f>
        <v>1500</v>
      </c>
    </row>
    <row r="8" spans="2:22" x14ac:dyDescent="0.25">
      <c r="B8" s="2">
        <v>2</v>
      </c>
      <c r="C8" s="8" t="s">
        <v>19</v>
      </c>
      <c r="D8" s="8" t="s">
        <v>20</v>
      </c>
      <c r="E8" s="8">
        <v>1</v>
      </c>
      <c r="F8" s="8">
        <v>60</v>
      </c>
      <c r="G8" s="9">
        <v>2</v>
      </c>
      <c r="H8" s="9">
        <f>G8*E8*J8</f>
        <v>12</v>
      </c>
      <c r="I8" s="10">
        <f t="shared" ref="I8:I11" si="0">F8*E8</f>
        <v>60</v>
      </c>
      <c r="J8" s="8">
        <v>6</v>
      </c>
      <c r="K8" s="2">
        <f>18*R8</f>
        <v>36</v>
      </c>
      <c r="L8" s="2"/>
      <c r="M8" s="8">
        <f t="shared" ref="M8:M11" si="1">K8/J8</f>
        <v>6</v>
      </c>
      <c r="N8" s="12">
        <f>O8*80%</f>
        <v>0</v>
      </c>
      <c r="O8" s="11"/>
      <c r="P8" s="11"/>
      <c r="Q8" s="2">
        <f t="shared" ref="Q8:Q11" si="2">F8-10</f>
        <v>50</v>
      </c>
      <c r="R8" s="2">
        <f>E8*G8</f>
        <v>2</v>
      </c>
      <c r="S8" s="2">
        <f t="shared" ref="S8:S9" si="3">Q8*R8</f>
        <v>100</v>
      </c>
      <c r="T8" s="12"/>
      <c r="U8" s="2">
        <f t="shared" ref="U8:U11" si="4">S8*3</f>
        <v>300</v>
      </c>
    </row>
    <row r="9" spans="2:22" x14ac:dyDescent="0.25">
      <c r="B9" s="2">
        <v>3</v>
      </c>
      <c r="C9" s="8" t="s">
        <v>46</v>
      </c>
      <c r="D9" s="8" t="s">
        <v>50</v>
      </c>
      <c r="E9" s="8">
        <v>1</v>
      </c>
      <c r="F9" s="8">
        <v>60</v>
      </c>
      <c r="G9" s="9">
        <v>2</v>
      </c>
      <c r="H9" s="9">
        <f t="shared" ref="H9" si="5">G9*E9*J9</f>
        <v>12</v>
      </c>
      <c r="I9" s="10">
        <f t="shared" si="0"/>
        <v>60</v>
      </c>
      <c r="J9" s="8">
        <v>6</v>
      </c>
      <c r="K9" s="2">
        <f>18*R9</f>
        <v>36</v>
      </c>
      <c r="L9" s="2"/>
      <c r="M9" s="8">
        <f t="shared" si="1"/>
        <v>6</v>
      </c>
      <c r="N9" s="12">
        <f>O9*80%</f>
        <v>0</v>
      </c>
      <c r="O9" s="11"/>
      <c r="P9" s="11"/>
      <c r="Q9" s="2">
        <f t="shared" si="2"/>
        <v>50</v>
      </c>
      <c r="R9" s="2">
        <f>E9*G9</f>
        <v>2</v>
      </c>
      <c r="S9" s="2">
        <f t="shared" si="3"/>
        <v>100</v>
      </c>
      <c r="T9" s="12"/>
      <c r="U9" s="2">
        <f t="shared" si="4"/>
        <v>300</v>
      </c>
    </row>
    <row r="10" spans="2:22" x14ac:dyDescent="0.25">
      <c r="B10" s="2">
        <v>4</v>
      </c>
      <c r="C10" s="8" t="s">
        <v>23</v>
      </c>
      <c r="D10" s="8" t="s">
        <v>48</v>
      </c>
      <c r="E10" s="8">
        <v>1</v>
      </c>
      <c r="F10" s="8">
        <v>60</v>
      </c>
      <c r="G10" s="9">
        <v>2</v>
      </c>
      <c r="H10" s="9">
        <f>G10*E10*J10</f>
        <v>12</v>
      </c>
      <c r="I10" s="10">
        <f t="shared" si="0"/>
        <v>60</v>
      </c>
      <c r="J10" s="8">
        <v>6</v>
      </c>
      <c r="K10" s="2">
        <f>18*R10</f>
        <v>36</v>
      </c>
      <c r="L10" s="2"/>
      <c r="M10" s="8">
        <f t="shared" si="1"/>
        <v>6</v>
      </c>
      <c r="N10" s="12">
        <f>O10*80%</f>
        <v>0</v>
      </c>
      <c r="O10" s="11"/>
      <c r="P10" s="11"/>
      <c r="Q10" s="2">
        <f t="shared" si="2"/>
        <v>50</v>
      </c>
      <c r="R10" s="2">
        <f>E10*G10</f>
        <v>2</v>
      </c>
      <c r="S10" s="2">
        <f>Q10*R10</f>
        <v>100</v>
      </c>
      <c r="T10" s="12"/>
      <c r="U10" s="2">
        <f t="shared" si="4"/>
        <v>300</v>
      </c>
    </row>
    <row r="11" spans="2:22" ht="15.75" x14ac:dyDescent="0.25">
      <c r="B11" s="49">
        <v>5</v>
      </c>
      <c r="C11" s="45" t="s">
        <v>47</v>
      </c>
      <c r="D11" s="45" t="s">
        <v>49</v>
      </c>
      <c r="E11" s="45">
        <v>1</v>
      </c>
      <c r="F11" s="45">
        <v>60</v>
      </c>
      <c r="G11" s="45">
        <v>2</v>
      </c>
      <c r="H11" s="45">
        <f>G11*E11*J11</f>
        <v>12</v>
      </c>
      <c r="I11" s="46">
        <f t="shared" si="0"/>
        <v>60</v>
      </c>
      <c r="J11" s="8">
        <v>6</v>
      </c>
      <c r="K11" s="2">
        <f>18*R11</f>
        <v>36</v>
      </c>
      <c r="L11" s="2"/>
      <c r="M11" s="45">
        <f t="shared" si="1"/>
        <v>6</v>
      </c>
      <c r="N11" s="12">
        <f>O11*80%</f>
        <v>0</v>
      </c>
      <c r="O11" s="11"/>
      <c r="P11" s="11"/>
      <c r="Q11" s="2">
        <f t="shared" si="2"/>
        <v>50</v>
      </c>
      <c r="R11" s="2">
        <f>E11*G11</f>
        <v>2</v>
      </c>
      <c r="S11" s="2">
        <f>Q11*R11</f>
        <v>100</v>
      </c>
      <c r="T11" s="22"/>
      <c r="U11" s="2">
        <f t="shared" si="4"/>
        <v>300</v>
      </c>
    </row>
    <row r="12" spans="2:22" ht="15.75" x14ac:dyDescent="0.25">
      <c r="B12" s="38"/>
      <c r="C12" s="37" t="s">
        <v>66</v>
      </c>
      <c r="D12" s="37"/>
      <c r="E12" s="37"/>
      <c r="F12" s="37"/>
      <c r="G12" s="37"/>
      <c r="H12" s="37">
        <f>SUM(H7:H11)</f>
        <v>108</v>
      </c>
      <c r="I12" s="39"/>
      <c r="J12" s="37"/>
      <c r="K12" s="36">
        <f>SUM(K7:K11)</f>
        <v>324</v>
      </c>
      <c r="L12" s="38"/>
      <c r="M12" s="37">
        <f>SUM(M7:M11)</f>
        <v>54</v>
      </c>
      <c r="N12" s="42"/>
      <c r="O12" s="41"/>
      <c r="P12" s="41"/>
      <c r="Q12" s="40"/>
      <c r="R12" s="40"/>
      <c r="S12" s="43"/>
      <c r="T12" s="44"/>
      <c r="U12" s="35"/>
    </row>
    <row r="13" spans="2:22" ht="30" x14ac:dyDescent="0.25">
      <c r="G13" s="47" t="s">
        <v>54</v>
      </c>
      <c r="K13" t="s">
        <v>55</v>
      </c>
    </row>
    <row r="14" spans="2:22" ht="30" x14ac:dyDescent="0.25">
      <c r="D14" s="48" t="s">
        <v>51</v>
      </c>
      <c r="E14" s="37">
        <v>5</v>
      </c>
      <c r="G14">
        <f>SUM(G7:G13)</f>
        <v>10</v>
      </c>
      <c r="I14" s="33">
        <f>I7+I8+I9+I10+I11</f>
        <v>540</v>
      </c>
      <c r="J14" s="37">
        <v>6</v>
      </c>
      <c r="K14">
        <f>K12</f>
        <v>324</v>
      </c>
      <c r="N14" s="33">
        <f>I14*J14</f>
        <v>3240</v>
      </c>
      <c r="O14" s="33">
        <f>N14*1.2</f>
        <v>3888</v>
      </c>
      <c r="Q14">
        <v>50</v>
      </c>
      <c r="R14">
        <f>SUM(R7:R13)</f>
        <v>18</v>
      </c>
      <c r="S14">
        <f>SUM(S7:S11)</f>
        <v>900</v>
      </c>
      <c r="T14" s="33">
        <f>O14-S14-M14</f>
        <v>2988</v>
      </c>
      <c r="U14" s="34">
        <f>T14*3</f>
        <v>8964</v>
      </c>
      <c r="V14" s="34">
        <f>U14*3</f>
        <v>26892</v>
      </c>
    </row>
    <row r="15" spans="2:22" x14ac:dyDescent="0.25">
      <c r="N15" s="33"/>
    </row>
    <row r="16" spans="2:22" x14ac:dyDescent="0.25">
      <c r="N16" s="33"/>
    </row>
    <row r="17" spans="4:8" x14ac:dyDescent="0.25">
      <c r="D17" s="50" t="s">
        <v>195</v>
      </c>
    </row>
    <row r="18" spans="4:8" ht="31.5" customHeight="1" x14ac:dyDescent="0.25">
      <c r="D18" s="62" t="s">
        <v>194</v>
      </c>
      <c r="E18" s="90" t="s">
        <v>18</v>
      </c>
    </row>
    <row r="19" spans="4:8" ht="27" customHeight="1" x14ac:dyDescent="0.25">
      <c r="D19" s="62" t="s">
        <v>61</v>
      </c>
      <c r="E19" s="90" t="s">
        <v>62</v>
      </c>
      <c r="H19" s="33"/>
    </row>
    <row r="20" spans="4:8" ht="30" x14ac:dyDescent="0.25">
      <c r="D20" s="62" t="s">
        <v>63</v>
      </c>
      <c r="E20" s="54">
        <v>6</v>
      </c>
    </row>
    <row r="21" spans="4:8" ht="22.5" customHeight="1" x14ac:dyDescent="0.25">
      <c r="D21" s="62" t="s">
        <v>60</v>
      </c>
      <c r="E21" s="92">
        <v>540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opLeftCell="A18" zoomScale="110" zoomScaleNormal="110" workbookViewId="0">
      <selection activeCell="D24" sqref="D24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2.7109375" customWidth="1"/>
    <col min="10" max="10" width="12.28515625" customWidth="1"/>
    <col min="11" max="11" width="13" customWidth="1"/>
    <col min="12" max="12" width="12.28515625" customWidth="1"/>
    <col min="15" max="15" width="25" customWidth="1"/>
  </cols>
  <sheetData>
    <row r="1" spans="1:15" ht="18.75" x14ac:dyDescent="0.3">
      <c r="A1" s="55" t="s">
        <v>97</v>
      </c>
    </row>
    <row r="2" spans="1:15" ht="30" x14ac:dyDescent="0.25">
      <c r="F2" s="50"/>
      <c r="G2" s="50"/>
      <c r="H2" s="50"/>
      <c r="I2" s="50"/>
      <c r="J2" s="50"/>
      <c r="K2" s="50"/>
      <c r="L2" s="50"/>
      <c r="M2" s="47" t="s">
        <v>90</v>
      </c>
      <c r="N2" t="s">
        <v>115</v>
      </c>
      <c r="O2" s="47" t="s">
        <v>182</v>
      </c>
    </row>
    <row r="3" spans="1:15" ht="45" x14ac:dyDescent="0.25">
      <c r="A3" s="50" t="s">
        <v>91</v>
      </c>
      <c r="B3" s="56" t="s">
        <v>92</v>
      </c>
      <c r="F3" s="50" t="s">
        <v>100</v>
      </c>
      <c r="G3" s="50"/>
      <c r="H3" s="50"/>
      <c r="I3" s="50"/>
      <c r="K3" s="50"/>
      <c r="L3" s="50"/>
      <c r="M3">
        <v>18</v>
      </c>
      <c r="N3">
        <v>80</v>
      </c>
      <c r="O3" s="62" t="s">
        <v>128</v>
      </c>
    </row>
    <row r="4" spans="1:15" x14ac:dyDescent="0.25">
      <c r="A4" s="50"/>
      <c r="B4" t="s">
        <v>118</v>
      </c>
      <c r="F4" s="50"/>
      <c r="G4" s="50"/>
      <c r="H4" s="50"/>
      <c r="I4" s="50"/>
      <c r="J4" s="50"/>
      <c r="K4" s="50"/>
      <c r="L4" s="50"/>
      <c r="N4">
        <v>50</v>
      </c>
      <c r="O4" t="s">
        <v>125</v>
      </c>
    </row>
    <row r="5" spans="1:15" x14ac:dyDescent="0.25">
      <c r="A5" s="50"/>
      <c r="F5" s="50"/>
      <c r="G5" s="50"/>
      <c r="H5" s="50"/>
      <c r="I5" s="50"/>
      <c r="J5" s="50"/>
      <c r="K5" s="50"/>
      <c r="L5" s="50"/>
      <c r="O5" s="47" t="s">
        <v>117</v>
      </c>
    </row>
    <row r="6" spans="1:15" x14ac:dyDescent="0.25">
      <c r="B6" s="50" t="s">
        <v>93</v>
      </c>
      <c r="F6" s="50"/>
      <c r="L6" s="50" t="s">
        <v>180</v>
      </c>
      <c r="M6" s="50" t="s">
        <v>179</v>
      </c>
    </row>
    <row r="7" spans="1:15" ht="30" x14ac:dyDescent="0.25">
      <c r="A7" s="21" t="s">
        <v>94</v>
      </c>
      <c r="B7" s="58" t="s">
        <v>95</v>
      </c>
      <c r="C7" s="58" t="s">
        <v>109</v>
      </c>
      <c r="D7" s="58" t="s">
        <v>96</v>
      </c>
      <c r="E7" s="81" t="s">
        <v>116</v>
      </c>
      <c r="F7" s="58" t="s">
        <v>114</v>
      </c>
      <c r="G7" s="81" t="s">
        <v>126</v>
      </c>
      <c r="H7" s="81" t="s">
        <v>178</v>
      </c>
      <c r="I7" s="81" t="s">
        <v>127</v>
      </c>
      <c r="J7" s="81" t="s">
        <v>176</v>
      </c>
      <c r="K7" s="81" t="s">
        <v>177</v>
      </c>
      <c r="L7" s="81" t="s">
        <v>181</v>
      </c>
      <c r="M7" s="81" t="s">
        <v>119</v>
      </c>
      <c r="O7" s="60" t="s">
        <v>124</v>
      </c>
    </row>
    <row r="8" spans="1:15" ht="30" x14ac:dyDescent="0.25">
      <c r="A8" s="57" t="s">
        <v>108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1"/>
      <c r="O8" t="s">
        <v>120</v>
      </c>
    </row>
    <row r="9" spans="1:15" x14ac:dyDescent="0.25">
      <c r="A9" s="21" t="s">
        <v>102</v>
      </c>
      <c r="B9" s="2">
        <v>1</v>
      </c>
      <c r="C9" s="2">
        <v>1</v>
      </c>
      <c r="D9" s="2">
        <v>1</v>
      </c>
      <c r="E9" s="49"/>
      <c r="F9" s="21">
        <f>SUM(B9:D9)</f>
        <v>3</v>
      </c>
      <c r="G9" s="2"/>
      <c r="H9" s="2"/>
      <c r="I9" s="2"/>
      <c r="J9" s="2"/>
      <c r="K9" s="2"/>
      <c r="L9" s="2"/>
      <c r="M9" s="2"/>
      <c r="O9" t="s">
        <v>121</v>
      </c>
    </row>
    <row r="10" spans="1:15" x14ac:dyDescent="0.25">
      <c r="A10" s="21" t="s">
        <v>103</v>
      </c>
      <c r="B10" s="2">
        <v>1</v>
      </c>
      <c r="C10" s="2">
        <v>1</v>
      </c>
      <c r="D10" s="2">
        <v>1</v>
      </c>
      <c r="E10" s="49">
        <f t="shared" ref="E10:E14" si="0">SUM(B10:D10)</f>
        <v>3</v>
      </c>
      <c r="F10" s="21">
        <f>SUM(B10:D10)</f>
        <v>3</v>
      </c>
      <c r="G10" s="2"/>
      <c r="H10" s="2"/>
      <c r="I10" s="2"/>
      <c r="J10" s="2"/>
      <c r="K10" s="2"/>
      <c r="L10" s="2"/>
      <c r="M10" s="2"/>
      <c r="O10" t="s">
        <v>122</v>
      </c>
    </row>
    <row r="11" spans="1:15" x14ac:dyDescent="0.25">
      <c r="A11" s="21" t="s">
        <v>104</v>
      </c>
      <c r="B11" s="2">
        <v>1</v>
      </c>
      <c r="C11" s="2">
        <v>1</v>
      </c>
      <c r="D11" s="2">
        <v>1</v>
      </c>
      <c r="E11" s="49"/>
      <c r="F11" s="21">
        <f t="shared" ref="F11:F14" si="1">SUM(B11:D11)</f>
        <v>3</v>
      </c>
      <c r="G11" s="2"/>
      <c r="H11" s="2"/>
      <c r="I11" s="2"/>
      <c r="J11" s="2"/>
      <c r="K11" s="2"/>
      <c r="L11" s="2"/>
      <c r="M11" s="2"/>
      <c r="O11" t="s">
        <v>123</v>
      </c>
    </row>
    <row r="12" spans="1:15" x14ac:dyDescent="0.25">
      <c r="A12" s="21" t="s">
        <v>105</v>
      </c>
      <c r="B12" s="2">
        <v>1</v>
      </c>
      <c r="C12" s="2">
        <v>1</v>
      </c>
      <c r="D12" s="2">
        <v>1</v>
      </c>
      <c r="E12" s="49">
        <f t="shared" si="0"/>
        <v>3</v>
      </c>
      <c r="F12" s="21">
        <f t="shared" si="1"/>
        <v>3</v>
      </c>
      <c r="G12" s="2"/>
      <c r="H12" s="2"/>
      <c r="I12" s="2"/>
      <c r="J12" s="2"/>
      <c r="K12" s="2"/>
      <c r="L12" s="2"/>
      <c r="M12" s="2"/>
    </row>
    <row r="13" spans="1:15" x14ac:dyDescent="0.25">
      <c r="A13" s="21" t="s">
        <v>106</v>
      </c>
      <c r="B13" s="2">
        <v>1</v>
      </c>
      <c r="C13" s="2">
        <v>1</v>
      </c>
      <c r="D13" s="2">
        <v>1</v>
      </c>
      <c r="E13" s="49"/>
      <c r="F13" s="21">
        <f t="shared" si="1"/>
        <v>3</v>
      </c>
      <c r="G13" s="2"/>
      <c r="H13" s="2"/>
      <c r="I13" s="2"/>
      <c r="J13" s="2"/>
      <c r="K13" s="2"/>
      <c r="L13" s="2"/>
      <c r="M13" s="2"/>
    </row>
    <row r="14" spans="1:15" x14ac:dyDescent="0.25">
      <c r="A14" s="21" t="s">
        <v>107</v>
      </c>
      <c r="B14" s="2">
        <v>1</v>
      </c>
      <c r="C14" s="2">
        <v>1</v>
      </c>
      <c r="D14" s="2">
        <v>1</v>
      </c>
      <c r="E14" s="49">
        <f t="shared" si="0"/>
        <v>3</v>
      </c>
      <c r="F14" s="21">
        <f t="shared" si="1"/>
        <v>3</v>
      </c>
      <c r="G14" s="2"/>
      <c r="H14" s="2"/>
      <c r="I14" s="2"/>
      <c r="J14" s="2"/>
      <c r="K14" s="2"/>
      <c r="L14" s="2"/>
      <c r="M14" s="2"/>
    </row>
    <row r="15" spans="1:15" ht="45" x14ac:dyDescent="0.25">
      <c r="A15" s="57" t="s">
        <v>190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5" x14ac:dyDescent="0.25">
      <c r="A16" s="61"/>
      <c r="B16" s="40"/>
      <c r="C16" s="40"/>
      <c r="D16" s="40"/>
    </row>
    <row r="17" spans="1:13" ht="29.25" customHeight="1" x14ac:dyDescent="0.25">
      <c r="A17" s="59" t="s">
        <v>101</v>
      </c>
      <c r="B17" s="54">
        <f>SUM(B9:B14)</f>
        <v>6</v>
      </c>
      <c r="C17" s="54">
        <f>SUM(C9:C14)</f>
        <v>6</v>
      </c>
      <c r="D17" s="54">
        <f>SUM(D9:D14)</f>
        <v>6</v>
      </c>
      <c r="E17" s="54">
        <f>E14+E12+E10</f>
        <v>9</v>
      </c>
      <c r="F17" s="63">
        <f>SUM(F9:F15)</f>
        <v>18</v>
      </c>
      <c r="G17" s="64">
        <f>N3*F17</f>
        <v>1440</v>
      </c>
      <c r="H17" s="64">
        <f>G17/1.2</f>
        <v>1200</v>
      </c>
      <c r="I17" s="64">
        <v>280</v>
      </c>
      <c r="J17" s="63">
        <v>300</v>
      </c>
      <c r="K17" s="63">
        <f>(H17-I17-J17)/2</f>
        <v>310</v>
      </c>
      <c r="L17" s="65">
        <f>H17*6</f>
        <v>7200</v>
      </c>
      <c r="M17" s="65">
        <f>H17*9</f>
        <v>10800</v>
      </c>
    </row>
    <row r="18" spans="1:13" x14ac:dyDescent="0.25">
      <c r="A18" s="51"/>
      <c r="J18" s="50">
        <f>+J17/3</f>
        <v>100</v>
      </c>
    </row>
    <row r="19" spans="1:13" x14ac:dyDescent="0.25">
      <c r="A19" s="51"/>
    </row>
    <row r="20" spans="1:13" ht="30" x14ac:dyDescent="0.25">
      <c r="A20" s="65" t="s">
        <v>184</v>
      </c>
      <c r="B20" s="54" t="s">
        <v>193</v>
      </c>
    </row>
    <row r="21" spans="1:13" ht="30" x14ac:dyDescent="0.25">
      <c r="A21" s="65" t="s">
        <v>183</v>
      </c>
      <c r="B21" s="66" t="s">
        <v>192</v>
      </c>
    </row>
    <row r="22" spans="1:13" x14ac:dyDescent="0.25">
      <c r="A22" s="65" t="s">
        <v>185</v>
      </c>
      <c r="B22" s="54" t="s">
        <v>191</v>
      </c>
    </row>
    <row r="23" spans="1:13" ht="30" x14ac:dyDescent="0.25">
      <c r="A23" s="65" t="s">
        <v>186</v>
      </c>
      <c r="B23" s="54">
        <v>18</v>
      </c>
    </row>
    <row r="24" spans="1:13" ht="22.5" customHeight="1" x14ac:dyDescent="0.25">
      <c r="A24" s="65" t="s">
        <v>187</v>
      </c>
      <c r="B24" s="91">
        <v>80</v>
      </c>
    </row>
    <row r="25" spans="1:13" ht="21" customHeight="1" x14ac:dyDescent="0.25">
      <c r="A25" s="65" t="s">
        <v>188</v>
      </c>
      <c r="B25" s="54" t="s">
        <v>189</v>
      </c>
    </row>
    <row r="27" spans="1:13" x14ac:dyDescent="0.25">
      <c r="B27" s="50" t="s">
        <v>98</v>
      </c>
      <c r="C27" t="s">
        <v>99</v>
      </c>
    </row>
    <row r="28" spans="1:13" x14ac:dyDescent="0.25">
      <c r="B28" s="50" t="s">
        <v>110</v>
      </c>
      <c r="C28" t="s">
        <v>111</v>
      </c>
    </row>
    <row r="29" spans="1:13" x14ac:dyDescent="0.25">
      <c r="B29" s="50" t="s">
        <v>112</v>
      </c>
      <c r="C29" t="s">
        <v>113</v>
      </c>
    </row>
  </sheetData>
  <phoneticPr fontId="13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"/>
  <sheetViews>
    <sheetView topLeftCell="A5" zoomScale="85" zoomScaleNormal="85" workbookViewId="0">
      <selection activeCell="U14" sqref="U14"/>
    </sheetView>
  </sheetViews>
  <sheetFormatPr baseColWidth="10" defaultRowHeight="15" x14ac:dyDescent="0.25"/>
  <cols>
    <col min="1" max="1" width="7.7109375" customWidth="1"/>
    <col min="2" max="2" width="18.28515625" customWidth="1"/>
    <col min="4" max="4" width="21.85546875" customWidth="1"/>
    <col min="5" max="5" width="18" customWidth="1"/>
    <col min="6" max="6" width="15.7109375" customWidth="1"/>
    <col min="7" max="7" width="12.42578125" customWidth="1"/>
    <col min="8" max="8" width="14.28515625" customWidth="1"/>
    <col min="9" max="9" width="13.42578125" customWidth="1"/>
    <col min="11" max="11" width="15.42578125" customWidth="1"/>
    <col min="12" max="12" width="12.7109375" bestFit="1" customWidth="1"/>
    <col min="14" max="14" width="14.85546875" customWidth="1"/>
  </cols>
  <sheetData>
    <row r="2" spans="1:22" ht="18.75" x14ac:dyDescent="0.3">
      <c r="C2" s="55" t="s">
        <v>129</v>
      </c>
    </row>
    <row r="3" spans="1:22" ht="18.75" x14ac:dyDescent="0.3">
      <c r="C3" s="55"/>
    </row>
    <row r="4" spans="1:22" x14ac:dyDescent="0.25">
      <c r="E4" s="67"/>
      <c r="F4" s="67"/>
      <c r="G4" s="75" t="s">
        <v>144</v>
      </c>
      <c r="H4" s="75"/>
      <c r="I4" s="75"/>
      <c r="J4" s="76"/>
      <c r="K4" s="76" t="s">
        <v>145</v>
      </c>
      <c r="L4" s="70"/>
      <c r="M4" s="70"/>
      <c r="N4" s="50" t="s">
        <v>155</v>
      </c>
    </row>
    <row r="5" spans="1:22" ht="105" x14ac:dyDescent="0.25">
      <c r="A5" s="65"/>
      <c r="B5" s="65"/>
      <c r="C5" s="65" t="s">
        <v>143</v>
      </c>
      <c r="D5" s="65" t="s">
        <v>142</v>
      </c>
      <c r="E5" s="68"/>
      <c r="F5" s="68" t="s">
        <v>130</v>
      </c>
      <c r="G5" s="68" t="s">
        <v>131</v>
      </c>
      <c r="H5" s="68" t="s">
        <v>151</v>
      </c>
      <c r="I5" s="68" t="s">
        <v>153</v>
      </c>
      <c r="J5" s="71"/>
      <c r="K5" s="72" t="s">
        <v>140</v>
      </c>
      <c r="L5" s="71" t="s">
        <v>138</v>
      </c>
      <c r="M5" s="71" t="s">
        <v>139</v>
      </c>
      <c r="N5" s="65" t="s">
        <v>156</v>
      </c>
    </row>
    <row r="6" spans="1:22" x14ac:dyDescent="0.25">
      <c r="C6" s="50" t="s">
        <v>141</v>
      </c>
      <c r="E6" s="74"/>
      <c r="F6" s="69">
        <v>50</v>
      </c>
      <c r="G6" s="69">
        <v>0</v>
      </c>
      <c r="H6" s="74">
        <v>50</v>
      </c>
      <c r="I6" s="69">
        <v>50</v>
      </c>
      <c r="J6" s="73"/>
      <c r="K6" s="73">
        <v>150</v>
      </c>
      <c r="L6" s="73">
        <v>75</v>
      </c>
      <c r="M6" s="73">
        <v>30</v>
      </c>
    </row>
    <row r="8" spans="1:22" ht="60" x14ac:dyDescent="0.25">
      <c r="A8" s="66"/>
      <c r="B8" s="66"/>
      <c r="C8" s="77" t="s">
        <v>1</v>
      </c>
      <c r="D8" s="77" t="s">
        <v>132</v>
      </c>
      <c r="E8" s="71" t="s">
        <v>147</v>
      </c>
      <c r="F8" s="3" t="s">
        <v>133</v>
      </c>
      <c r="G8" s="3" t="s">
        <v>150</v>
      </c>
      <c r="H8" s="3" t="s">
        <v>154</v>
      </c>
      <c r="I8" s="3" t="s">
        <v>146</v>
      </c>
      <c r="J8" s="3" t="s">
        <v>152</v>
      </c>
      <c r="K8" s="3" t="s">
        <v>149</v>
      </c>
      <c r="L8" s="3" t="s">
        <v>148</v>
      </c>
      <c r="M8" s="3" t="s">
        <v>16</v>
      </c>
      <c r="N8" s="3" t="s">
        <v>167</v>
      </c>
      <c r="O8" s="3" t="s">
        <v>166</v>
      </c>
      <c r="P8" s="3" t="s">
        <v>171</v>
      </c>
      <c r="Q8" s="3" t="s">
        <v>172</v>
      </c>
      <c r="R8" s="3" t="s">
        <v>169</v>
      </c>
      <c r="S8" s="3" t="s">
        <v>170</v>
      </c>
      <c r="T8" s="3" t="s">
        <v>173</v>
      </c>
      <c r="U8" s="3" t="s">
        <v>174</v>
      </c>
      <c r="V8" s="3" t="s">
        <v>175</v>
      </c>
    </row>
    <row r="9" spans="1:22" x14ac:dyDescent="0.25">
      <c r="C9" s="2"/>
      <c r="D9" s="2" t="s">
        <v>164</v>
      </c>
      <c r="E9" s="78">
        <f>K6</f>
        <v>150</v>
      </c>
      <c r="F9" s="2">
        <v>1.5</v>
      </c>
      <c r="G9" s="2">
        <f>G6*F9</f>
        <v>0</v>
      </c>
      <c r="H9" s="2"/>
      <c r="I9" s="2">
        <f>I6*F9</f>
        <v>75</v>
      </c>
      <c r="J9" s="2">
        <f>I9</f>
        <v>75</v>
      </c>
      <c r="K9" s="2">
        <f>J9</f>
        <v>75</v>
      </c>
      <c r="L9" s="2">
        <f>E9-(E9/6)</f>
        <v>125</v>
      </c>
      <c r="M9" s="2">
        <f t="shared" ref="M9:M14" si="0">L9-K9</f>
        <v>50</v>
      </c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C10" s="2"/>
      <c r="D10" s="2" t="s">
        <v>165</v>
      </c>
      <c r="E10" s="78">
        <v>70</v>
      </c>
      <c r="F10" s="2">
        <v>1</v>
      </c>
      <c r="G10" s="2">
        <f>G6*F10</f>
        <v>0</v>
      </c>
      <c r="H10" s="8">
        <f>H6*F10</f>
        <v>50</v>
      </c>
      <c r="I10" s="2"/>
      <c r="J10" s="2">
        <f>H10</f>
        <v>50</v>
      </c>
      <c r="K10" s="2">
        <f>J10</f>
        <v>50</v>
      </c>
      <c r="L10" s="82">
        <f t="shared" ref="L10:L14" si="1">E10-(E10/6)</f>
        <v>58.333333333333336</v>
      </c>
      <c r="M10" s="82">
        <f t="shared" si="0"/>
        <v>8.3333333333333357</v>
      </c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B11">
        <v>2</v>
      </c>
      <c r="C11" s="2"/>
      <c r="D11" s="2" t="s">
        <v>134</v>
      </c>
      <c r="E11" s="78">
        <f>L6*F11</f>
        <v>300</v>
      </c>
      <c r="F11" s="2">
        <v>4</v>
      </c>
      <c r="G11" s="2">
        <f>G6*F11</f>
        <v>0</v>
      </c>
      <c r="H11" s="2"/>
      <c r="I11" s="2"/>
      <c r="J11" s="2">
        <f>F6*F11</f>
        <v>200</v>
      </c>
      <c r="K11" s="2">
        <f>G11+J11</f>
        <v>200</v>
      </c>
      <c r="L11" s="82">
        <f t="shared" si="1"/>
        <v>250</v>
      </c>
      <c r="M11" s="11">
        <f t="shared" si="0"/>
        <v>50</v>
      </c>
      <c r="N11" s="11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B12">
        <v>3</v>
      </c>
      <c r="C12" s="2"/>
      <c r="D12" s="2" t="s">
        <v>135</v>
      </c>
      <c r="E12" s="78">
        <f>L6*F12</f>
        <v>300</v>
      </c>
      <c r="F12" s="2">
        <v>4</v>
      </c>
      <c r="G12" s="2">
        <f>G6*F12</f>
        <v>0</v>
      </c>
      <c r="H12" s="2"/>
      <c r="I12" s="2"/>
      <c r="J12" s="2">
        <f>F6*F12</f>
        <v>200</v>
      </c>
      <c r="K12" s="2">
        <f>G12+J12</f>
        <v>200</v>
      </c>
      <c r="L12" s="82">
        <f t="shared" si="1"/>
        <v>250</v>
      </c>
      <c r="M12" s="11">
        <f t="shared" si="0"/>
        <v>50</v>
      </c>
      <c r="N12" s="11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B13">
        <v>4</v>
      </c>
      <c r="C13" s="2"/>
      <c r="D13" s="2" t="s">
        <v>136</v>
      </c>
      <c r="E13" s="78">
        <f>L6*F13</f>
        <v>300</v>
      </c>
      <c r="F13" s="2">
        <v>4</v>
      </c>
      <c r="G13" s="2">
        <f>G6*F13</f>
        <v>0</v>
      </c>
      <c r="H13" s="2"/>
      <c r="I13" s="2"/>
      <c r="J13" s="2">
        <f>F6*F13</f>
        <v>200</v>
      </c>
      <c r="K13" s="2">
        <f>G13+J13</f>
        <v>200</v>
      </c>
      <c r="L13" s="82">
        <f t="shared" si="1"/>
        <v>250</v>
      </c>
      <c r="M13" s="11">
        <f t="shared" si="0"/>
        <v>50</v>
      </c>
      <c r="N13" s="1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B14" s="50" t="s">
        <v>137</v>
      </c>
      <c r="C14" s="2"/>
      <c r="D14" s="2"/>
      <c r="E14" s="79">
        <f>SUM(E9:E13)</f>
        <v>1120</v>
      </c>
      <c r="F14" s="2">
        <f>SUM(F9:F13)</f>
        <v>14.5</v>
      </c>
      <c r="G14" s="21">
        <f>SUM(G9:G13)</f>
        <v>0</v>
      </c>
      <c r="H14" s="13"/>
      <c r="I14" s="2"/>
      <c r="J14" s="2">
        <f>SUM(J9:J13)</f>
        <v>725</v>
      </c>
      <c r="K14" s="80">
        <f>SUM(K9:K13)</f>
        <v>725</v>
      </c>
      <c r="L14" s="85">
        <f t="shared" si="1"/>
        <v>933.33333333333337</v>
      </c>
      <c r="M14" s="11">
        <f t="shared" si="0"/>
        <v>208.33333333333337</v>
      </c>
      <c r="N14" s="86">
        <v>10</v>
      </c>
      <c r="O14" s="11">
        <f>N14*L14</f>
        <v>9333.3333333333339</v>
      </c>
      <c r="P14" s="11">
        <f>N14*M14</f>
        <v>2083.3333333333339</v>
      </c>
      <c r="Q14" s="2">
        <v>30</v>
      </c>
      <c r="R14" s="89">
        <f>Q14*L14</f>
        <v>28000</v>
      </c>
      <c r="S14" s="11">
        <f>M14*Q14</f>
        <v>6250.0000000000009</v>
      </c>
      <c r="T14" s="82">
        <v>40</v>
      </c>
      <c r="U14" s="89">
        <f>T14*L14</f>
        <v>37333.333333333336</v>
      </c>
      <c r="V14" s="11">
        <f>T14*M14</f>
        <v>8333.3333333333358</v>
      </c>
    </row>
    <row r="15" spans="1:22" x14ac:dyDescent="0.25">
      <c r="B15" s="50"/>
      <c r="C15" s="40"/>
      <c r="D15" s="40"/>
      <c r="E15" s="87"/>
      <c r="F15" s="40"/>
      <c r="G15" s="43"/>
      <c r="H15" s="88"/>
      <c r="I15" s="40"/>
      <c r="J15" s="40"/>
      <c r="K15" s="80"/>
      <c r="L15" s="85"/>
      <c r="M15" s="11"/>
      <c r="N15" s="86"/>
      <c r="O15" s="11"/>
      <c r="P15" s="11"/>
      <c r="Q15" s="2"/>
      <c r="R15" s="2"/>
      <c r="S15" s="2"/>
      <c r="T15" s="82"/>
      <c r="U15" s="2"/>
      <c r="V15" s="2"/>
    </row>
    <row r="16" spans="1:22" ht="30" x14ac:dyDescent="0.25">
      <c r="B16" s="51" t="s">
        <v>51</v>
      </c>
      <c r="J16" t="s">
        <v>168</v>
      </c>
      <c r="K16" s="83">
        <f>G14+H14+I14+J14</f>
        <v>725</v>
      </c>
      <c r="L16" s="20">
        <f>L14*20%</f>
        <v>186.66666666666669</v>
      </c>
      <c r="M16" s="84">
        <f>SUM(M9:M14)</f>
        <v>416.66666666666674</v>
      </c>
      <c r="N16" s="2"/>
      <c r="O16" s="20"/>
      <c r="P16" s="20"/>
      <c r="Q16" s="2"/>
      <c r="R16" s="2"/>
      <c r="S16" s="2"/>
      <c r="T16" s="82"/>
      <c r="U16" s="2"/>
      <c r="V16" s="2"/>
    </row>
    <row r="17" spans="4:12" x14ac:dyDescent="0.25">
      <c r="L17" s="33">
        <f>L14+L16</f>
        <v>1120</v>
      </c>
    </row>
    <row r="18" spans="4:12" x14ac:dyDescent="0.25">
      <c r="D18" t="s">
        <v>52</v>
      </c>
    </row>
    <row r="19" spans="4:12" x14ac:dyDescent="0.25">
      <c r="D19" t="s">
        <v>61</v>
      </c>
    </row>
    <row r="20" spans="4:12" x14ac:dyDescent="0.25">
      <c r="D20" t="s">
        <v>63</v>
      </c>
    </row>
    <row r="21" spans="4:12" x14ac:dyDescent="0.25">
      <c r="D21" t="s">
        <v>60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baseColWidth="10" defaultRowHeight="15" x14ac:dyDescent="0.25"/>
  <sheetData>
    <row r="2" spans="2:2" x14ac:dyDescent="0.25">
      <c r="B2" t="s">
        <v>157</v>
      </c>
    </row>
    <row r="3" spans="2:2" x14ac:dyDescent="0.25">
      <c r="B3" t="s">
        <v>158</v>
      </c>
    </row>
    <row r="4" spans="2:2" x14ac:dyDescent="0.25">
      <c r="B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Ateliers collectifs</vt:lpstr>
      <vt:lpstr>Prévention Burn Out</vt:lpstr>
      <vt:lpstr>Pause Récupération</vt:lpstr>
      <vt:lpstr>Programme de Remise en santé</vt:lpstr>
      <vt:lpstr>Formations finançables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2022-04-02T18:37:03Z</dcterms:created>
  <dcterms:modified xsi:type="dcterms:W3CDTF">2022-04-08T15:22:00Z</dcterms:modified>
</cp:coreProperties>
</file>